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2.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harts/chart31.xml" ContentType="application/vnd.openxmlformats-officedocument.drawingml.chart+xml"/>
  <Override PartName="/xl/charts/chart32.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charts/chart33.xml" ContentType="application/vnd.openxmlformats-officedocument.drawingml.chart+xml"/>
  <Override PartName="/xl/drawings/drawing8.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drawings/drawing9.xml" ContentType="application/vnd.openxmlformats-officedocument.drawing+xml"/>
  <Override PartName="/xl/comments4.xml" ContentType="application/vnd.openxmlformats-officedocument.spreadsheetml.comments+xml"/>
  <Override PartName="/xl/charts/chart46.xml" ContentType="application/vnd.openxmlformats-officedocument.drawingml.chart+xml"/>
  <Override PartName="/xl/drawings/drawing10.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drawings/drawing11.xml" ContentType="application/vnd.openxmlformats-officedocument.drawing+xml"/>
  <Override PartName="/xl/comments6.xml" ContentType="application/vnd.openxmlformats-officedocument.spreadsheetml.comments+xml"/>
  <Override PartName="/xl/charts/chart53.xml" ContentType="application/vnd.openxmlformats-officedocument.drawingml.chart+xml"/>
  <Override PartName="/xl/drawings/drawing12.xml" ContentType="application/vnd.openxmlformats-officedocument.drawing+xml"/>
  <Override PartName="/xl/charts/chart54.xml" ContentType="application/vnd.openxmlformats-officedocument.drawingml.chart+xml"/>
  <Override PartName="/xl/drawings/drawing13.xml" ContentType="application/vnd.openxmlformats-officedocument.drawing+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14.xml" ContentType="application/vnd.openxmlformats-officedocument.drawing+xml"/>
  <Override PartName="/xl/charts/chart61.xml" ContentType="application/vnd.openxmlformats-officedocument.drawingml.chart+xml"/>
  <Override PartName="/xl/drawings/drawing15.xml" ContentType="application/vnd.openxmlformats-officedocument.drawing+xml"/>
  <Override PartName="/xl/charts/chart62.xml" ContentType="application/vnd.openxmlformats-officedocument.drawingml.chart+xml"/>
  <Override PartName="/xl/drawings/drawing16.xml" ContentType="application/vnd.openxmlformats-officedocument.drawing+xml"/>
  <Override PartName="/xl/drawings/drawing17.xml" ContentType="application/vnd.openxmlformats-officedocument.drawing+xml"/>
  <Override PartName="/xl/charts/chart63.xml" ContentType="application/vnd.openxmlformats-officedocument.drawingml.chart+xml"/>
  <Override PartName="/xl/charts/chart64.xml" ContentType="application/vnd.openxmlformats-officedocument.drawingml.chart+xml"/>
  <Override PartName="/xl/drawings/drawing18.xml" ContentType="application/vnd.openxmlformats-officedocument.drawing+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19.xml" ContentType="application/vnd.openxmlformats-officedocument.drawing+xml"/>
  <Override PartName="/xl/charts/chart70.xml" ContentType="application/vnd.openxmlformats-officedocument.drawingml.chart+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xl/worksheets/sheet25.xml" ContentType="application/vnd.openxmlformats-officedocument.spreadsheetml.workshee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arlos.ferreira\Downloads\"/>
    </mc:Choice>
  </mc:AlternateContent>
  <xr:revisionPtr revIDLastSave="0" documentId="13_ncr:1_{DCD55DCF-4858-40E0-A5A3-6218A6526CBC}" xr6:coauthVersionLast="47" xr6:coauthVersionMax="47" xr10:uidLastSave="{00000000-0000-0000-0000-000000000000}"/>
  <bookViews>
    <workbookView xWindow="-120" yWindow="-120" windowWidth="29040" windowHeight="15720" tabRatio="500" firstSheet="19" activeTab="23" xr2:uid="{00000000-000D-0000-FFFF-FFFF00000000}"/>
  </bookViews>
  <sheets>
    <sheet name="Geometria" sheetId="1" r:id="rId1"/>
    <sheet name="ELU i" sheetId="2" state="hidden" r:id="rId2"/>
    <sheet name="Homogeneização" sheetId="4" state="hidden" r:id="rId3"/>
    <sheet name="Isolamento de cabos" sheetId="5" state="hidden" r:id="rId4"/>
    <sheet name="Tensões" sheetId="6" state="hidden" r:id="rId5"/>
    <sheet name="AUXÍLIO" sheetId="7" state="hidden" r:id="rId6"/>
    <sheet name="Apoio" sheetId="8" state="hidden" r:id="rId7"/>
    <sheet name="Propriedades geométricas LAJE" sheetId="9" state="hidden" r:id="rId8"/>
    <sheet name="Seções" sheetId="10" state="hidden" r:id="rId9"/>
    <sheet name="Propriedades geométricas VIGA" sheetId="11" state="hidden" r:id="rId10"/>
    <sheet name="Resumo" sheetId="12" r:id="rId11"/>
    <sheet name="Taxas" sheetId="13" r:id="rId12"/>
    <sheet name="Cargas Pavilhões" sheetId="14" r:id="rId13"/>
    <sheet name="Diagrama Cortante" sheetId="15" state="hidden" r:id="rId14"/>
    <sheet name="Fluência" sheetId="16" state="hidden" r:id="rId15"/>
    <sheet name="Perdas por Seção" sheetId="17" state="hidden" r:id="rId16"/>
    <sheet name="Cargas adicionais" sheetId="3" state="hidden" r:id="rId17"/>
    <sheet name="Torção (parede fina)" sheetId="18" r:id="rId18"/>
    <sheet name="Armadura Dupla" sheetId="19" r:id="rId19"/>
    <sheet name="Momento Resistente - Ap+As" sheetId="20" r:id="rId20"/>
    <sheet name="Fissuração - wk por Seção" sheetId="21" state="hidden" r:id="rId21"/>
    <sheet name="Aberturas na Alma" sheetId="22" r:id="rId22"/>
    <sheet name="Estádio - Flechas" sheetId="23" r:id="rId23"/>
    <sheet name="Cisalhamento e Apoios" sheetId="24" r:id="rId24"/>
    <sheet name="Desenho (dados)" sheetId="25" r:id="rId30" state="hidden"/>
  </sheets>
  <definedNames>
    <definedName name="_xlnm.Print_Area" localSheetId="0">Geometria!$K$1:$R$1440</definedName>
    <definedName name="_xlnm.Print_Area" localSheetId="2">Homogeneização!$K$1:$Y$65</definedName>
    <definedName name="_xlnm.Print_Area" localSheetId="5">AUXÍLIO!$H$1:$T$22</definedName>
    <definedName name="_xlnm.Print_Area" localSheetId="8">Seções!$A$1:$W$154</definedName>
    <definedName name="_xlnm.Print_Area" localSheetId="10">Resumo!$A$1:$AX$100</definedName>
    <definedName name="_xlnm.Print_Area" localSheetId="11">Taxas!$G$1:$Q$149</definedName>
    <definedName name="_xlnm.Print_Area" localSheetId="12">'Cargas Pavilhões'!$H$1:$R$30</definedName>
    <definedName name="_xlnm.Print_Area" localSheetId="13">'Diagrama Cortante'!$J$1:$W$42</definedName>
    <definedName name="_xlnm.Print_Area" localSheetId="16">'Cargas adicionais'!$J$1:$AZ$182</definedName>
    <definedName name="_xlnm.Print_Area" localSheetId="17">'Torção (parede fina)'!$K$1:$Z$107</definedName>
    <definedName name="_xlnm.Print_Area" localSheetId="18">'Armadura Dupla'!$K$1:$W$126</definedName>
    <definedName name="_xlnm.Print_Area" localSheetId="19">'Momento Resistente - Ap+As'!$K$1:$X$488</definedName>
    <definedName name="_xlnm.Print_Area" localSheetId="20">'Fissuração - wk por Seção'!$K$1:$W$111</definedName>
    <definedName name="_xlnm.Print_Area" localSheetId="21">'Aberturas na Alma'!$K$1:$V$287</definedName>
    <definedName name="_xlnm.Print_Area" localSheetId="23">'Cisalhamento e Apoios'!$I$1:$X$298</definedName>
    <definedName name="FirstX">'Propriedades geométricas VIGA'!$B$6</definedName>
    <definedName name="FirstX" localSheetId="7">'Propriedades geométricas LAJE'!$B$6</definedName>
    <definedName name="testex">'ELU i'!$T$85:$T$99</definedName>
    <definedName name="testey">'ELU i'!$U$85:$U$99</definedName>
    <definedName name="X">OFFSET(FirstX,0,0,COUNT('Propriedades geométricas VIGA'!$B$1:$B$65531))</definedName>
    <definedName name="X" localSheetId="7">OFFSET('Propriedades geométricas LAJE'!FirstX,0,0,COUNT('Propriedades geométricas LAJE'!$B$1:$B$65531))</definedName>
    <definedName name="XX">'ELU i'!$T$4:$T$18</definedName>
    <definedName name="XXX">'ELU i'!$T$27:$T$41</definedName>
    <definedName name="XXXX">'ELU i'!$T$52:$T$66</definedName>
    <definedName name="Y">OFFSET(X,0,1)</definedName>
    <definedName name="Y" localSheetId="7">OFFSET('Propriedades geométricas LAJE'!X,0,1)</definedName>
    <definedName name="YY">'ELU i'!$U$4:$U$18</definedName>
    <definedName name="YYY">'ELU i'!$U$27:$U$41</definedName>
    <definedName name="YYYY">'ELU i'!$U$52:$U$66</definedName>
  </definedNames>
  <calcPr calcId="191029" iterate="1" iterateCount="1000"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K197" authorId="0" shapeId="0" xr:uid="{00000000-0006-0000-0000-000001000000}">
      <text>
        <r>
          <rPr>
            <sz val="10"/>
            <rFont val="Arial"/>
            <family val="2"/>
          </rPr>
          <t xml:space="preserve">Carlos Eduardo Godoy Ferreira:
</t>
        </r>
        <r>
          <rPr>
            <sz val="9"/>
            <color rgb="FF333333"/>
            <rFont val="Segoe UI"/>
            <family val="2"/>
            <charset val="1"/>
          </rPr>
          <t>Consideração do peso na região em cima da viga</t>
        </r>
      </text>
    </comment>
    <comment ref="M216" authorId="0" shapeId="0" xr:uid="{00000000-0006-0000-0000-00000B000000}">
      <text>
        <r>
          <rPr>
            <sz val="10"/>
            <rFont val="Arial"/>
            <family val="2"/>
          </rPr>
          <t xml:space="preserve">Carlos Eduardo:
</t>
        </r>
        <r>
          <rPr>
            <sz val="9"/>
            <color rgb="FF333333"/>
            <rFont val="Segoe UI"/>
            <family val="2"/>
            <charset val="1"/>
          </rPr>
          <t>para concreto pré-fabricado 1,3</t>
        </r>
      </text>
    </comment>
    <comment ref="M232" authorId="0" shapeId="0" xr:uid="{00000000-0006-0000-0000-00000C000000}">
      <text>
        <r>
          <rPr>
            <sz val="10"/>
            <rFont val="Arial"/>
            <family val="2"/>
          </rPr>
          <t xml:space="preserve">Carlos Eduardo:
</t>
        </r>
        <r>
          <rPr>
            <sz val="9"/>
            <color rgb="FF333333"/>
            <rFont val="Segoe UI"/>
            <family val="2"/>
            <charset val="1"/>
          </rPr>
          <t>0,77fptk
0,85fpyk</t>
        </r>
      </text>
    </comment>
    <comment ref="K238" authorId="0" shapeId="0" xr:uid="{00000000-0006-0000-0000-000002000000}">
      <text>
        <r>
          <rPr>
            <sz val="10"/>
            <rFont val="Arial"/>
            <family val="2"/>
          </rPr>
          <t xml:space="preserve">Carlos Eduardo:
</t>
        </r>
        <r>
          <rPr>
            <sz val="9"/>
            <color rgb="FF333333"/>
            <rFont val="Segoe UI"/>
            <family val="2"/>
            <charset val="1"/>
          </rPr>
          <t>Considera-se a fissuração</t>
        </r>
      </text>
    </comment>
    <comment ref="K257" authorId="0" shapeId="0" xr:uid="{00000000-0006-0000-0000-000003000000}">
      <text>
        <r>
          <rPr>
            <sz val="10"/>
            <rFont val="Arial"/>
            <family val="2"/>
          </rPr>
          <t xml:space="preserve">Carlos Eduardo:
</t>
        </r>
      </text>
    </comment>
    <comment ref="M291" authorId="0" shapeId="0" xr:uid="{00000000-0006-0000-0000-00000D000000}">
      <text>
        <r>
          <rPr>
            <sz val="10"/>
            <rFont val="Arial"/>
            <family val="2"/>
          </rPr>
          <t xml:space="preserve">Carlos Eduardo:
</t>
        </r>
        <r>
          <rPr>
            <sz val="9"/>
            <color rgb="FF333333"/>
            <rFont val="Segoe UI"/>
            <family val="2"/>
            <charset val="1"/>
          </rPr>
          <t>porcentagem de resistência a tração</t>
        </r>
      </text>
    </comment>
    <comment ref="L381" authorId="0" shapeId="0" xr:uid="{00000000-0006-0000-0000-00000A000000}">
      <text>
        <r>
          <rPr>
            <sz val="10"/>
            <rFont val="Arial"/>
            <family val="2"/>
          </rPr>
          <t xml:space="preserve">Carlos Eduardo:
</t>
        </r>
        <r>
          <rPr>
            <sz val="9"/>
            <color rgb="FF333333"/>
            <rFont val="Segoe UI"/>
            <family val="2"/>
            <charset val="1"/>
          </rPr>
          <t>0,3*fctk,inf</t>
        </r>
      </text>
    </comment>
    <comment ref="K400" authorId="0" shapeId="0" xr:uid="{00000000-0006-0000-0000-000004000000}">
      <text>
        <r>
          <rPr>
            <sz val="10"/>
            <rFont val="Arial"/>
            <family val="2"/>
          </rPr>
          <t xml:space="preserve">Carlos Eduardo:
</t>
        </r>
        <r>
          <rPr>
            <sz val="9"/>
            <color rgb="FF333333"/>
            <rFont val="Segoe UI"/>
            <family val="2"/>
            <charset val="1"/>
          </rPr>
          <t>Distância do centro de gravidade até a borda superior</t>
        </r>
      </text>
    </comment>
    <comment ref="M630" authorId="0" shapeId="0" xr:uid="{00000000-0006-0000-0000-00000E000000}">
      <text>
        <r>
          <rPr>
            <sz val="10"/>
            <rFont val="Arial"/>
            <family val="2"/>
          </rPr>
          <t xml:space="preserve">Carlos Eduardo:
</t>
        </r>
        <r>
          <rPr>
            <sz val="9"/>
            <color rgb="FF333333"/>
            <rFont val="Segoe UI"/>
            <family val="2"/>
            <charset val="1"/>
          </rPr>
          <t>Altura da linha neutra</t>
        </r>
      </text>
    </comment>
    <comment ref="M869" authorId="0" shapeId="0" xr:uid="{00000000-0006-0000-0000-00000F000000}">
      <text>
        <r>
          <rPr>
            <sz val="10"/>
            <rFont val="Arial"/>
            <family val="2"/>
          </rPr>
          <t xml:space="preserve">Carlos Eduardo:
</t>
        </r>
        <r>
          <rPr>
            <sz val="9"/>
            <color rgb="FF333333"/>
            <rFont val="Segoe UI"/>
            <family val="2"/>
            <charset val="1"/>
          </rPr>
          <t>Altura da linha neutra</t>
        </r>
      </text>
    </comment>
    <comment ref="M881" authorId="0" shapeId="0" xr:uid="{00000000-0006-0000-0000-000010000000}">
      <text>
        <r>
          <rPr>
            <sz val="10"/>
            <rFont val="Arial"/>
            <family val="2"/>
          </rPr>
          <t xml:space="preserve">Carlos Eduardo:
</t>
        </r>
        <r>
          <rPr>
            <sz val="9"/>
            <color rgb="FF333333"/>
            <rFont val="Segoe UI"/>
            <family val="2"/>
            <charset val="1"/>
          </rPr>
          <t>Altura da linha neutra</t>
        </r>
      </text>
    </comment>
    <comment ref="K895" authorId="0" shapeId="0" xr:uid="{00000000-0006-0000-0000-000005000000}">
      <text>
        <r>
          <rPr>
            <sz val="10"/>
            <rFont val="Arial"/>
            <family val="2"/>
          </rPr>
          <t xml:space="preserve">Carlos Eduardo:
Considera-se somente peso próprio
</t>
        </r>
      </text>
    </comment>
    <comment ref="M993" authorId="0" shapeId="0" xr:uid="{00000000-0006-0000-0000-000011000000}">
      <text>
        <r>
          <rPr>
            <sz val="10"/>
            <rFont val="Arial"/>
            <family val="2"/>
          </rPr>
          <t xml:space="preserve">Carlos Eduardo:
</t>
        </r>
        <r>
          <rPr>
            <sz val="9"/>
            <color rgb="FF333333"/>
            <rFont val="Segoe UI"/>
            <family val="2"/>
            <charset val="1"/>
          </rPr>
          <t>Altura da linha neutra</t>
        </r>
      </text>
    </comment>
    <comment ref="M1029" authorId="0" shapeId="0" xr:uid="{00000000-0006-0000-0000-000012000000}">
      <text>
        <r>
          <rPr>
            <sz val="10"/>
            <rFont val="Arial"/>
            <family val="2"/>
          </rPr>
          <t xml:space="preserve">Carlos Eduardo:
</t>
        </r>
        <r>
          <rPr>
            <sz val="9"/>
            <color rgb="FF333333"/>
            <rFont val="Segoe UI"/>
            <family val="2"/>
            <charset val="1"/>
          </rPr>
          <t>Altura da linha neutra</t>
        </r>
      </text>
    </comment>
    <comment ref="K1172" authorId="0" shapeId="0" xr:uid="{00000000-0006-0000-0000-000006000000}">
      <text>
        <r>
          <rPr>
            <sz val="10"/>
            <rFont val="Arial"/>
            <family val="2"/>
          </rPr>
          <t>Modulo de Elasticidade inicial do Concretro</t>
        </r>
      </text>
    </comment>
    <comment ref="K1173" authorId="0" shapeId="0" xr:uid="{00000000-0006-0000-0000-000007000000}">
      <text>
        <r>
          <rPr>
            <sz val="10"/>
            <rFont val="Arial"/>
            <family val="2"/>
          </rPr>
          <t>Modulo de Elasticidade Secante do Concreto</t>
        </r>
      </text>
    </comment>
    <comment ref="K1174" authorId="0" shapeId="0" xr:uid="{00000000-0006-0000-0000-000008000000}">
      <text>
        <r>
          <rPr>
            <sz val="10"/>
            <rFont val="Arial"/>
            <family val="2"/>
          </rPr>
          <t>Resistencia a tração média do concreto</t>
        </r>
      </text>
    </comment>
    <comment ref="K1222" authorId="0" shapeId="0" xr:uid="{00000000-0006-0000-0000-000009000000}">
      <text>
        <r>
          <rPr>
            <sz val="10"/>
            <rFont val="Arial"/>
            <family val="2"/>
          </rPr>
          <t xml:space="preserve">Carlos Eduardo:
</t>
        </r>
        <r>
          <rPr>
            <sz val="9"/>
            <color rgb="FF333333"/>
            <rFont val="Segoe UI"/>
            <family val="2"/>
            <charset val="1"/>
          </rPr>
          <t>Momento atuante
Verrificar psi redutor</t>
        </r>
      </text>
    </comment>
    <comment ref="O1229" authorId="0" shapeId="0" xr:uid="{00000000-0006-0000-0000-000013000000}">
      <text>
        <r>
          <rPr>
            <sz val="10"/>
            <rFont val="Arial"/>
            <family val="2"/>
          </rPr>
          <t xml:space="preserve">Carlos Eduardo:
</t>
        </r>
        <r>
          <rPr>
            <sz val="9"/>
            <color rgb="FF333333"/>
            <rFont val="Segoe UI"/>
            <family val="2"/>
            <charset val="1"/>
          </rPr>
          <t>2 = Cimento CPV - ARI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N14" authorId="0" shapeId="0" xr:uid="{00000000-0006-0000-0400-000001000000}">
      <text>
        <r>
          <rPr>
            <sz val="10"/>
            <rFont val="Arial"/>
            <family val="2"/>
          </rPr>
          <t xml:space="preserve">Carlos Eduardo:
</t>
        </r>
        <r>
          <rPr>
            <sz val="9"/>
            <color rgb="FF333333"/>
            <rFont val="Segoe UI"/>
            <family val="2"/>
            <charset val="1"/>
          </rPr>
          <t>porcentagem de resistência a tração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6" authorId="0" shapeId="0" xr:uid="{00000000-0006-0000-0800-000001000000}">
      <text>
        <r>
          <rPr>
            <sz val="10"/>
            <rFont val="Arial"/>
            <family val="2"/>
          </rPr>
          <t xml:space="preserve">Always  0.000
</t>
        </r>
      </text>
    </comment>
    <comment ref="C6" authorId="0" shapeId="0" xr:uid="{00000000-0006-0000-0800-000002000000}">
      <text>
        <r>
          <rPr>
            <sz val="10"/>
            <rFont val="Arial"/>
            <family val="2"/>
          </rPr>
          <t xml:space="preserve">Always  0.000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6" authorId="0" shapeId="0" xr:uid="{00000000-0006-0000-0A00-000001000000}">
      <text>
        <r>
          <rPr>
            <sz val="10"/>
            <rFont val="Arial"/>
            <family val="2"/>
          </rPr>
          <t xml:space="preserve">Always  0.000
</t>
        </r>
      </text>
    </comment>
    <comment ref="C6" authorId="0" shapeId="0" xr:uid="{00000000-0006-0000-0A00-000002000000}">
      <text>
        <r>
          <rPr>
            <sz val="10"/>
            <rFont val="Arial"/>
            <family val="2"/>
          </rPr>
          <t xml:space="preserve">Always  0.000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L28" authorId="0" shapeId="0" xr:uid="{00000000-0006-0000-0C00-000001000000}">
      <text>
        <r>
          <rPr>
            <sz val="10"/>
            <rFont val="Arial"/>
            <family val="2"/>
          </rPr>
          <t xml:space="preserve">Carlos Eduardo Godoy Ferreira:
</t>
        </r>
        <r>
          <rPr>
            <sz val="9"/>
            <color rgb="FF333333"/>
            <rFont val="Segoe UI"/>
            <family val="2"/>
            <charset val="1"/>
          </rPr>
          <t>CA50</t>
        </r>
      </text>
    </comment>
    <comment ref="M28" authorId="0" shapeId="0" xr:uid="{00000000-0006-0000-0C00-000002000000}">
      <text>
        <r>
          <rPr>
            <sz val="10"/>
            <rFont val="Arial"/>
            <family val="2"/>
          </rPr>
          <t xml:space="preserve">Carlos Eduardo Godoy Ferreira:
</t>
        </r>
        <r>
          <rPr>
            <sz val="9"/>
            <color rgb="FF333333"/>
            <rFont val="Segoe UI"/>
            <family val="2"/>
            <charset val="1"/>
          </rPr>
          <t xml:space="preserve">CA60
</t>
        </r>
      </text>
    </comment>
    <comment ref="N28" authorId="0" shapeId="0" xr:uid="{00000000-0006-0000-0C00-000003000000}">
      <text>
        <r>
          <rPr>
            <sz val="10"/>
            <rFont val="Arial"/>
            <family val="2"/>
          </rPr>
          <t xml:space="preserve">Carlos Eduardo Godoy Ferreira:
</t>
        </r>
        <r>
          <rPr>
            <sz val="9"/>
            <color rgb="FF333333"/>
            <rFont val="Segoe UI"/>
            <family val="2"/>
            <charset val="1"/>
          </rPr>
          <t xml:space="preserve">CA-50
</t>
        </r>
      </text>
    </comment>
  </commentList>
</comments>
</file>

<file path=xl/sharedStrings.xml><?xml version="1.0" encoding="utf-8"?>
<sst xmlns="http://schemas.openxmlformats.org/spreadsheetml/2006/main" count="8003" uniqueCount="2626">
  <si>
    <t>Homogeneizar seção?</t>
  </si>
  <si>
    <t>Deformações t=1</t>
  </si>
  <si>
    <t>Deformações diferidas - t=inf</t>
  </si>
  <si>
    <t>Fissuração T=1</t>
  </si>
  <si>
    <t>Taxa</t>
  </si>
  <si>
    <t>Fissuração T,inf</t>
  </si>
  <si>
    <t>As'p</t>
  </si>
  <si>
    <t>As',adicional</t>
  </si>
  <si>
    <t>x</t>
  </si>
  <si>
    <t>As,p</t>
  </si>
  <si>
    <t>1 . Dados de entrada</t>
  </si>
  <si>
    <t>Cargas atuantes</t>
  </si>
  <si>
    <t>Peso lajes</t>
  </si>
  <si>
    <t>Sobrecarga da laje = q0</t>
  </si>
  <si>
    <t>kgf/m²</t>
  </si>
  <si>
    <t>Linha neutra - Viga "i"</t>
  </si>
  <si>
    <t>T</t>
  </si>
  <si>
    <t>Laje = g1</t>
  </si>
  <si>
    <t>R/A</t>
  </si>
  <si>
    <t>Tabela 11.2 – Valores do coeficiente γf2</t>
  </si>
  <si>
    <t>Revestimento = g2</t>
  </si>
  <si>
    <t xml:space="preserve">R </t>
  </si>
  <si>
    <t>Ações</t>
  </si>
  <si>
    <t>γf2</t>
  </si>
  <si>
    <t>Alvenaria = g3</t>
  </si>
  <si>
    <t>kgf/m</t>
  </si>
  <si>
    <t>"i"</t>
  </si>
  <si>
    <t>Ψ0</t>
  </si>
  <si>
    <t>Ψ1</t>
  </si>
  <si>
    <t>Ψ2</t>
  </si>
  <si>
    <t>Alvenaria</t>
  </si>
  <si>
    <t>As'</t>
  </si>
  <si>
    <t>m</t>
  </si>
  <si>
    <t>Cargas de utilização de edificações</t>
  </si>
  <si>
    <t>e,alv</t>
  </si>
  <si>
    <t>cm</t>
  </si>
  <si>
    <t>Locais em que não há predominância de pesos de equipamentos que permanecem fixos por longos períodos de tempo, nem de elevadas concentrações de pessoas b</t>
  </si>
  <si>
    <t>y,alv</t>
  </si>
  <si>
    <t>h,alv</t>
  </si>
  <si>
    <t xml:space="preserve">Considerar solidarização </t>
  </si>
  <si>
    <t>1 - Sim</t>
  </si>
  <si>
    <t>As</t>
  </si>
  <si>
    <t>Seção</t>
  </si>
  <si>
    <t>1 - Retângular</t>
  </si>
  <si>
    <t>Locais em que há predominância de pesos de equipamentos que permanecem fixos por longos períodos de tempo, ou de elevada concentração de pessoas c</t>
  </si>
  <si>
    <t>L,balanço,esq</t>
  </si>
  <si>
    <t>Comprimento do balanço esquerdo.</t>
  </si>
  <si>
    <t>L,balanço,dir</t>
  </si>
  <si>
    <t>Comprimento do balanço dirito.</t>
  </si>
  <si>
    <t>Biblioteca, arquivos, oficinas e garagens</t>
  </si>
  <si>
    <t>Geometria da viga retângular</t>
  </si>
  <si>
    <t>Armadura Passiva - ELU</t>
  </si>
  <si>
    <t>Simples</t>
  </si>
  <si>
    <t>Composta</t>
  </si>
  <si>
    <t>Vento</t>
  </si>
  <si>
    <r>
      <rPr>
        <sz val="11"/>
        <color theme="1"/>
        <rFont val="Aptos Narrow"/>
        <family val="2"/>
        <charset val="1"/>
      </rPr>
      <t>L</t>
    </r>
    <r>
      <rPr>
        <sz val="10"/>
        <color rgb="FF333333"/>
        <rFont val="Aptos Narrow"/>
        <family val="2"/>
        <charset val="1"/>
      </rPr>
      <t>,útil</t>
    </r>
  </si>
  <si>
    <t>Comprimento total da viga.</t>
  </si>
  <si>
    <t>Pressão dinâmica do vento nas estruturas em geral</t>
  </si>
  <si>
    <t xml:space="preserve">bw </t>
  </si>
  <si>
    <t>Largura da viga.</t>
  </si>
  <si>
    <t>h</t>
  </si>
  <si>
    <t>Altura da viga.</t>
  </si>
  <si>
    <t>Temperatura</t>
  </si>
  <si>
    <t>l,console</t>
  </si>
  <si>
    <t>Comprimento do console.</t>
  </si>
  <si>
    <t>Variações uniformes de temperatura em relação à média anual local</t>
  </si>
  <si>
    <t>Comprimento útil da viga.</t>
  </si>
  <si>
    <r>
      <rPr>
        <sz val="11"/>
        <color theme="1"/>
        <rFont val="Aptos Narrow"/>
        <family val="2"/>
        <charset val="1"/>
      </rPr>
      <t>y'</t>
    </r>
    <r>
      <rPr>
        <sz val="10"/>
        <color rgb="FF333333"/>
        <rFont val="Aptos Narrow"/>
        <family val="2"/>
        <charset val="1"/>
      </rPr>
      <t>.1</t>
    </r>
  </si>
  <si>
    <t>Centro de gravidade até a borda inferiror.</t>
  </si>
  <si>
    <r>
      <rPr>
        <sz val="11"/>
        <color theme="1"/>
        <rFont val="Aptos Narrow"/>
        <family val="2"/>
        <charset val="1"/>
      </rPr>
      <t>y'</t>
    </r>
    <r>
      <rPr>
        <sz val="10"/>
        <color rgb="FF333333"/>
        <rFont val="Aptos Narrow"/>
        <family val="2"/>
        <charset val="1"/>
      </rPr>
      <t>.2</t>
    </r>
  </si>
  <si>
    <t>Centro de gravidade até a borda superior.</t>
  </si>
  <si>
    <t>d</t>
  </si>
  <si>
    <t>Altura útil ESTIMADA.</t>
  </si>
  <si>
    <t>Tabela 17.2 – Valores máximos de diâmetro e espaçamento, com barras de alta aderência</t>
  </si>
  <si>
    <t>d'</t>
  </si>
  <si>
    <t>Distância do C.G. de Ast até a fibra mais tracionada.</t>
  </si>
  <si>
    <t>Tensão na barra
σsi ou Δσpi
MPa</t>
  </si>
  <si>
    <t>S/ armaduras ativas</t>
  </si>
  <si>
    <t>C/ armaduras ativas</t>
  </si>
  <si>
    <t>Consolo</t>
  </si>
  <si>
    <t>Chanfro</t>
  </si>
  <si>
    <t>Tipo do consolo.</t>
  </si>
  <si>
    <t>ϕmáx (mm)</t>
  </si>
  <si>
    <t>s máx (cm)</t>
  </si>
  <si>
    <t>Geometria da aba</t>
  </si>
  <si>
    <r>
      <rPr>
        <sz val="11"/>
        <color theme="1"/>
        <rFont val="Aptos Narrow"/>
        <family val="2"/>
        <charset val="1"/>
      </rPr>
      <t>L</t>
    </r>
    <r>
      <rPr>
        <sz val="10"/>
        <color rgb="FF333333"/>
        <rFont val="Aptos Narrow"/>
        <family val="2"/>
        <charset val="1"/>
      </rPr>
      <t>aba "T"</t>
    </r>
  </si>
  <si>
    <t>Comprimento da aba para casos de viga seção "T".</t>
  </si>
  <si>
    <r>
      <rPr>
        <sz val="11"/>
        <color theme="1"/>
        <rFont val="Aptos Narrow"/>
        <family val="2"/>
        <charset val="1"/>
      </rPr>
      <t>h-</t>
    </r>
    <r>
      <rPr>
        <sz val="10"/>
        <color rgb="FF333333"/>
        <rFont val="Aptos Narrow"/>
        <family val="2"/>
        <charset val="1"/>
      </rPr>
      <t>aba</t>
    </r>
  </si>
  <si>
    <t>altura menor da aba da viga seção "T".</t>
  </si>
  <si>
    <r>
      <rPr>
        <sz val="11"/>
        <color theme="1"/>
        <rFont val="Aptos Narrow"/>
        <family val="2"/>
        <charset val="1"/>
      </rPr>
      <t>h+</t>
    </r>
    <r>
      <rPr>
        <sz val="10"/>
        <color rgb="FF333333"/>
        <rFont val="Aptos Narrow"/>
        <family val="2"/>
        <charset val="1"/>
      </rPr>
      <t>aba</t>
    </r>
  </si>
  <si>
    <t>altura maior da aba da viga seção "T".</t>
  </si>
  <si>
    <r>
      <rPr>
        <sz val="11"/>
        <color theme="1"/>
        <rFont val="Aptos Narrow"/>
        <family val="2"/>
        <charset val="1"/>
      </rPr>
      <t>L</t>
    </r>
    <r>
      <rPr>
        <sz val="10"/>
        <color rgb="FF333333"/>
        <rFont val="Aptos Narrow"/>
        <family val="2"/>
        <charset val="1"/>
      </rPr>
      <t>aba R/A</t>
    </r>
  </si>
  <si>
    <t>Largura da aba para casos de vigas retangulares com aba.</t>
  </si>
  <si>
    <t>-</t>
  </si>
  <si>
    <t>Geometria da mesa colaborante</t>
  </si>
  <si>
    <r>
      <rPr>
        <sz val="11"/>
        <color theme="1"/>
        <rFont val="Aptos Narrow"/>
        <family val="2"/>
        <charset val="1"/>
      </rPr>
      <t>L</t>
    </r>
    <r>
      <rPr>
        <sz val="10"/>
        <color rgb="FF333333"/>
        <rFont val="Aptos Narrow"/>
        <family val="2"/>
        <charset val="1"/>
      </rPr>
      <t>laje</t>
    </r>
  </si>
  <si>
    <t>Comprimento da laje.</t>
  </si>
  <si>
    <r>
      <rPr>
        <sz val="11"/>
        <color theme="1"/>
        <rFont val="Aptos Narrow"/>
        <family val="2"/>
        <charset val="1"/>
      </rPr>
      <t>H</t>
    </r>
    <r>
      <rPr>
        <sz val="10"/>
        <color rgb="FF333333"/>
        <rFont val="Aptos Narrow"/>
        <family val="2"/>
        <charset val="1"/>
      </rPr>
      <t>laje</t>
    </r>
  </si>
  <si>
    <t>Altura da laje.</t>
  </si>
  <si>
    <r>
      <rPr>
        <sz val="11"/>
        <color theme="1"/>
        <rFont val="Aptos Narrow"/>
        <family val="2"/>
        <charset val="1"/>
      </rPr>
      <t>L</t>
    </r>
    <r>
      <rPr>
        <sz val="10"/>
        <color rgb="FF333333"/>
        <rFont val="Aptos Narrow"/>
        <family val="2"/>
        <charset val="1"/>
      </rPr>
      <t>mc</t>
    </r>
  </si>
  <si>
    <t>Comprimento da mesa colaborante.</t>
  </si>
  <si>
    <r>
      <rPr>
        <sz val="11"/>
        <color theme="1"/>
        <rFont val="Aptos Narrow"/>
        <family val="2"/>
        <charset val="1"/>
      </rPr>
      <t>bw</t>
    </r>
    <r>
      <rPr>
        <sz val="10"/>
        <color rgb="FF333333"/>
        <rFont val="Aptos Narrow"/>
        <family val="2"/>
        <charset val="1"/>
      </rPr>
      <t>apoio</t>
    </r>
  </si>
  <si>
    <t>Largura de apoio da mesa colaborante.</t>
  </si>
  <si>
    <r>
      <rPr>
        <sz val="11"/>
        <color theme="1"/>
        <rFont val="Aptos Narrow"/>
        <family val="2"/>
        <charset val="1"/>
      </rPr>
      <t>H</t>
    </r>
    <r>
      <rPr>
        <sz val="10"/>
        <color rgb="FF333333"/>
        <rFont val="Aptos Narrow"/>
        <family val="2"/>
        <charset val="1"/>
      </rPr>
      <t>capa</t>
    </r>
  </si>
  <si>
    <t>Altura da capa de concreto.</t>
  </si>
  <si>
    <r>
      <rPr>
        <sz val="11"/>
        <color theme="1"/>
        <rFont val="Aptos Narrow"/>
        <family val="2"/>
        <charset val="1"/>
      </rPr>
      <t>Hy</t>
    </r>
    <r>
      <rPr>
        <sz val="10"/>
        <color rgb="FF333333"/>
        <rFont val="Aptos Narrow"/>
        <family val="2"/>
        <charset val="1"/>
      </rPr>
      <t>capa</t>
    </r>
  </si>
  <si>
    <t>Altura da capa para consideração de carga devido a contraflecha.</t>
  </si>
  <si>
    <t>Dados</t>
  </si>
  <si>
    <t>Ac</t>
  </si>
  <si>
    <t>Área de concreto da seção transversal.</t>
  </si>
  <si>
    <t>Ic</t>
  </si>
  <si>
    <t>Momento de inércia.</t>
  </si>
  <si>
    <r>
      <rPr>
        <sz val="11"/>
        <color theme="1"/>
        <rFont val="Aptos Narrow"/>
        <family val="2"/>
        <charset val="1"/>
      </rPr>
      <t>hcg</t>
    </r>
    <r>
      <rPr>
        <sz val="10"/>
        <color rgb="FF333333"/>
        <rFont val="Aptos Narrow"/>
        <family val="2"/>
        <charset val="1"/>
      </rPr>
      <t>sup</t>
    </r>
  </si>
  <si>
    <t>Altura do centro de gravidade até o centro da armadura superior.</t>
  </si>
  <si>
    <r>
      <rPr>
        <sz val="11"/>
        <color theme="1"/>
        <rFont val="Aptos Narrow"/>
        <family val="2"/>
        <charset val="1"/>
      </rPr>
      <t>hcg</t>
    </r>
    <r>
      <rPr>
        <sz val="10"/>
        <color rgb="FF333333"/>
        <rFont val="Aptos Narrow"/>
        <family val="2"/>
        <charset val="1"/>
      </rPr>
      <t>inf</t>
    </r>
  </si>
  <si>
    <t>Altura do centro de gravidade até o centro da armadura inferior.</t>
  </si>
  <si>
    <r>
      <rPr>
        <sz val="11"/>
        <color theme="1"/>
        <rFont val="Aptos Narrow"/>
        <family val="2"/>
        <charset val="1"/>
      </rPr>
      <t>W</t>
    </r>
    <r>
      <rPr>
        <sz val="10"/>
        <color rgb="FF333333"/>
        <rFont val="Aptos Narrow"/>
        <family val="2"/>
        <charset val="1"/>
      </rPr>
      <t>sup</t>
    </r>
  </si>
  <si>
    <t>Módulo resistente da fibra superior.</t>
  </si>
  <si>
    <r>
      <rPr>
        <sz val="11"/>
        <color theme="1"/>
        <rFont val="Aptos Narrow"/>
        <family val="2"/>
        <charset val="1"/>
      </rPr>
      <t>W</t>
    </r>
    <r>
      <rPr>
        <sz val="10"/>
        <color rgb="FF333333"/>
        <rFont val="Aptos Narrow"/>
        <family val="2"/>
        <charset val="1"/>
      </rPr>
      <t>inf</t>
    </r>
  </si>
  <si>
    <t>Módulo resistente da fibra inferior.</t>
  </si>
  <si>
    <t>K1</t>
  </si>
  <si>
    <t>Distância nuclear inferior.</t>
  </si>
  <si>
    <t>K2</t>
  </si>
  <si>
    <t>Distância nuclear superior.</t>
  </si>
  <si>
    <t>Rendimento</t>
  </si>
  <si>
    <t>Rendimento da protensão.</t>
  </si>
  <si>
    <r>
      <rPr>
        <sz val="11"/>
        <color theme="1"/>
        <rFont val="Aptos Narrow"/>
        <family val="2"/>
        <charset val="1"/>
      </rPr>
      <t>σ</t>
    </r>
    <r>
      <rPr>
        <sz val="10"/>
        <color rgb="FF333333"/>
        <rFont val="Aptos Narrow"/>
        <family val="2"/>
        <charset val="1"/>
      </rPr>
      <t>f</t>
    </r>
  </si>
  <si>
    <t>Coeficiente devido a geometria da seção transversal.</t>
  </si>
  <si>
    <r>
      <rPr>
        <sz val="11"/>
        <color theme="1"/>
        <rFont val="Aptos Narrow"/>
        <family val="2"/>
        <charset val="1"/>
      </rPr>
      <t>Ep</t>
    </r>
    <r>
      <rPr>
        <sz val="10"/>
        <color rgb="FF333333"/>
        <rFont val="Aptos Narrow"/>
        <family val="2"/>
        <charset val="1"/>
      </rPr>
      <t>inf</t>
    </r>
  </si>
  <si>
    <t>Excêntricidade de protensão inferior.</t>
  </si>
  <si>
    <t>Geometria da viga i ou T</t>
  </si>
  <si>
    <t>bf</t>
  </si>
  <si>
    <t>Largura do topo da viga.</t>
  </si>
  <si>
    <t>tw</t>
  </si>
  <si>
    <t>Espessura da alma.</t>
  </si>
  <si>
    <t>bw</t>
  </si>
  <si>
    <t>Largura da base da viga.</t>
  </si>
  <si>
    <t>hf1</t>
  </si>
  <si>
    <t>Altura da mesa superior 1.</t>
  </si>
  <si>
    <t>hf2</t>
  </si>
  <si>
    <t>Altura da mesa superior 2.</t>
  </si>
  <si>
    <t>hf3</t>
  </si>
  <si>
    <t>Altura da mesa central 3.</t>
  </si>
  <si>
    <t>hf4</t>
  </si>
  <si>
    <t>Altura da mesa inferior 4.</t>
  </si>
  <si>
    <t>hf5</t>
  </si>
  <si>
    <t>Altura da mesa inferior 5.</t>
  </si>
  <si>
    <r>
      <rPr>
        <sz val="11"/>
        <color theme="1"/>
        <rFont val="Aptos Narrow"/>
        <family val="2"/>
        <charset val="1"/>
      </rPr>
      <t>L</t>
    </r>
    <r>
      <rPr>
        <sz val="10"/>
        <color rgb="FF333333"/>
        <rFont val="Aptos Narrow"/>
        <family val="2"/>
        <charset val="1"/>
      </rPr>
      <t>vão</t>
    </r>
  </si>
  <si>
    <t>Tamanho da viga.</t>
  </si>
  <si>
    <t>3. Coeficientes de cargas</t>
  </si>
  <si>
    <t xml:space="preserve">Tabela 11.2 </t>
  </si>
  <si>
    <t>Coeficientes majoradores</t>
  </si>
  <si>
    <t>Dados do projeto</t>
  </si>
  <si>
    <t>yf,PP</t>
  </si>
  <si>
    <t>σ</t>
  </si>
  <si>
    <t>y,aço</t>
  </si>
  <si>
    <t>c</t>
  </si>
  <si>
    <t>yf,2</t>
  </si>
  <si>
    <t>2 . Resistência dos materiais</t>
  </si>
  <si>
    <t>fyk =</t>
  </si>
  <si>
    <t>MPa</t>
  </si>
  <si>
    <t>Resistência caracterítica ao escoamento das barras de aço.</t>
  </si>
  <si>
    <t>fck  =</t>
  </si>
  <si>
    <t>Resistência característica à compressão do concreto.</t>
  </si>
  <si>
    <t>fck =</t>
  </si>
  <si>
    <t>Resistência característica à compressão do concreto da laje.</t>
  </si>
  <si>
    <t>Fckj =</t>
  </si>
  <si>
    <t>Resistência característica à compressão do concreto t=1.</t>
  </si>
  <si>
    <r>
      <rPr>
        <sz val="11"/>
        <color theme="1"/>
        <rFont val="Aptos Narrow"/>
        <family val="2"/>
        <charset val="1"/>
      </rPr>
      <t>L</t>
    </r>
    <r>
      <rPr>
        <sz val="10"/>
        <color rgb="FF333333"/>
        <rFont val="Aptos Narrow"/>
        <family val="2"/>
        <charset val="1"/>
      </rPr>
      <t>pista</t>
    </r>
    <r>
      <rPr>
        <sz val="11"/>
        <color theme="1"/>
        <rFont val="Aptos Narrow"/>
        <family val="2"/>
        <charset val="1"/>
      </rPr>
      <t xml:space="preserve"> =</t>
    </r>
  </si>
  <si>
    <t>Tamanho da pista de protensão.</t>
  </si>
  <si>
    <t>Cimento =</t>
  </si>
  <si>
    <t>CPV-ARI</t>
  </si>
  <si>
    <t>Cimento utilizado na concretagem da viga.</t>
  </si>
  <si>
    <t>Cimento da capa =</t>
  </si>
  <si>
    <t>CPI E CPII</t>
  </si>
  <si>
    <t>Cimento utilizado na concretagem da capa da laje.</t>
  </si>
  <si>
    <t>Cp =</t>
  </si>
  <si>
    <t>kgf/mm²</t>
  </si>
  <si>
    <t>Tipo de cordoalha</t>
  </si>
  <si>
    <t>fpyk =</t>
  </si>
  <si>
    <t>tensão onde a cordoalha começa a ceder</t>
  </si>
  <si>
    <t>3 . Redução da largura da mesa colaborante</t>
  </si>
  <si>
    <r>
      <rPr>
        <sz val="11"/>
        <color theme="1"/>
        <rFont val="Aptos Narrow"/>
        <family val="2"/>
        <charset val="1"/>
      </rPr>
      <t>r = E</t>
    </r>
    <r>
      <rPr>
        <sz val="10"/>
        <color rgb="FF333333"/>
        <rFont val="Aptos Narrow"/>
        <family val="2"/>
        <charset val="1"/>
      </rPr>
      <t>capa</t>
    </r>
    <r>
      <rPr>
        <sz val="11"/>
        <color theme="1"/>
        <rFont val="Aptos Narrow"/>
        <family val="2"/>
        <charset val="1"/>
      </rPr>
      <t xml:space="preserve"> / E</t>
    </r>
    <r>
      <rPr>
        <sz val="10"/>
        <color rgb="FF333333"/>
        <rFont val="Aptos Narrow"/>
        <family val="2"/>
        <charset val="1"/>
      </rPr>
      <t>viga</t>
    </r>
  </si>
  <si>
    <t>Por conta da diferença de concreto entre a viga e a solidarização, deve ser feito uma redução da largura da mesa colaborante</t>
  </si>
  <si>
    <t>Cargas adicionais</t>
  </si>
  <si>
    <t>Distribuidas</t>
  </si>
  <si>
    <t>Trecho</t>
  </si>
  <si>
    <r>
      <rPr>
        <i/>
        <sz val="12"/>
        <color rgb="FF333333"/>
        <rFont val="Aptos Narrow"/>
        <family val="2"/>
        <charset val="1"/>
      </rPr>
      <t>x</t>
    </r>
    <r>
      <rPr>
        <i/>
        <vertAlign val="subscript"/>
        <sz val="12"/>
        <color rgb="FF333333"/>
        <rFont val="Aptos Narrow"/>
        <family val="2"/>
        <charset val="1"/>
      </rPr>
      <t>iniail</t>
    </r>
  </si>
  <si>
    <r>
      <rPr>
        <i/>
        <sz val="12"/>
        <color rgb="FF333333"/>
        <rFont val="Aptos Narrow"/>
        <family val="2"/>
        <charset val="1"/>
      </rPr>
      <t>x</t>
    </r>
    <r>
      <rPr>
        <i/>
        <vertAlign val="subscript"/>
        <sz val="12"/>
        <color rgb="FF333333"/>
        <rFont val="Aptos Narrow"/>
        <family val="2"/>
        <charset val="1"/>
      </rPr>
      <t>final</t>
    </r>
  </si>
  <si>
    <r>
      <rPr>
        <i/>
        <sz val="12"/>
        <color rgb="FF333333"/>
        <rFont val="Aptos Narrow"/>
        <family val="2"/>
        <charset val="1"/>
      </rPr>
      <t>g</t>
    </r>
    <r>
      <rPr>
        <i/>
        <vertAlign val="subscript"/>
        <sz val="12"/>
        <color rgb="FF333333"/>
        <rFont val="Aptos Narrow"/>
        <family val="2"/>
        <charset val="1"/>
      </rPr>
      <t>0</t>
    </r>
  </si>
  <si>
    <r>
      <rPr>
        <i/>
        <sz val="12"/>
        <color rgb="FF333333"/>
        <rFont val="Aptos Narrow"/>
        <family val="2"/>
        <charset val="1"/>
      </rPr>
      <t>g</t>
    </r>
    <r>
      <rPr>
        <i/>
        <vertAlign val="subscript"/>
        <sz val="12"/>
        <color rgb="FF333333"/>
        <rFont val="Aptos Narrow"/>
        <family val="2"/>
        <charset val="1"/>
      </rPr>
      <t>1</t>
    </r>
  </si>
  <si>
    <r>
      <rPr>
        <i/>
        <sz val="12"/>
        <color rgb="FF333333"/>
        <rFont val="Aptos Narrow"/>
        <family val="2"/>
        <charset val="1"/>
      </rPr>
      <t>g</t>
    </r>
    <r>
      <rPr>
        <i/>
        <vertAlign val="subscript"/>
        <sz val="12"/>
        <color rgb="FF333333"/>
        <rFont val="Aptos Narrow"/>
        <family val="2"/>
        <charset val="1"/>
      </rPr>
      <t>2</t>
    </r>
  </si>
  <si>
    <r>
      <rPr>
        <i/>
        <sz val="12"/>
        <color rgb="FF333333"/>
        <rFont val="Aptos Narrow"/>
        <family val="2"/>
        <charset val="1"/>
      </rPr>
      <t>g</t>
    </r>
    <r>
      <rPr>
        <i/>
        <vertAlign val="subscript"/>
        <sz val="12"/>
        <color rgb="FF333333"/>
        <rFont val="Aptos Narrow"/>
        <family val="2"/>
        <charset val="1"/>
      </rPr>
      <t>3</t>
    </r>
  </si>
  <si>
    <r>
      <rPr>
        <i/>
        <sz val="12"/>
        <color rgb="FF333333"/>
        <rFont val="Aptos Narrow"/>
        <family val="2"/>
        <charset val="1"/>
      </rPr>
      <t>g</t>
    </r>
    <r>
      <rPr>
        <i/>
        <vertAlign val="subscript"/>
        <sz val="12"/>
        <color rgb="FF333333"/>
        <rFont val="Aptos Narrow"/>
        <family val="2"/>
        <charset val="1"/>
      </rPr>
      <t>4</t>
    </r>
  </si>
  <si>
    <t>q0</t>
  </si>
  <si>
    <t xml:space="preserve">G Total </t>
  </si>
  <si>
    <t>Q Total</t>
  </si>
  <si>
    <t>Pontuais</t>
  </si>
  <si>
    <t>4 . Esforços internos solicitantes</t>
  </si>
  <si>
    <t>Sc - topo viga</t>
  </si>
  <si>
    <t>sobrecargas</t>
  </si>
  <si>
    <t>Sobrecargas adicionais</t>
  </si>
  <si>
    <t>g0</t>
  </si>
  <si>
    <t>kN/m</t>
  </si>
  <si>
    <t>(Peso próprio)</t>
  </si>
  <si>
    <t>g1</t>
  </si>
  <si>
    <t>(Laje) - (PP VPI)</t>
  </si>
  <si>
    <t>g2</t>
  </si>
  <si>
    <t>(Capa de concreto) - (Terça)</t>
  </si>
  <si>
    <t>g3</t>
  </si>
  <si>
    <t>(Revestimento) - (Telha)</t>
  </si>
  <si>
    <t>g4</t>
  </si>
  <si>
    <t>(Alvenaria) - (Placa ft)</t>
  </si>
  <si>
    <t>(Sobrecarga acidental</t>
  </si>
  <si>
    <t>Solicitações</t>
  </si>
  <si>
    <t>M,g0</t>
  </si>
  <si>
    <t>kN*m</t>
  </si>
  <si>
    <t>kN*cm</t>
  </si>
  <si>
    <t>M,g1</t>
  </si>
  <si>
    <t>M,g2</t>
  </si>
  <si>
    <t>Verificar sucção</t>
  </si>
  <si>
    <t>M,g3</t>
  </si>
  <si>
    <t>M,g4</t>
  </si>
  <si>
    <t>M,q0</t>
  </si>
  <si>
    <t>Total</t>
  </si>
  <si>
    <t>yc</t>
  </si>
  <si>
    <t>yf,g0,g1</t>
  </si>
  <si>
    <t>yf,g+q</t>
  </si>
  <si>
    <t>Ψ2,cqp</t>
  </si>
  <si>
    <t>Ψ1,cf</t>
  </si>
  <si>
    <t>5 . Protensão limitada</t>
  </si>
  <si>
    <t>ELS-F = Combinação frequente Ψ1 e com limite da resistência a tração de 0,7fctm</t>
  </si>
  <si>
    <r>
      <rPr>
        <sz val="11"/>
        <color theme="1"/>
        <rFont val="Aptos Narrow"/>
        <family val="2"/>
        <charset val="1"/>
      </rPr>
      <t>fctk</t>
    </r>
    <r>
      <rPr>
        <sz val="10"/>
        <color rgb="FF333333"/>
        <rFont val="Aptos Narrow"/>
        <family val="2"/>
        <charset val="1"/>
      </rPr>
      <t>inf</t>
    </r>
    <r>
      <rPr>
        <sz val="11"/>
        <color theme="1"/>
        <rFont val="Aptos Narrow"/>
        <family val="2"/>
        <charset val="1"/>
      </rPr>
      <t xml:space="preserve"> =</t>
    </r>
  </si>
  <si>
    <t>Mpa</t>
  </si>
  <si>
    <t>kN/m²</t>
  </si>
  <si>
    <t>ELS-D = Combinação quase permanente Ψ2 e com limite de tensão &lt; 0</t>
  </si>
  <si>
    <t xml:space="preserve">6 . Tensão inicial </t>
  </si>
  <si>
    <r>
      <rPr>
        <sz val="11"/>
        <color theme="1"/>
        <rFont val="Aptos Narrow"/>
        <family val="2"/>
        <charset val="1"/>
      </rPr>
      <t>σ</t>
    </r>
    <r>
      <rPr>
        <sz val="10"/>
        <color rgb="FF333333"/>
        <rFont val="Aptos Narrow"/>
        <family val="2"/>
        <charset val="1"/>
      </rPr>
      <t>pi</t>
    </r>
    <r>
      <rPr>
        <sz val="11"/>
        <color theme="1"/>
        <rFont val="Aptos Narrow"/>
        <family val="2"/>
        <charset val="1"/>
      </rPr>
      <t xml:space="preserve"> =</t>
    </r>
  </si>
  <si>
    <t>Estribo</t>
  </si>
  <si>
    <t>Retangular</t>
  </si>
  <si>
    <t>seção "i"</t>
  </si>
  <si>
    <t>kN/cm²</t>
  </si>
  <si>
    <t>7 . Estimativa do número de cabos no tempo infinito</t>
  </si>
  <si>
    <t>%,perda</t>
  </si>
  <si>
    <t>Perda de protensão adotada no tempo infinito</t>
  </si>
  <si>
    <t>Área de aço cordoalhas</t>
  </si>
  <si>
    <r>
      <rPr>
        <sz val="11"/>
        <color theme="1"/>
        <rFont val="Aptos Narrow"/>
        <family val="2"/>
        <charset val="1"/>
      </rPr>
      <t>σ</t>
    </r>
    <r>
      <rPr>
        <sz val="10"/>
        <color rgb="FF333333"/>
        <rFont val="Aptos Narrow"/>
        <family val="2"/>
        <charset val="1"/>
      </rPr>
      <t>pinf=</t>
    </r>
  </si>
  <si>
    <t>cm²</t>
  </si>
  <si>
    <t>ELS-F</t>
  </si>
  <si>
    <t>Ap &gt;</t>
  </si>
  <si>
    <t>Espaçamento das cordoalhas</t>
  </si>
  <si>
    <t>ELS-D</t>
  </si>
  <si>
    <t>Cordoalha inferior</t>
  </si>
  <si>
    <t>Cordoalhas</t>
  </si>
  <si>
    <t>Quarta Camada</t>
  </si>
  <si>
    <t>Necessário</t>
  </si>
  <si>
    <t>Escolhido</t>
  </si>
  <si>
    <t>Terceira Camada</t>
  </si>
  <si>
    <t>Ap</t>
  </si>
  <si>
    <r>
      <rPr>
        <sz val="11"/>
        <color theme="1"/>
        <rFont val="Aptos Narrow"/>
        <family val="2"/>
        <charset val="1"/>
      </rPr>
      <t>Ap</t>
    </r>
    <r>
      <rPr>
        <sz val="10"/>
        <color rgb="FF333333"/>
        <rFont val="Aptos Narrow"/>
        <family val="2"/>
        <charset val="1"/>
      </rPr>
      <t>ELU</t>
    </r>
  </si>
  <si>
    <t>Segunda Camada</t>
  </si>
  <si>
    <t>Primeira camada</t>
  </si>
  <si>
    <t>% de perda</t>
  </si>
  <si>
    <r>
      <rPr>
        <sz val="11"/>
        <color theme="1"/>
        <rFont val="Aptos Narrow"/>
        <family val="2"/>
        <charset val="1"/>
      </rPr>
      <t>σ</t>
    </r>
    <r>
      <rPr>
        <sz val="10"/>
        <color rgb="FF333333"/>
        <rFont val="Aptos Narrow"/>
        <family val="2"/>
        <charset val="1"/>
      </rPr>
      <t>pi,ATO</t>
    </r>
  </si>
  <si>
    <t>Limite de 1,2fctm</t>
  </si>
  <si>
    <t>Comprimento de alongamento</t>
  </si>
  <si>
    <t>A'sup &gt;</t>
  </si>
  <si>
    <t>Cordoalha superior</t>
  </si>
  <si>
    <t>A'p</t>
  </si>
  <si>
    <t>As,passiva necessária</t>
  </si>
  <si>
    <t>Ap,total</t>
  </si>
  <si>
    <t>8 . Cabo representante</t>
  </si>
  <si>
    <t>y,cg,repr - superior</t>
  </si>
  <si>
    <t>Altura do cabo representante superior.</t>
  </si>
  <si>
    <t>y,cg,repr - inferior</t>
  </si>
  <si>
    <t>Altura do cabo representante inferior.</t>
  </si>
  <si>
    <t>9 . Perdas de protensão</t>
  </si>
  <si>
    <t>Tamanho da pista</t>
  </si>
  <si>
    <t>Acomodação da cunha</t>
  </si>
  <si>
    <r>
      <rPr>
        <sz val="11"/>
        <color theme="1"/>
        <rFont val="Aptos Narrow"/>
        <family val="2"/>
        <charset val="1"/>
      </rPr>
      <t>Δσ</t>
    </r>
    <r>
      <rPr>
        <sz val="10"/>
        <color rgb="FF333333"/>
        <rFont val="Aptos Narrow"/>
        <family val="2"/>
        <charset val="1"/>
      </rPr>
      <t>ancoragem</t>
    </r>
  </si>
  <si>
    <t>Relaxação da armadura</t>
  </si>
  <si>
    <t>Perdas diferidas</t>
  </si>
  <si>
    <t>σ,pi</t>
  </si>
  <si>
    <t>Seção 1 (viga)</t>
  </si>
  <si>
    <t>R</t>
  </si>
  <si>
    <t>Perímetro</t>
  </si>
  <si>
    <t>Ѱ</t>
  </si>
  <si>
    <t>Δσ,pr</t>
  </si>
  <si>
    <t>Seção 2 (laje)</t>
  </si>
  <si>
    <t>Perda por deformação imediata do concreto</t>
  </si>
  <si>
    <t>A,p</t>
  </si>
  <si>
    <t>Np</t>
  </si>
  <si>
    <t>kN</t>
  </si>
  <si>
    <t>e,p</t>
  </si>
  <si>
    <t xml:space="preserve">cm </t>
  </si>
  <si>
    <t>Mp</t>
  </si>
  <si>
    <t>A',p</t>
  </si>
  <si>
    <t>e',p</t>
  </si>
  <si>
    <t>A</t>
  </si>
  <si>
    <t>B</t>
  </si>
  <si>
    <t>C</t>
  </si>
  <si>
    <t>D</t>
  </si>
  <si>
    <t>σ,p</t>
  </si>
  <si>
    <t>Δσ,p,c,inf</t>
  </si>
  <si>
    <t>σc,po+g,inf</t>
  </si>
  <si>
    <t>σc,po+g,sup</t>
  </si>
  <si>
    <t>A'</t>
  </si>
  <si>
    <t>Eci</t>
  </si>
  <si>
    <t>σp</t>
  </si>
  <si>
    <t>Δσcg,inf</t>
  </si>
  <si>
    <t>Δσ,p,c,sup</t>
  </si>
  <si>
    <t>Δσcg,sup</t>
  </si>
  <si>
    <t>σpinf,t=1</t>
  </si>
  <si>
    <t>Tensão de protensão inferior no tempo t=1.</t>
  </si>
  <si>
    <t>perda,inf,t=1</t>
  </si>
  <si>
    <t>Perdas pencentuais de protensão inferior tempo t=1.</t>
  </si>
  <si>
    <t>σpsup,t=1</t>
  </si>
  <si>
    <t>Tensão de protensão superior no tempo t=1.</t>
  </si>
  <si>
    <t>perda,sup,t=1</t>
  </si>
  <si>
    <t>Perdas pencentuais de protensão superior tempo t=1.</t>
  </si>
  <si>
    <t>10 . Coeficientes de fluência</t>
  </si>
  <si>
    <t>Ação</t>
  </si>
  <si>
    <t>t₀ seção 01</t>
  </si>
  <si>
    <t>Coeficiente φ seção 01</t>
  </si>
  <si>
    <t>t₀ seção 02</t>
  </si>
  <si>
    <t>Coeficiente φ seção 02</t>
  </si>
  <si>
    <t>Coeficiente φ final</t>
  </si>
  <si>
    <t>Protensão</t>
  </si>
  <si>
    <t>--</t>
  </si>
  <si>
    <t>Pp VIGA</t>
  </si>
  <si>
    <t>PP Laje</t>
  </si>
  <si>
    <t>Valores ponderados - não dado sequencia *Desconsiderar*</t>
  </si>
  <si>
    <t>Capa</t>
  </si>
  <si>
    <t>Seção composta</t>
  </si>
  <si>
    <t>Revestimento</t>
  </si>
  <si>
    <t>Tabela – Valores de εcs(t∞,t0) e do coeficiente de fluência φ(t∞,t0)</t>
  </si>
  <si>
    <t>Seção pré-fabricada</t>
  </si>
  <si>
    <t>Carga acidental</t>
  </si>
  <si>
    <t>Umidade média ambiente (%)</t>
  </si>
  <si>
    <t>Perda protensão</t>
  </si>
  <si>
    <t>Espessura fictícia 2Ac/lu (cm)</t>
  </si>
  <si>
    <t>φ(t∞,t0) – Concreto C20 a C45</t>
  </si>
  <si>
    <t>t,0dias</t>
  </si>
  <si>
    <t>Perda por retração do concreto</t>
  </si>
  <si>
    <t>Simultaneidade das perdas</t>
  </si>
  <si>
    <t>φ(t∞,t0) – Concreto C50 a C90</t>
  </si>
  <si>
    <t>Δσ,p,s</t>
  </si>
  <si>
    <t>Xp,inf</t>
  </si>
  <si>
    <t>Xp,sup</t>
  </si>
  <si>
    <t>εcs(t∞,t0) ‰</t>
  </si>
  <si>
    <t>X,c</t>
  </si>
  <si>
    <t>Porcentagem da força de tração da cordoalha</t>
  </si>
  <si>
    <t>N,inf</t>
  </si>
  <si>
    <t>R,inf</t>
  </si>
  <si>
    <t>N,sup</t>
  </si>
  <si>
    <t>R,sup</t>
  </si>
  <si>
    <t>P,p</t>
  </si>
  <si>
    <t>Ѱ(inf,1)</t>
  </si>
  <si>
    <t>Δσ,p(inf,1)inf</t>
  </si>
  <si>
    <t>Ѱ(sup,1)</t>
  </si>
  <si>
    <t>Δσ,p(inf,1)sup</t>
  </si>
  <si>
    <t>Valores de Ѱ,1000 em porcentagem</t>
  </si>
  <si>
    <t>X(inf,1)inf</t>
  </si>
  <si>
    <t>Barras</t>
  </si>
  <si>
    <t>X(inf,1)sup</t>
  </si>
  <si>
    <t>fptk (%)</t>
  </si>
  <si>
    <t>Rb</t>
  </si>
  <si>
    <t>Δσ,pr,inf</t>
  </si>
  <si>
    <t>Δσ,pr,sup</t>
  </si>
  <si>
    <t>Tensão final dos cabos</t>
  </si>
  <si>
    <t>Perda (%)</t>
  </si>
  <si>
    <t>σ,pinf</t>
  </si>
  <si>
    <t>σ,psup</t>
  </si>
  <si>
    <t>11 . Verificação de fissuras - ELS-F</t>
  </si>
  <si>
    <t>Np,tot =</t>
  </si>
  <si>
    <t>Normal de protensão total.</t>
  </si>
  <si>
    <t>Mp,tot =</t>
  </si>
  <si>
    <t>Momento de protensão total.</t>
  </si>
  <si>
    <t>Np,isol =</t>
  </si>
  <si>
    <t>Normal de protensão considerando isolamento de cordoalhas.</t>
  </si>
  <si>
    <t>Mp,isol =</t>
  </si>
  <si>
    <t>Momento de protensão considerando isolamento de cordoalhas.</t>
  </si>
  <si>
    <t>ELS-F - limites</t>
  </si>
  <si>
    <t>Compressão</t>
  </si>
  <si>
    <t>Tração</t>
  </si>
  <si>
    <t>&lt;</t>
  </si>
  <si>
    <t>12 . Borda inferior</t>
  </si>
  <si>
    <t>Momento máximo</t>
  </si>
  <si>
    <t>Momento mínimo</t>
  </si>
  <si>
    <t>σ1</t>
  </si>
  <si>
    <t>N,p/a</t>
  </si>
  <si>
    <t>Mp/Wi</t>
  </si>
  <si>
    <t>(Mg0+Mg1+Mg2)/Wi</t>
  </si>
  <si>
    <t>(Mg3+Mg4)/Wi,comp</t>
  </si>
  <si>
    <t>Ψ1q/Wi,comp</t>
  </si>
  <si>
    <t>13 . Borda superior</t>
  </si>
  <si>
    <t>ys</t>
  </si>
  <si>
    <t>W,2</t>
  </si>
  <si>
    <t>m³</t>
  </si>
  <si>
    <t>Mp/Ws</t>
  </si>
  <si>
    <t>(Mg0+Mg1+Mg2)/Ws</t>
  </si>
  <si>
    <t>(Mg3+Mg4)/Ws,comp</t>
  </si>
  <si>
    <t>Ψ1q/Ws,comp</t>
  </si>
  <si>
    <t>Momento fletor 1 - ELS-F = Mg0, Mg1, Mg2</t>
  </si>
  <si>
    <t>S1</t>
  </si>
  <si>
    <t>S2</t>
  </si>
  <si>
    <t>S3</t>
  </si>
  <si>
    <t>S4</t>
  </si>
  <si>
    <t>S5</t>
  </si>
  <si>
    <t>S6</t>
  </si>
  <si>
    <t>S7</t>
  </si>
  <si>
    <t>S8</t>
  </si>
  <si>
    <t>S9</t>
  </si>
  <si>
    <t>S10</t>
  </si>
  <si>
    <t>S11</t>
  </si>
  <si>
    <t>S12</t>
  </si>
  <si>
    <t>S13</t>
  </si>
  <si>
    <t>S14</t>
  </si>
  <si>
    <t>S15</t>
  </si>
  <si>
    <t>S16</t>
  </si>
  <si>
    <t>S17</t>
  </si>
  <si>
    <t>S18</t>
  </si>
  <si>
    <t>S19</t>
  </si>
  <si>
    <t>S20</t>
  </si>
  <si>
    <t>S21</t>
  </si>
  <si>
    <t>Momento fletor 2 - ELS-F = Mg3, Mg4</t>
  </si>
  <si>
    <t>Momento fletor 3 - ELS-F = Mq</t>
  </si>
  <si>
    <t>Momento máximo borda superior</t>
  </si>
  <si>
    <t>Limite</t>
  </si>
  <si>
    <t>σi,1</t>
  </si>
  <si>
    <t>σi,2</t>
  </si>
  <si>
    <t>σi,3</t>
  </si>
  <si>
    <t>σi,4</t>
  </si>
  <si>
    <t>σi,5</t>
  </si>
  <si>
    <t>σi,6</t>
  </si>
  <si>
    <t>σi,7</t>
  </si>
  <si>
    <t>σi,8</t>
  </si>
  <si>
    <t>σi,9</t>
  </si>
  <si>
    <t>σi,10</t>
  </si>
  <si>
    <t>σi,11</t>
  </si>
  <si>
    <t>σi,12</t>
  </si>
  <si>
    <t>σi,13</t>
  </si>
  <si>
    <t>σi,14</t>
  </si>
  <si>
    <t>σi,15</t>
  </si>
  <si>
    <t>σi,16</t>
  </si>
  <si>
    <t>σi,17</t>
  </si>
  <si>
    <t>σi,18</t>
  </si>
  <si>
    <t>σi,19</t>
  </si>
  <si>
    <t>σi,20</t>
  </si>
  <si>
    <t>σi,21</t>
  </si>
  <si>
    <t>Momento máximo borda inferior</t>
  </si>
  <si>
    <t>Momento mínimo borda superior</t>
  </si>
  <si>
    <t>Momento mínimo borda inferior</t>
  </si>
  <si>
    <t>Armadura passiva para controle de fissuração na borda superior</t>
  </si>
  <si>
    <t>Em caso de tração excesssiva, verificase a armadura passiva na região tracionada</t>
  </si>
  <si>
    <t>a,sup</t>
  </si>
  <si>
    <t>s,inf</t>
  </si>
  <si>
    <t>b</t>
  </si>
  <si>
    <t>Ft</t>
  </si>
  <si>
    <t>Ø</t>
  </si>
  <si>
    <t>mm</t>
  </si>
  <si>
    <t>14 . Verificação da descompressão = ELS-D</t>
  </si>
  <si>
    <t>Limites</t>
  </si>
  <si>
    <t>Borda inferior</t>
  </si>
  <si>
    <t>Borda superior</t>
  </si>
  <si>
    <t>Ψ2q/Wi,comp</t>
  </si>
  <si>
    <t>Momento fletor 1 - ELS-D = Mg0, Mg1, Mg2</t>
  </si>
  <si>
    <t>Momento fletor 2 - ELS-D = Mg3, Mg4</t>
  </si>
  <si>
    <t>Momento fletor 3 - ELS-D = Mq</t>
  </si>
  <si>
    <t>Np  =</t>
  </si>
  <si>
    <t>Mp =</t>
  </si>
  <si>
    <t>Np,inf  =</t>
  </si>
  <si>
    <t>15 . Momento máximo</t>
  </si>
  <si>
    <t>16 . Momento máximo</t>
  </si>
  <si>
    <t>17 . Verificação no ato da protensão  - ELS-ATO</t>
  </si>
  <si>
    <t>Momento fletor - ATO</t>
  </si>
  <si>
    <t>Np,isol</t>
  </si>
  <si>
    <t>Mp,isol</t>
  </si>
  <si>
    <t>Borda Superior</t>
  </si>
  <si>
    <t>Borda Inferior</t>
  </si>
  <si>
    <t>VERIFICAÇÃO DE  IÇAMENTO DA PEÇA</t>
  </si>
  <si>
    <t>Comprimento de içamento</t>
  </si>
  <si>
    <t>Saque</t>
  </si>
  <si>
    <t>18 . Determinação KMD</t>
  </si>
  <si>
    <t>Supondo que a linha neutra passe pela mesa</t>
  </si>
  <si>
    <t>Em casos de seção retangular</t>
  </si>
  <si>
    <t>Em casos de seção "i"</t>
  </si>
  <si>
    <t>Md</t>
  </si>
  <si>
    <t>Kmd</t>
  </si>
  <si>
    <t>Kmd,"i"</t>
  </si>
  <si>
    <t>kx</t>
  </si>
  <si>
    <t>kz</t>
  </si>
  <si>
    <t>ε,s</t>
  </si>
  <si>
    <t>x - Macro</t>
  </si>
  <si>
    <t>fpd</t>
  </si>
  <si>
    <t>M,resist</t>
  </si>
  <si>
    <t>Propriedades para linha neutra</t>
  </si>
  <si>
    <t>md</t>
  </si>
  <si>
    <t>ac</t>
  </si>
  <si>
    <t>y</t>
  </si>
  <si>
    <t>nc</t>
  </si>
  <si>
    <t>fcd</t>
  </si>
  <si>
    <t>dp</t>
  </si>
  <si>
    <t>18 . Momento resistente</t>
  </si>
  <si>
    <t>Seção "T"</t>
  </si>
  <si>
    <t>M,resist =</t>
  </si>
  <si>
    <t>Seção retangular</t>
  </si>
  <si>
    <t>Momento resistente seção retangular.</t>
  </si>
  <si>
    <t>Seção "i"</t>
  </si>
  <si>
    <t>M,resist,ret =</t>
  </si>
  <si>
    <t>Momento resistente seção 1 - Retangular.</t>
  </si>
  <si>
    <t>rcd,aba,sup =</t>
  </si>
  <si>
    <t xml:space="preserve">kN </t>
  </si>
  <si>
    <t>Resultante de concreto da aba superior.</t>
  </si>
  <si>
    <t>Mrd,aba,sup =</t>
  </si>
  <si>
    <t>Momento resistente da aba superior.</t>
  </si>
  <si>
    <t>rcd,aba,inf =</t>
  </si>
  <si>
    <t>Mrd,aba,inf =</t>
  </si>
  <si>
    <t>Mresist =</t>
  </si>
  <si>
    <t>Momento resistente total.</t>
  </si>
  <si>
    <t>x23 =</t>
  </si>
  <si>
    <t>x24 =</t>
  </si>
  <si>
    <t>bx =</t>
  </si>
  <si>
    <t>(x/d)lim =</t>
  </si>
  <si>
    <t>x/d limite para seção sem armadura de compressão.</t>
  </si>
  <si>
    <r>
      <rPr>
        <sz val="12"/>
        <color rgb="FF333333"/>
        <rFont val="Aptos Narrow"/>
        <family val="2"/>
        <charset val="1"/>
      </rPr>
      <t>x</t>
    </r>
    <r>
      <rPr>
        <sz val="10"/>
        <color rgb="FF333333"/>
        <rFont val="Aptos Narrow"/>
        <family val="2"/>
        <charset val="1"/>
      </rPr>
      <t>lim</t>
    </r>
    <r>
      <rPr>
        <sz val="11"/>
        <color theme="1"/>
        <rFont val="Aptos Narrow"/>
        <family val="2"/>
        <charset val="1"/>
      </rPr>
      <t xml:space="preserve"> =</t>
    </r>
  </si>
  <si>
    <t>----------------------------------------</t>
  </si>
  <si>
    <t>Domínio =</t>
  </si>
  <si>
    <t>x =</t>
  </si>
  <si>
    <t>Com a posição da linha neutra é possível identificar o domínio de deformação que está situada a viga em estudo. Para que a viga se econtre no domínio 1 a posição da linha neutra deve estar entra zero e um determinado valor obtido através das deformações do concreto e do aço</t>
  </si>
  <si>
    <t>X2</t>
  </si>
  <si>
    <t>cm - Seção "T"</t>
  </si>
  <si>
    <t>cm - Retangular</t>
  </si>
  <si>
    <t>19 . Altura da linha neutra e momento resistente Seção "T"</t>
  </si>
  <si>
    <t>Caso a viga seja considerada como seção "T" verdadeira, considera-se o momento resistente pelas abas e pela seção retangular</t>
  </si>
  <si>
    <t>M1d</t>
  </si>
  <si>
    <t>M2d</t>
  </si>
  <si>
    <t>x23</t>
  </si>
  <si>
    <t>Consideração seção "T" Verdadeira</t>
  </si>
  <si>
    <t>x24</t>
  </si>
  <si>
    <t>bx</t>
  </si>
  <si>
    <t>20 . Armadura passiva - ELU</t>
  </si>
  <si>
    <t>Esse método de determinação ELU, cálcula o domínio da seção sem impôr que a peça esteja obrigatóriamento no domínio 3 - Menos conservador</t>
  </si>
  <si>
    <t>Valores de σp (kN/cm²)</t>
  </si>
  <si>
    <t>Tabela 17.3 – Taxas mínimas de armadura de flexão para vigas</t>
  </si>
  <si>
    <t>εp (%)</t>
  </si>
  <si>
    <t>σp (kN/cm²)</t>
  </si>
  <si>
    <t>α =</t>
  </si>
  <si>
    <t>Transforma o aço ativo em passivo.</t>
  </si>
  <si>
    <t>Barra CP 105</t>
  </si>
  <si>
    <t>Fio CP 150 RN</t>
  </si>
  <si>
    <t>Cordalha CP 175 RB</t>
  </si>
  <si>
    <t>Cordalha CP 190 RB</t>
  </si>
  <si>
    <t>Pd =</t>
  </si>
  <si>
    <t xml:space="preserve">α cPd = </t>
  </si>
  <si>
    <t>Tensão no concreto ao nível da armadura de protensão</t>
  </si>
  <si>
    <t xml:space="preserve">Pnd = </t>
  </si>
  <si>
    <t>Força de cálculo de neutralização</t>
  </si>
  <si>
    <t xml:space="preserve">εpn = </t>
  </si>
  <si>
    <t>%..</t>
  </si>
  <si>
    <t>Pré-Alongamento</t>
  </si>
  <si>
    <t xml:space="preserve">X,23 = </t>
  </si>
  <si>
    <t xml:space="preserve">X,34 = </t>
  </si>
  <si>
    <t xml:space="preserve">X = </t>
  </si>
  <si>
    <t>Linha neutra</t>
  </si>
  <si>
    <t xml:space="preserve">εp = </t>
  </si>
  <si>
    <t>d,passivo =</t>
  </si>
  <si>
    <t xml:space="preserve">εt = </t>
  </si>
  <si>
    <t xml:space="preserve">εs = </t>
  </si>
  <si>
    <t>εyd=</t>
  </si>
  <si>
    <t>εp,clamp (%)</t>
  </si>
  <si>
    <t>idx inf / idx sup (tabela)</t>
  </si>
  <si>
    <t>σp =</t>
  </si>
  <si>
    <t xml:space="preserve">Rpt = </t>
  </si>
  <si>
    <t>Força de protensão - ELU</t>
  </si>
  <si>
    <t xml:space="preserve">Rcd = </t>
  </si>
  <si>
    <t>Resultante de concreto comprimido</t>
  </si>
  <si>
    <t>21 . Armadura passiva - ELU</t>
  </si>
  <si>
    <t>As, viga "I"</t>
  </si>
  <si>
    <t>As,nec</t>
  </si>
  <si>
    <t>As,min</t>
  </si>
  <si>
    <t>21 . Armadura ativa - ELU</t>
  </si>
  <si>
    <t>Seção "T" / Retangular</t>
  </si>
  <si>
    <t>ε,p =</t>
  </si>
  <si>
    <t>As,ef</t>
  </si>
  <si>
    <t>Ap =</t>
  </si>
  <si>
    <t>Armadura ativa mínima.</t>
  </si>
  <si>
    <t>Ap,utilizado =</t>
  </si>
  <si>
    <t>Armadura utilizada.</t>
  </si>
  <si>
    <t>Armadura ativa mínima</t>
  </si>
  <si>
    <t>Ap,utilizaddo =</t>
  </si>
  <si>
    <t>22 . Características do concreto</t>
  </si>
  <si>
    <t>Viga t,inf</t>
  </si>
  <si>
    <t xml:space="preserve">fck = </t>
  </si>
  <si>
    <t xml:space="preserve">αE = </t>
  </si>
  <si>
    <t>KMD</t>
  </si>
  <si>
    <t>Kx</t>
  </si>
  <si>
    <t>Kz</t>
  </si>
  <si>
    <t>εc</t>
  </si>
  <si>
    <t>εs</t>
  </si>
  <si>
    <t>Ks (CA25)</t>
  </si>
  <si>
    <t>Ks (CA50)</t>
  </si>
  <si>
    <t>Ks (CA60)</t>
  </si>
  <si>
    <t xml:space="preserve">αi = </t>
  </si>
  <si>
    <t xml:space="preserve">Eci = </t>
  </si>
  <si>
    <t>GPa</t>
  </si>
  <si>
    <t>Modulo de elasticidade inicial do concreto.</t>
  </si>
  <si>
    <t xml:space="preserve">Ecs = </t>
  </si>
  <si>
    <t>Gpa</t>
  </si>
  <si>
    <t>Modulo de elasticidade secante do concreto.</t>
  </si>
  <si>
    <t xml:space="preserve">fct,m = </t>
  </si>
  <si>
    <t>Resistencia media a tração.</t>
  </si>
  <si>
    <t>Viga t,1</t>
  </si>
  <si>
    <t xml:space="preserve">fck,j = </t>
  </si>
  <si>
    <t>Laje t,inf</t>
  </si>
  <si>
    <t>23 . Alongamento da cordoalha</t>
  </si>
  <si>
    <t>Alongamento cabo superior</t>
  </si>
  <si>
    <t>Redução da protensão em casos favoráveis ou não.</t>
  </si>
  <si>
    <t>σp (MPa)</t>
  </si>
  <si>
    <t>Força de protensão.</t>
  </si>
  <si>
    <t>€p (%)</t>
  </si>
  <si>
    <t>%</t>
  </si>
  <si>
    <t>Pré-Alongamento do aço</t>
  </si>
  <si>
    <t>Alongamento cabo inferior</t>
  </si>
  <si>
    <t>23 . Momento de fissuração</t>
  </si>
  <si>
    <t xml:space="preserve"> </t>
  </si>
  <si>
    <t>Verificação no tempo = 1</t>
  </si>
  <si>
    <t>Mr</t>
  </si>
  <si>
    <t>Momento resistente.</t>
  </si>
  <si>
    <t>fctm</t>
  </si>
  <si>
    <t>Força do concreto a tração média.</t>
  </si>
  <si>
    <t>Normal de protensão.</t>
  </si>
  <si>
    <t>Momento de protensão.</t>
  </si>
  <si>
    <t>Mg1</t>
  </si>
  <si>
    <t>Momento atuante.</t>
  </si>
  <si>
    <t>Verificação no tempo infinito</t>
  </si>
  <si>
    <t>Ma</t>
  </si>
  <si>
    <t>…</t>
  </si>
  <si>
    <t>24 . Flechas devidas aos carregamentos</t>
  </si>
  <si>
    <t>Pp - g0</t>
  </si>
  <si>
    <t>g0 + g1</t>
  </si>
  <si>
    <t>s</t>
  </si>
  <si>
    <r>
      <rPr>
        <sz val="11"/>
        <color theme="1"/>
        <rFont val="Aptos Narrow"/>
        <family val="2"/>
        <charset val="1"/>
      </rPr>
      <t>β</t>
    </r>
    <r>
      <rPr>
        <sz val="14"/>
        <color rgb="FF333333"/>
        <rFont val="Aptos Narrow"/>
        <family val="2"/>
        <charset val="1"/>
      </rPr>
      <t>1</t>
    </r>
  </si>
  <si>
    <t>Considera-se agora a montagem da laje após</t>
  </si>
  <si>
    <t>dias</t>
  </si>
  <si>
    <r>
      <rPr>
        <sz val="11"/>
        <color theme="1"/>
        <rFont val="Aptos Narrow"/>
        <family val="2"/>
        <charset val="1"/>
      </rPr>
      <t>Δ</t>
    </r>
    <r>
      <rPr>
        <sz val="14.3"/>
        <color rgb="FF333333"/>
        <rFont val="Aptos Narrow"/>
        <family val="2"/>
        <charset val="1"/>
      </rPr>
      <t>g0</t>
    </r>
  </si>
  <si>
    <r>
      <rPr>
        <sz val="11"/>
        <color theme="1"/>
        <rFont val="Aptos Narrow"/>
        <family val="2"/>
        <charset val="1"/>
      </rPr>
      <t>Δ</t>
    </r>
    <r>
      <rPr>
        <sz val="14.3"/>
        <color rgb="FF333333"/>
        <rFont val="Aptos Narrow"/>
        <family val="2"/>
        <charset val="1"/>
      </rPr>
      <t>g1</t>
    </r>
  </si>
  <si>
    <t>g0 + g1+g2</t>
  </si>
  <si>
    <t>g0 + g1+g2+G3</t>
  </si>
  <si>
    <t>Ecs</t>
  </si>
  <si>
    <r>
      <rPr>
        <sz val="11"/>
        <color theme="1"/>
        <rFont val="Aptos Narrow"/>
        <family val="2"/>
        <charset val="1"/>
      </rPr>
      <t>Δ</t>
    </r>
    <r>
      <rPr>
        <sz val="14.3"/>
        <color rgb="FF333333"/>
        <rFont val="Aptos Narrow"/>
        <family val="2"/>
        <charset val="1"/>
      </rPr>
      <t>g2</t>
    </r>
  </si>
  <si>
    <r>
      <rPr>
        <sz val="11"/>
        <color theme="1"/>
        <rFont val="Aptos Narrow"/>
        <family val="2"/>
        <charset val="1"/>
      </rPr>
      <t>Δ</t>
    </r>
    <r>
      <rPr>
        <sz val="14.3"/>
        <color rgb="FF333333"/>
        <rFont val="Aptos Narrow"/>
        <family val="2"/>
        <charset val="1"/>
      </rPr>
      <t>g3</t>
    </r>
  </si>
  <si>
    <t>g0 + g1+g2+G3+G4</t>
  </si>
  <si>
    <t>g0 + g1+g2+G3+G4+q</t>
  </si>
  <si>
    <r>
      <rPr>
        <sz val="11"/>
        <color theme="1"/>
        <rFont val="Aptos Narrow"/>
        <family val="2"/>
        <charset val="1"/>
      </rPr>
      <t>Δ</t>
    </r>
    <r>
      <rPr>
        <sz val="14.3"/>
        <color rgb="FF333333"/>
        <rFont val="Aptos Narrow"/>
        <family val="2"/>
        <charset val="1"/>
      </rPr>
      <t>g4</t>
    </r>
  </si>
  <si>
    <t>Δq</t>
  </si>
  <si>
    <t>Contraflechas devidas ao momento de protensão</t>
  </si>
  <si>
    <t>Contra flechas devidas às perdas de protensão</t>
  </si>
  <si>
    <r>
      <rPr>
        <sz val="11"/>
        <color theme="1"/>
        <rFont val="Aptos Narrow"/>
        <family val="2"/>
        <charset val="1"/>
      </rPr>
      <t>Δ</t>
    </r>
    <r>
      <rPr>
        <sz val="14.3"/>
        <color rgb="FF333333"/>
        <rFont val="Aptos Narrow"/>
        <family val="2"/>
        <charset val="1"/>
      </rPr>
      <t>p</t>
    </r>
  </si>
  <si>
    <r>
      <rPr>
        <sz val="11"/>
        <color theme="1"/>
        <rFont val="Aptos Narrow"/>
        <family val="2"/>
        <charset val="1"/>
      </rPr>
      <t>Δa</t>
    </r>
    <r>
      <rPr>
        <sz val="14.3"/>
        <color rgb="FF333333"/>
        <rFont val="Aptos Narrow"/>
        <family val="2"/>
        <charset val="1"/>
      </rPr>
      <t>p</t>
    </r>
  </si>
  <si>
    <t>Flecha imediata - mm</t>
  </si>
  <si>
    <t>Coeficiente 1+φ final</t>
  </si>
  <si>
    <t>Flecha t,inf</t>
  </si>
  <si>
    <t>Soma</t>
  </si>
  <si>
    <t>Pré-fabricada</t>
  </si>
  <si>
    <t>Peso próprio viga</t>
  </si>
  <si>
    <t>Peso próprio laje</t>
  </si>
  <si>
    <t>Perda de protensão</t>
  </si>
  <si>
    <t>Flecha final</t>
  </si>
  <si>
    <t>Flecha inicial t=0</t>
  </si>
  <si>
    <t>Flecha limite</t>
  </si>
  <si>
    <t>25 . Comprimento de transferencia da armadura</t>
  </si>
  <si>
    <t>fbpd =</t>
  </si>
  <si>
    <t>n1 =</t>
  </si>
  <si>
    <t>Coefeciente de aderência da cordoalha.</t>
  </si>
  <si>
    <t>n2 =</t>
  </si>
  <si>
    <t>Condição de boa ou má aderência do aço</t>
  </si>
  <si>
    <t>fctd =</t>
  </si>
  <si>
    <t>Força do concreto média a tração</t>
  </si>
  <si>
    <t>fbpt =</t>
  </si>
  <si>
    <r>
      <rPr>
        <sz val="11"/>
        <color theme="1"/>
        <rFont val="Aptos Narrow"/>
        <family val="2"/>
        <charset val="1"/>
      </rPr>
      <t>l</t>
    </r>
    <r>
      <rPr>
        <sz val="10"/>
        <color rgb="FF333333"/>
        <rFont val="Aptos Narrow"/>
        <family val="2"/>
        <charset val="1"/>
      </rPr>
      <t>bpt,sup</t>
    </r>
    <r>
      <rPr>
        <sz val="11"/>
        <color theme="1"/>
        <rFont val="Aptos Narrow"/>
        <family val="2"/>
        <charset val="1"/>
      </rPr>
      <t xml:space="preserve"> =</t>
    </r>
  </si>
  <si>
    <t>Comprimento de tranferência superior.</t>
  </si>
  <si>
    <r>
      <rPr>
        <sz val="11"/>
        <color theme="1"/>
        <rFont val="Aptos Narrow"/>
        <family val="2"/>
        <charset val="1"/>
      </rPr>
      <t>l</t>
    </r>
    <r>
      <rPr>
        <sz val="10"/>
        <color rgb="FF333333"/>
        <rFont val="Aptos Narrow"/>
        <family val="2"/>
        <charset val="1"/>
      </rPr>
      <t>bpt,inf</t>
    </r>
    <r>
      <rPr>
        <sz val="11"/>
        <color theme="1"/>
        <rFont val="Aptos Narrow"/>
        <family val="2"/>
        <charset val="1"/>
      </rPr>
      <t xml:space="preserve"> =</t>
    </r>
  </si>
  <si>
    <t>Comprimento de tranferência inferior.</t>
  </si>
  <si>
    <r>
      <rPr>
        <sz val="11"/>
        <color theme="1"/>
        <rFont val="Aptos Narrow"/>
        <family val="2"/>
        <charset val="1"/>
      </rPr>
      <t>c</t>
    </r>
    <r>
      <rPr>
        <sz val="10"/>
        <color rgb="FF333333"/>
        <rFont val="Aptos Narrow"/>
        <family val="2"/>
        <charset val="1"/>
      </rPr>
      <t>desp</t>
    </r>
    <r>
      <rPr>
        <sz val="11"/>
        <color theme="1"/>
        <rFont val="Aptos Narrow"/>
        <family val="2"/>
        <charset val="1"/>
      </rPr>
      <t xml:space="preserve"> =</t>
    </r>
  </si>
  <si>
    <t>Coeficiente de desprotensão.</t>
  </si>
  <si>
    <t>L,corrigido-sup =</t>
  </si>
  <si>
    <t>Comprimento de transferência corrigido superior.</t>
  </si>
  <si>
    <t>L,corrigido-inf =</t>
  </si>
  <si>
    <t>Comprimento de transferência corrigido inferior.</t>
  </si>
  <si>
    <t>sup</t>
  </si>
  <si>
    <t xml:space="preserve">A peça protendida apresenta um comprimento de aproximadamente </t>
  </si>
  <si>
    <t>cm necessário para que o cabo atinja sua condição de aderência plena.</t>
  </si>
  <si>
    <t>inf</t>
  </si>
  <si>
    <t>k</t>
  </si>
  <si>
    <t>Led, bainha</t>
  </si>
  <si>
    <t>Led,luva</t>
  </si>
  <si>
    <r>
      <rPr>
        <sz val="11"/>
        <color rgb="FF333333"/>
        <rFont val="Times New Roman"/>
        <family val="1"/>
        <charset val="1"/>
      </rPr>
      <t>α</t>
    </r>
    <r>
      <rPr>
        <sz val="11"/>
        <color theme="1"/>
        <rFont val="Aptos Narrow"/>
        <family val="2"/>
        <charset val="1"/>
      </rPr>
      <t>R</t>
    </r>
  </si>
  <si>
    <t>bainha grauteada</t>
  </si>
  <si>
    <t>Tipo Ligação =</t>
  </si>
  <si>
    <t xml:space="preserve"> Tipo de ligação conforme tabela 1 da NBR 9062/2017</t>
  </si>
  <si>
    <t>luva rosqueada</t>
  </si>
  <si>
    <t>Continuidade =</t>
  </si>
  <si>
    <t xml:space="preserve"> Tipo de continuidade</t>
  </si>
  <si>
    <r>
      <rPr>
        <sz val="11"/>
        <color theme="1"/>
        <rFont val="Aptos Narrow"/>
        <family val="2"/>
        <charset val="1"/>
      </rPr>
      <t>f</t>
    </r>
    <r>
      <rPr>
        <sz val="10"/>
        <color rgb="FF333333"/>
        <rFont val="Aptos Narrow"/>
        <family val="2"/>
        <charset val="1"/>
      </rPr>
      <t>ck</t>
    </r>
    <r>
      <rPr>
        <sz val="11"/>
        <color theme="1"/>
        <rFont val="Aptos Narrow"/>
        <family val="2"/>
        <charset val="1"/>
      </rPr>
      <t xml:space="preserve"> =</t>
    </r>
  </si>
  <si>
    <t xml:space="preserve"> Resistência característica do concreto à compressão aos 28 dias</t>
  </si>
  <si>
    <r>
      <rPr>
        <sz val="11"/>
        <color theme="1"/>
        <rFont val="Aptos Narrow"/>
        <family val="2"/>
        <charset val="1"/>
      </rPr>
      <t>f</t>
    </r>
    <r>
      <rPr>
        <sz val="10"/>
        <color rgb="FF333333"/>
        <rFont val="Aptos Narrow"/>
        <family val="2"/>
        <charset val="1"/>
      </rPr>
      <t>yk</t>
    </r>
    <r>
      <rPr>
        <sz val="11"/>
        <color theme="1"/>
        <rFont val="Aptos Narrow"/>
        <family val="2"/>
        <charset val="1"/>
      </rPr>
      <t xml:space="preserve"> =</t>
    </r>
  </si>
  <si>
    <t xml:space="preserve"> Resistência característica do aço à tração</t>
  </si>
  <si>
    <t>αE =</t>
  </si>
  <si>
    <t xml:space="preserve"> Coeficiente que depende do tipo de agregado graúdo do concreto</t>
  </si>
  <si>
    <t>Es =</t>
  </si>
  <si>
    <t xml:space="preserve"> Módulo de Elasticidade do aço</t>
  </si>
  <si>
    <r>
      <rPr>
        <sz val="11"/>
        <color theme="1"/>
        <rFont val="Aptos Narrow"/>
        <family val="2"/>
        <charset val="1"/>
      </rPr>
      <t>E</t>
    </r>
    <r>
      <rPr>
        <sz val="10"/>
        <color rgb="FF333333"/>
        <rFont val="Aptos Narrow"/>
        <family val="2"/>
        <charset val="1"/>
      </rPr>
      <t xml:space="preserve">ci </t>
    </r>
    <r>
      <rPr>
        <sz val="11"/>
        <color theme="1"/>
        <rFont val="Aptos Narrow"/>
        <family val="2"/>
        <charset val="1"/>
      </rPr>
      <t>=</t>
    </r>
  </si>
  <si>
    <t xml:space="preserve"> Módulo de Elasticidade tangente inicial do concreto</t>
  </si>
  <si>
    <t>αi =</t>
  </si>
  <si>
    <t xml:space="preserve"> Coeficiente que depende do fck concreto</t>
  </si>
  <si>
    <r>
      <rPr>
        <sz val="11"/>
        <color theme="1"/>
        <rFont val="Aptos Narrow"/>
        <family val="2"/>
        <charset val="1"/>
      </rPr>
      <t>E</t>
    </r>
    <r>
      <rPr>
        <sz val="10"/>
        <color rgb="FF333333"/>
        <rFont val="Aptos Narrow"/>
        <family val="2"/>
        <charset val="1"/>
      </rPr>
      <t>cs</t>
    </r>
    <r>
      <rPr>
        <sz val="11"/>
        <color theme="1"/>
        <rFont val="Aptos Narrow"/>
        <family val="2"/>
        <charset val="1"/>
      </rPr>
      <t xml:space="preserve"> =</t>
    </r>
  </si>
  <si>
    <t xml:space="preserve"> Módulo de Elasticidade secante do concreto</t>
  </si>
  <si>
    <t>Ø =</t>
  </si>
  <si>
    <t xml:space="preserve"> Diêmetro da armadura de continuidade</t>
  </si>
  <si>
    <t>n =</t>
  </si>
  <si>
    <t xml:space="preserve"> Quantidade de barras adotadas na ligação</t>
  </si>
  <si>
    <r>
      <rPr>
        <sz val="11"/>
        <color theme="1"/>
        <rFont val="Aptos Narrow"/>
        <family val="2"/>
        <charset val="1"/>
      </rPr>
      <t>A</t>
    </r>
    <r>
      <rPr>
        <vertAlign val="subscript"/>
        <sz val="11"/>
        <color rgb="FF333333"/>
        <rFont val="Aptos Narrow"/>
        <family val="2"/>
        <charset val="1"/>
      </rPr>
      <t>s</t>
    </r>
    <r>
      <rPr>
        <sz val="11"/>
        <color theme="1"/>
        <rFont val="Aptos Narrow"/>
        <family val="2"/>
        <charset val="1"/>
      </rPr>
      <t xml:space="preserve"> =</t>
    </r>
  </si>
  <si>
    <t xml:space="preserve"> Área de aço total na ligação</t>
  </si>
  <si>
    <t>b =</t>
  </si>
  <si>
    <t xml:space="preserve"> largura da viga</t>
  </si>
  <si>
    <t>h =</t>
  </si>
  <si>
    <t xml:space="preserve"> Altura da viga</t>
  </si>
  <si>
    <t>I =</t>
  </si>
  <si>
    <t xml:space="preserve"> Inércia da seção transversal da viga na ligação</t>
  </si>
  <si>
    <t>d =</t>
  </si>
  <si>
    <t xml:space="preserve"> Altura útil da viga na ligação</t>
  </si>
  <si>
    <t>Lc =</t>
  </si>
  <si>
    <t xml:space="preserve"> Comprimento do consolo</t>
  </si>
  <si>
    <t>folga =</t>
  </si>
  <si>
    <t xml:space="preserve"> Folga de montagem na ligação</t>
  </si>
  <si>
    <r>
      <rPr>
        <sz val="11"/>
        <color theme="1"/>
        <rFont val="Aptos Narrow"/>
        <family val="2"/>
        <charset val="1"/>
      </rPr>
      <t>L</t>
    </r>
    <r>
      <rPr>
        <sz val="10"/>
        <color rgb="FF333333"/>
        <rFont val="Aptos Narrow"/>
        <family val="2"/>
        <charset val="1"/>
      </rPr>
      <t>a</t>
    </r>
    <r>
      <rPr>
        <sz val="11"/>
        <color theme="1"/>
        <rFont val="Aptos Narrow"/>
        <family val="2"/>
        <charset val="1"/>
      </rPr>
      <t xml:space="preserve"> =</t>
    </r>
  </si>
  <si>
    <t>Distância da face do pilar ao centro de rotação do consolo</t>
  </si>
  <si>
    <r>
      <rPr>
        <sz val="11"/>
        <color theme="1"/>
        <rFont val="Aptos Narrow"/>
        <family val="2"/>
        <charset val="1"/>
      </rPr>
      <t>L</t>
    </r>
    <r>
      <rPr>
        <sz val="10"/>
        <color rgb="FF333333"/>
        <rFont val="Aptos Narrow"/>
        <family val="2"/>
        <charset val="1"/>
      </rPr>
      <t>ef</t>
    </r>
    <r>
      <rPr>
        <sz val="11"/>
        <color theme="1"/>
        <rFont val="Aptos Narrow"/>
        <family val="2"/>
        <charset val="1"/>
      </rPr>
      <t xml:space="preserve"> =</t>
    </r>
  </si>
  <si>
    <t xml:space="preserve"> Vão efetivo da viga de eixo e eixo de consolos</t>
  </si>
  <si>
    <t>CNF =</t>
  </si>
  <si>
    <t xml:space="preserve"> Coeficiente de não linearidade física</t>
  </si>
  <si>
    <t>k =</t>
  </si>
  <si>
    <t xml:space="preserve"> Coeficiente de ajustamento da rigidez secante conforme a tabela 1 da NBR 9062/2017</t>
  </si>
  <si>
    <r>
      <rPr>
        <sz val="11"/>
        <color theme="1"/>
        <rFont val="Aptos Narrow"/>
        <family val="2"/>
        <charset val="1"/>
      </rPr>
      <t>Ei</t>
    </r>
    <r>
      <rPr>
        <sz val="10"/>
        <color rgb="FF333333"/>
        <rFont val="Aptos Narrow"/>
        <family val="2"/>
        <charset val="1"/>
      </rPr>
      <t>sec</t>
    </r>
    <r>
      <rPr>
        <sz val="11"/>
        <color theme="1"/>
        <rFont val="Aptos Narrow"/>
        <family val="2"/>
        <charset val="1"/>
      </rPr>
      <t xml:space="preserve"> =</t>
    </r>
  </si>
  <si>
    <t xml:space="preserve"> Rigidez da viga considerada na análise estrutural</t>
  </si>
  <si>
    <r>
      <rPr>
        <sz val="11"/>
        <color theme="1"/>
        <rFont val="Aptos Narrow"/>
        <family val="2"/>
        <charset val="1"/>
      </rPr>
      <t>L</t>
    </r>
    <r>
      <rPr>
        <sz val="10"/>
        <color rgb="FF333333"/>
        <rFont val="Aptos Narrow"/>
        <family val="2"/>
        <charset val="1"/>
      </rPr>
      <t>ed</t>
    </r>
    <r>
      <rPr>
        <sz val="11"/>
        <color theme="1"/>
        <rFont val="Aptos Narrow"/>
        <family val="2"/>
        <charset val="1"/>
      </rPr>
      <t xml:space="preserve"> =</t>
    </r>
  </si>
  <si>
    <t xml:space="preserve"> Comprimento efetivo de deformação por alongamento da armadura de continuidade conforme a tabela 1 da NBR 9062/2017</t>
  </si>
  <si>
    <r>
      <rPr>
        <sz val="11"/>
        <color theme="1"/>
        <rFont val="Aptos Narrow"/>
        <family val="2"/>
        <charset val="1"/>
      </rPr>
      <t>R</t>
    </r>
    <r>
      <rPr>
        <sz val="10"/>
        <color rgb="FF333333"/>
        <rFont val="Aptos Narrow"/>
        <family val="2"/>
        <charset val="1"/>
      </rPr>
      <t>sec</t>
    </r>
    <r>
      <rPr>
        <sz val="11"/>
        <color theme="1"/>
        <rFont val="Aptos Narrow"/>
        <family val="2"/>
        <charset val="1"/>
      </rPr>
      <t xml:space="preserve"> =</t>
    </r>
  </si>
  <si>
    <t xml:space="preserve"> Rigidez secante ao momento fletor da ligação viga-pilar</t>
  </si>
  <si>
    <r>
      <rPr>
        <b/>
        <sz val="11"/>
        <rFont val="Times New Roman"/>
        <family val="1"/>
        <charset val="1"/>
      </rPr>
      <t>α</t>
    </r>
    <r>
      <rPr>
        <b/>
        <vertAlign val="subscript"/>
        <sz val="11"/>
        <rFont val="Aptos Narrow"/>
        <family val="2"/>
        <charset val="1"/>
      </rPr>
      <t>R,</t>
    </r>
  </si>
  <si>
    <t xml:space="preserve"> Fator de restrição ao giro da ligação</t>
  </si>
  <si>
    <t>Coef. Eng.</t>
  </si>
  <si>
    <t xml:space="preserve"> Coeficiente de engastamento parcial na ligação</t>
  </si>
  <si>
    <t>M-</t>
  </si>
  <si>
    <t xml:space="preserve"> Momento negativo borda esquerda reduzido pelo αR.</t>
  </si>
  <si>
    <t>M+</t>
  </si>
  <si>
    <t xml:space="preserve"> Momento Positivo reduzido pelo αR.</t>
  </si>
  <si>
    <t xml:space="preserve"> Momento negativo borda direita reduzido pelo αR.</t>
  </si>
  <si>
    <t>Distribuição de momentos</t>
  </si>
  <si>
    <r>
      <rPr>
        <b/>
        <sz val="11"/>
        <rFont val="Aptos Narrow"/>
        <family val="2"/>
        <charset val="1"/>
      </rPr>
      <t>Coef. Eng.</t>
    </r>
    <r>
      <rPr>
        <b/>
        <sz val="10"/>
        <rFont val="Aptos Narrow"/>
        <family val="2"/>
        <charset val="1"/>
      </rPr>
      <t>esquerdo</t>
    </r>
  </si>
  <si>
    <t xml:space="preserve"> Coeficiente de engastamento parcial na ligação esqueda.</t>
  </si>
  <si>
    <r>
      <rPr>
        <b/>
        <sz val="11"/>
        <rFont val="Aptos Narrow"/>
        <family val="2"/>
        <charset val="1"/>
      </rPr>
      <t>Coef. Eng.</t>
    </r>
    <r>
      <rPr>
        <b/>
        <sz val="10"/>
        <rFont val="Aptos Narrow"/>
        <family val="2"/>
        <charset val="1"/>
      </rPr>
      <t>direito</t>
    </r>
  </si>
  <si>
    <t xml:space="preserve"> Coeficiente de engastamento parcial na ligação direita.</t>
  </si>
  <si>
    <t>Momento fletor</t>
  </si>
  <si>
    <t>ajustar</t>
  </si>
  <si>
    <t>25 . Alpha R e coeficiente de engastamento - Redistribuição em vgas</t>
  </si>
  <si>
    <t>M,xperfeito</t>
  </si>
  <si>
    <t>Momento de engaste perfeito.</t>
  </si>
  <si>
    <t>Kmd. (Ábaco)</t>
  </si>
  <si>
    <t>Kz. (Ábaco)</t>
  </si>
  <si>
    <t>Área de aço para engastamento perfeito.</t>
  </si>
  <si>
    <t>Barra utilizada.</t>
  </si>
  <si>
    <t>Mk</t>
  </si>
  <si>
    <t>Momento negativo característico à avaliar.</t>
  </si>
  <si>
    <t>Momento de cálculo.</t>
  </si>
  <si>
    <t>KMD (Ábaco)</t>
  </si>
  <si>
    <t>Área de aço.</t>
  </si>
  <si>
    <t>Isolar cordoalhas</t>
  </si>
  <si>
    <t>Lado esquerdo</t>
  </si>
  <si>
    <t>Lado direito</t>
  </si>
  <si>
    <t>Qtde. (un.)</t>
  </si>
  <si>
    <t>Comprimento (cm)</t>
  </si>
  <si>
    <t>y,cg,repr - sup,isol</t>
  </si>
  <si>
    <t>Altura do cabo representante superior considerando isolamento.</t>
  </si>
  <si>
    <t>y,cg,repr - inf,isol</t>
  </si>
  <si>
    <t>Altura do cabo representante inferior considerando isolamento.</t>
  </si>
  <si>
    <t>Área de protensão inferior.</t>
  </si>
  <si>
    <t>Área de protensão superior.</t>
  </si>
  <si>
    <t>Excêntricidade de protensão superior.</t>
  </si>
  <si>
    <t>10.1 . Isolamento por zona — 3ª camada com comprimento próprio (Zona B), independente da 1ª/2ª (Zona A)</t>
  </si>
  <si>
    <t>Zona A = Primeira+Segunda camada (Geometria!L1365 = L1363). Zona B = Terceira camada (Geometria!L1361), independente. Quarta camada continua junto da Terceira (não usada pelo usuário).</t>
  </si>
  <si>
    <t>Área ativa, Zona A (1ª+2ª isoladas)</t>
  </si>
  <si>
    <t>e,p Zona A</t>
  </si>
  <si>
    <t>Área ativa, Zona B (3ª isolada)</t>
  </si>
  <si>
    <t>e,p Zona B</t>
  </si>
  <si>
    <t>Np,isol Zona A (ATO)</t>
  </si>
  <si>
    <t>Mp,isol Zona A (ATO)</t>
  </si>
  <si>
    <t>Np,isol Zona B (ATO)</t>
  </si>
  <si>
    <t>Mp,isol Zona B (ATO)</t>
  </si>
  <si>
    <t>Np,isol Zona A (∞)</t>
  </si>
  <si>
    <t>Mp,isol Zona A (∞)</t>
  </si>
  <si>
    <t>Np,isol Zona B (∞)</t>
  </si>
  <si>
    <t>Mp,isol Zona B (∞)</t>
  </si>
  <si>
    <t>10.2 . Isolamento assimétrico - valores do lado direito (usa Qtde. do lado direito: Q1381/Q1383/Q1385/Q1387)</t>
  </si>
  <si>
    <t>Área ativa, Zona A, Direita</t>
  </si>
  <si>
    <t>e,p Zona A, Direita</t>
  </si>
  <si>
    <t>Área ativa, Zona B, Direita</t>
  </si>
  <si>
    <t>e,p Zona B, Direita</t>
  </si>
  <si>
    <t>Np,isol Zona A Direita (ATO)</t>
  </si>
  <si>
    <t>Mp,isol Zona A Direita (ATO)</t>
  </si>
  <si>
    <t>Np,isol Zona B Direita (ATO)</t>
  </si>
  <si>
    <t>Mp,isol Zona B Direita (ATO)</t>
  </si>
  <si>
    <t>Np,isol Zona A Direita (∞)</t>
  </si>
  <si>
    <t>Mp,isol Zona A Direita (∞)</t>
  </si>
  <si>
    <t>Np,isol Zona B Direita (∞)</t>
  </si>
  <si>
    <t>Mp,isol Zona B Direita (∞)</t>
  </si>
  <si>
    <t>N1392, Direita (As líquido)</t>
  </si>
  <si>
    <t>un</t>
  </si>
  <si>
    <t>Ap, Direita</t>
  </si>
  <si>
    <t>Np,isol TOTAL Direita (ATO)</t>
  </si>
  <si>
    <t>Mp,isol TOTAL Direita (ATO)</t>
  </si>
  <si>
    <t>Np,isol TOTAL Direita (∞)</t>
  </si>
  <si>
    <t>Mp,isol TOTAL Direita (∞)</t>
  </si>
  <si>
    <t>y,cg,repr - inf,isol, Direita</t>
  </si>
  <si>
    <t>e,p, Direita (representativo)</t>
  </si>
  <si>
    <t>Seção 1</t>
  </si>
  <si>
    <t>Section Properties
 About Centroidal Axis Parallel to Original Axis</t>
  </si>
  <si>
    <t>PROPRIEDADES EM TORNO DO EIXO X</t>
  </si>
  <si>
    <t>About Original Axis</t>
  </si>
  <si>
    <t>DX =</t>
  </si>
  <si>
    <r>
      <rPr>
        <sz val="10"/>
        <rFont val="Symbol"/>
        <family val="1"/>
        <charset val="2"/>
      </rPr>
      <t xml:space="preserve">f </t>
    </r>
    <r>
      <rPr>
        <sz val="10"/>
        <rFont val="Arial"/>
        <family val="2"/>
        <charset val="1"/>
      </rPr>
      <t xml:space="preserve"> =</t>
    </r>
  </si>
  <si>
    <t xml:space="preserve"> deg</t>
  </si>
  <si>
    <t>X-dim =</t>
  </si>
  <si>
    <t>Ix =</t>
  </si>
  <si>
    <t>Imax =</t>
  </si>
  <si>
    <t>DY=</t>
  </si>
  <si>
    <t>A =</t>
  </si>
  <si>
    <t>Y-dim =</t>
  </si>
  <si>
    <t>Iy =</t>
  </si>
  <si>
    <t>Imin =</t>
  </si>
  <si>
    <t>Plot of diagonal</t>
  </si>
  <si>
    <t>Xcg =</t>
  </si>
  <si>
    <t>Sx(top) =</t>
  </si>
  <si>
    <t>Ixy =</t>
  </si>
  <si>
    <t>Yi</t>
  </si>
  <si>
    <t>Principal Axis Plot</t>
  </si>
  <si>
    <t>to control XY scale</t>
  </si>
  <si>
    <t>Ycg =</t>
  </si>
  <si>
    <t>Sx(bot) =</t>
  </si>
  <si>
    <t>Ys</t>
  </si>
  <si>
    <t>Ixo =</t>
  </si>
  <si>
    <t>Sy(left) =</t>
  </si>
  <si>
    <t>Ix</t>
  </si>
  <si>
    <t>Iyo =</t>
  </si>
  <si>
    <t>Sy(right)=</t>
  </si>
  <si>
    <t>Wi</t>
  </si>
  <si>
    <t>Ixyo =</t>
  </si>
  <si>
    <t>Ws</t>
  </si>
  <si>
    <t>Section Properties About Principal Axis</t>
  </si>
  <si>
    <t>deg</t>
  </si>
  <si>
    <t>Sxp(top) =</t>
  </si>
  <si>
    <t>Ixp =</t>
  </si>
  <si>
    <t>Sxp(bot) =</t>
  </si>
  <si>
    <t>Iyp =</t>
  </si>
  <si>
    <t>Syp(left) =</t>
  </si>
  <si>
    <t>Ixyp =</t>
  </si>
  <si>
    <t>Syp(right)=</t>
  </si>
  <si>
    <t>J =</t>
  </si>
  <si>
    <t>Seção 2</t>
  </si>
  <si>
    <t>Seção 3</t>
  </si>
  <si>
    <t>Altura da linha neutra.</t>
  </si>
  <si>
    <t>Domínio 2.</t>
  </si>
  <si>
    <t>x34 =</t>
  </si>
  <si>
    <t>Domínio 3</t>
  </si>
  <si>
    <t>Linha neutra na seção 1</t>
  </si>
  <si>
    <t>Rcd1</t>
  </si>
  <si>
    <t>Md1</t>
  </si>
  <si>
    <t>Linha neutra na seção 2</t>
  </si>
  <si>
    <t>Rcd2</t>
  </si>
  <si>
    <t>Md2</t>
  </si>
  <si>
    <t>Contas</t>
  </si>
  <si>
    <t>l,aba</t>
  </si>
  <si>
    <t>Comprimento da aba a partir da alma</t>
  </si>
  <si>
    <t>h,mis</t>
  </si>
  <si>
    <t>Altura da mísula</t>
  </si>
  <si>
    <t>x-</t>
  </si>
  <si>
    <t>rcd1</t>
  </si>
  <si>
    <t>md1</t>
  </si>
  <si>
    <t>Resíduo de momento</t>
  </si>
  <si>
    <t>Rcd3</t>
  </si>
  <si>
    <t>h^2</t>
  </si>
  <si>
    <t>Calculo manual da raiz da cubica (substitui GoalSeek / macro AjustarH)</t>
  </si>
  <si>
    <t>a</t>
  </si>
  <si>
    <t>=</t>
  </si>
  <si>
    <t>h^3</t>
  </si>
  <si>
    <t>+</t>
  </si>
  <si>
    <t>p (cubica deprimida)</t>
  </si>
  <si>
    <t>macro</t>
  </si>
  <si>
    <t>q (cubica deprimida)</t>
  </si>
  <si>
    <t>eq</t>
  </si>
  <si>
    <t>shift (h = t + shift)</t>
  </si>
  <si>
    <t>discriminante = (q/2)^2+(p/3)^3</t>
  </si>
  <si>
    <t>r = RAIZ(-(p/3)^3)</t>
  </si>
  <si>
    <t>phi = ACOS(-(q/2)/r)</t>
  </si>
  <si>
    <t>Raizes reais (t1, t2, t3 + shift)</t>
  </si>
  <si>
    <t>Armadura</t>
  </si>
  <si>
    <t>Candidatos validos (&gt;0, senao 1E99)</t>
  </si>
  <si>
    <t>h fisico = menor raiz positiva (= G94)</t>
  </si>
  <si>
    <t>Rcd</t>
  </si>
  <si>
    <t>Linha neutra na seção 3</t>
  </si>
  <si>
    <t>Md3</t>
  </si>
  <si>
    <t>Continuação — Seção 3 (alma): altura da linha neutra (x) e As líquido considerando a força já resistida pela protensão existente (Ap)</t>
  </si>
  <si>
    <t>Obs.: o bloco 'Armadura' das linhas 94-106 resolve x por uma cúbica cujos coeficientes (AZ89:AZ92) são valores fixos, não fórmulas vivas — esse bloco (e a continuação da Seção 3, linhas 117-137) ainda apresenta erro #N/A para os dados atuais e não deve ser usado; isso é irrelevante aqui porque G65 já confirma que a linha neutra está na Seção 1, que governa (ver RESULTADO FINAL, linhas 139-146).</t>
  </si>
  <si>
    <t>l,alma (tw)</t>
  </si>
  <si>
    <t>Largura da alma, constante ao longo da Seção 3</t>
  </si>
  <si>
    <t>d0</t>
  </si>
  <si>
    <t>Profundidade ate o topo da Seção 3 (abaixo das Seções 1+2, ja plenamente comprimidas)</t>
  </si>
  <si>
    <t>k3</t>
  </si>
  <si>
    <t>kN/cm</t>
  </si>
  <si>
    <t>Rcd por cm de profundidade dentro da Seção 3 (bloco retangular, largura = alma)</t>
  </si>
  <si>
    <t>y3 (bloco de compressão na alma)</t>
  </si>
  <si>
    <t>Profundidade do bloco equivalente dentro da Seção 3 — equilibrio de momento (Md1+Md2 plenos + Rcd3(y)*braço = Md)</t>
  </si>
  <si>
    <t>x (Seção 3)</t>
  </si>
  <si>
    <t>Rcd3 (parcial)</t>
  </si>
  <si>
    <t>Rcd,tot (Seção 3)</t>
  </si>
  <si>
    <t>Conferência</t>
  </si>
  <si>
    <t>Força resistida pela protensão existente (Ap) nesse x — mesmo método usado na seção retangular (Geometria!K1083:K1109)</t>
  </si>
  <si>
    <t>εp (deformação por flexão no nível da cordoalha)</t>
  </si>
  <si>
    <t>‰</t>
  </si>
  <si>
    <t>Pré-alongamento (protensão, cabo inferior)</t>
  </si>
  <si>
    <t>Igual ao usado no cálculo da seção retangular (Geometria!L1157)</t>
  </si>
  <si>
    <t>εt (deformação total na cordoalha)</t>
  </si>
  <si>
    <t>σp (ELU)</t>
  </si>
  <si>
    <t>Tabela tensão-deformação (mesma cordoalha usada em Geometria!N1097/R1019)</t>
  </si>
  <si>
    <t>Rpt (força resistida pela protensão)</t>
  </si>
  <si>
    <t>Mesmo fator 1,1 e mesma área Ap usados em Geometria!L1098</t>
  </si>
  <si>
    <t>As líquido (Seção 3, descontando a protensão)</t>
  </si>
  <si>
    <t>Situação</t>
  </si>
  <si>
    <t>Nº barras Ø16 (líquido, Seção 3)</t>
  </si>
  <si>
    <t>RESULTADO FINAL — As líquido para 'viga I' / 'viga de transição' (governa a Seção 1, 2 ou 3), descontando a protensão</t>
  </si>
  <si>
    <t>As líquido, Seção 1 (se governar)</t>
  </si>
  <si>
    <t>As líquido, Seção 2 (se governar)</t>
  </si>
  <si>
    <t>As líquido, Seção 3</t>
  </si>
  <si>
    <t>Seção governante</t>
  </si>
  <si>
    <t>x final</t>
  </si>
  <si>
    <t>Domínio (na seção governante)</t>
  </si>
  <si>
    <t>As líquido final (ELU, com desconto de protensão)</t>
  </si>
  <si>
    <t>STAGING GRID1 (permanente) - x, cortante, chave de ordenacao</t>
  </si>
  <si>
    <t>STAGING GRID2 (variavel q0) - x, cortante, chave</t>
  </si>
  <si>
    <t>l</t>
  </si>
  <si>
    <r>
      <rPr>
        <i/>
        <sz val="11"/>
        <color rgb="FF333333"/>
        <rFont val="Aptos Narrow"/>
        <family val="2"/>
        <charset val="1"/>
      </rPr>
      <t>x</t>
    </r>
    <r>
      <rPr>
        <i/>
        <vertAlign val="subscript"/>
        <sz val="11"/>
        <color rgb="FF333333"/>
        <rFont val="Aptos Narrow"/>
        <family val="2"/>
        <charset val="1"/>
      </rPr>
      <t>iniail</t>
    </r>
  </si>
  <si>
    <r>
      <rPr>
        <i/>
        <sz val="11"/>
        <color rgb="FF333333"/>
        <rFont val="Aptos Narrow"/>
        <family val="2"/>
        <charset val="1"/>
      </rPr>
      <t>x</t>
    </r>
    <r>
      <rPr>
        <i/>
        <vertAlign val="subscript"/>
        <sz val="11"/>
        <color rgb="FF333333"/>
        <rFont val="Aptos Narrow"/>
        <family val="2"/>
        <charset val="1"/>
      </rPr>
      <t>final</t>
    </r>
  </si>
  <si>
    <r>
      <rPr>
        <i/>
        <sz val="11"/>
        <color rgb="FF333333"/>
        <rFont val="Aptos Narrow"/>
        <family val="2"/>
        <charset val="1"/>
      </rPr>
      <t>g</t>
    </r>
    <r>
      <rPr>
        <i/>
        <vertAlign val="subscript"/>
        <sz val="11"/>
        <color rgb="FF333333"/>
        <rFont val="Aptos Narrow"/>
        <family val="2"/>
        <charset val="1"/>
      </rPr>
      <t>0</t>
    </r>
  </si>
  <si>
    <r>
      <rPr>
        <i/>
        <sz val="11"/>
        <color rgb="FF333333"/>
        <rFont val="Aptos Narrow"/>
        <family val="2"/>
        <charset val="1"/>
      </rPr>
      <t>g</t>
    </r>
    <r>
      <rPr>
        <i/>
        <vertAlign val="subscript"/>
        <sz val="11"/>
        <color rgb="FF333333"/>
        <rFont val="Aptos Narrow"/>
        <family val="2"/>
        <charset val="1"/>
      </rPr>
      <t>1</t>
    </r>
  </si>
  <si>
    <r>
      <rPr>
        <i/>
        <sz val="11"/>
        <color rgb="FF333333"/>
        <rFont val="Aptos Narrow"/>
        <family val="2"/>
        <charset val="1"/>
      </rPr>
      <t>g</t>
    </r>
    <r>
      <rPr>
        <i/>
        <vertAlign val="subscript"/>
        <sz val="11"/>
        <color rgb="FF333333"/>
        <rFont val="Aptos Narrow"/>
        <family val="2"/>
        <charset val="1"/>
      </rPr>
      <t>2</t>
    </r>
  </si>
  <si>
    <r>
      <rPr>
        <i/>
        <sz val="11"/>
        <color rgb="FF333333"/>
        <rFont val="Aptos Narrow"/>
        <family val="2"/>
        <charset val="1"/>
      </rPr>
      <t>g</t>
    </r>
    <r>
      <rPr>
        <i/>
        <vertAlign val="subscript"/>
        <sz val="11"/>
        <color rgb="FF333333"/>
        <rFont val="Aptos Narrow"/>
        <family val="2"/>
        <charset val="1"/>
      </rPr>
      <t>3</t>
    </r>
  </si>
  <si>
    <r>
      <rPr>
        <i/>
        <sz val="11"/>
        <color rgb="FF333333"/>
        <rFont val="Aptos Narrow"/>
        <family val="2"/>
        <charset val="1"/>
      </rPr>
      <t>g</t>
    </r>
    <r>
      <rPr>
        <i/>
        <vertAlign val="subscript"/>
        <sz val="11"/>
        <color rgb="FF333333"/>
        <rFont val="Aptos Narrow"/>
        <family val="2"/>
        <charset val="1"/>
      </rPr>
      <t>4</t>
    </r>
  </si>
  <si>
    <t>Distribuidas permanentes</t>
  </si>
  <si>
    <t>Cargas manuais</t>
  </si>
  <si>
    <t>Cálculo de esforços - viga biapoiada (hipótese simplificada)</t>
  </si>
  <si>
    <t>Vão (apoio a apoio)</t>
  </si>
  <si>
    <t>Comprimento total (com balanço)</t>
  </si>
  <si>
    <t>Q_total (carga total no vão)</t>
  </si>
  <si>
    <t>Qx_total (momento da carga em relação a x=0)</t>
  </si>
  <si>
    <t>kN.m</t>
  </si>
  <si>
    <t>R1 (reação no apoio x=0)</t>
  </si>
  <si>
    <t>R2 (reação no apoio x=Vão)</t>
  </si>
  <si>
    <t>x (cm)</t>
  </si>
  <si>
    <t>w(x) (kN/m)</t>
  </si>
  <si>
    <t>V(x) (kN)</t>
  </si>
  <si>
    <t>M(x) (kN.m)</t>
  </si>
  <si>
    <t>Q_total,q0 (carga variável total)</t>
  </si>
  <si>
    <t>Qx_total,q0 (momento da carga em relação a x=0)</t>
  </si>
  <si>
    <t>R1,q0 (reação no apoio x=0)</t>
  </si>
  <si>
    <t>R2,q0 (reação no apoio x=Vão)</t>
  </si>
  <si>
    <t>w,q0(x) (kN/m)</t>
  </si>
  <si>
    <t>V,q0(x) (kN)</t>
  </si>
  <si>
    <t>M,q0(x) (kN.m)</t>
  </si>
  <si>
    <t>-M,q0(x) (kN.m)</t>
  </si>
  <si>
    <t>Cargas pontuais (manuais)</t>
  </si>
  <si>
    <t>Carga</t>
  </si>
  <si>
    <t>R1,pontuais (reação no apoio x=0)</t>
  </si>
  <si>
    <t>R2,pontuais (reação no apoio x=Vão)</t>
  </si>
  <si>
    <t>Permanentes</t>
  </si>
  <si>
    <t>P (kN)</t>
  </si>
  <si>
    <t>Momentos por grupo de carga (g0 / g0+g1+g2 / g3+g4 / q0) nas seções S1-S21 (mesma malha de 20 divisões do vão usada na aba Geometria) - método de trechos + cargas pontuais, igual ao total acima</t>
  </si>
  <si>
    <t>Q_total,g0g1g2 (kN)</t>
  </si>
  <si>
    <t>Q_total,g0 (kN) [p/ ATO]</t>
  </si>
  <si>
    <t>Qx_total,g0g1g2 (kN.m)</t>
  </si>
  <si>
    <t>Qx_total,g0 (kN.m)</t>
  </si>
  <si>
    <t>R1,g0g1g2 (kN)</t>
  </si>
  <si>
    <t>R1,g0 (kN)</t>
  </si>
  <si>
    <t>R2,g0g1g2 (kN)</t>
  </si>
  <si>
    <t>R2,g0 (kN)</t>
  </si>
  <si>
    <t>Q_total,g3g4 (kN)</t>
  </si>
  <si>
    <t>Qx_total,g3g4 (kN.m)</t>
  </si>
  <si>
    <t>R1,g3g4 (kN)</t>
  </si>
  <si>
    <t>R2,g3g4 (kN)</t>
  </si>
  <si>
    <t>w,g0g1g2 (kN/m)</t>
  </si>
  <si>
    <t>V,g0g1g2 (kN)</t>
  </si>
  <si>
    <t>M,g0g1g2 (kN.m)</t>
  </si>
  <si>
    <t>w,g3g4 (kN/m)</t>
  </si>
  <si>
    <t>V,g3g4 (kN)</t>
  </si>
  <si>
    <t>M,g3g4 (kN.m)</t>
  </si>
  <si>
    <t>w,q0 (kN/m)</t>
  </si>
  <si>
    <t>V,q0 (kN)</t>
  </si>
  <si>
    <t>M,q0 (kN.m)</t>
  </si>
  <si>
    <t>w,g0 (kN/m)</t>
  </si>
  <si>
    <t>V,g0 (kN)</t>
  </si>
  <si>
    <t>M,g0 (kN.m) [p/ ATO]</t>
  </si>
  <si>
    <t>Mtotal</t>
  </si>
  <si>
    <t>dentro_apoios?</t>
  </si>
  <si>
    <t>Mtotal_mascarado</t>
  </si>
  <si>
    <t>Observações:</t>
  </si>
  <si>
    <t>Mg0g1g2, Mg3g4 e Mq (colunas O, R, U) usam o mesmo método de trechos + cargas pontuais do cálculo "Total" das linhas 108-144, somando apenas as cargas de cada grupo (g0+g1+g2 / g3+g4 / q0), nos 21 pontos de seção (S1-S21) da malha da aba Geometria (vão/20).</t>
  </si>
  <si>
    <t>Mg0 (colunas V, W, X) isola só o peso próprio (g0), para a verificação ELS-ATO (ato da protensão), quando g1, g2, g3, g4 e q0 ainda não atuam na peça.</t>
  </si>
  <si>
    <t>indice_pico</t>
  </si>
  <si>
    <t>R1/R2 de cada grupo (linhas 233-240 e colunas O/P) são as reações de apoio calculadas isoladamente por grupo de carga, pelo mesmo método de estática das linhas 111-114 (Q_total, Qx_total e superposição das cargas pontuais).</t>
  </si>
  <si>
    <t>M_g0g1g2_pico</t>
  </si>
  <si>
    <t>M_g3g4_pico</t>
  </si>
  <si>
    <t>M_q0_pico</t>
  </si>
  <si>
    <t>Essas colunas alimentam: aba Tensões (blocos ATO, ELS-F e ELS-D, seções S2 a S20) e aba Geometria (linhas 411-442 ELS-F, 668-701 ELS-D, 893-902 ATO), que passam a apontar para cá em vez da fórmula simplificada de carga uniforme constante.</t>
  </si>
  <si>
    <t>2 . Homogeneização da seção - Cordoalhas</t>
  </si>
  <si>
    <t>Ac =</t>
  </si>
  <si>
    <r>
      <rPr>
        <sz val="11"/>
        <color theme="1"/>
        <rFont val="Aptos Narrow"/>
        <family val="2"/>
        <charset val="1"/>
      </rPr>
      <t>y'</t>
    </r>
    <r>
      <rPr>
        <sz val="10"/>
        <color rgb="FF333333"/>
        <rFont val="Aptos Narrow"/>
        <family val="2"/>
        <charset val="1"/>
      </rPr>
      <t>.1</t>
    </r>
    <r>
      <rPr>
        <sz val="11"/>
        <color theme="1"/>
        <rFont val="Aptos Narrow"/>
        <family val="2"/>
        <charset val="1"/>
      </rPr>
      <t xml:space="preserve"> =</t>
    </r>
  </si>
  <si>
    <r>
      <rPr>
        <sz val="11"/>
        <color theme="1"/>
        <rFont val="Aptos Narrow"/>
        <family val="2"/>
        <charset val="1"/>
      </rPr>
      <t>y'</t>
    </r>
    <r>
      <rPr>
        <sz val="10"/>
        <color rgb="FF333333"/>
        <rFont val="Aptos Narrow"/>
        <family val="2"/>
        <charset val="1"/>
      </rPr>
      <t>.2</t>
    </r>
    <r>
      <rPr>
        <sz val="11"/>
        <color theme="1"/>
        <rFont val="Aptos Narrow"/>
        <family val="2"/>
        <charset val="1"/>
      </rPr>
      <t xml:space="preserve"> =</t>
    </r>
  </si>
  <si>
    <t>Ach =</t>
  </si>
  <si>
    <t>α  =</t>
  </si>
  <si>
    <t>yhs =</t>
  </si>
  <si>
    <t>yhs = H - yhi (mesma referencia, complementar)</t>
  </si>
  <si>
    <t>yhi =</t>
  </si>
  <si>
    <t>yhi = (Ac.Yi + (a-1).Ap.hp + (a-1).A'p.h'p) / Ach -&gt; media ponderada DIRETA das areas em relacao a base, com as duas armaduras (Ap e A'p) ao mesmo tempo. Antes: calculava cada armadura isolada e tirava media simetrica (aproximacao errada)</t>
  </si>
  <si>
    <t>Dy =</t>
  </si>
  <si>
    <t>Ih =</t>
  </si>
  <si>
    <t>cm^4</t>
  </si>
  <si>
    <t>Ih = I + Ac.(Yi-yhi)^2 + (a-1).Ap.(yhi-hp)^2 + (a-1).A'p.(yhi-h'p)^2 -&gt; Steiner com AREA BRUTA (Ac) e distancias ATE O NOVO centroide (yhi), nao ate o antigo</t>
  </si>
  <si>
    <t>Wh</t>
  </si>
  <si>
    <t>Whs =</t>
  </si>
  <si>
    <t>cm³</t>
  </si>
  <si>
    <t>Whi =</t>
  </si>
  <si>
    <t>2 . Homogeneização da seção composta</t>
  </si>
  <si>
    <t>Ach,comp =</t>
  </si>
  <si>
    <t>yhs = H,total - yhi (H,total = viga + capa + laje)</t>
  </si>
  <si>
    <t>yhi = (Ac,comp.Yi,comp + (a-1).Ap.hp + (a-1).A'p.h'p) / Ach,comp -&gt; agora usa a area/Yi da SECAO COMPOSTA (L25/L28). Antes usava por engano a area/Yi da viga isolada (L4/L6) - maior erro de todos, ~3cm de LN e ~16% no Ih</t>
  </si>
  <si>
    <t>Ih = I,comp + Ac,comp.(Yi,comp-yhi)^2 + (a-1).Ap.(yhi-hp)^2 + (a-1).A'p.(yhi-h'p)^2</t>
  </si>
  <si>
    <t>2 . Homogeneização da seção - Vergalhão</t>
  </si>
  <si>
    <t>seção pré</t>
  </si>
  <si>
    <t>seção composta</t>
  </si>
  <si>
    <t>yhs = H - yhi</t>
  </si>
  <si>
    <t>yhs = H,total - yhi</t>
  </si>
  <si>
    <t>yhi = (Ach.Yi,ach + (a-1).As,inf.hs,inf + (a-1).As,sup.hs,sup) / Ach,verg -&gt; As,sup convertido p/ distancia-da-base (H-(cobrim+bitola/2)), consistente com As,inf</t>
  </si>
  <si>
    <t>yhi = mesma logica do lado "pre", partindo de R46/R48 (secao composta ja homogeneizada com cordoalhas, bloco 2 corrigido)</t>
  </si>
  <si>
    <t>Ih = Ih,anterior + Ach.(Yi,ach-yhi)^2 + (a-1).As,inf.(yhi-hs,inf)^2 + (a-1).As,sup.(yhi-hs,sup)^2</t>
  </si>
  <si>
    <t>Ih corrigido: a formula original referenciava L26/L30/L27/L34/L32 (bloco 2) por engano, em vez de R47/R46/R48/R55/R53 (bloco 3, secao composta)</t>
  </si>
  <si>
    <t>yhs (redundante) corrigido: antes usava L18 (yhi do bloco 1, errado) em vez de L60 (yhi deste bloco). Whs=L57/L59 tinha o Ih certo mas dividia pelo yhs errado</t>
  </si>
  <si>
    <t xml:space="preserve">TENSÕES </t>
  </si>
  <si>
    <t>ATO</t>
  </si>
  <si>
    <t>ELS-F MÁXIMO</t>
  </si>
  <si>
    <t>ELS-F MÍNIMO</t>
  </si>
  <si>
    <t>ELS-D MÁXIMO</t>
  </si>
  <si>
    <t>ELS-D MÍNIMO</t>
  </si>
  <si>
    <t>Tensão ajustada</t>
  </si>
  <si>
    <t>Tensão reduzida pelo comprimento de transferência</t>
  </si>
  <si>
    <t>Tensão calculada</t>
  </si>
  <si>
    <t>(m)</t>
  </si>
  <si>
    <t>Isolado?</t>
  </si>
  <si>
    <t>ELU-ATO</t>
  </si>
  <si>
    <t>(reduzir)</t>
  </si>
  <si>
    <t>FINAL c/ furo</t>
  </si>
  <si>
    <t>ELS-F mín</t>
  </si>
  <si>
    <t>ELS-F máx</t>
  </si>
  <si>
    <t>ELS-D máx</t>
  </si>
  <si>
    <t>ELS-D mín</t>
  </si>
  <si>
    <t>sideA(inf)</t>
  </si>
  <si>
    <t>sideB(inf)</t>
  </si>
  <si>
    <t>NpA_correta</t>
  </si>
  <si>
    <t>MpA_correta</t>
  </si>
  <si>
    <t>NpB_correta</t>
  </si>
  <si>
    <t>MpB_correta</t>
  </si>
  <si>
    <t>sideA(ATO)</t>
  </si>
  <si>
    <t>sideB(ATO)</t>
  </si>
  <si>
    <t>NpA_ATO_correta</t>
  </si>
  <si>
    <t>MpA_ATO_correta</t>
  </si>
  <si>
    <t>NpB_ATO_correta</t>
  </si>
  <si>
    <t>MpB_ATO_correta</t>
  </si>
  <si>
    <t>Tensão</t>
  </si>
  <si>
    <t>Tensão na cordoalha reduzida pelo comprimento de transferência</t>
  </si>
  <si>
    <t>IÇAMENTO</t>
  </si>
  <si>
    <t>Np,tot</t>
  </si>
  <si>
    <t>Mp,tot</t>
  </si>
  <si>
    <t>ELS-F, MÁXIMO</t>
  </si>
  <si>
    <t>ELS-F, Mínimo</t>
  </si>
  <si>
    <t>ELS-D, MÁXIMO</t>
  </si>
  <si>
    <t>ELS-D, MÍNIMO</t>
  </si>
  <si>
    <t>q</t>
  </si>
  <si>
    <t>Carga distribuida (PP)</t>
  </si>
  <si>
    <t xml:space="preserve">l </t>
  </si>
  <si>
    <t>Comprimento da viga</t>
  </si>
  <si>
    <t>l,iç</t>
  </si>
  <si>
    <t>Içamento</t>
  </si>
  <si>
    <t>Peso das lajes</t>
  </si>
  <si>
    <t>2 . Mesa colaborante</t>
  </si>
  <si>
    <t>Biapoiado</t>
  </si>
  <si>
    <t>L (cm)</t>
  </si>
  <si>
    <t>bw (cm)</t>
  </si>
  <si>
    <t>e1 (cm)</t>
  </si>
  <si>
    <t>Misula 1.</t>
  </si>
  <si>
    <t>e2 (cm)</t>
  </si>
  <si>
    <t>Misula 2.</t>
  </si>
  <si>
    <t>a (cm)</t>
  </si>
  <si>
    <t>b2 (cm)</t>
  </si>
  <si>
    <t>Largura b2.</t>
  </si>
  <si>
    <t>b4 (cm)</t>
  </si>
  <si>
    <t>Largura b3.</t>
  </si>
  <si>
    <t>b1 (cm)</t>
  </si>
  <si>
    <t>Largura b4.</t>
  </si>
  <si>
    <t>b3 (cm)</t>
  </si>
  <si>
    <t>Largura b5.</t>
  </si>
  <si>
    <t>bf (cm)</t>
  </si>
  <si>
    <t>Largura da mesa colaborante.</t>
  </si>
  <si>
    <t>C.A.A.</t>
  </si>
  <si>
    <t>Agressividade</t>
  </si>
  <si>
    <t>Risco de Deterioração</t>
  </si>
  <si>
    <t>a/c</t>
  </si>
  <si>
    <t>fck,mín (MPa)</t>
  </si>
  <si>
    <t>Cnom (mm) - Laje</t>
  </si>
  <si>
    <t>Cnom (mm) - Vigas</t>
  </si>
  <si>
    <t>Atenção: fck menor que o mínimo</t>
  </si>
  <si>
    <t>I</t>
  </si>
  <si>
    <t>Fraca</t>
  </si>
  <si>
    <t>Insignificante</t>
  </si>
  <si>
    <t>fck maior que o mínimo</t>
  </si>
  <si>
    <t>II</t>
  </si>
  <si>
    <t>Moderada</t>
  </si>
  <si>
    <t>Pequeno</t>
  </si>
  <si>
    <t>III</t>
  </si>
  <si>
    <t>Forte</t>
  </si>
  <si>
    <t>Grande</t>
  </si>
  <si>
    <t>IV</t>
  </si>
  <si>
    <t>Muito forte</t>
  </si>
  <si>
    <t>Elevado</t>
  </si>
  <si>
    <t>Controle Rigoroso</t>
  </si>
  <si>
    <t>fck (MPa)</t>
  </si>
  <si>
    <t>Sim</t>
  </si>
  <si>
    <t>Não</t>
  </si>
  <si>
    <t xml:space="preserve"> = CAA</t>
  </si>
  <si>
    <t xml:space="preserve"> = CR</t>
  </si>
  <si>
    <t>Cobrimento Vigas</t>
  </si>
  <si>
    <t>Cobrimento Lajes</t>
  </si>
  <si>
    <t>i</t>
  </si>
  <si>
    <t>Vigas</t>
  </si>
  <si>
    <t>Lajes</t>
  </si>
  <si>
    <t>fck</t>
  </si>
  <si>
    <t>x/d</t>
  </si>
  <si>
    <t>PROPERTIES OF SECTION DESCRIBED BY NODES COORDINATES</t>
  </si>
  <si>
    <t>Units:</t>
  </si>
  <si>
    <t xml:space="preserve">         Nodes Coordinates</t>
  </si>
  <si>
    <t>X</t>
  </si>
  <si>
    <t>Y</t>
  </si>
  <si>
    <t>Retângular</t>
  </si>
  <si>
    <t>Calha</t>
  </si>
  <si>
    <t>"i" COMPOSTA</t>
  </si>
  <si>
    <t>Laje TT 48</t>
  </si>
  <si>
    <t>composta</t>
  </si>
  <si>
    <t>Laje TT 64</t>
  </si>
  <si>
    <t>Laje TT 80</t>
  </si>
  <si>
    <t>Obra:</t>
  </si>
  <si>
    <t>amafil</t>
  </si>
  <si>
    <t>Nº da peça</t>
  </si>
  <si>
    <t>Viga 10m</t>
  </si>
  <si>
    <t>Propriedades da seção</t>
  </si>
  <si>
    <t>Tipo =</t>
  </si>
  <si>
    <t>Tipo da seção.</t>
  </si>
  <si>
    <t>L =</t>
  </si>
  <si>
    <t>Comprimento da viga.</t>
  </si>
  <si>
    <t>bw =</t>
  </si>
  <si>
    <t>h,capa =</t>
  </si>
  <si>
    <t>Espessura da capa de concreto.</t>
  </si>
  <si>
    <t>Propriedades dos materiais.</t>
  </si>
  <si>
    <t>fck,laje =</t>
  </si>
  <si>
    <t>m.</t>
  </si>
  <si>
    <t>Cimento cp</t>
  </si>
  <si>
    <t>Alvenaria?</t>
  </si>
  <si>
    <t>Considerado alvenaria sobre a viga?</t>
  </si>
  <si>
    <t>e =</t>
  </si>
  <si>
    <t>Espessura da alvenaria.</t>
  </si>
  <si>
    <t>Altura da alvenaria.</t>
  </si>
  <si>
    <t>h,laje =</t>
  </si>
  <si>
    <t>L,laje =</t>
  </si>
  <si>
    <t>Resumo.</t>
  </si>
  <si>
    <t>Momento de fissuração t=inf.</t>
  </si>
  <si>
    <t>Estádios</t>
  </si>
  <si>
    <t>Taxas</t>
  </si>
  <si>
    <t>Comprimento de alongamento SUP.</t>
  </si>
  <si>
    <t>Comprimento de alongamento INF.</t>
  </si>
  <si>
    <t>Detalhamento</t>
  </si>
  <si>
    <t>(altura da cordoalha)</t>
  </si>
  <si>
    <t>Estribo nos apoios</t>
  </si>
  <si>
    <t>Estribo no centro</t>
  </si>
  <si>
    <t>N1</t>
  </si>
  <si>
    <t>N2</t>
  </si>
  <si>
    <t>As,aba Viga "T"</t>
  </si>
  <si>
    <t>N3</t>
  </si>
  <si>
    <t>PLANILHA PARA O CÁLCULO DA ARMADURA TRANSVERSAL EM VIGAS DE CONCRETO ARMADO SUJEITAS À FLEXÃO SIMPLES - SEÇÃO RETANGULAR</t>
  </si>
  <si>
    <t>(De acordo com a NBR 6118:2014 - Planilha válida para concretos de classes até C50 - Módelo de cálculo I)</t>
  </si>
  <si>
    <t>h,consolo</t>
  </si>
  <si>
    <t>Considerar estribo 1 até o membro</t>
  </si>
  <si>
    <t>Comprimentos de acordo com numero de ramos</t>
  </si>
  <si>
    <t>l,consolo</t>
  </si>
  <si>
    <t>Número de ramos</t>
  </si>
  <si>
    <t>a/d</t>
  </si>
  <si>
    <t>H (cm)</t>
  </si>
  <si>
    <t>Considerar auxilio da protensão na cortante?</t>
  </si>
  <si>
    <t>L(cm)</t>
  </si>
  <si>
    <t>d' (cm)</t>
  </si>
  <si>
    <t xml:space="preserve">Estribo 1  </t>
  </si>
  <si>
    <t xml:space="preserve">Estribo 2   </t>
  </si>
  <si>
    <t>Dimensionamento segundo a NBR 6118:2014 - Aços CA50 e CA60</t>
  </si>
  <si>
    <t>Membro</t>
  </si>
  <si>
    <t>FORÇA CORTANTE - V</t>
  </si>
  <si>
    <r>
      <rPr>
        <sz val="11"/>
        <rFont val="Arial"/>
        <family val="2"/>
        <charset val="1"/>
      </rPr>
      <t>V</t>
    </r>
    <r>
      <rPr>
        <vertAlign val="subscript"/>
        <sz val="11"/>
        <rFont val="Arial"/>
        <family val="2"/>
        <charset val="1"/>
      </rPr>
      <t>sd</t>
    </r>
  </si>
  <si>
    <r>
      <rPr>
        <sz val="11"/>
        <rFont val="Arial"/>
        <family val="2"/>
        <charset val="1"/>
      </rPr>
      <t>V</t>
    </r>
    <r>
      <rPr>
        <vertAlign val="subscript"/>
        <sz val="11"/>
        <rFont val="Arial"/>
        <family val="2"/>
        <charset val="1"/>
      </rPr>
      <t>Rd2</t>
    </r>
  </si>
  <si>
    <t>Ver. Conc.</t>
  </si>
  <si>
    <r>
      <rPr>
        <sz val="11"/>
        <rFont val="Arial"/>
        <family val="2"/>
        <charset val="1"/>
      </rPr>
      <t>V</t>
    </r>
    <r>
      <rPr>
        <vertAlign val="subscript"/>
        <sz val="11"/>
        <rFont val="Arial"/>
        <family val="2"/>
        <charset val="1"/>
      </rPr>
      <t>c</t>
    </r>
  </si>
  <si>
    <r>
      <rPr>
        <sz val="11"/>
        <rFont val="Arial"/>
        <family val="2"/>
        <charset val="1"/>
      </rPr>
      <t>V</t>
    </r>
    <r>
      <rPr>
        <vertAlign val="subscript"/>
        <sz val="11"/>
        <rFont val="Arial"/>
        <family val="2"/>
        <charset val="1"/>
      </rPr>
      <t>sw</t>
    </r>
  </si>
  <si>
    <r>
      <rPr>
        <sz val="11"/>
        <rFont val="Arial"/>
        <family val="2"/>
        <charset val="1"/>
      </rPr>
      <t>A</t>
    </r>
    <r>
      <rPr>
        <vertAlign val="subscript"/>
        <sz val="11"/>
        <rFont val="Arial"/>
        <family val="2"/>
        <charset val="1"/>
      </rPr>
      <t>sw</t>
    </r>
    <r>
      <rPr>
        <sz val="11"/>
        <rFont val="Arial"/>
        <family val="2"/>
        <charset val="1"/>
      </rPr>
      <t>/s - AÇOS CA50 e CA60</t>
    </r>
  </si>
  <si>
    <t>(kN)</t>
  </si>
  <si>
    <r>
      <rPr>
        <sz val="11"/>
        <rFont val="Arial"/>
        <family val="2"/>
        <charset val="1"/>
      </rPr>
      <t>(cm</t>
    </r>
    <r>
      <rPr>
        <vertAlign val="superscript"/>
        <sz val="11"/>
        <rFont val="Arial"/>
        <family val="2"/>
        <charset val="1"/>
      </rPr>
      <t>2</t>
    </r>
    <r>
      <rPr>
        <sz val="11"/>
        <rFont val="Arial"/>
        <family val="2"/>
        <charset val="1"/>
      </rPr>
      <t>/cm)</t>
    </r>
  </si>
  <si>
    <r>
      <rPr>
        <sz val="11"/>
        <rFont val="Arial"/>
        <family val="2"/>
        <charset val="1"/>
      </rPr>
      <t>A</t>
    </r>
    <r>
      <rPr>
        <vertAlign val="subscript"/>
        <sz val="11"/>
        <rFont val="Arial"/>
        <family val="2"/>
        <charset val="1"/>
      </rPr>
      <t>sw</t>
    </r>
    <r>
      <rPr>
        <sz val="11"/>
        <rFont val="Arial"/>
        <family val="2"/>
        <charset val="1"/>
      </rPr>
      <t>/s</t>
    </r>
    <r>
      <rPr>
        <vertAlign val="subscript"/>
        <sz val="11"/>
        <rFont val="Arial"/>
        <family val="2"/>
        <charset val="1"/>
      </rPr>
      <t xml:space="preserve"> mínimo</t>
    </r>
    <r>
      <rPr>
        <sz val="11"/>
        <rFont val="Arial"/>
        <family val="2"/>
        <charset val="1"/>
      </rPr>
      <t>-CA50</t>
    </r>
  </si>
  <si>
    <r>
      <rPr>
        <sz val="11"/>
        <rFont val="Arial"/>
        <family val="2"/>
        <charset val="1"/>
      </rPr>
      <t>A</t>
    </r>
    <r>
      <rPr>
        <vertAlign val="subscript"/>
        <sz val="11"/>
        <rFont val="Arial"/>
        <family val="2"/>
        <charset val="1"/>
      </rPr>
      <t>sw</t>
    </r>
    <r>
      <rPr>
        <sz val="11"/>
        <rFont val="Arial"/>
        <family val="2"/>
        <charset val="1"/>
      </rPr>
      <t>/s</t>
    </r>
    <r>
      <rPr>
        <vertAlign val="subscript"/>
        <sz val="11"/>
        <rFont val="Arial"/>
        <family val="2"/>
        <charset val="1"/>
      </rPr>
      <t xml:space="preserve"> mínimo</t>
    </r>
    <r>
      <rPr>
        <sz val="11"/>
        <rFont val="Arial"/>
        <family val="2"/>
        <charset val="1"/>
      </rPr>
      <t>-CA60</t>
    </r>
  </si>
  <si>
    <r>
      <rPr>
        <sz val="11"/>
        <rFont val="Arial"/>
        <family val="2"/>
        <charset val="1"/>
      </rPr>
      <t>V</t>
    </r>
    <r>
      <rPr>
        <vertAlign val="subscript"/>
        <sz val="11"/>
        <rFont val="Arial"/>
        <family val="2"/>
        <charset val="1"/>
      </rPr>
      <t>s minimo</t>
    </r>
    <r>
      <rPr>
        <sz val="11"/>
        <rFont val="Arial"/>
        <family val="2"/>
        <charset val="1"/>
      </rPr>
      <t xml:space="preserve"> - CA50</t>
    </r>
  </si>
  <si>
    <r>
      <rPr>
        <sz val="11"/>
        <rFont val="Arial"/>
        <family val="2"/>
        <charset val="1"/>
      </rPr>
      <t>V</t>
    </r>
    <r>
      <rPr>
        <vertAlign val="subscript"/>
        <sz val="11"/>
        <rFont val="Arial"/>
        <family val="2"/>
        <charset val="1"/>
      </rPr>
      <t>s minimo</t>
    </r>
    <r>
      <rPr>
        <sz val="11"/>
        <rFont val="Arial"/>
        <family val="2"/>
        <charset val="1"/>
      </rPr>
      <t xml:space="preserve"> - CA60</t>
    </r>
  </si>
  <si>
    <t>Esp. Estribos - S ( cm) - (calculado)</t>
  </si>
  <si>
    <r>
      <rPr>
        <sz val="11"/>
        <rFont val="Arial"/>
        <family val="2"/>
        <charset val="1"/>
      </rPr>
      <t>S</t>
    </r>
    <r>
      <rPr>
        <vertAlign val="subscript"/>
        <sz val="11"/>
        <rFont val="Arial"/>
        <family val="2"/>
        <charset val="1"/>
      </rPr>
      <t>máx</t>
    </r>
  </si>
  <si>
    <t>(cm)</t>
  </si>
  <si>
    <t>Armadura de pele</t>
  </si>
  <si>
    <r>
      <rPr>
        <sz val="11"/>
        <color rgb="FF333333"/>
        <rFont val="Arial"/>
        <family val="2"/>
        <charset val="1"/>
      </rPr>
      <t>b</t>
    </r>
    <r>
      <rPr>
        <vertAlign val="subscript"/>
        <sz val="11"/>
        <color rgb="FF333333"/>
        <rFont val="Arial"/>
        <family val="2"/>
        <charset val="1"/>
      </rPr>
      <t>w</t>
    </r>
    <r>
      <rPr>
        <sz val="11"/>
        <color rgb="FF333333"/>
        <rFont val="Arial"/>
        <family val="2"/>
        <charset val="1"/>
      </rPr>
      <t xml:space="preserve"> =</t>
    </r>
  </si>
  <si>
    <t>h=</t>
  </si>
  <si>
    <r>
      <rPr>
        <sz val="11"/>
        <color rgb="FF333333"/>
        <rFont val="Arial"/>
        <family val="2"/>
        <charset val="1"/>
      </rPr>
      <t>A</t>
    </r>
    <r>
      <rPr>
        <vertAlign val="subscript"/>
        <sz val="11"/>
        <color rgb="FF333333"/>
        <rFont val="Arial"/>
        <family val="2"/>
        <charset val="1"/>
      </rPr>
      <t>s, pele</t>
    </r>
    <r>
      <rPr>
        <sz val="11"/>
        <color rgb="FF333333"/>
        <rFont val="Arial"/>
        <family val="2"/>
        <charset val="1"/>
      </rPr>
      <t xml:space="preserve"> =</t>
    </r>
  </si>
  <si>
    <r>
      <rPr>
        <sz val="11"/>
        <color rgb="FF333333"/>
        <rFont val="Arial"/>
        <family val="2"/>
        <charset val="1"/>
      </rPr>
      <t>cm</t>
    </r>
    <r>
      <rPr>
        <vertAlign val="superscript"/>
        <sz val="11"/>
        <color rgb="FF333333"/>
        <rFont val="Arial"/>
        <family val="2"/>
        <charset val="1"/>
      </rPr>
      <t>2</t>
    </r>
    <r>
      <rPr>
        <sz val="11"/>
        <color rgb="FF333333"/>
        <rFont val="Arial"/>
        <family val="2"/>
        <charset val="1"/>
      </rPr>
      <t>/face</t>
    </r>
  </si>
  <si>
    <t>Área de aço armadura de pele</t>
  </si>
  <si>
    <r>
      <rPr>
        <sz val="11"/>
        <color rgb="FF333333"/>
        <rFont val="Arial"/>
        <family val="2"/>
        <charset val="1"/>
      </rPr>
      <t>N</t>
    </r>
    <r>
      <rPr>
        <vertAlign val="subscript"/>
        <sz val="11"/>
        <color rgb="FF333333"/>
        <rFont val="Arial"/>
        <family val="2"/>
        <charset val="1"/>
      </rPr>
      <t>pele</t>
    </r>
    <r>
      <rPr>
        <sz val="11"/>
        <color rgb="FF333333"/>
        <rFont val="Arial"/>
        <family val="2"/>
        <charset val="1"/>
      </rPr>
      <t xml:space="preserve"> =</t>
    </r>
  </si>
  <si>
    <t>Número de barras da armadura de pele.</t>
  </si>
  <si>
    <r>
      <rPr>
        <sz val="11"/>
        <color rgb="FF333333"/>
        <rFont val="Arial"/>
        <family val="2"/>
        <charset val="1"/>
      </rPr>
      <t>f</t>
    </r>
    <r>
      <rPr>
        <vertAlign val="subscript"/>
        <sz val="11"/>
        <color rgb="FF333333"/>
        <rFont val="Arial"/>
        <family val="2"/>
        <charset val="1"/>
      </rPr>
      <t>pele</t>
    </r>
    <r>
      <rPr>
        <sz val="11"/>
        <color rgb="FF333333"/>
        <rFont val="Arial"/>
        <family val="2"/>
        <charset val="1"/>
      </rPr>
      <t xml:space="preserve"> =</t>
    </r>
  </si>
  <si>
    <t>Diâmetro das barras de armadura de pele.</t>
  </si>
  <si>
    <r>
      <rPr>
        <sz val="11"/>
        <color rgb="FF333333"/>
        <rFont val="Arial"/>
        <family val="2"/>
        <charset val="1"/>
      </rPr>
      <t>A</t>
    </r>
    <r>
      <rPr>
        <vertAlign val="subscript"/>
        <sz val="11"/>
        <color rgb="FF333333"/>
        <rFont val="Arial"/>
        <family val="2"/>
        <charset val="1"/>
      </rPr>
      <t>s, pele,ef.</t>
    </r>
    <r>
      <rPr>
        <sz val="11"/>
        <color rgb="FF333333"/>
        <rFont val="Arial"/>
        <family val="2"/>
        <charset val="1"/>
      </rPr>
      <t xml:space="preserve"> =</t>
    </r>
  </si>
  <si>
    <r>
      <rPr>
        <sz val="11"/>
        <color rgb="FF333333"/>
        <rFont val="Arial"/>
        <family val="2"/>
        <charset val="1"/>
      </rPr>
      <t>cm</t>
    </r>
    <r>
      <rPr>
        <vertAlign val="superscript"/>
        <sz val="11"/>
        <color rgb="FF333333"/>
        <rFont val="Arial"/>
        <family val="2"/>
        <charset val="1"/>
      </rPr>
      <t>2</t>
    </r>
  </si>
  <si>
    <t>Armadura de pele efetiva</t>
  </si>
  <si>
    <r>
      <rPr>
        <sz val="11"/>
        <color rgb="FF333333"/>
        <rFont val="Arial"/>
        <family val="2"/>
        <charset val="1"/>
      </rPr>
      <t>S</t>
    </r>
    <r>
      <rPr>
        <vertAlign val="subscript"/>
        <sz val="11"/>
        <color rgb="FF333333"/>
        <rFont val="Arial"/>
        <family val="2"/>
        <charset val="1"/>
      </rPr>
      <t>,pele</t>
    </r>
    <r>
      <rPr>
        <sz val="11"/>
        <color rgb="FF333333"/>
        <rFont val="Arial"/>
        <family val="2"/>
        <charset val="1"/>
      </rPr>
      <t xml:space="preserve"> =</t>
    </r>
  </si>
  <si>
    <t>Espaçamento entre as barras da arm. de pele.</t>
  </si>
  <si>
    <t>y =</t>
  </si>
  <si>
    <t>kg</t>
  </si>
  <si>
    <t>Peso de aço.</t>
  </si>
  <si>
    <t xml:space="preserve">Peso </t>
  </si>
  <si>
    <t>Vol</t>
  </si>
  <si>
    <t>As,inf</t>
  </si>
  <si>
    <t>As,sup</t>
  </si>
  <si>
    <t>As,T</t>
  </si>
  <si>
    <t>As,aba Viga "R/A"</t>
  </si>
  <si>
    <t>Grampos de ancoragem</t>
  </si>
  <si>
    <t>Calculo da área de aço necessária para ancoragem da diagonal de compressão</t>
  </si>
  <si>
    <t>Tirante localizado na região de baixo da viga, na frente do consolo</t>
  </si>
  <si>
    <t>L,anc.</t>
  </si>
  <si>
    <t>Comprimento de inicio da ancoragem - &gt; 0 considera NP reduzido pelo comp. De ancoragem</t>
  </si>
  <si>
    <t>Concreto</t>
  </si>
  <si>
    <t>Sem gancho (φ)</t>
  </si>
  <si>
    <t>Com gancho (φ)</t>
  </si>
  <si>
    <t>Utiliza gancho?</t>
  </si>
  <si>
    <t>Considera gancho no comprimento de ancoragem?</t>
  </si>
  <si>
    <t>Auxilio As Longitudinal</t>
  </si>
  <si>
    <t xml:space="preserve">Considera o auxílio das armaduras longitudinais para ancoragem -  para isso a barra deve ser soldada </t>
  </si>
  <si>
    <t>Auxilio do tirante</t>
  </si>
  <si>
    <t>Considera auxílio da armadura de tirante.</t>
  </si>
  <si>
    <t>Vsd</t>
  </si>
  <si>
    <t>Rs</t>
  </si>
  <si>
    <t>Resultante de ancoragem.</t>
  </si>
  <si>
    <t>Ca</t>
  </si>
  <si>
    <t>Comprimento de ancoragem da cordoalha.</t>
  </si>
  <si>
    <t>Np,2</t>
  </si>
  <si>
    <t>Normal de protensão corrigida com o comprimento de ancoragem.</t>
  </si>
  <si>
    <t>l, C/gancho</t>
  </si>
  <si>
    <t>Comprimento de ancoragem com gancho.</t>
  </si>
  <si>
    <t>l, S/gancho</t>
  </si>
  <si>
    <t>Comprimento de ancoragem sem gancho.</t>
  </si>
  <si>
    <t xml:space="preserve">A normal de protensão auxilia na ancoragem da diagonal de compressão, caso a mesma seja maior que a resultante "RS", não é necessário essa armadura </t>
  </si>
  <si>
    <t>As, ancoragem da diagonal de compressão</t>
  </si>
  <si>
    <t>Obs: já considerado os dois lados da viga</t>
  </si>
  <si>
    <t>Esse método considera o comprimento de ancoragem total da cordoalha, adotando no dimensionamento a força normal de protensão já reduzida ao longo do comprimento de ancoragem.</t>
  </si>
  <si>
    <t>Suspensão</t>
  </si>
  <si>
    <t>bw=</t>
  </si>
  <si>
    <t>Largura.</t>
  </si>
  <si>
    <t>Altura.</t>
  </si>
  <si>
    <t>fck=</t>
  </si>
  <si>
    <t>fcd=</t>
  </si>
  <si>
    <t>Resistência de cálculo à compressão do concreto.</t>
  </si>
  <si>
    <t>fyd=</t>
  </si>
  <si>
    <t>Resistência de cálculo ao escoamento das barras de aço.</t>
  </si>
  <si>
    <t>VSK=</t>
  </si>
  <si>
    <t>Força cortante característica.</t>
  </si>
  <si>
    <t>VSD=</t>
  </si>
  <si>
    <t>Força cortante de cálculo.</t>
  </si>
  <si>
    <t>nr</t>
  </si>
  <si>
    <t>Número de ramos.</t>
  </si>
  <si>
    <t>Asb=</t>
  </si>
  <si>
    <t>Área de aço barra escolhida.</t>
  </si>
  <si>
    <t>Asusp=</t>
  </si>
  <si>
    <t>Área de aço necessária.</t>
  </si>
  <si>
    <t>nb=</t>
  </si>
  <si>
    <t>Número de barras.</t>
  </si>
  <si>
    <t>S=</t>
  </si>
  <si>
    <t>Espaçamento.</t>
  </si>
  <si>
    <t>L,susp</t>
  </si>
  <si>
    <t>Distância para distribuir suspensão.</t>
  </si>
  <si>
    <t>Calculo dente Gerber</t>
  </si>
  <si>
    <t>Tirante</t>
  </si>
  <si>
    <t>Costura</t>
  </si>
  <si>
    <t>h,crto</t>
  </si>
  <si>
    <t>Altura de concreto.</t>
  </si>
  <si>
    <t>As,cost</t>
  </si>
  <si>
    <t>Hd = 0,5 Fd para elemento assentado com argamassa;</t>
  </si>
  <si>
    <t>Hd = 0,16 Fd para aparelhos de apoio de elastômero;</t>
  </si>
  <si>
    <t>Hd = 0,08 Fd para aparelhos de apoio revestidos de plástico politetrafluoretileno (PTFE);</t>
  </si>
  <si>
    <t>Hd = 0,25 Fd para apoios realizados entre chapas metálicas não soldadas</t>
  </si>
  <si>
    <t>Estribo do dente</t>
  </si>
  <si>
    <t>Hd = 0,4 Fd para apoios realizados entre concreto e chapas metálicas</t>
  </si>
  <si>
    <t>Hd</t>
  </si>
  <si>
    <t>p,sw,90</t>
  </si>
  <si>
    <t>Taxa mínima de aço.</t>
  </si>
  <si>
    <t>Área de aço calculado.</t>
  </si>
  <si>
    <t>Asv</t>
  </si>
  <si>
    <t>22 . Cisalhamento - efeito benefico da protensao (NBR 6118 17.4.2.2): Vc = Vc0 x (1 + M0/MSd,max), limitado a 2xVc0</t>
  </si>
  <si>
    <t>Reaproveita: Vsd/MSd precisos de Cargas adicionais (S1,S3,S5,S7) e Np/Mp ja isolamento+transferencia-cientes de Isolamento de cabos (ELS-F, t=infinito)</t>
  </si>
  <si>
    <t>Vsd (kN)</t>
  </si>
  <si>
    <t>MSd (kN.m)</t>
  </si>
  <si>
    <t>Np (kN)</t>
  </si>
  <si>
    <t>Mp (kN.m)</t>
  </si>
  <si>
    <t>M0 (kN.m)</t>
  </si>
  <si>
    <t>Vc0 (kN)</t>
  </si>
  <si>
    <t>Vc,prot (kN)</t>
  </si>
  <si>
    <t>2xVc0 (kN)</t>
  </si>
  <si>
    <t>Vc adotado (kN)</t>
  </si>
  <si>
    <t>Vsw novo (kN)</t>
  </si>
  <si>
    <t>Asw/s novo (cm2/cm)</t>
  </si>
  <si>
    <t>Obs.: Np/Mp usam sigma p,inf,infinito ja reduzido por isolamento (lado esq/dir) e rampa do comprimento de transferencia (Ca). Ng+q=0 (sem outra forca axial nesta viga). bw/H/d (J5:J8), Vc0 (M19:M22) e as propriedades de secao (Geometria!L48/L53) ja sao genericos para retangular/T/i/transicao, entao este bloco vale para qualquer tipo de secao configurado em Geometria!M21/M22.</t>
  </si>
  <si>
    <t>Comparativo direto de espaçamento, mantendo a bitola/n° de ramos ja escolhidos (I11, M11) - mais facil de comparar que peso/taxa</t>
  </si>
  <si>
    <t>Espaçamento Estribo 1 (cm)</t>
  </si>
  <si>
    <t>Espaçamento Estribo 2 (cm)</t>
  </si>
  <si>
    <t>SEM benefício da protensão (cálculo tradicional)</t>
  </si>
  <si>
    <t>COM benefício da protensão (NBR 6118 17.4.2.2)</t>
  </si>
  <si>
    <t>ADOTADO agora na planilha (conforme O6, célula acima)</t>
  </si>
  <si>
    <t>Obs.: O6 controla J11/L11 (espaçamento real, com arredondamento) e portanto K13/O13/L56 (peso e taxa) automaticamente. Este comparativo aqui é so pra visualizar o ganho antes do arredondamento.</t>
  </si>
  <si>
    <t>Considerar auxílio da protensão no cortante? (NBR 6118 17.4.2.2)</t>
  </si>
  <si>
    <t>SEM benefício da protensão:</t>
  </si>
  <si>
    <t>COM benefício da protensão:</t>
  </si>
  <si>
    <t>★ ADOTADO AGORA (conforme O6 acima):</t>
  </si>
  <si>
    <t>Tipo da terça</t>
  </si>
  <si>
    <t>1 - Metálica</t>
  </si>
  <si>
    <t>Tipo de terça.</t>
  </si>
  <si>
    <t>Tipo de viga</t>
  </si>
  <si>
    <t>Transição</t>
  </si>
  <si>
    <t>Tipo de cobertura.</t>
  </si>
  <si>
    <t>Cargas VPI para viga de transição</t>
  </si>
  <si>
    <t>Placa fotovoltáica?</t>
  </si>
  <si>
    <t>Placa fotovoltáica</t>
  </si>
  <si>
    <r>
      <rPr>
        <sz val="11"/>
        <color theme="1"/>
        <rFont val="Aptos Narrow"/>
        <family val="2"/>
        <charset val="1"/>
      </rPr>
      <t>L</t>
    </r>
    <r>
      <rPr>
        <sz val="10"/>
        <color rgb="FF333333"/>
        <rFont val="Aptos Narrow"/>
        <family val="2"/>
        <charset val="1"/>
      </rPr>
      <t>vão =</t>
    </r>
  </si>
  <si>
    <r>
      <rPr>
        <sz val="11"/>
        <color theme="1"/>
        <rFont val="Aptos Narrow"/>
        <family val="2"/>
        <charset val="1"/>
      </rPr>
      <t>L</t>
    </r>
    <r>
      <rPr>
        <sz val="10"/>
        <color rgb="FF333333"/>
        <rFont val="Aptos Narrow"/>
        <family val="2"/>
        <charset val="1"/>
      </rPr>
      <t>vão VPI</t>
    </r>
    <r>
      <rPr>
        <sz val="11"/>
        <color theme="1"/>
        <rFont val="Aptos Narrow"/>
        <family val="2"/>
        <charset val="1"/>
      </rPr>
      <t xml:space="preserve"> =</t>
    </r>
  </si>
  <si>
    <r>
      <rPr>
        <sz val="11"/>
        <color theme="1"/>
        <rFont val="Aptos Narrow"/>
        <family val="2"/>
        <charset val="1"/>
      </rPr>
      <t>L</t>
    </r>
    <r>
      <rPr>
        <sz val="10"/>
        <color rgb="FF333333"/>
        <rFont val="Aptos Narrow"/>
        <family val="2"/>
        <charset val="1"/>
      </rPr>
      <t>terça</t>
    </r>
    <r>
      <rPr>
        <sz val="11"/>
        <color theme="1"/>
        <rFont val="Aptos Narrow"/>
        <family val="2"/>
        <charset val="1"/>
      </rPr>
      <t xml:space="preserve"> =</t>
    </r>
  </si>
  <si>
    <t>Comprimento da terça.</t>
  </si>
  <si>
    <r>
      <rPr>
        <sz val="11"/>
        <color theme="1"/>
        <rFont val="Aptos Narrow"/>
        <family val="2"/>
        <charset val="1"/>
      </rPr>
      <t>S</t>
    </r>
    <r>
      <rPr>
        <sz val="10"/>
        <color rgb="FF333333"/>
        <rFont val="Aptos Narrow"/>
        <family val="2"/>
        <charset val="1"/>
      </rPr>
      <t>terça</t>
    </r>
    <r>
      <rPr>
        <sz val="11"/>
        <color theme="1"/>
        <rFont val="Aptos Narrow"/>
        <family val="2"/>
        <charset val="1"/>
      </rPr>
      <t xml:space="preserve"> =</t>
    </r>
  </si>
  <si>
    <t>Espaçamento da terça crto.</t>
  </si>
  <si>
    <r>
      <rPr>
        <sz val="11"/>
        <color theme="1"/>
        <rFont val="Aptos Narrow"/>
        <family val="2"/>
        <charset val="1"/>
      </rPr>
      <t>qtd</t>
    </r>
    <r>
      <rPr>
        <sz val="10"/>
        <color rgb="FF333333"/>
        <rFont val="Aptos Narrow"/>
        <family val="2"/>
        <charset val="1"/>
      </rPr>
      <t>terça</t>
    </r>
    <r>
      <rPr>
        <sz val="11"/>
        <color theme="1"/>
        <rFont val="Aptos Narrow"/>
        <family val="2"/>
        <charset val="1"/>
      </rPr>
      <t xml:space="preserve"> =</t>
    </r>
  </si>
  <si>
    <t>Quantidade de terças crto.</t>
  </si>
  <si>
    <t>Sc =</t>
  </si>
  <si>
    <t>Sobrecarga de cobertura.</t>
  </si>
  <si>
    <r>
      <rPr>
        <sz val="11"/>
        <color theme="1"/>
        <rFont val="Aptos Narrow"/>
        <family val="2"/>
        <charset val="1"/>
      </rPr>
      <t>Y</t>
    </r>
    <r>
      <rPr>
        <sz val="10"/>
        <color rgb="FF333333"/>
        <rFont val="Aptos Narrow"/>
        <family val="2"/>
        <charset val="1"/>
      </rPr>
      <t>telha</t>
    </r>
    <r>
      <rPr>
        <sz val="11"/>
        <color theme="1"/>
        <rFont val="Aptos Narrow"/>
        <family val="2"/>
        <charset val="1"/>
      </rPr>
      <t xml:space="preserve"> =</t>
    </r>
  </si>
  <si>
    <t>Peso específico da telha.</t>
  </si>
  <si>
    <r>
      <rPr>
        <sz val="11"/>
        <color theme="1"/>
        <rFont val="Aptos Narrow"/>
        <family val="2"/>
        <charset val="1"/>
      </rPr>
      <t>Y</t>
    </r>
    <r>
      <rPr>
        <sz val="10"/>
        <color rgb="FF333333"/>
        <rFont val="Aptos Narrow"/>
        <family val="2"/>
        <charset val="1"/>
      </rPr>
      <t>terça</t>
    </r>
    <r>
      <rPr>
        <sz val="11"/>
        <color theme="1"/>
        <rFont val="Aptos Narrow"/>
        <family val="2"/>
        <charset val="1"/>
      </rPr>
      <t xml:space="preserve"> =</t>
    </r>
  </si>
  <si>
    <t>Peso específico da terça.</t>
  </si>
  <si>
    <r>
      <rPr>
        <sz val="11"/>
        <color theme="1"/>
        <rFont val="Aptos Narrow"/>
        <family val="2"/>
        <charset val="1"/>
      </rPr>
      <t>Y</t>
    </r>
    <r>
      <rPr>
        <sz val="10"/>
        <color rgb="FF333333"/>
        <rFont val="Aptos Narrow"/>
        <family val="2"/>
        <charset val="1"/>
      </rPr>
      <t>placa ft</t>
    </r>
    <r>
      <rPr>
        <sz val="11"/>
        <color theme="1"/>
        <rFont val="Aptos Narrow"/>
        <family val="2"/>
        <charset val="1"/>
      </rPr>
      <t xml:space="preserve"> =</t>
    </r>
  </si>
  <si>
    <t>Peso específico da placafotovoltáica.</t>
  </si>
  <si>
    <r>
      <rPr>
        <sz val="11"/>
        <color theme="1"/>
        <rFont val="Aptos Narrow"/>
        <family val="2"/>
        <charset val="1"/>
      </rPr>
      <t>Y</t>
    </r>
    <r>
      <rPr>
        <sz val="10"/>
        <color rgb="FF333333"/>
        <rFont val="Aptos Narrow"/>
        <family val="2"/>
        <charset val="1"/>
      </rPr>
      <t>terça.crto</t>
    </r>
    <r>
      <rPr>
        <sz val="11"/>
        <color theme="1"/>
        <rFont val="Aptos Narrow"/>
        <family val="2"/>
        <charset val="1"/>
      </rPr>
      <t xml:space="preserve"> =</t>
    </r>
  </si>
  <si>
    <t>Peso específoco da terça de concreto.</t>
  </si>
  <si>
    <t>Cargas por metro linear.</t>
  </si>
  <si>
    <t>Terça</t>
  </si>
  <si>
    <t>Telha</t>
  </si>
  <si>
    <t>Placa ft</t>
  </si>
  <si>
    <t>Sc</t>
  </si>
  <si>
    <t>PP</t>
  </si>
  <si>
    <t>Verificação Sucção</t>
  </si>
  <si>
    <t xml:space="preserve">p = </t>
  </si>
  <si>
    <t>Pressão de vento.</t>
  </si>
  <si>
    <t xml:space="preserve">Cp = </t>
  </si>
  <si>
    <t>Coeficiente de parede.</t>
  </si>
  <si>
    <t>Carga distribuida.</t>
  </si>
  <si>
    <t>Cortante</t>
  </si>
  <si>
    <t>Seção Pré-fabricada</t>
  </si>
  <si>
    <t>DADOS DE ENTRADA</t>
  </si>
  <si>
    <t>AUXÍLIO</t>
  </si>
  <si>
    <r>
      <rPr>
        <sz val="11"/>
        <color theme="1"/>
        <rFont val="Aptos Narrow"/>
        <family val="2"/>
        <charset val="1"/>
      </rPr>
      <t>A</t>
    </r>
    <r>
      <rPr>
        <vertAlign val="subscript"/>
        <sz val="11"/>
        <color rgb="FF333333"/>
        <rFont val="Aptos Narrow"/>
        <family val="2"/>
        <charset val="1"/>
      </rPr>
      <t>c</t>
    </r>
  </si>
  <si>
    <t>Tipo Cimento</t>
  </si>
  <si>
    <t>α fluência</t>
  </si>
  <si>
    <t>α retração</t>
  </si>
  <si>
    <r>
      <rPr>
        <sz val="11"/>
        <color theme="1"/>
        <rFont val="Aptos Narrow"/>
        <family val="2"/>
        <charset val="1"/>
      </rPr>
      <t>u</t>
    </r>
    <r>
      <rPr>
        <vertAlign val="subscript"/>
        <sz val="11"/>
        <color rgb="FF333333"/>
        <rFont val="Aptos Narrow"/>
        <family val="2"/>
        <charset val="1"/>
      </rPr>
      <t>ar</t>
    </r>
  </si>
  <si>
    <t>Cimento</t>
  </si>
  <si>
    <t>U (umid.)</t>
  </si>
  <si>
    <r>
      <rPr>
        <sz val="11"/>
        <color rgb="FF333333"/>
        <rFont val="Times New Roman"/>
        <family val="1"/>
        <charset val="1"/>
      </rPr>
      <t>Δ</t>
    </r>
    <r>
      <rPr>
        <sz val="11"/>
        <color theme="1"/>
        <rFont val="Aptos Narrow"/>
        <family val="2"/>
        <charset val="1"/>
      </rPr>
      <t>t</t>
    </r>
    <r>
      <rPr>
        <vertAlign val="subscript"/>
        <sz val="11"/>
        <color rgb="FF333333"/>
        <rFont val="Aptos Narrow"/>
        <family val="2"/>
        <charset val="1"/>
      </rPr>
      <t>ef,i</t>
    </r>
  </si>
  <si>
    <t>CPIII e CPIV</t>
  </si>
  <si>
    <r>
      <rPr>
        <sz val="11"/>
        <color theme="1"/>
        <rFont val="Aptos Narrow"/>
        <family val="2"/>
        <charset val="1"/>
      </rPr>
      <t>T</t>
    </r>
    <r>
      <rPr>
        <vertAlign val="subscript"/>
        <sz val="11"/>
        <color rgb="FF333333"/>
        <rFont val="Aptos Narrow"/>
        <family val="2"/>
        <charset val="1"/>
      </rPr>
      <t>i</t>
    </r>
  </si>
  <si>
    <r>
      <rPr>
        <sz val="11"/>
        <color theme="1"/>
        <rFont val="Aptos Narrow"/>
        <family val="2"/>
        <charset val="1"/>
      </rPr>
      <t>t</t>
    </r>
    <r>
      <rPr>
        <vertAlign val="subscript"/>
        <sz val="11"/>
        <color rgb="FF333333"/>
        <rFont val="Times New Roman"/>
        <family val="1"/>
        <charset val="1"/>
      </rPr>
      <t>∞</t>
    </r>
  </si>
  <si>
    <t>Slump</t>
  </si>
  <si>
    <t>COEFICIENTE DE FLUÊNCIA</t>
  </si>
  <si>
    <t>RETRAÇÃO DO CONCRETO</t>
  </si>
  <si>
    <t>Deformação rápida</t>
  </si>
  <si>
    <r>
      <rPr>
        <sz val="11"/>
        <color rgb="FF333333"/>
        <rFont val="Times New Roman"/>
        <family val="1"/>
        <charset val="1"/>
      </rPr>
      <t>ε</t>
    </r>
    <r>
      <rPr>
        <vertAlign val="subscript"/>
        <sz val="11"/>
        <color rgb="FF333333"/>
        <rFont val="Times New Roman"/>
        <family val="1"/>
        <charset val="1"/>
      </rPr>
      <t>1s 0-4</t>
    </r>
  </si>
  <si>
    <t>α</t>
  </si>
  <si>
    <r>
      <rPr>
        <sz val="11"/>
        <color rgb="FF333333"/>
        <rFont val="Times New Roman"/>
        <family val="1"/>
        <charset val="1"/>
      </rPr>
      <t>ε</t>
    </r>
    <r>
      <rPr>
        <vertAlign val="subscript"/>
        <sz val="11"/>
        <color rgb="FF333333"/>
        <rFont val="Times New Roman"/>
        <family val="1"/>
        <charset val="1"/>
      </rPr>
      <t>1s 5-9</t>
    </r>
  </si>
  <si>
    <r>
      <rPr>
        <sz val="11"/>
        <color theme="1"/>
        <rFont val="Aptos Narrow"/>
        <family val="2"/>
        <charset val="1"/>
      </rPr>
      <t>t</t>
    </r>
    <r>
      <rPr>
        <vertAlign val="subscript"/>
        <sz val="11"/>
        <color rgb="FF333333"/>
        <rFont val="Aptos Narrow"/>
        <family val="2"/>
        <charset val="1"/>
      </rPr>
      <t>0i, fic</t>
    </r>
  </si>
  <si>
    <r>
      <rPr>
        <sz val="11"/>
        <color rgb="FF333333"/>
        <rFont val="Times New Roman"/>
        <family val="1"/>
        <charset val="1"/>
      </rPr>
      <t>ε</t>
    </r>
    <r>
      <rPr>
        <vertAlign val="subscript"/>
        <sz val="11"/>
        <color rgb="FF333333"/>
        <rFont val="Times New Roman"/>
        <family val="1"/>
        <charset val="1"/>
      </rPr>
      <t>1s 10-15</t>
    </r>
  </si>
  <si>
    <r>
      <rPr>
        <sz val="11"/>
        <color theme="1"/>
        <rFont val="Aptos Narrow"/>
        <family val="2"/>
        <charset val="1"/>
      </rPr>
      <t>t</t>
    </r>
    <r>
      <rPr>
        <vertAlign val="subscript"/>
        <sz val="11"/>
        <color rgb="FF333333"/>
        <rFont val="Times New Roman"/>
        <family val="1"/>
        <charset val="1"/>
      </rPr>
      <t>∞, fic</t>
    </r>
  </si>
  <si>
    <r>
      <rPr>
        <sz val="11"/>
        <color rgb="FF333333"/>
        <rFont val="Times New Roman"/>
        <family val="1"/>
        <charset val="1"/>
      </rPr>
      <t>ε</t>
    </r>
    <r>
      <rPr>
        <vertAlign val="subscript"/>
        <sz val="11"/>
        <color rgb="FF333333"/>
        <rFont val="Times New Roman"/>
        <family val="1"/>
        <charset val="1"/>
      </rPr>
      <t>1s adotado</t>
    </r>
  </si>
  <si>
    <r>
      <rPr>
        <sz val="11"/>
        <color rgb="FF333333"/>
        <rFont val="Times New Roman"/>
        <family val="1"/>
        <charset val="1"/>
      </rPr>
      <t>ε</t>
    </r>
    <r>
      <rPr>
        <vertAlign val="subscript"/>
        <sz val="11"/>
        <color rgb="FF333333"/>
        <rFont val="Times New Roman"/>
        <family val="1"/>
        <charset val="1"/>
      </rPr>
      <t xml:space="preserve">2s </t>
    </r>
  </si>
  <si>
    <r>
      <rPr>
        <sz val="11"/>
        <color theme="1"/>
        <rFont val="Aptos Narrow"/>
        <family val="2"/>
        <charset val="1"/>
      </rPr>
      <t>f</t>
    </r>
    <r>
      <rPr>
        <vertAlign val="subscript"/>
        <sz val="11"/>
        <color rgb="FF333333"/>
        <rFont val="Aptos Narrow"/>
        <family val="2"/>
        <charset val="1"/>
      </rPr>
      <t>c</t>
    </r>
    <r>
      <rPr>
        <sz val="11"/>
        <color theme="1"/>
        <rFont val="Aptos Narrow"/>
        <family val="2"/>
        <charset val="1"/>
      </rPr>
      <t xml:space="preserve"> (t</t>
    </r>
    <r>
      <rPr>
        <vertAlign val="subscript"/>
        <sz val="11"/>
        <color rgb="FF333333"/>
        <rFont val="Aptos Narrow"/>
        <family val="2"/>
        <charset val="1"/>
      </rPr>
      <t>0</t>
    </r>
    <r>
      <rPr>
        <sz val="11"/>
        <color theme="1"/>
        <rFont val="Aptos Narrow"/>
        <family val="2"/>
        <charset val="1"/>
      </rPr>
      <t>)</t>
    </r>
  </si>
  <si>
    <r>
      <rPr>
        <sz val="11"/>
        <color rgb="FF333333"/>
        <rFont val="Times New Roman"/>
        <family val="1"/>
        <charset val="1"/>
      </rPr>
      <t>ε</t>
    </r>
    <r>
      <rPr>
        <vertAlign val="subscript"/>
        <sz val="11"/>
        <color rgb="FF333333"/>
        <rFont val="Times New Roman"/>
        <family val="1"/>
        <charset val="1"/>
      </rPr>
      <t xml:space="preserve">cs∞ </t>
    </r>
  </si>
  <si>
    <r>
      <rPr>
        <sz val="11"/>
        <color theme="1"/>
        <rFont val="Aptos Narrow"/>
        <family val="2"/>
        <charset val="1"/>
      </rPr>
      <t>f</t>
    </r>
    <r>
      <rPr>
        <vertAlign val="subscript"/>
        <sz val="11"/>
        <color rgb="FF333333"/>
        <rFont val="Aptos Narrow"/>
        <family val="2"/>
        <charset val="1"/>
      </rPr>
      <t>c</t>
    </r>
    <r>
      <rPr>
        <sz val="11"/>
        <color theme="1"/>
        <rFont val="Aptos Narrow"/>
        <family val="2"/>
        <charset val="1"/>
      </rPr>
      <t xml:space="preserve"> (t</t>
    </r>
    <r>
      <rPr>
        <vertAlign val="subscript"/>
        <sz val="11"/>
        <color rgb="FF333333"/>
        <rFont val="Times New Roman"/>
        <family val="1"/>
        <charset val="1"/>
      </rPr>
      <t>∞</t>
    </r>
    <r>
      <rPr>
        <sz val="11"/>
        <color theme="1"/>
        <rFont val="Aptos Narrow"/>
        <family val="2"/>
        <charset val="1"/>
      </rPr>
      <t>)</t>
    </r>
  </si>
  <si>
    <r>
      <rPr>
        <sz val="11"/>
        <color rgb="FF333333"/>
        <rFont val="Times New Roman"/>
        <family val="1"/>
        <charset val="1"/>
      </rPr>
      <t>φ</t>
    </r>
    <r>
      <rPr>
        <vertAlign val="subscript"/>
        <sz val="11"/>
        <color rgb="FF333333"/>
        <rFont val="Calibri"/>
        <family val="2"/>
        <charset val="1"/>
      </rPr>
      <t>a fck&lt;=45</t>
    </r>
  </si>
  <si>
    <r>
      <rPr>
        <sz val="11"/>
        <color rgb="FF333333"/>
        <rFont val="Times New Roman"/>
        <family val="1"/>
        <charset val="1"/>
      </rPr>
      <t>φ</t>
    </r>
    <r>
      <rPr>
        <vertAlign val="subscript"/>
        <sz val="11"/>
        <color rgb="FF333333"/>
        <rFont val="Calibri"/>
        <family val="2"/>
        <charset val="1"/>
      </rPr>
      <t>a fck&gt;45</t>
    </r>
  </si>
  <si>
    <r>
      <rPr>
        <sz val="11"/>
        <color rgb="FF333333"/>
        <rFont val="Times New Roman"/>
        <family val="1"/>
        <charset val="1"/>
      </rPr>
      <t>φ</t>
    </r>
    <r>
      <rPr>
        <vertAlign val="subscript"/>
        <sz val="11"/>
        <color rgb="FF333333"/>
        <rFont val="Calibri"/>
        <family val="2"/>
        <charset val="1"/>
      </rPr>
      <t>a adotado</t>
    </r>
  </si>
  <si>
    <r>
      <rPr>
        <sz val="11"/>
        <color rgb="FF333333"/>
        <rFont val="Calibri"/>
        <family val="2"/>
        <charset val="1"/>
      </rPr>
      <t>h</t>
    </r>
    <r>
      <rPr>
        <vertAlign val="subscript"/>
        <sz val="11"/>
        <color rgb="FF333333"/>
        <rFont val="Calibri"/>
        <family val="2"/>
        <charset val="1"/>
      </rPr>
      <t>fic</t>
    </r>
  </si>
  <si>
    <t>Deformação lenta irrev.</t>
  </si>
  <si>
    <r>
      <rPr>
        <sz val="11"/>
        <color rgb="FF333333"/>
        <rFont val="Times New Roman"/>
        <family val="1"/>
        <charset val="1"/>
      </rPr>
      <t>φ</t>
    </r>
    <r>
      <rPr>
        <vertAlign val="subscript"/>
        <sz val="11"/>
        <color rgb="FF333333"/>
        <rFont val="Calibri"/>
        <family val="2"/>
        <charset val="1"/>
      </rPr>
      <t>1c 0-4</t>
    </r>
  </si>
  <si>
    <r>
      <rPr>
        <sz val="11"/>
        <color rgb="FF333333"/>
        <rFont val="Times New Roman"/>
        <family val="1"/>
        <charset val="1"/>
      </rPr>
      <t>φ</t>
    </r>
    <r>
      <rPr>
        <vertAlign val="subscript"/>
        <sz val="11"/>
        <color rgb="FF333333"/>
        <rFont val="Calibri"/>
        <family val="2"/>
        <charset val="1"/>
      </rPr>
      <t>1c 5-9</t>
    </r>
  </si>
  <si>
    <r>
      <rPr>
        <sz val="11"/>
        <color rgb="FF333333"/>
        <rFont val="Times New Roman"/>
        <family val="1"/>
        <charset val="1"/>
      </rPr>
      <t>φ</t>
    </r>
    <r>
      <rPr>
        <vertAlign val="subscript"/>
        <sz val="11"/>
        <color rgb="FF333333"/>
        <rFont val="Calibri"/>
        <family val="2"/>
        <charset val="1"/>
      </rPr>
      <t>1c 10-15</t>
    </r>
  </si>
  <si>
    <r>
      <rPr>
        <sz val="11"/>
        <color rgb="FF333333"/>
        <rFont val="Times New Roman"/>
        <family val="1"/>
        <charset val="1"/>
      </rPr>
      <t>φ</t>
    </r>
    <r>
      <rPr>
        <vertAlign val="subscript"/>
        <sz val="11"/>
        <color rgb="FF333333"/>
        <rFont val="Calibri"/>
        <family val="2"/>
        <charset val="1"/>
      </rPr>
      <t>1 adotado</t>
    </r>
  </si>
  <si>
    <t>E</t>
  </si>
  <si>
    <t>γ</t>
  </si>
  <si>
    <r>
      <rPr>
        <sz val="11"/>
        <color rgb="FF333333"/>
        <rFont val="Calibri"/>
        <family val="2"/>
        <charset val="1"/>
      </rPr>
      <t>β</t>
    </r>
    <r>
      <rPr>
        <vertAlign val="subscript"/>
        <sz val="11"/>
        <color rgb="FF333333"/>
        <rFont val="Calibri"/>
        <family val="2"/>
        <charset val="1"/>
      </rPr>
      <t>s</t>
    </r>
    <r>
      <rPr>
        <sz val="11"/>
        <color rgb="FF333333"/>
        <rFont val="Calibri"/>
        <family val="2"/>
        <charset val="1"/>
      </rPr>
      <t xml:space="preserve"> (t</t>
    </r>
    <r>
      <rPr>
        <vertAlign val="subscript"/>
        <sz val="11"/>
        <color rgb="FF333333"/>
        <rFont val="Calibri"/>
        <family val="2"/>
        <charset val="1"/>
      </rPr>
      <t>0i,fic</t>
    </r>
    <r>
      <rPr>
        <sz val="11"/>
        <color rgb="FF333333"/>
        <rFont val="Calibri"/>
        <family val="2"/>
        <charset val="1"/>
      </rPr>
      <t>)</t>
    </r>
  </si>
  <si>
    <r>
      <rPr>
        <sz val="11"/>
        <color rgb="FF333333"/>
        <rFont val="Calibri"/>
        <family val="2"/>
        <charset val="1"/>
      </rPr>
      <t>β</t>
    </r>
    <r>
      <rPr>
        <vertAlign val="subscript"/>
        <sz val="11"/>
        <color rgb="FF333333"/>
        <rFont val="Calibri"/>
        <family val="2"/>
        <charset val="1"/>
      </rPr>
      <t>s</t>
    </r>
    <r>
      <rPr>
        <sz val="11"/>
        <color rgb="FF333333"/>
        <rFont val="Calibri"/>
        <family val="2"/>
        <charset val="1"/>
      </rPr>
      <t xml:space="preserve"> (t</t>
    </r>
    <r>
      <rPr>
        <vertAlign val="subscript"/>
        <sz val="11"/>
        <color rgb="FF333333"/>
        <rFont val="Times New Roman"/>
        <family val="1"/>
        <charset val="1"/>
      </rPr>
      <t>∞,</t>
    </r>
    <r>
      <rPr>
        <vertAlign val="subscript"/>
        <sz val="11"/>
        <color rgb="FF333333"/>
        <rFont val="Calibri"/>
        <family val="2"/>
        <charset val="1"/>
      </rPr>
      <t xml:space="preserve"> fic</t>
    </r>
    <r>
      <rPr>
        <sz val="11"/>
        <color rgb="FF333333"/>
        <rFont val="Calibri"/>
        <family val="2"/>
        <charset val="1"/>
      </rPr>
      <t>)</t>
    </r>
  </si>
  <si>
    <r>
      <rPr>
        <sz val="11"/>
        <color rgb="FF333333"/>
        <rFont val="Times New Roman"/>
        <family val="1"/>
        <charset val="1"/>
      </rPr>
      <t>φ</t>
    </r>
    <r>
      <rPr>
        <vertAlign val="subscript"/>
        <sz val="11"/>
        <color rgb="FF333333"/>
        <rFont val="Calibri"/>
        <family val="2"/>
        <charset val="1"/>
      </rPr>
      <t>2c</t>
    </r>
  </si>
  <si>
    <r>
      <rPr>
        <b/>
        <sz val="11"/>
        <color rgb="FF333333"/>
        <rFont val="Times New Roman"/>
        <family val="1"/>
        <charset val="1"/>
      </rPr>
      <t>ε</t>
    </r>
    <r>
      <rPr>
        <b/>
        <vertAlign val="subscript"/>
        <sz val="11"/>
        <color rgb="FF333333"/>
        <rFont val="Calibri"/>
        <family val="2"/>
        <charset val="1"/>
      </rPr>
      <t>cs</t>
    </r>
    <r>
      <rPr>
        <b/>
        <sz val="11"/>
        <color rgb="FF333333"/>
        <rFont val="Calibri"/>
        <family val="2"/>
        <charset val="1"/>
      </rPr>
      <t xml:space="preserve"> (t, t</t>
    </r>
    <r>
      <rPr>
        <b/>
        <vertAlign val="subscript"/>
        <sz val="11"/>
        <color rgb="FF333333"/>
        <rFont val="Calibri"/>
        <family val="2"/>
        <charset val="1"/>
      </rPr>
      <t>0</t>
    </r>
    <r>
      <rPr>
        <b/>
        <sz val="11"/>
        <color rgb="FF333333"/>
        <rFont val="Calibri"/>
        <family val="2"/>
        <charset val="1"/>
      </rPr>
      <t>)</t>
    </r>
  </si>
  <si>
    <r>
      <rPr>
        <sz val="11"/>
        <color rgb="FF333333"/>
        <rFont val="Times New Roman"/>
        <family val="1"/>
        <charset val="1"/>
      </rPr>
      <t>φ</t>
    </r>
    <r>
      <rPr>
        <vertAlign val="subscript"/>
        <sz val="11"/>
        <color rgb="FF333333"/>
        <rFont val="Calibri"/>
        <family val="2"/>
        <charset val="1"/>
      </rPr>
      <t>f</t>
    </r>
    <r>
      <rPr>
        <vertAlign val="subscript"/>
        <sz val="11"/>
        <color rgb="FF333333"/>
        <rFont val="Times New Roman"/>
        <family val="1"/>
        <charset val="1"/>
      </rPr>
      <t xml:space="preserve">∞&lt;=45 </t>
    </r>
  </si>
  <si>
    <r>
      <rPr>
        <sz val="11"/>
        <color rgb="FF333333"/>
        <rFont val="Times New Roman"/>
        <family val="1"/>
        <charset val="1"/>
      </rPr>
      <t>φ</t>
    </r>
    <r>
      <rPr>
        <vertAlign val="subscript"/>
        <sz val="11"/>
        <color rgb="FF333333"/>
        <rFont val="Calibri"/>
        <family val="2"/>
        <charset val="1"/>
      </rPr>
      <t>f</t>
    </r>
    <r>
      <rPr>
        <vertAlign val="subscript"/>
        <sz val="11"/>
        <color rgb="FF333333"/>
        <rFont val="Times New Roman"/>
        <family val="1"/>
        <charset val="1"/>
      </rPr>
      <t>∞&gt;45</t>
    </r>
  </si>
  <si>
    <r>
      <rPr>
        <sz val="11"/>
        <color rgb="FF333333"/>
        <rFont val="Times New Roman"/>
        <family val="1"/>
        <charset val="1"/>
      </rPr>
      <t>φ</t>
    </r>
    <r>
      <rPr>
        <vertAlign val="subscript"/>
        <sz val="11"/>
        <color rgb="FF333333"/>
        <rFont val="Calibri"/>
        <family val="2"/>
        <charset val="1"/>
      </rPr>
      <t>f</t>
    </r>
    <r>
      <rPr>
        <vertAlign val="subscript"/>
        <sz val="11"/>
        <color rgb="FF333333"/>
        <rFont val="Times New Roman"/>
        <family val="1"/>
        <charset val="1"/>
      </rPr>
      <t>∞ adotado</t>
    </r>
  </si>
  <si>
    <t xml:space="preserve"> deformação lenta reversível</t>
  </si>
  <si>
    <r>
      <rPr>
        <sz val="11"/>
        <color rgb="FF333333"/>
        <rFont val="Times New Roman"/>
        <family val="1"/>
        <charset val="1"/>
      </rPr>
      <t>φ</t>
    </r>
    <r>
      <rPr>
        <vertAlign val="subscript"/>
        <sz val="11"/>
        <color rgb="FF333333"/>
        <rFont val="Calibri"/>
        <family val="2"/>
        <charset val="1"/>
      </rPr>
      <t>d</t>
    </r>
  </si>
  <si>
    <r>
      <rPr>
        <sz val="11"/>
        <color rgb="FF333333"/>
        <rFont val="Calibri"/>
        <family val="2"/>
        <charset val="1"/>
      </rPr>
      <t>β</t>
    </r>
    <r>
      <rPr>
        <vertAlign val="subscript"/>
        <sz val="11"/>
        <color rgb="FF333333"/>
        <rFont val="Calibri"/>
        <family val="2"/>
        <charset val="1"/>
      </rPr>
      <t>d</t>
    </r>
    <r>
      <rPr>
        <sz val="11"/>
        <color rgb="FF333333"/>
        <rFont val="Calibri"/>
        <family val="2"/>
        <charset val="1"/>
      </rPr>
      <t xml:space="preserve"> (t)</t>
    </r>
  </si>
  <si>
    <r>
      <rPr>
        <sz val="11"/>
        <color rgb="FF333333"/>
        <rFont val="Calibri"/>
        <family val="2"/>
        <charset val="1"/>
      </rPr>
      <t>β</t>
    </r>
    <r>
      <rPr>
        <vertAlign val="subscript"/>
        <sz val="11"/>
        <color rgb="FF333333"/>
        <rFont val="Calibri"/>
        <family val="2"/>
        <charset val="1"/>
      </rPr>
      <t>f</t>
    </r>
    <r>
      <rPr>
        <sz val="11"/>
        <color rgb="FF333333"/>
        <rFont val="Calibri"/>
        <family val="2"/>
        <charset val="1"/>
      </rPr>
      <t xml:space="preserve"> (t</t>
    </r>
    <r>
      <rPr>
        <vertAlign val="subscript"/>
        <sz val="11"/>
        <color rgb="FF333333"/>
        <rFont val="Calibri"/>
        <family val="2"/>
        <charset val="1"/>
      </rPr>
      <t>0i,fic</t>
    </r>
    <r>
      <rPr>
        <sz val="11"/>
        <color rgb="FF333333"/>
        <rFont val="Calibri"/>
        <family val="2"/>
        <charset val="1"/>
      </rPr>
      <t>)</t>
    </r>
  </si>
  <si>
    <r>
      <rPr>
        <sz val="11"/>
        <color rgb="FF333333"/>
        <rFont val="Calibri"/>
        <family val="2"/>
        <charset val="1"/>
      </rPr>
      <t>β</t>
    </r>
    <r>
      <rPr>
        <vertAlign val="subscript"/>
        <sz val="11"/>
        <color rgb="FF333333"/>
        <rFont val="Calibri"/>
        <family val="2"/>
        <charset val="1"/>
      </rPr>
      <t>f</t>
    </r>
    <r>
      <rPr>
        <sz val="11"/>
        <color rgb="FF333333"/>
        <rFont val="Calibri"/>
        <family val="2"/>
        <charset val="1"/>
      </rPr>
      <t xml:space="preserve"> (t</t>
    </r>
    <r>
      <rPr>
        <vertAlign val="subscript"/>
        <sz val="11"/>
        <color rgb="FF333333"/>
        <rFont val="Times New Roman"/>
        <family val="1"/>
        <charset val="1"/>
      </rPr>
      <t>∞,</t>
    </r>
    <r>
      <rPr>
        <vertAlign val="subscript"/>
        <sz val="11"/>
        <color rgb="FF333333"/>
        <rFont val="Calibri"/>
        <family val="2"/>
        <charset val="1"/>
      </rPr>
      <t xml:space="preserve"> fic</t>
    </r>
    <r>
      <rPr>
        <sz val="11"/>
        <color rgb="FF333333"/>
        <rFont val="Calibri"/>
        <family val="2"/>
        <charset val="1"/>
      </rPr>
      <t>)</t>
    </r>
  </si>
  <si>
    <r>
      <rPr>
        <b/>
        <sz val="11"/>
        <color rgb="FF333333"/>
        <rFont val="Times New Roman"/>
        <family val="1"/>
        <charset val="1"/>
      </rPr>
      <t>φ</t>
    </r>
    <r>
      <rPr>
        <b/>
        <sz val="11"/>
        <color rgb="FF333333"/>
        <rFont val="Calibri"/>
        <family val="2"/>
        <charset val="1"/>
      </rPr>
      <t xml:space="preserve"> (t,t</t>
    </r>
    <r>
      <rPr>
        <b/>
        <vertAlign val="subscript"/>
        <sz val="11"/>
        <color rgb="FF333333"/>
        <rFont val="Calibri"/>
        <family val="2"/>
        <charset val="1"/>
      </rPr>
      <t>0</t>
    </r>
    <r>
      <rPr>
        <b/>
        <sz val="11"/>
        <color rgb="FF333333"/>
        <rFont val="Calibri"/>
        <family val="2"/>
        <charset val="1"/>
      </rPr>
      <t>)</t>
    </r>
  </si>
  <si>
    <t>Seção Solidarizada</t>
  </si>
  <si>
    <t>PERDAS DE PROTENSÃO POR SEÇÃO (S1 a S21)</t>
  </si>
  <si>
    <t>Esta aba refaz o cálculo da seção "9. Perdas de protensão" da aba Geometria (linhas 256 a 350), porém calculando cada grandeza em cada uma das 21 seções ao longo do vão (S1 a S21, espaçadas em L/20 - mesmos pontos já usados nas abas Geometria/Tensões para o ELS-F e ELS-D), em vez de um único valor obtido só com o momento do meio do vão (M,g0 = w.L^2/8 etc). Segue o mesmo método usado na planilha de referência (perda calculada seção a seção, em vez de um só ponto).</t>
  </si>
  <si>
    <t>Todas as fórmulas de perda (deformação imediata do concreto, fluência, retração, relaxação) são as MESMAS já usadas na aba Geometria - apenas passaram a usar o momento fletor de cada carga (M,g0...M,q0) calculado NA SEÇÃO em vez de sempre no meio do vão.</t>
  </si>
  <si>
    <t>Conferência: a coluna da Seção 11 (x = L/2, meio do vão) reproduz os valores que já existiam na aba Geometria (linhas 344, 345, 349, 350), EXCETO na perda progressiva inferior (ver observação de correção abaixo), onde há uma pequena diferença intencional.</t>
  </si>
  <si>
    <t>Legenda de cores: verde = valor importado de outra aba (constante, igual em toda a viga) | preto = fórmula calculada nesta aba (varia por seção) | amarelo = resultado final a ser usado na aba "Tensões" — Np,tot/Mp,tot (item 7, estado final t=∞, usado nos blocos ELS-F máx/mín e ELS-D máx/mín) e Np,ATO/Mp,ATO (estado logo após a transferência t=1, usado nos blocos "ATO" e "Içamento").</t>
  </si>
  <si>
    <t>Na aba Tensões, os blocos ATO e Içamento usavam Geometria!$L$882/$L$883 (um único par de valores para a viga toda) na coluna "Tensão calculada". Isso foi trocado para usar Np,ATO/Mp,ATO desta aba, por seção — mesma lógica já aplicada aos blocos ELS-F/ELS-D com Np,tot/Mp,tot. O ramo "Reduzir" (perto dos apoios, usando a aba Isolamento de cabos) não foi alterado - já era por seção.</t>
  </si>
  <si>
    <t>CORREÇÃO em relação à aba Geometria: na fórmula de perda progressiva, a aba Geometria original usa o mesmo termo "Xp" (baseado só na relaxação da borda SUPERIOR) no denominador tanto da perda inferior quanto da superior (Geometria!P328 e P329 dividem pelo mesmo P321/Xp). A planilha de referência usa Xp,inf (da própria borda inferior) no denominador da perda inferior e Xp,sup no da superior - forma correta do método de interação do Anexo A da NBR 6118. Nesta aba isso foi corrigido: agora se calcula Xp,inf e Xp,sup separadamente, cada um no seu próprio denominador. Por isso a linha de Conferência mostra uma pequena diferença (não mais zero) na perda inferior - isso é esperado e intencional, é a correção, não um erro novo.</t>
  </si>
  <si>
    <t>1. Estações ao longo do vão (mesmos pontos S1...S21 usados nas abas Geometria/Tensões)</t>
  </si>
  <si>
    <t>Estação</t>
  </si>
  <si>
    <t>x (m)</t>
  </si>
  <si>
    <t>2. Momentos fletores isolados por carga, em cada seção  [M(x) = w · x · (L - x) / 2]</t>
  </si>
  <si>
    <t>M,g0 (viga)  (kN·m)</t>
  </si>
  <si>
    <t>M,g1 (laje)  (kN·m)</t>
  </si>
  <si>
    <t>M,g2 (capa)  (kN·m)</t>
  </si>
  <si>
    <t>M,g3 (alvenaria)  (kN·m)</t>
  </si>
  <si>
    <t>M,g4 (revest.)  (kN·m)</t>
  </si>
  <si>
    <t>M,q0 (acidental)  (kN·m)</t>
  </si>
  <si>
    <t>3. Dados constantes ao longo da viga (importados da aba Geometria)</t>
  </si>
  <si>
    <t>A,p inferior (cm²)</t>
  </si>
  <si>
    <t>A'p superior (cm²)</t>
  </si>
  <si>
    <t>e,p inferior (cm)</t>
  </si>
  <si>
    <t>e'p superior (cm)</t>
  </si>
  <si>
    <t>Ac (cm²)</t>
  </si>
  <si>
    <t>Ic (cm⁴)</t>
  </si>
  <si>
    <t>Ic,comp (cm⁴)</t>
  </si>
  <si>
    <t>σpi — tensão inicial (kN/cm²)</t>
  </si>
  <si>
    <t>Δσ ancoragem (kN/cm²)</t>
  </si>
  <si>
    <t>Δσpr — relaxação inicial (kN/cm²)</t>
  </si>
  <si>
    <t>σpi antes da perda imediata (kN/cm²)</t>
  </si>
  <si>
    <t>Np antes da perda imediata (kN)</t>
  </si>
  <si>
    <t>Mp antes da perda imediata</t>
  </si>
  <si>
    <t>σp = Ep/Eci</t>
  </si>
  <si>
    <t>Δσ retração do concreto (kN/cm²)</t>
  </si>
  <si>
    <t>Q285 = Ep/Ecs</t>
  </si>
  <si>
    <t>N308 — φ (Protensão)</t>
  </si>
  <si>
    <t>Q308 — φ médio (Protensão)</t>
  </si>
  <si>
    <t>Q310 — φ médio (PP laje)</t>
  </si>
  <si>
    <t>Q311 — φ médio (Capa)</t>
  </si>
  <si>
    <t>Q312 — φ médio (Alvenaria)</t>
  </si>
  <si>
    <t>Q313 — φ médio (Revestimento)</t>
  </si>
  <si>
    <t>Q314 — φ médio (Acidental)</t>
  </si>
  <si>
    <t>Xc = 1+0,5·φ(protensão)</t>
  </si>
  <si>
    <t>termo geom. inf. [(M30-L254)/100]</t>
  </si>
  <si>
    <t>4. Perda por deformação imediata do concreto (elástica) — por seção  [replica Geometria!L288:L302]</t>
  </si>
  <si>
    <t>σc,po+g,inf (kN/cm²)</t>
  </si>
  <si>
    <t>σc,po+g,sup (kN/cm²)</t>
  </si>
  <si>
    <t>Δσcg,inf (kN/cm²)</t>
  </si>
  <si>
    <t>Δσcg,sup (kN/cm²)</t>
  </si>
  <si>
    <t>σp,inf, t=1 (kN/cm²)   [Geometria: M301]</t>
  </si>
  <si>
    <t>σp,sup, t=1 (kN/cm²)   [Geometria: M302]</t>
  </si>
  <si>
    <t>% perda inf., t=1 (informativo)</t>
  </si>
  <si>
    <t>% perda sup., t=1 (informativo)</t>
  </si>
  <si>
    <t>5. Perdas progressivas — fluência + retração + relaxação, interação NBR 6118 Anexo A — por seção  [replica Geometria!Q275:P339]</t>
  </si>
  <si>
    <t>Np, t=1 (kN)</t>
  </si>
  <si>
    <t>Mp, t=1 (kN·m)</t>
  </si>
  <si>
    <t>A  (inf.)</t>
  </si>
  <si>
    <t>B  (inf.)</t>
  </si>
  <si>
    <t>C  (inf.)</t>
  </si>
  <si>
    <t>D  (inf.)</t>
  </si>
  <si>
    <t>Δσp,c,inf — fluência (kN/cm²)</t>
  </si>
  <si>
    <t>A' (sup.)</t>
  </si>
  <si>
    <t>B' (sup.)</t>
  </si>
  <si>
    <t>C' (sup.)</t>
  </si>
  <si>
    <t>D' (sup.)</t>
  </si>
  <si>
    <t>Δσp,c,sup — fluência (kN/cm²)</t>
  </si>
  <si>
    <t>Ψ1000,inf (%)  [interp. tabela]</t>
  </si>
  <si>
    <t>Ψ1000,sup (%)  [interp. tabela]</t>
  </si>
  <si>
    <t>Ψ(inf,1) = 2,5·Ψ1000,inf</t>
  </si>
  <si>
    <t>Ψ(sup,1) = 2,5·Ψ1000,sup</t>
  </si>
  <si>
    <t>Xp,inf (denominador borda inf., = 1+X(inf,1)inf)  [CORRIGIDO — Geometria usa o de sup. nos dois]</t>
  </si>
  <si>
    <t>Xp,sup (denominador borda sup., = 1+X(inf,1)sup)</t>
  </si>
  <si>
    <t>Δσpr,inf — relaxação final (kN/cm²)</t>
  </si>
  <si>
    <t>Δσpr,sup — relaxação final (kN/cm²)</t>
  </si>
  <si>
    <t>Δσp(∞,1)inf — perda progressiva total, borda inf. (kN/cm²)</t>
  </si>
  <si>
    <t>Δσp(∞,1)sup — perda progressiva total, borda sup. (kN/cm²)</t>
  </si>
  <si>
    <t>6. Tensão final nos cabos e perda total — por seção  [replica Geometria!N344:O345]</t>
  </si>
  <si>
    <t>σp,inf,∞ (kN/cm²)   [Geometria: N344]</t>
  </si>
  <si>
    <t>σp,sup,∞ (kN/cm²)   [Geometria: N345]</t>
  </si>
  <si>
    <t>% perda total — inferior   [Geometria: O344]</t>
  </si>
  <si>
    <t>% perda total — superior   [Geometria: O345]</t>
  </si>
  <si>
    <t>7. RESULTADO FINAL — Força e momento de protensão por seção (usar nas verificações ELS-F / ELS-D)</t>
  </si>
  <si>
    <t>Np,tot (kN)</t>
  </si>
  <si>
    <t>Mp,tot (kN·m)</t>
  </si>
  <si>
    <t>Np,ATO (kN)  [estado logo após a transferência, t=1 — usar no bloco "ATO" e "Içamento" da aba Tensões]</t>
  </si>
  <si>
    <t>Mp,ATO (kN·m)  [idem, t=1]</t>
  </si>
  <si>
    <t>8. Conferência — Seção 11 (meio do vão) vs. cálculo antigo (único) da aba Geometria [diferença esperada nas linhas de borda inferior — ver correção do Xp acima]</t>
  </si>
  <si>
    <t>Grandeza</t>
  </si>
  <si>
    <t>Nesta aba (S11)</t>
  </si>
  <si>
    <t>Aba Geometria (meio do vão)</t>
  </si>
  <si>
    <t>Diferença</t>
  </si>
  <si>
    <t>σp,inf,∞  (dif. esperada — correção Xp,inf)</t>
  </si>
  <si>
    <t>σp,sup,∞</t>
  </si>
  <si>
    <t>% perda inf.  (dif. esperada — correção Xp,inf)</t>
  </si>
  <si>
    <t>% perda sup.</t>
  </si>
  <si>
    <t>Np,tot  (dif. esperada — correção Xp,inf)</t>
  </si>
  <si>
    <t>Mp,tot  (dif. esperada — correção Xp,inf)</t>
  </si>
  <si>
    <t>Np,ATO</t>
  </si>
  <si>
    <t>Mp,ATO</t>
  </si>
  <si>
    <t>RESUMO — % de perda de protensão ao longo do vão (comparar com a curva da planilha de referência)</t>
  </si>
  <si>
    <t>TORÇÃO — NBR 6118:2023 (Item 17.5) — Seção Vazada de Parede Fina Equivalente</t>
  </si>
  <si>
    <t>A verificação à torção substitui a seção maciça por uma seção vazada equivalente de parede fina, resistida por bielas de concreto comprimidas a 45° e por armaduras transversais (estribos, mobilizados nas quatro faces) e longitudinais (distribuídas ao longo do perímetro da parede). O Estado Limite Último é verificado em duas frentes: (1) esmagamento da biela comprimida, checada EM CONJUNTO com o cisalhamento por meio de (VSd/VRd2)+(TSd/TRd2) ≤ 1; e (2) escoamento das armaduras transversal e longitudinal, dimensionadas pela analogia de treliça espacial (item 17.5).</t>
  </si>
  <si>
    <t>Esta aba reaproveita a geometria e os materiais da aba 'Geometria', o Vsd e o VRd2 já calculados na aba 'Taxas' (região de apoio), e as bitolas de estribo e de armadura longitudinal já adotadas nas abas 'Taxas' e 'Geometria'. Preencha apenas o momento torsor característico Tsk — as células azuis são as únicas de entrada nesta aba.</t>
  </si>
  <si>
    <t>Dado de entrada específico de Torção</t>
  </si>
  <si>
    <t>Tsk =</t>
  </si>
  <si>
    <t>Momento torsor característico atuante (do esquema estático da peça — ex.: laje/marquise em balanço que gera torção na viga de borda).</t>
  </si>
  <si>
    <t>gf1 =</t>
  </si>
  <si>
    <t>Coeficiente de majoração das ações (valor padrão adotado nesta planilha).</t>
  </si>
  <si>
    <t>Td =</t>
  </si>
  <si>
    <t>kN.cm</t>
  </si>
  <si>
    <t>Momento torsor de cálculo, convertido para kN·cm: Td = Tsk × γf × 100.</t>
  </si>
  <si>
    <t>Bitolas já adotadas</t>
  </si>
  <si>
    <t>ft =</t>
  </si>
  <si>
    <t>Diâmetro do estribo já adotado no cisalhamento (região de apoio, aba 'Taxas') — a torção usa OS MESMOS estribos, com a armadura somada por superposição (não se cria um estribo novo).</t>
  </si>
  <si>
    <t>fl =</t>
  </si>
  <si>
    <t>Diâmetro da armadura longitudinal principal já adotada na flexão (aba 'Taxas', N1) — usado aqui só para estimar c1, a posição do centro da barra de canto.</t>
  </si>
  <si>
    <t>Geometria da seção vazada equivalente (NBR 6118:2023, 17.5.1.2)</t>
  </si>
  <si>
    <t>Largura da seção (aba Geometria).</t>
  </si>
  <si>
    <t>Altura da seção (aba Geometria).</t>
  </si>
  <si>
    <t>Área bruta da seção transversal cheia.</t>
  </si>
  <si>
    <t>u,ext =</t>
  </si>
  <si>
    <t>Perímetro externo da seção cheia.</t>
  </si>
  <si>
    <t>c1 =</t>
  </si>
  <si>
    <t>Distância do centro da barra de canto até a face externa: c1 = cnom + ft + fl/2. Define a espessura de parede considerada no modelo.</t>
  </si>
  <si>
    <t>t (=A/u) =</t>
  </si>
  <si>
    <t>Espessura equivalente de parede, t = A/u,ext.</t>
  </si>
  <si>
    <t>2.c1 =</t>
  </si>
  <si>
    <t>Verificação =</t>
  </si>
  <si>
    <t>Validade geométrica do modelo de parede fina equivalente (NBR 6118:2023, 17.5.1.2).</t>
  </si>
  <si>
    <t>he =</t>
  </si>
  <si>
    <t>Espessura de parede adotada (he = t, conforme verificação acima).</t>
  </si>
  <si>
    <t>Ae =</t>
  </si>
  <si>
    <t>Área limitada pela linha média da parede da seção vazada equivalente: Ae = (bw-2c1)·(h-2c1).</t>
  </si>
  <si>
    <t>u =</t>
  </si>
  <si>
    <t>Perímetro do eixo médio da parede — usado no dimensionamento da armadura longitudinal: u = 2·(bw+h-4c1).</t>
  </si>
  <si>
    <t>Verificação da diagonal comprimida (biela) — Torção + Cisalhamento</t>
  </si>
  <si>
    <t>Resistência característica do concreto (aba Geometria).</t>
  </si>
  <si>
    <t>fcd =</t>
  </si>
  <si>
    <t>Resistência de cálculo do concreto (fck/1,4, aba Geometria).</t>
  </si>
  <si>
    <t>Vsd =</t>
  </si>
  <si>
    <t>Força cortante de cálculo, reaproveitada da aba 'Taxas' (região de apoio, já majorada por 1,4).</t>
  </si>
  <si>
    <t>Vrd2 =</t>
  </si>
  <si>
    <t>Força cortante resistente da biela, já calculada na aba 'Taxas' (região de apoio).</t>
  </si>
  <si>
    <t>Trd2 =</t>
  </si>
  <si>
    <t>Momento torsor resistente da biela comprimida (NBR 6118:2023, 17.5.1.6): TRd2 = 0,5·(1-fck/250)·fcd·Ae·he.</t>
  </si>
  <si>
    <t>Vsd/Vrd2 =</t>
  </si>
  <si>
    <t>Td/Trd2 =</t>
  </si>
  <si>
    <t>Soma =</t>
  </si>
  <si>
    <t>Interação torção-cisalhamento na biela (NBR 6118:2023, 17.5.1.6): (VSd/VRd2)+(TSd/TRd2) ≤ 1.</t>
  </si>
  <si>
    <t>Situação =</t>
  </si>
  <si>
    <t>Armadura transversal para torção (estribos — atuam nas 4 faces)</t>
  </si>
  <si>
    <t>fywd =</t>
  </si>
  <si>
    <t>Tensão de escoamento de cálculo do estribo, limitada a 435 MPa (NBR 6118:2023, 17.4.1.1).</t>
  </si>
  <si>
    <t>AswT/s =</t>
  </si>
  <si>
    <t>cm²/m</t>
  </si>
  <si>
    <t>Armadura transversal (por ramo) necessária só para resistir à torção: AswT/s = Td/(2·Ae·fywd).</t>
  </si>
  <si>
    <t>AswV/s =</t>
  </si>
  <si>
    <t>Armadura transversal já adotada no cisalhamento (estribo de apoio, 2 ramos, aba 'Taxas').</t>
  </si>
  <si>
    <t>Asw,total/s =</t>
  </si>
  <si>
    <t>Superposição: cada estribo fechado contribui à torção pelos 4 lados (2 ramos verticais + 2 trechos horizontais), por isso a parcela de torção entra em dobro: Asw,total = AswV + 2·AswT.</t>
  </si>
  <si>
    <t>fctm =</t>
  </si>
  <si>
    <t>Resistência média à tração do concreto (NBR 6118:2023, 8.2.5), válida para fck ≤ 50 MPa.</t>
  </si>
  <si>
    <t>fywk =</t>
  </si>
  <si>
    <t>Resistência característica do aço do estribo (aba Geometria).</t>
  </si>
  <si>
    <t>rw,min =</t>
  </si>
  <si>
    <t>Taxa geométrica mínima de armadura transversal (NBR 6118:2023, Tabela 17.3): ρw,min = 0,2·fctm/fywk.</t>
  </si>
  <si>
    <t>Asw,min/s =</t>
  </si>
  <si>
    <t>Armadura transversal mínima (mesma exigência do cisalhamento): Asw,min = ρw,min·100·bw.</t>
  </si>
  <si>
    <t>Armadura longitudinal para torção (distribuída no perímetro)</t>
  </si>
  <si>
    <t>fyd =</t>
  </si>
  <si>
    <t>Tensão de escoamento de cálculo do aço longitudinal — SEM limitação a 435 MPa (a limitação de 17.4.1.1 vale só para a armadura transversal).</t>
  </si>
  <si>
    <t>Asl =</t>
  </si>
  <si>
    <t>Armadura longitudinal total para torção, distribuída ao longo do perímetro u: Asl = Td·u/(2·Ae·fyd).</t>
  </si>
  <si>
    <t>Asl,min =</t>
  </si>
  <si>
    <t>Armadura longitudinal mínima para torção: Asl,min = (ρw,min/2)·u·bw.</t>
  </si>
  <si>
    <t>Asl,adot =</t>
  </si>
  <si>
    <t>Valor adotado — o maior entre calculado e mínimo. Distribuir ao longo do perímetro da seção (cantos + pontos intermediários nas faces maiores, conforme NBR 6118:2023, 17.5.1.3).</t>
  </si>
  <si>
    <t>Espaçamento máximo entre estribos (torção + cisalhamento)</t>
  </si>
  <si>
    <t>Altura útil da seção (calculada a partir da altura e do cobrimento, aba Geometria).</t>
  </si>
  <si>
    <t>smax =</t>
  </si>
  <si>
    <t>Espaçamento máximo entre estribos (NBR 6118:2023, 18.3.3.2): se (Vsd/Vrd2+Td/Trd2) ≤ 0,67, smax = mín(0,6d;30cm); caso contrário, smax = mín(0,3d;20cm).</t>
  </si>
  <si>
    <t>s,adotado =</t>
  </si>
  <si>
    <t>Espaçamento entre estribos já adotado no cisalhamento (região de apoio, aba 'Taxas').</t>
  </si>
  <si>
    <t>Torção de compatibilidade (NBR 6118:2023, 17.5.2)</t>
  </si>
  <si>
    <t>Se a torção é de compatibilidade (não de equilíbrio), pode ser desprezada quando Vsd ≤ 0,7·VRd2.</t>
  </si>
  <si>
    <t>Resumo final</t>
  </si>
  <si>
    <t>RESULTADO =</t>
  </si>
  <si>
    <t>Conclusão geral: biela comprimida, armadura transversal e espaçamento entre estribos. A armadura longitudinal (Asl,adot) já soma o mínimo automaticamente e deve ser somada à armadura de flexão na aba 'Detalhamento'.</t>
  </si>
  <si>
    <t>0,7·Vrd2 =</t>
  </si>
  <si>
    <t>Limiar para desprezar torcao de compatibilidade (NBR 6118:2023, 17.5.2).</t>
  </si>
  <si>
    <t>Se desprezavel, nao e necessario calcular Tsk nem armar para torcao de compatibilidade.</t>
  </si>
  <si>
    <t>RESUMO DAS ARMADURAS DE TORÇÃO UTILIZADAS</t>
  </si>
  <si>
    <t>Armadura transversal (estribos)</t>
  </si>
  <si>
    <t>AswV necessária =</t>
  </si>
  <si>
    <t>Área de estribo (2 ramos, só a parcela de cisalhamento) que falta para, somada a 2×AswT, atingir o mínimo combinado: AswV,nec = Asw,min - 2·AswT.</t>
  </si>
  <si>
    <t>s,sugerido =</t>
  </si>
  <si>
    <t>Espaçamento necessário para o MESMO diâmetro de estribo atender à torção somada ao cisalhamento. Se a situação acima já é OK, repete o espaçamento adotado no cisalhamento; senão, reduz o espaçamento até que a área fornecida (2 ramos) cubra o déficit calculado acima.</t>
  </si>
  <si>
    <t>Estribo p/ Torção+Cisalhamento =</t>
  </si>
  <si>
    <t>Especificação final do estribo já contemplando a superposição torção + cisalhamento.</t>
  </si>
  <si>
    <t>Armadura longitudinal (distribuída no perímetro)</t>
  </si>
  <si>
    <t>n,barras (mín.) =</t>
  </si>
  <si>
    <t>Número mínimo de barras longitudinais distribuídas no perímetro, respeitando espaçamento máximo entre eixos de 35 cm (NBR 6118:2023, 17.5.1.3) — mínimo de 4 (uma em cada canto do estribo).</t>
  </si>
  <si>
    <t>Área/barra necessária =</t>
  </si>
  <si>
    <t>Área de aço que cada barra deveria ter para, com n,barras unidades, somar Asl,adot.</t>
  </si>
  <si>
    <t>f necessário =</t>
  </si>
  <si>
    <t>Diâmetro que exatamente forneceria a área/barra necessária (valor teórico, antes de arredondar para bitola comercial).</t>
  </si>
  <si>
    <t>f comercial =</t>
  </si>
  <si>
    <t>Bitola comercial imediatamente superior (CA-50/60: 6.3, 8, 10, 12.5, 16, 20, 25, 32 mm).</t>
  </si>
  <si>
    <t>Área efetiva adotada =</t>
  </si>
  <si>
    <t>Área de aço efetivamente fornecida com n,barras (mín.) na bitola comercial escolhida.</t>
  </si>
  <si>
    <t>As,torção =</t>
  </si>
  <si>
    <t>Especificação final da armadura longitudinal de torção — distribuir ao longo do perímetro (cantos do estribo + pontos intermediários nas faces maiores) e SOMAR à armadura de flexão (tração e compressão) já detalhada na aba 'Momento Fletor'/'Detalhamento', não substituí-la.</t>
  </si>
  <si>
    <t>Observação</t>
  </si>
  <si>
    <t>Este resumo assume distribuição uniforme das barras longitudinais no perímetro para fins de pré-dimensionamento. No detalhamento final, mantenha ao menos uma barra em cada canto do estribo (exigência do modelo de treliça espacial) e distribua as demais nas faces laterais respeitando o espaçamento máximo de 35 cm entre eixos.</t>
  </si>
  <si>
    <t xml:space="preserve">N,barras  = </t>
  </si>
  <si>
    <t xml:space="preserve">Ø  = </t>
  </si>
  <si>
    <t>As,ef=</t>
  </si>
  <si>
    <t>QUADRO RESUMO — ARMADURA DE TORÇÃO</t>
  </si>
  <si>
    <t>f</t>
  </si>
  <si>
    <t>c/</t>
  </si>
  <si>
    <t>(2 ramos)</t>
  </si>
  <si>
    <t>Estribo de torção — mesmo estribo do cisalhamento, espaçamento já contempla os dois efeitos somados</t>
  </si>
  <si>
    <t>s =</t>
  </si>
  <si>
    <t>perímetro</t>
  </si>
  <si>
    <t>Armadura longitudinal de torção — distribuir no perímetro (cantos do estribo + faces) e SOMAR à armadura de flexão</t>
  </si>
  <si>
    <t>POSIÇÃO DAS BARRAS DE TORÇÃO — PARA O GRÁFICO (idx / x / y, cm)</t>
  </si>
  <si>
    <t>idx</t>
  </si>
  <si>
    <t>y (cm)</t>
  </si>
  <si>
    <t>ARMADURA DUPLA — NBR 6118:2023 (Item 17.2) — Verificação e Dimensionamento da Armadura de Compressão</t>
  </si>
  <si>
    <t>Quando o momento fletor solicitante Msd ultrapassa a capacidade resistente do concreto sozinho (Msd,lim, calculado com x/d no limite entre os domínios 3 e 4), a seção precisa de armadura de compressão (Asc) além da armadura de tração (Ast) — a chamada "armadura dupla". Esta aba verifica automaticamente se a seção está nessa situação e, caso esteja, calcula Asc considerando inclusive se essa armadura efetivamente escoa (fyd,sc), como manda a NBR 6118.</t>
  </si>
  <si>
    <t>Esta aba reaproveita a geometria e os materiais das abas 'Geometria' e 'Apoio' (seção ativa conforme os seletores M20/M21 da Geometria — retangular, T ou i/transição) e o momento fletor de cálculo Msd já calculado na Geometria (célula L1036). A zona comprimida do concreto considera a mesa/aba quando ela for mais larga que a alma (mesa colaborante da viga T, ou mesa superior da viga i/transição): se a linha neutra ficar dentro da mesa, usa a largura cheia da mesa; se ultrapassar, soma mesa + alma. Não há células de entrada — todos os valores são herdados ou calculados automaticamente. As três células em cinza (γs, Es, εcu) são constantes normativas padrão e podem ser ajustadas se necessário.</t>
  </si>
  <si>
    <t>1. Tipo de seção ativa (herdado da aba Geometria)</t>
  </si>
  <si>
    <t>Tipo de seção (M21) =</t>
  </si>
  <si>
    <t>Seletor de forma da seção, definido na aba Geometria (célula M21). Esta aba usa o mesmo valor para escolher a alma (bw) e a mesa comprimida (bf) de cada tipo de seção.</t>
  </si>
  <si>
    <t>Mesa colaborante ativa (M20) =</t>
  </si>
  <si>
    <t>Seletor que ativa a mesa colaborante (seção T), definido na aba Geometria (célula M20). Quando '1 - Sim', a seção retangular passa a ter uma mesa comprimida (a capa/laje) além da alma.</t>
  </si>
  <si>
    <t>Considerar aba (mesa) da viga i ou Transição? =</t>
  </si>
  <si>
    <t>Alterna entre considerar a aba (mesa superior) da viga i ou Transição — a aba lateral que recebe a laje alveolar (aba Geometria, células L60/L63) — no cálculo da armadura dupla, ou desconsiderá-la e usar apenas a alma (bw). NÃO afeta a mesa colaborante da viga T (seção retangular + capa), que continua sendo decidida exclusivamente pelo seletor M20 da Geometria, independente deste campo. Selecione 'Sim' para considerar a aba (mais preciso, menos conservador) ou 'Não' para usar apenas a alma (mais simples, mais conservador) — aplicável somente às seções i e Transição.</t>
  </si>
  <si>
    <t>2. Propriedades dos materiais</t>
  </si>
  <si>
    <t>Resistência característica do concreto à compressão (aba Geometria, célula L82).</t>
  </si>
  <si>
    <t>Resistência característica de escoamento do aço (aba Geometria, célula L81).</t>
  </si>
  <si>
    <t>γc =</t>
  </si>
  <si>
    <t>Coeficiente de minoração da resistência do concreto (aba Geometria, célula O77).</t>
  </si>
  <si>
    <t>γs =</t>
  </si>
  <si>
    <t>Coeficiente de minoração da resistência do aço (NBR 6118, valor padrão = 1,15).</t>
  </si>
  <si>
    <t>fyd = fyk/γs =</t>
  </si>
  <si>
    <t>Tensão de escoamento de cálculo do aço.</t>
  </si>
  <si>
    <t>Es (aço CA) =</t>
  </si>
  <si>
    <t>Módulo de elasticidade do aço CA (NBR 6118, item 8.3.5, valor padrão = 210.000 MPa).</t>
  </si>
  <si>
    <t>εyd = fyd/Es =</t>
  </si>
  <si>
    <t>Deformação de escoamento de cálculo do aço — usada para verificar se a armadura de compressão realmente escoa.</t>
  </si>
  <si>
    <t>εcu =</t>
  </si>
  <si>
    <t>Deformação específica de ruptura do concreto à compressão (NBR 6118, item 8.2.10, valor padrão = 3,5‰ = 0,0035).</t>
  </si>
  <si>
    <t>λ =</t>
  </si>
  <si>
    <t>Fator de redução da profundidade da linha neutra no diagrama retangular equivalente (aba Apoio, célula B26, já ajustado pela NBR 6118:2023 conforme fck).</t>
  </si>
  <si>
    <t>αc =</t>
  </si>
  <si>
    <t>Fator de redução da resistência do concreto no diagrama retangular equivalente (aba Apoio, célula B28, conforme fck).</t>
  </si>
  <si>
    <t>ηc =</t>
  </si>
  <si>
    <t>Fator de redução adicional da NBR 6118:2023 para fck&gt;40 MPa (aba Apoio, célula B29).</t>
  </si>
  <si>
    <t>Relação x/d que separa os domínios 3 e 4 — limite a partir do qual a seção passa a exigir armadura dupla (aba Apoio, célula B31, conforme fck).</t>
  </si>
  <si>
    <t>Tensão de cálculo do concreto no bloco retangular equivalente — reaproveitada em todo o cálculo da zona comprimida (com ou sem mesa).</t>
  </si>
  <si>
    <t>3. Geometria da seção ativa (dispatch conforme M20/M21)</t>
  </si>
  <si>
    <t>bw (alma) =</t>
  </si>
  <si>
    <t>Largura da alma (seções i/T) ou da seção cheia (retangular), escolhida automaticamente conforme o tipo de seção ativo.</t>
  </si>
  <si>
    <t>Altura total da seção, escolhida automaticamente conforme o tipo de seção ativo.</t>
  </si>
  <si>
    <t>c (cobrimento) =</t>
  </si>
  <si>
    <t>Cobrimento nominal da armadura (aba Geometria, célula R76).</t>
  </si>
  <si>
    <t>Ø arm. tração =</t>
  </si>
  <si>
    <t>Bitola da armadura de tração já adotada no dimensionamento à flexão simples (aba Geometria, célula O1130), usada aqui só para estimar d.</t>
  </si>
  <si>
    <t>Ø arm. compressão =</t>
  </si>
  <si>
    <t>Bitola assumida para a armadura de compressão (mesma bitola da tração, por padrão), usada para estimar d'.</t>
  </si>
  <si>
    <t>Altura útil da seção: h menos cobrimento menos metade da bitola de tração (seção retangular soma a espessura da mesa quando M20='Sim'; seção i/transição usa a altura total menos o cobrimento, seguindo a mesma convenção já usada na aba 'ELU i').</t>
  </si>
  <si>
    <t>d' =</t>
  </si>
  <si>
    <t>Distância do centro da armadura de compressão até a face comprimida: d' = cobrimento + metade da bitola de compressão.</t>
  </si>
  <si>
    <t>bf (mesa/aba comprimida) =</t>
  </si>
  <si>
    <t>Largura efetiva da mesa comprimida: para viga T (M20='Sim') usa a largura colaborante já reduzida pela diferença de módulo de elasticidade viga/capa (aba Geometria, célula M43 — mesma largura já usada no cálculo de linha neutra da própria Geometria, célula N1060); para viga i/transição usa a mesa superior (aba Geometria, célula L60, bf). Para retangular sem mesa fica zero (sem efeito). Para viga T (retangular + M20), esta largura continua decidida inteiramente pelo M20 — não é afetada pelo seletor K10/L10. Já para viga i ou Transição, a aba superior (Geometria!L60) só é considerada se o seletor K10/L10 (acima) estiver marcado como 'Sim'; se estiver 'Não', a aba é desconsiderada (bf=0) e o cálculo passa a usar apenas a alma (bw).</t>
  </si>
  <si>
    <t>hf (espessura da mesa/aba) =</t>
  </si>
  <si>
    <t>Espessura da mesa comprimida: para viga T é a laje + capa (aba Geometria, L42+L45, a mesma espessura já somada em d); para viga i/transição é a altura da mesa superior (aba Geometria, célula L63). Considera-se apenas a mesa SUPERIOR (compressão no topo, momento positivo) — se a seção crítica tiver momento negativo (compressão embaixo), esta aba precisaria ser ajustada.</t>
  </si>
  <si>
    <t>4. Momento fletor solicitante</t>
  </si>
  <si>
    <t>Msd =</t>
  </si>
  <si>
    <t>kN·m</t>
  </si>
  <si>
    <t>Momento fletor de cálculo na seção crítica (aba Geometria, célula L1036 — já contempla a combinação de cargas majorada).</t>
  </si>
  <si>
    <t>5. Momento limite (fronteira armadura simples/dupla)</t>
  </si>
  <si>
    <t>x,lim =</t>
  </si>
  <si>
    <t>Profundidade da linha neutra no limite entre os domínios 3 e 4: x,lim = (x/d)lim × d. Não depende da largura da seção.</t>
  </si>
  <si>
    <t>y,lim = λ·x,lim =</t>
  </si>
  <si>
    <t>Profundidade do bloco retangular de tensões no limite x,lim — usada para saber se, nesse limite, a compressão cabe só na mesa ou já invade a alma.</t>
  </si>
  <si>
    <t>Mesa mais larga que a alma? =</t>
  </si>
  <si>
    <t>Verifica se a seção tem mesa efetiva (bf) mais larga que a alma (bw) — só então a mesa influencia a resistência à compressão.</t>
  </si>
  <si>
    <t>Rcc,lim =</t>
  </si>
  <si>
    <t>Resultante de compressão no concreto quando x = x,lim. Se há mesa efetiva e o bloco de tensões (y,lim) cabe dentro dela, usa a largura cheia da mesa (bf); se ultrapassa a mesa, soma a contribuição da mesa (bf×hf) com a da alma abaixo dela; sem mesa efetiva, usa só bw (como antes).</t>
  </si>
  <si>
    <t>Msd,lim =</t>
  </si>
  <si>
    <t>Momento resistido pelo concreto sozinho, no limite x,lim, já considerando a mesa quando aplicável (soma do momento da parcela da mesa e da parcela da alma, cada uma com seu próprio braço de alavanca). Se Msd ultrapassar este valor, a seção precisa de armadura de compressão.</t>
  </si>
  <si>
    <t>6. Verificação</t>
  </si>
  <si>
    <t>Compara Msd com Msd,lim: se Msd ≤ Msd,lim, armadura simples resolve a seção (x ≤ x,lim); caso contrário, é necessária armadura dupla.</t>
  </si>
  <si>
    <t>7. Armadura simples (x ≤ x,lim)</t>
  </si>
  <si>
    <t>bw,eff (ensaio 1) =</t>
  </si>
  <si>
    <t>Largura de ensaio: usa a largura cheia da mesa (bf) se ela for mais larga que a alma, senão usa a própria alma (bw) — mesmo comportamento de antes quando não há mesa.</t>
  </si>
  <si>
    <t>K1 = λ·bw,eff·σcd =</t>
  </si>
  <si>
    <t>Constante auxiliar da equação de equilíbrio do concreto, assumindo (por ora) a largura de ensaio constante em toda a altura do bloco comprimido.</t>
  </si>
  <si>
    <t>Δ1 (discriminante) =</t>
  </si>
  <si>
    <t>Discriminante da equação quadrática de equilíbrio Msd = Rcc·(d-0,4x), resolvida para x, com a largura de ensaio bw,eff.</t>
  </si>
  <si>
    <t>x1 (ensaio) =</t>
  </si>
  <si>
    <t>Profundidade da linha neutra assumindo a largura de ensaio (bw,eff) constante — só é o resultado final se essa largura for válida em toda a altura do bloco comprimido (ver verificação abaixo).</t>
  </si>
  <si>
    <t>y1 = λ·x1 =</t>
  </si>
  <si>
    <t>Profundidade do bloco de tensões correspondente a x1.</t>
  </si>
  <si>
    <t>Zona comprimida cabe na mesa? =</t>
  </si>
  <si>
    <t>Se não há mesa efetiva, ou se y1 cabe dentro da espessura da mesa (hf), o ensaio com largura constante (x1) já é o resultado correto. Só quando "Não" é preciso refazer o cálculo somando a contribuição da mesa com a da alma (passo a passo abaixo).</t>
  </si>
  <si>
    <t>Msd2 (remanescente p/ a alma) =</t>
  </si>
  <si>
    <t>kN·cm</t>
  </si>
  <si>
    <t>Parcela do momento que sobra para ser resistida pela alma, depois de descontar a contribuição da mesa (que já está totalmente comprimida, com braço de alavanca fixo). Só é diferente de zero quando a zona comprimida não cabe na mesa.</t>
  </si>
  <si>
    <t>a2 = 0,5·σcd·bw =</t>
  </si>
  <si>
    <t>Coeficiente quadrático da equação de equilíbrio da parcela da alma.</t>
  </si>
  <si>
    <t>b2 = σcd·bw·(d-hf) =</t>
  </si>
  <si>
    <t>Coeficiente linear da equação de equilíbrio da parcela da alma.</t>
  </si>
  <si>
    <t>Δ2 (discriminante) =</t>
  </si>
  <si>
    <t>Discriminante da equação quadrática que resolve a profundidade do bloco de tensões dentro da alma (abaixo da mesa).</t>
  </si>
  <si>
    <t>u (bloco na alma, abaixo da mesa) =</t>
  </si>
  <si>
    <t>Profundidade do bloco de tensões que fica dentro da alma, abaixo da mesa — só é diferente de zero quando a zona comprimida não cabe na mesa.</t>
  </si>
  <si>
    <t>x (armadura simples, final) =</t>
  </si>
  <si>
    <t>Profundidade final da linha neutra: x1 (ensaio) se a zona comprimida coube na mesa; senão, (u+hf)/λ, reconstruindo x a partir do bloco de tensões total (mesa + trecho de alma).</t>
  </si>
  <si>
    <t>Domínio de deformação =</t>
  </si>
  <si>
    <t>Classificação do domínio de deformação (NBR 6118, item 17.2.2), conforme x/d: Domínio 2 (x/d≤0,259), Domínio 3 (0,259&lt;x/d≤(x/d)lim) ou Domínio 4 (x/d&gt;(x/d)lim, indesejável).</t>
  </si>
  <si>
    <t>Rcc (simples) =</t>
  </si>
  <si>
    <t>Resultante de compressão no concreto para o x calculado no ramo de armadura simples, já considerando mesa + alma quando aplicável.</t>
  </si>
  <si>
    <t>As (armadura simples) =</t>
  </si>
  <si>
    <t>Área de aço de tração necessária, considerando somente armadura simples: As = MAX(Rcc-Rpt,0)/(fyd/10), descontando a força já resistida pela protensão (Rpt, aba Geometria célula L1120). Só é o valor final se a Situação for 'Armadura simples'.</t>
  </si>
  <si>
    <t>8. Armadura dupla (x &gt; x,lim)</t>
  </si>
  <si>
    <t>ΔMsd = Msd − Msd,lim =</t>
  </si>
  <si>
    <t>Parcela do momento que o concreto sozinho não resiste (só é diferente de zero quando a Situação é "Armadura dupla").</t>
  </si>
  <si>
    <t>Rsc =</t>
  </si>
  <si>
    <t>Força que a armadura de compressão precisa fornecer para equilibrar ΔMsd: Rsc = ΔMsd/(d-d').</t>
  </si>
  <si>
    <t>εsc,calc =</t>
  </si>
  <si>
    <t>Deformação da armadura de compressão, por semelhança de triângulos no diagrama de deformações, com x = x,lim: εsc,calc = εcu·(x,lim-d')/x,lim.</t>
  </si>
  <si>
    <t>fyd,sc =</t>
  </si>
  <si>
    <t>Tensão de cálculo efetivamente mobilizada na armadura de compressão — o menor entre fyd (se escoar) e εsc,calc×Es (se não escoar). Verificação essencial: a armadura de compressão nem sempre escoa.</t>
  </si>
  <si>
    <t>Asc =</t>
  </si>
  <si>
    <t>Área de aço de compressão necessária: Asc = Rsc/(fyd,sc/10).</t>
  </si>
  <si>
    <t>Rst,total =</t>
  </si>
  <si>
    <t>Força total de tração que equilibra o concreto (Rcc,lim, já com mesa quando aplicável) mais a armadura de compressão.</t>
  </si>
  <si>
    <t>Ast (tração, dupla) =</t>
  </si>
  <si>
    <t>Área de aço de tração necessária no ramo de armadura dupla: Ast = MAX(Rst,total-Rpt,0)/(fyd/10), descontando a força já resistida pela protensão (Rpt, aba Geometria célula L1120). O binário Asc/Ast,extra (ΔMsd) não muda com a protensão — só a parcela Rcc,lim precisa ser líquida de Rpt.</t>
  </si>
  <si>
    <t>9. Armadura final adotada</t>
  </si>
  <si>
    <t>As,mín (NBR 6118) =</t>
  </si>
  <si>
    <t>Área mínima de armadura de tração exigida pela NBR 6118 (tabela por fck, aba Geometria X1108:Y1122), aplicada sobre a área bruta bw×h (alma × altura total, sem contar a mesa — mesma convenção já usada na Geometria, célula L1131).</t>
  </si>
  <si>
    <t>As adotada (tração) =</t>
  </si>
  <si>
    <t>Maior valor entre a área calculada (simples ou dupla, conforme a Situação, já descontando Rpt — aba Geometria célula L1120) e a área mínima normativa.</t>
  </si>
  <si>
    <t>Asc adotada (compressão) =</t>
  </si>
  <si>
    <t>Área de armadura de compressão adotada (igual a Asc, calculada só a partir do binário ΔMsd — não depende da protensão, pois é uma força autoequilibrada; zero se a seção estiver em armadura simples).</t>
  </si>
  <si>
    <t>nº barras tração =</t>
  </si>
  <si>
    <t>Número de barras de tração, arredondado para cima, usando a área por barra da bitola adotada (aba Taxas, tabela V22:W29).</t>
  </si>
  <si>
    <t>nº barras compressão =</t>
  </si>
  <si>
    <t>Número de barras de compressão, mesma lógica.</t>
  </si>
  <si>
    <t>10. Diagrama de deformações — altura da linha neutra</t>
  </si>
  <si>
    <t>x utilizado no diagrama =</t>
  </si>
  <si>
    <t>x adotado para desenhar o diagrama: x,lim se a seção estiver em armadura dupla, ou o x calculado no ramo de armadura simples caso contrário.</t>
  </si>
  <si>
    <t>Altura da linha neutra (da base) =</t>
  </si>
  <si>
    <t>Posição da linha neutra medida a partir da armadura de tração: d - x.</t>
  </si>
  <si>
    <t>εs (tração, na armadura) =</t>
  </si>
  <si>
    <t>Deformação na armadura de tração, por semelhança de triângulos: εs = εcu·(d-x)/x.</t>
  </si>
  <si>
    <t>Ponto</t>
  </si>
  <si>
    <t>Deformação (‰)</t>
  </si>
  <si>
    <t>Altura (cm)</t>
  </si>
  <si>
    <t>Fibra comprimida (topo)</t>
  </si>
  <si>
    <t>Armadura tracionada (base)</t>
  </si>
  <si>
    <t>MOMENTO RESISTENTE (Mrd) — VERIFICAÇÃO COM ARMADURA ATIVA (Ap + A'p) + PASSIVA (As, As') REALMENTE INSTALADAS</t>
  </si>
  <si>
    <t>1 . Materiais e coeficientes (NBR 6118:2023)</t>
  </si>
  <si>
    <t>Substitui a tabela de 12 pontos (Geometria!S1128:W1139) por uma curva bilinear analitica direta a partir de fptk/fpyk/Ep - mais proxima do que softwares de secao (ex. SECC) calculam. So afeta esta aba; a tabela original continua existindo e sendo usada normalmente no resto da planilha. fptk vem direto da classe da cordoalha (CP190 -&gt; 190 kgf/mm2 x 9,80665 = 1863 MPa); troque a classe em Y7 se usar outra cordoalha (ex. CP175, CP210).</t>
  </si>
  <si>
    <t>Resistência característica do concreto</t>
  </si>
  <si>
    <t>Classe da cordoalha (CP___, kgf/mm²) =</t>
  </si>
  <si>
    <t>resistência de ruptura da cordoalha, direto do fabricante</t>
  </si>
  <si>
    <t>Resistência característica de escoamento da armadura passiva</t>
  </si>
  <si>
    <t>fptk = classe × 10 =</t>
  </si>
  <si>
    <t xml:space="preserve">Coeficiente de minoração do concreto </t>
  </si>
  <si>
    <t>fpyk (cordoalha) =</t>
  </si>
  <si>
    <t xml:space="preserve">Coeficiente de minoração do aço passivo </t>
  </si>
  <si>
    <t>Ep (cordoalha) =</t>
  </si>
  <si>
    <t>rigidez do aço</t>
  </si>
  <si>
    <t>Es (aço passivo) =</t>
  </si>
  <si>
    <t>Módulo de elasticidade do aço CA (NBR 6118, item 8.3.5).</t>
  </si>
  <si>
    <t>fpyd = fpyk/gs =</t>
  </si>
  <si>
    <t>fpyk já dividido por γs</t>
  </si>
  <si>
    <t>Tensão de escoamento de cálculo do aço passivo.</t>
  </si>
  <si>
    <t>fptd = fptk/gs =</t>
  </si>
  <si>
    <t>fptk já dividido por γs</t>
  </si>
  <si>
    <t>Deformação de escoamento de cálculo — limite do patamar elasto-plástico do aço passivo.</t>
  </si>
  <si>
    <t>epspyd = fpyd/Ep =</t>
  </si>
  <si>
    <t>em que deformação (‰) a cordoalha atinge fpyd — é onde a reta elástica encontra o segundo trecho da curva bilinear</t>
  </si>
  <si>
    <t>Deformação específica de ruptura do concreto comprimido (NBR 6118, item 8.2.10).</t>
  </si>
  <si>
    <t>epsud (NBR 6118, item 8.4.5) =</t>
  </si>
  <si>
    <t>limite de deformação onde a curva "trava" no patamar fptd (10‰, valor fixo da norma)</t>
  </si>
  <si>
    <t>λ (Apoio!B26) =</t>
  </si>
  <si>
    <t>Fator de redução da profundidade do bloco retangular equivalente (varia com fck&gt;50MPa, NBR 6118:2023).</t>
  </si>
  <si>
    <t>αc (Apoio!B28) =</t>
  </si>
  <si>
    <t>Fator de redução da resistência do concreto no bloco retangular (varia com fck&gt;50MPa).</t>
  </si>
  <si>
    <t>ηc (Apoio!B29) =</t>
  </si>
  <si>
    <t>Fator adicional da NBR 6118:2023 para fck&gt;40MPa</t>
  </si>
  <si>
    <t>(x/d)lim (Apoio!B31) =</t>
  </si>
  <si>
    <t>Limite de ductilidade entre domínios 3/4 (0,45 se fck≤50MPa; 0,35 se fck&gt;50MPa).</t>
  </si>
  <si>
    <t>σcd = αc·ηc·fcd =</t>
  </si>
  <si>
    <t>Tensão de cálculo do concreto no bloco retangular equivalente.</t>
  </si>
  <si>
    <t>2 . Armadura</t>
  </si>
  <si>
    <t>2.1 Armadura passiva superior (As')</t>
  </si>
  <si>
    <t>Diâmetro adotado</t>
  </si>
  <si>
    <t>Quantidade =</t>
  </si>
  <si>
    <t>Número de barras</t>
  </si>
  <si>
    <t>As' =</t>
  </si>
  <si>
    <t>Área efetivamente instalada</t>
  </si>
  <si>
    <t>d' (do topo) =</t>
  </si>
  <si>
    <t>Cobrimento + metade do diâmetro de As'. Distância física do topo do pré-moldado ao centro de As'.</t>
  </si>
  <si>
    <t>2.2 Armadura passiva inferior (As)</t>
  </si>
  <si>
    <t>As =</t>
  </si>
  <si>
    <t>cob. inf. até centro de As =</t>
  </si>
  <si>
    <t>Cobrimento + metade do diâmetro de As, medido a partir da face inferior (fibra tracionada).</t>
  </si>
  <si>
    <t xml:space="preserve">2.3 Armadura ativa inferior (Ap) </t>
  </si>
  <si>
    <t>Nº cordoalhas =</t>
  </si>
  <si>
    <t>Total de cordoalhas inferiores</t>
  </si>
  <si>
    <t>Área de aço ativo instalada</t>
  </si>
  <si>
    <t>y,cg cordoalhas (da base) =</t>
  </si>
  <si>
    <t>Centro de gravidade das cordoalhas inferiores medido a partir da base</t>
  </si>
  <si>
    <t>εpré (pré-alongamento) =</t>
  </si>
  <si>
    <t>Deformação já existente na cordoalha devido à protensão efetiva (perdas já descontadas)</t>
  </si>
  <si>
    <t>2.4 Armadura ativa superior (A'p)</t>
  </si>
  <si>
    <t>Total de cordoalhas superiores, Geometria!K264.</t>
  </si>
  <si>
    <t>A'p =</t>
  </si>
  <si>
    <t>Área de aço ativo superior instalada, Geometria!L265.</t>
  </si>
  <si>
    <t>y,cg cordoalhas sup. (do topo) =</t>
  </si>
  <si>
    <t>Centro de gravidade das cordoalhas superiores medido a partir do topo, Geometria!R266 (já mede do topo, mesma convenção da tabela de cordoalha superior).</t>
  </si>
  <si>
    <t>εpré,sup (pré-alongamento) =</t>
  </si>
  <si>
    <t>NÃO existia esta célula em nenhum lugar da planilha antes — construí seguindo exatamente a mesma lógica já usada para a cordoalha inferior em Geometria!L1201, trocando a tensão efetiva de N367 (σ,pinf) por N368 (σ,psup), que já existe e já é calculada (Geometria!N368 = tensão final da cordoalha superior, descontadas as perdas). Se A'p=0, esta célula não afeta nada (a força correspondente é zerada pela própria área).</t>
  </si>
  <si>
    <t>3 . Verificação — Seção Retangular (sem mesa colaborante)</t>
  </si>
  <si>
    <t>H (altura total, do topo) =</t>
  </si>
  <si>
    <t>Altura de referência para esta seção.</t>
  </si>
  <si>
    <t>bf (mesa comprimida) =</t>
  </si>
  <si>
    <t>hf (espessura da mesa) =</t>
  </si>
  <si>
    <t>Se a profundidade do bloco de tensões y=λx ultrapassar hf, a força de compressão passa a somar mesa + alma.</t>
  </si>
  <si>
    <t>d' (topo até As') =</t>
  </si>
  <si>
    <t>Distância do topo (face comprimida desta seção) até o centro de As'.</t>
  </si>
  <si>
    <t>d (topo até As) =</t>
  </si>
  <si>
    <t>Altura total desta seção menos a distância da base até o centro de As.</t>
  </si>
  <si>
    <t>dp (topo até Ap) =</t>
  </si>
  <si>
    <t>Altura total desta seção menos a posição do CG das cordoalhas medida da base (Geometria!R252).</t>
  </si>
  <si>
    <t>d'p (topo até A'p) =</t>
  </si>
  <si>
    <t>Geometria!R266 já mede a partir do topo do pré-moldado.</t>
  </si>
  <si>
    <t>x,mín (tentativa) =</t>
  </si>
  <si>
    <t>x,máx (tentativa) =</t>
  </si>
  <si>
    <t>Δx (passo da busca) =</t>
  </si>
  <si>
    <t>Busca em 101 pontos entre x,mín e x,máx; a posição final é refinada por interpolação linear entre os dois pontos onde o desequilíbrio de forças ΣF muda de sinal — mesmo princípio da tabela de domínios de Geometria!AF1170:AJ1225.</t>
  </si>
  <si>
    <t>Rcc (kN)</t>
  </si>
  <si>
    <t>εsc (‰)</t>
  </si>
  <si>
    <t>Fsc (kN)</t>
  </si>
  <si>
    <t>εst (‰)</t>
  </si>
  <si>
    <t>Fst (kN)</t>
  </si>
  <si>
    <t>εp,tot (‰)</t>
  </si>
  <si>
    <t>Fpt (kN)</t>
  </si>
  <si>
    <t>εp',tot (‰)</t>
  </si>
  <si>
    <t>σp' (kN/cm²)</t>
  </si>
  <si>
    <t>Fpt' (kN)</t>
  </si>
  <si>
    <t>ΣF (kN)</t>
  </si>
  <si>
    <t>nº de pontos com ΣF&lt;0 =</t>
  </si>
  <si>
    <t>Conta quantos pontos da tabela ainda têm déficit de compressão (ΣF&lt;0); a raiz está entre este ponto e o seguinte.</t>
  </si>
  <si>
    <t>x,lo (tentativa antes da raiz) =</t>
  </si>
  <si>
    <t>Busca o primeiro valor onde F &lt; 0</t>
  </si>
  <si>
    <t>x,hi (tentativa depois da raiz) =</t>
  </si>
  <si>
    <t>Primeiro valor de tração mais proximo de F = 0</t>
  </si>
  <si>
    <t>ΣF,lo =</t>
  </si>
  <si>
    <t>Primeiro valor de F, mais próximo de 0 - Corresponde a x,l0</t>
  </si>
  <si>
    <t>ΣF,hi =</t>
  </si>
  <si>
    <t>Valor de F correspondente a x.hi</t>
  </si>
  <si>
    <t>x final (interpolado) =</t>
  </si>
  <si>
    <t>Posição da linha neutra que zera ΣF, obtida por interpolação linear entre x,lo e x,hi.</t>
  </si>
  <si>
    <t>x/d (informativo, d = até Ap) =</t>
  </si>
  <si>
    <t>Apenas informativo — indica se a peça está em domínio 2/3 (dúctil) ou 4 (frágil).</t>
  </si>
  <si>
    <t>Recálculo das forças no x final (precisão independente do passo da tabela):</t>
  </si>
  <si>
    <t>Rcc(x final) =</t>
  </si>
  <si>
    <t>y,Rcc(x final), do topo =</t>
  </si>
  <si>
    <t>εsc(x final) =</t>
  </si>
  <si>
    <t>Fsc(x final) =</t>
  </si>
  <si>
    <t>εst(x final) =</t>
  </si>
  <si>
    <t>Fst(x final) =</t>
  </si>
  <si>
    <t>εp,tot(x final) =</t>
  </si>
  <si>
    <t>σp(x final) =</t>
  </si>
  <si>
    <t>Fpt(x final) =</t>
  </si>
  <si>
    <t>ε'p,tot(x final) =</t>
  </si>
  <si>
    <t>σp'(x final) =</t>
  </si>
  <si>
    <t>Se A'p=0 na viga, esta célula não tem efeito nenhum no resultado — a força seguinte é zerada pela área.</t>
  </si>
  <si>
    <t>Fpt'(x final) =</t>
  </si>
  <si>
    <t>Verificação ΣF (deve ≈0) =</t>
  </si>
  <si>
    <t>Mrd =</t>
  </si>
  <si>
    <t>Momento resistente de cálculo: soma dos momentos das forças de tração (As, Ap, e A'p — que aqui pode contribuir como tração residual ou, se sua deformação total foi para compressão, o próprio sinal negativo de Fpt' já inverte automaticamente sua contribuição) menos a soma dos momentos das forças de compressão (concreto, As'), todos medidos a partir do topo — válido porque ΣF=0 no x final, o resultado independe do eixo de referência escolhido.</t>
  </si>
  <si>
    <t>4 . Verificação — Seção T (viga + capa colaborante)</t>
  </si>
  <si>
    <t>Distância do topo (face comprimida desta seção) até o centro de As'. Inclui a espessura da mesa (capa), pois As' está no topo do pré-moldado, abaixo da capa.</t>
  </si>
  <si>
    <t>Geometria!R266 já mede a partir do topo do pré-moldado. Inclui a espessura da mesa (capa) pelo mesmo motivo de d'.</t>
  </si>
  <si>
    <t>Resistente de concreto</t>
  </si>
  <si>
    <t>Deformação no concreto - Semelhança de triangulos</t>
  </si>
  <si>
    <t>Força na armadura passiva comprimida - onde o minimo é esc * Es aço ou fyd caso atinga escoamento</t>
  </si>
  <si>
    <t>Semelhança de triangulos, o concreto deforma 3.5%.. Na compressão e precisamos encontrar a deformação na protensão</t>
  </si>
  <si>
    <t>Interpola por Vasconcelos</t>
  </si>
  <si>
    <t xml:space="preserve">Força resultante na cordoalha </t>
  </si>
  <si>
    <t>5 . Verificação — Seção I ou Transição (viga pré-moldada com mesa própria)</t>
  </si>
  <si>
    <t>Viga i/Pi ou viga de transição (Geometria!M21 = '2 - i' ou '3 - Transição'). bf = mesa superior do próprio perfil pré-moldado (Geometria!L60). hf = altura das mesas superiores 1+2 (Geometria!L63+L64) — simplificação: a zona comprimida é tratada com apenas duas larguras (mesa bf acima de hf1+hf2, alma bw=Geometria!L61 abaixo), ignorando o afunilamento da 'mesa central' (Geometria!L65); válida enquanto x permanecer dentro das mesas superiores, o caso normal para momento positivo em viga protendida (x pequeno). Se x calculado ultrapassar hf1+hf2 nesta viga, esta simplificação precisa ser revista antes de confiar no resultado — conferir a linha 'x/d' abaixo e comparar x com Geometria!L63+L64.</t>
  </si>
  <si>
    <t>Apenas informativo — indica se a peça está em domínio 2/3 (dúctil) ou 4 (frágil, indesejável).</t>
  </si>
  <si>
    <t>6 . Quadro-resumo — seção ativa nesta viga</t>
  </si>
  <si>
    <t>Seção ativa (Geometria!M20/M21) =</t>
  </si>
  <si>
    <t>Escolhida automaticamente a partir dos mesmos seletores que todo o resto da planilha usa.</t>
  </si>
  <si>
    <t>x final (seção ativa) =</t>
  </si>
  <si>
    <t>Mrd (seção ativa) =</t>
  </si>
  <si>
    <t>Momento resistente de cálculo, com a armadura passiva e ativa realmente instaladas nesta viga (agora incluindo A'p).</t>
  </si>
  <si>
    <t>Md (momento solicitante, Geometria!L1037) =</t>
  </si>
  <si>
    <t>Mrd / Md =</t>
  </si>
  <si>
    <t>Comparação direta entre a capacidade (Mrd, armadura real) e a solicitação (Md). Não confundir com a verificação do item '18 . Momento resistente' da Geometria, que compara Md com a armadura NECESSÁRIA, não com a instalada.</t>
  </si>
  <si>
    <t>Observação sobre a atualização desta aba: A'p (cordoalha superior) agora entra no equilíbrio de forças das três seções acima — antes ficava de fora, com um aviso sinalizando isso. Nesta viga A'p = 0 (Geometria!L265), então na prática o Mrd calculado não muda em relação à versão anterior; a diferença só aparece se você colocar cordoalha superior de verdade em alguma viga deste modelo.</t>
  </si>
  <si>
    <t>ABERTURA DE FISSURAS (wk) POR PONTO DA SEÇÃO — VERIFICAÇÃO NBR 6118:2023, ITEM 17.3.3.2</t>
  </si>
  <si>
    <t>Esta aba calcula a abertura característica de fissuras (wk, em mm) nos 21 pontos ao longo da viga já usados em 'Geometria' (item 11 . Verificação de fissuras - ELS-F, linhas 370-439) e em 'Tensões' (σi,1 a σi,21), um valor de wk na borda inferior e outro na borda superior, para você plotar um gráfico de pontos (eixo X = posição ao longo da viga, eixo Y = wk em mm). COMBINAÇÃO UTILIZADA: combinação frequente (Fd,fre = Fg + ψ1·Fq), a mesma que a planilha já chama de 'ELS-F' em toda a aba Tensões e em Geometria!M222 — é a combinação correta para verificação de abertura de fissuras (ELS-W) segundo a NBR 6118:2023, item 3.2.4 (estado limite de abertura de fissuras é reversível → combinação frequente). Não recalculei essas tensões: puxei diretamente os valores já resolvidos em 'Tensões' (colunas O e AA, que já escolhem entre a tensão reduzida no comprimento de transferência e a tensão calculada plena, exatamente como o resto da planilha já faz). Borda inferior usa 'Tensões, ELS-F MÁXIMO' (momento mais alto, tração embaixo — caso usual em vão); borda superior usa 'Tensões, ELS-F Mínimo' (momento mais baixo, que é quando a tração pode aparecer em cima, perto de apoios/console). Se quiser conferir a combinação oposta em algum ponto específico, os valores estão nas colunas M-W (máximo) e Y-AI (mínimo) da aba Tensões.</t>
  </si>
  <si>
    <t>MÉTODO PARA A TENSÃO NO AÇO (σs): a viga é protendida, então o aço já está tracionado antes mesmo de qualquer carga externa (pré-alongamento). Uma vez ultrapassada a descompressão (tensão total = 0 na fibra), o acréscimo de tração no aço é calculado tratando a seção, a partir dali, como uma seção de concreto armado fissurada comum (Estádio II), submetida apenas ao 'momento excedente' ΔM = tensão total já calculada em 'Tensões' × módulo de resistência elástico da fibra (Geometria!L52 ou L53) — essa igualdade (ΔM = σ×W) é uma consequência direta de σ = N/A ± M/W já ser linear: não precisei resolver a posição da protensão de novo, o ΔM sai direto da tensão que a aba Tensões já calculou. IMPORTANTE: para wk, σs usa SOMENTE esse acréscimo Δσ pós-descompressão (na cordoalha inclusive) — a fórmula de wk mede o deslizamento relativo entre aço e concreto na fissura, que só existe a partir do instante em que a fissura se abre; o pré-alongamento existente antes da descompressão não entra nessa conta (é a mesma prática do PCI Handbook / literatura de protendido para peças com armadura aderente). SIMPLIFICAÇÕES ASSUMIDAS (a favor da segurança): (1) despreza o enrijecimento à tração do concreto entre fissuras ('tension stiffening') — isso super-estima levemente σs e por consequência wk; (2) a zona comprimida na seção fissurada usa uma única largura (bw ou a mesa colaborante/mesa superior, conforme o tipo de seção ativo — mesma lógica de bw/bf já usada na aba 'Momento Resistente - Ap+As'), sem fazer a transição em duas larguras; válido enquanto a linha neutra fissurada permanecer dentro da mesa (verificável comparando x,cr com a espessura da mesa, mostrado abaixo); (3) despreza a contribuição da armadura de compressão (As' na borda tracionada oposta) no equilíbrio da seção fissurada — usual e a favor da segurança.</t>
  </si>
  <si>
    <t>1 . Materiais</t>
  </si>
  <si>
    <t>fctm (Geometria!L1173) =</t>
  </si>
  <si>
    <t>Resistência média do concreto à tração, tempo infinito (mesma célula usada no item 23 da Geometria).</t>
  </si>
  <si>
    <t>fctk,inf = 0,7·fctm =</t>
  </si>
  <si>
    <t>Limite usado para decidir SE o ponto fissura — mesmo critério (0,7fctm) já usado na verificação ELS-F existente em Geometria!M381/M222.</t>
  </si>
  <si>
    <t>Ecs (Geometria!L1172) =</t>
  </si>
  <si>
    <t>Módulo de elasticidade secante do concreto, tempo infinito, convertido de GPa para MPa (Geometria!L1172).</t>
  </si>
  <si>
    <t>Módulo de elasticidade do aço CA (mesmo valor usado em toda a planilha).</t>
  </si>
  <si>
    <t>Módulo de elasticidade do aço de protensão (mesma convenção de Geometria!L1131/L1201, que dividem por 20000 kN/cm² = 200000 MPa).</t>
  </si>
  <si>
    <t>αe,s = Es/Ecs =</t>
  </si>
  <si>
    <t>Razão modular do aço passivo para a análise da seção fissurada (Estádio II).</t>
  </si>
  <si>
    <t>αe,p = Ep/Ecs =</t>
  </si>
  <si>
    <t>Razão modular do aço ativo para a análise da seção fissurada (Estádio II).</t>
  </si>
  <si>
    <t>η1 (As, CA-50 nervurado) =</t>
  </si>
  <si>
    <t>Coeficiente de conformação superficial, NBR 6118:2023 Tabela 17.1 — barra nervurada de alta aderência.</t>
  </si>
  <si>
    <t>η1 (Ap, cordoalha CP-190 RB) =</t>
  </si>
  <si>
    <t>Coeficiente de conformação superficial, NBR 6118:2023 Tabela 17.1 — cordoalha de 3/7 fios, aderência boa.</t>
  </si>
  <si>
    <t>2 . Geometria e armadura ativas (herdadas da aba 'Momento Resistente - Ap+As')</t>
  </si>
  <si>
    <t>Seção ativa =</t>
  </si>
  <si>
    <t>Mesmo seletor automático da aba 'Momento Resistente - Ap+As' (conforme Geometria!M20/M21).</t>
  </si>
  <si>
    <t>H (altura total) =</t>
  </si>
  <si>
    <t>bw (largura, zona tracionada) =</t>
  </si>
  <si>
    <t>Reaproveitada da aba 'Momento Resistente - Ap+As' — simplificação: usada como largura única da zona comprimida na análise fissurada (ver nota do item acima).</t>
  </si>
  <si>
    <t>As (Taxas!K58, inferior) =</t>
  </si>
  <si>
    <t>Ø As (Geometria!O5) =</t>
  </si>
  <si>
    <t>c,As (base até centro de As) =</t>
  </si>
  <si>
    <t>Distância da face tracionada (inferior) até o centro de As — usada na área de envolvimento Acri.</t>
  </si>
  <si>
    <t>Ap (Geometria!L251, inferior) =</t>
  </si>
  <si>
    <t>Ø Ap (Geometria!L250) =</t>
  </si>
  <si>
    <t>c,Ap (base até centro de Ap) =</t>
  </si>
  <si>
    <t>Distância da face tracionada (inferior) até o centro de Ap (Geometria!R252).</t>
  </si>
  <si>
    <t>As' (Taxas!K51, superior) =</t>
  </si>
  <si>
    <t>Ø As' (Geometria!O4) =</t>
  </si>
  <si>
    <t>c,As' (topo até centro de As') =</t>
  </si>
  <si>
    <t>Distância da face tracionada (superior, quando a borda de cima estiver tracionada) até o centro de As'.</t>
  </si>
  <si>
    <t>A'p (Geometria!L265, superior) =</t>
  </si>
  <si>
    <t>Cordoalha superior — 0 nesta viga.</t>
  </si>
  <si>
    <t>c,A'p (topo até centro de A'p) =</t>
  </si>
  <si>
    <t>Geometria!R266 já mede a partir do topo (mesma convenção da tabela de cordoalha superior).</t>
  </si>
  <si>
    <t>ρri (taxa de armadura na área de envolvimento) e Acri (área de envolvimento) — NBR 6118:2023 item 17.3.3.2, Figura 17.2, simplificados como Acri = bw × 2×c (largura da alma vezes duas vezes a distância da face tracionada até o centro da barra), que é a aproximação usual quando as barras/cordoalhas se distribuem ao longo de toda a largura bw.</t>
  </si>
  <si>
    <t>ρr,As = As/(bw×2×c,As) =</t>
  </si>
  <si>
    <t>ρr,Ap = Ap/(bw×2×c,Ap) =</t>
  </si>
  <si>
    <t>ρr,As' = As'/(bw×2×c,As') =</t>
  </si>
  <si>
    <t>ρr,A'p = A'p/(bw×2×c,A'p) =</t>
  </si>
  <si>
    <t>3 . Borda inferior (tração embaixo) — combinacao ELS-F MAXIMO</t>
  </si>
  <si>
    <t>Fibra inferior, tensao resolvida em Tensoes!O31:O51 (bloco 'ELS-F, MAXIMO', ja escolhida entre tensao reduzida no comprimento de transferencia e tensao calculada plena). Reforco: As (passiva inferior) + Ap (cordoalhas inferiores), equilibrio conjunto da secao fissurada (Estadio II).</t>
  </si>
  <si>
    <t>posicao (m)</t>
  </si>
  <si>
    <t>sigma (kN/m2)</t>
  </si>
  <si>
    <t>Fissura?</t>
  </si>
  <si>
    <t>x,cr (cm)</t>
  </si>
  <si>
    <t>DM,exc (kN.m)</t>
  </si>
  <si>
    <t>ss As (MPa)</t>
  </si>
  <si>
    <t>wk As (mm)</t>
  </si>
  <si>
    <t>ss Ap (MPa)</t>
  </si>
  <si>
    <t>wk Ap (mm)</t>
  </si>
  <si>
    <t>wk do ponto (mm)</t>
  </si>
  <si>
    <t>4 . Borda superior (tracao em cima) — combinacao ELS-F MINIMO</t>
  </si>
  <si>
    <t>Fibra superior, tensao resolvida em Tensoes!AA8:AA28 (bloco 'ELS-F, Minimo'). Reforco: As' (passiva superior) + A'p (cordoalha superior, = 0 nesta viga — os termos ainda aparecem prontos caso a viga passe a ter cordoalha superior no futuro).</t>
  </si>
  <si>
    <t>ss As' (MPa)</t>
  </si>
  <si>
    <t>wk As' (mm)</t>
  </si>
  <si>
    <t>ss A'p (MPa)</t>
  </si>
  <si>
    <t>wk A'p (mm)</t>
  </si>
  <si>
    <t>5 . Resumo — maior wk encontrado</t>
  </si>
  <si>
    <t>wk maximo, borda inferior =</t>
  </si>
  <si>
    <t>wk maximo, borda superior =</t>
  </si>
  <si>
    <t>wk,lim usual (CAA II/III, NBR 6118 Tab. 13.4) =</t>
  </si>
  <si>
    <t>Valor de referencia mais comum (concreto armado/protendido nivel 2, CAA II ou III) — confira a classe de agressividade e o nivel de protensao realmente adotados nesta viga antes de comparar; a planilha nao decide isso automaticamente.</t>
  </si>
  <si>
    <t>Para o grafico de pontos: use a coluna 'posicao (m)' (L) como eixo X e a coluna 'wk do ponto (mm)' (U) como eixo Y, para os blocos das secoes 3 e 4 separadamente (ou sobrepostos, com duas series).</t>
  </si>
  <si>
    <t>ABERTURAS NA ALMA — VERIFICAÇÃO COMPARATIVA (Süssekind / Fusco / Leonhardt-Mönnig)</t>
  </si>
  <si>
    <t>x (posição do furo, a partir do apoio esquerdo)</t>
  </si>
  <si>
    <t>φ (altura/diâmetro do furo)</t>
  </si>
  <si>
    <t>yo (altura do CENTRO do furo, desde a base da viga)</t>
  </si>
  <si>
    <t>a (comprimento do furo ao longo do vão)</t>
  </si>
  <si>
    <t>q (carga distribuída sobre o furo, opcional)</t>
  </si>
  <si>
    <t>CHECAGEM DE DISPENSA DE VERIFICAÇÃO (NBR 6118:2014, item 13.2.5.1)</t>
  </si>
  <si>
    <t>Mínimo exigido (2h)</t>
  </si>
  <si>
    <t>Situação — distância do apoio</t>
  </si>
  <si>
    <t>Situação — dimensão do furo</t>
  </si>
  <si>
    <t>Situação — cobrimento e não secc. de armaduras</t>
  </si>
  <si>
    <t>(conferir manualmente em projeto)</t>
  </si>
  <si>
    <t>CONCLUSÃO — dispensa de verificação</t>
  </si>
  <si>
    <t>L (comprimento total da grade acima)</t>
  </si>
  <si>
    <t>ESFORÇOS NO EIXO DO FURO (interpolados da grade acima)</t>
  </si>
  <si>
    <t>Índice fracionário</t>
  </si>
  <si>
    <t>GEOMETRIA DOS BANZOS (definida pela posição/altura do furo)</t>
  </si>
  <si>
    <t>h1 — banzo comprimido (topo até o furo)</t>
  </si>
  <si>
    <t>h2 — banzo tracionado (furo até a base)</t>
  </si>
  <si>
    <t>z — distância entre CG dos banzos</t>
  </si>
  <si>
    <t>PROTENSÃO NO EIXO DO FURO (viga protendida — considerar Np no banzo correspondente)</t>
  </si>
  <si>
    <t>yp (altura da cordoalha, desde a base)</t>
  </si>
  <si>
    <t>Banzo onde a protensão atua</t>
  </si>
  <si>
    <t>Excentricidade de Np em relação ao CG do seu banzo</t>
  </si>
  <si>
    <t>TABELA COMPARATIVA — 3 MÉTODOS (a/2 = meio comprimento do furo em todos)</t>
  </si>
  <si>
    <t>Süssekind (1999)</t>
  </si>
  <si>
    <t>Fusco (2013)</t>
  </si>
  <si>
    <t>Leonhardt-Mönnig (1978)</t>
  </si>
  <si>
    <t>Unid.</t>
  </si>
  <si>
    <t>D = Z = M(x)/z</t>
  </si>
  <si>
    <t>Q1 — cortante no banzo comprimido</t>
  </si>
  <si>
    <t>Q2 — cortante no banzo tracionado</t>
  </si>
  <si>
    <t>M1 — momento local no banzo comprimido</t>
  </si>
  <si>
    <t>M2 — momento local no banzo tracionado</t>
  </si>
  <si>
    <t>RESULTADO FINAL DOS BANZOS (incluindo protensão Np, se aplicável)</t>
  </si>
  <si>
    <t>Momento adicional de Np,SUPERIOR no seu banzo</t>
  </si>
  <si>
    <t>Nota: banzos devem ser verificados à flexão composta (N + M1 ou N + M2+Momento de Np), conforme a NBR 6118 e as recomendações de cada autor.</t>
  </si>
  <si>
    <t>CONSTANTES DE PROJETO (para armaduras abaixo)</t>
  </si>
  <si>
    <t>bw (largura da viga)</t>
  </si>
  <si>
    <t>c1 (cobrimento até centro da barra)</t>
  </si>
  <si>
    <t>ARMADURA LONGITUDINAL DOS BANZOS (flexão composta — tratamento conservador, 2 faces)</t>
  </si>
  <si>
    <t>z,local — braço interno de cada banzo</t>
  </si>
  <si>
    <t>cm (banzo superior)</t>
  </si>
  <si>
    <t>z,local — banzo inferior</t>
  </si>
  <si>
    <t>Süssekind</t>
  </si>
  <si>
    <t>Fusco</t>
  </si>
  <si>
    <t>Leonhardt-Mönnig</t>
  </si>
  <si>
    <t>M,banzo superior total (M1 + Np, se aplicável)</t>
  </si>
  <si>
    <t>M,banzo inferior total (M2 + Np, se aplicável)</t>
  </si>
  <si>
    <t>As,sup — face externa (topo da viga)</t>
  </si>
  <si>
    <t>As,sup — face interna (voltada ao furo)</t>
  </si>
  <si>
    <t>As,inf — face externa (base da viga)</t>
  </si>
  <si>
    <t>As,inf — face interna (voltada ao furo)</t>
  </si>
  <si>
    <t>ESTRIBOS DOS BANZOS (biela a 45°, braço 0,9d)</t>
  </si>
  <si>
    <t>Asw1/s — estribo do banzo comprimido</t>
  </si>
  <si>
    <t>cm²/cm</t>
  </si>
  <si>
    <t>Asw2/s — estribo do banzo tracionado</t>
  </si>
  <si>
    <t>ARMADURA DE SUSPENSÃO (Leonhardt-Mönnig, recomendação 5 — junto ao furo, lado mais afastado do apoio)</t>
  </si>
  <si>
    <t>As,susp — dimensionar p/ ~0,8×V(x) (lado mais afastado do apoio)</t>
  </si>
  <si>
    <t>(mesmo valor p/ os 3 métodos — Leonhardt recomenda 0,8×Qm)</t>
  </si>
  <si>
    <t>No lado mais PRÓXIMO do apoio: apenas 1 a 3 estribos adicionais (recomendação qualitativa, sem cálculo)</t>
  </si>
  <si>
    <t>PROTENSÃO REAL NO EIXO DO FURO (variando com a posição — perdas por atrito/transferência)</t>
  </si>
  <si>
    <t>Índice fracionário (grade de Perdas por Seção)</t>
  </si>
  <si>
    <t>Np(x) — interpolado de "Perdas por Seção"</t>
  </si>
  <si>
    <t>SEÇÃO REDUZIDA NO FURO (tratamento de seção composta — CG recalculado)</t>
  </si>
  <si>
    <t>Ac,bruta</t>
  </si>
  <si>
    <t>Ic,bruta</t>
  </si>
  <si>
    <t>cm⁴</t>
  </si>
  <si>
    <t>y,cg,bruto (desde a base)</t>
  </si>
  <si>
    <t>A,furo (bw × φ)</t>
  </si>
  <si>
    <t>Ac,reduzida</t>
  </si>
  <si>
    <t>y,cg,NOVO (desde a base — CG recalculado com a redução)</t>
  </si>
  <si>
    <t>Deslocamento do CG (y,cg,bruto − y,cg,novo)</t>
  </si>
  <si>
    <t>I,furo,própria (bw×φ³/12)</t>
  </si>
  <si>
    <t>I,NOVO (Steiner — bruta e furo, em torno do CG novo)</t>
  </si>
  <si>
    <t>y,sup,novo (CG novo até topo)</t>
  </si>
  <si>
    <t>y,inf,novo (CG novo até base)</t>
  </si>
  <si>
    <t>Ws,reduzido</t>
  </si>
  <si>
    <t>Wi,reduzido</t>
  </si>
  <si>
    <t>EXCENTRICIDADE E MOMENTO DE PROTENSÃO (na seção reduzida)</t>
  </si>
  <si>
    <t>e — excentricidade de Np (CG novo até a cordoalha)</t>
  </si>
  <si>
    <t>Mp — momento de protensão (Np × e)</t>
  </si>
  <si>
    <t>e,superior — excentricidade de Np,superior (CG novo)</t>
  </si>
  <si>
    <t>Verificação</t>
  </si>
  <si>
    <t>σ,sup vs tração</t>
  </si>
  <si>
    <t>σ,inf vs tração</t>
  </si>
  <si>
    <t>TABELA — TENSÕES NOS 21 PONTOS DO VÃO, JÁ COM O FURO CONSIDERADO (kN/cm²)</t>
  </si>
  <si>
    <t>ELU-ATO sup</t>
  </si>
  <si>
    <t>ELU-ATO inf</t>
  </si>
  <si>
    <t>ELS-F,máx sup</t>
  </si>
  <si>
    <t>ELS-F,máx inf</t>
  </si>
  <si>
    <t>ELS-F,mín sup</t>
  </si>
  <si>
    <t>ELS-F,mín inf</t>
  </si>
  <si>
    <t>ELS-D,máx sup</t>
  </si>
  <si>
    <t>ELS-D,máx inf</t>
  </si>
  <si>
    <t>ELS-D,mín sup</t>
  </si>
  <si>
    <t>ELS-D,mín inf</t>
  </si>
  <si>
    <t>Dentro do furo?</t>
  </si>
  <si>
    <t>PROTENSÃO SUPERIOR NO EIXO DO FURO (A'p, se houver — mesmo tratamento da inferior)</t>
  </si>
  <si>
    <t>Np,superior (A'p × tensão)</t>
  </si>
  <si>
    <t>yp,superior (altura desde a base)</t>
  </si>
  <si>
    <t>Banzo onde a protensão SUPERIOR atua</t>
  </si>
  <si>
    <t>Excentricidade de Np,superior em relação ao CG do seu banzo</t>
  </si>
  <si>
    <t>Mp,superior (Np,superior × e,superior) — para a verificação ELS</t>
  </si>
  <si>
    <t>25 . Alpha R e coeficiente de engastamento</t>
  </si>
  <si>
    <t xml:space="preserve">Modelo bilinear da cordoalha </t>
  </si>
  <si>
    <t>Considera-se a força cortante a uma distância d/2 da face do apoio, conforme a NBR 6118, pois parte da carga distribuída próxima ao apoio é transferida diretamente por meio de bielas comprimidas, reduzindo a parcela de cisalhamento a ser absorvida pela armadura transversal.</t>
  </si>
  <si>
    <t>d/2</t>
  </si>
  <si>
    <t>Verificação da cortante reduzida a d/2 do apoio (NBR 6118, 17.4.1.2.1) - calculada pelo mesmo método de trechos + cargas pontuais desta aba (não a aproximação de carga uniforme única da aba 'Diagrama Cortante').</t>
  </si>
  <si>
    <t>Apoio</t>
  </si>
  <si>
    <t>Vd = O75*Vg0g1g2 + O77*(Vg3g4+Vq0) (kN)</t>
  </si>
  <si>
    <t>Esquerdo (d/2)</t>
  </si>
  <si>
    <t>Direito (d/2)</t>
  </si>
  <si>
    <t>V,d/2 esquerdo (kN) - de 'Cargas adicionais'</t>
  </si>
  <si>
    <t>V,d/2 direito (kN) - de 'Cargas adicionais'</t>
  </si>
  <si>
    <t>Apoio (Geometria!L34)</t>
  </si>
  <si>
    <t>Pode usar V,d/2 nos estribos?</t>
  </si>
  <si>
    <t>Maior fator a/(2d) entre as cargas pontuais (esq./dir.)</t>
  </si>
  <si>
    <t>ATENÇÃO: V,d/2 (linhas 30-31) vem da aba 'Cargas adicionais' (método de trechos + cargas pontuais reais). A redução a d/2 (NBR 6118:2023, 17.4.1.2.1-a) vale para carga distribuída, em apoio direto, e já está aplicada nesse cálculo. Para carga concentrada a uma distância a do eixo do apoio, a norma usa uma regra própria (17.4.1.2.1-b): se a&lt;=2d, a parcela dessa carga é reduzida pelo fator a/(2d) (linha 33 mostra o maior fator entre as cargas cadastradas); se a&gt;2d, não há redução - a carga entra integralmente. Isso já está embutido nas colunas T/U de 'Cargas adicionais'!185:194 e portanto no V,d/2 calculado. Nenhuma dessas reduções se aplica: (1) à verificação da biela comprimida (esmagamento) junto ao apoio - use sempre o Vd na face (já é o caso em Taxas!J19); (2) a apoios indiretos (dente Gerber, viga sobre viga) - use o Vd cheio; (3) à armadura de suspensão em cargas indiretas - dimensiona-se para a força suspensa integral, sem redução; (4) a cabos inclinados de protensão.</t>
  </si>
  <si>
    <t>fator a/(2d) - apoio esq.</t>
  </si>
  <si>
    <t>fator a/(2d) - apoio dir.</t>
  </si>
  <si>
    <t>Vsd,estr (maior entre d/2 esq. e dir., se válido)</t>
  </si>
  <si>
    <t>γp =</t>
  </si>
  <si>
    <t>γp: protensão no ELU | γc: minoração do concreto (viga / capa)</t>
  </si>
  <si>
    <t>γc,pré</t>
  </si>
  <si>
    <t>γc,capa =</t>
  </si>
  <si>
    <t>CAA =</t>
  </si>
  <si>
    <t>Classe de agressividade ambiental – cobrimento pela tabela de fábrica (aba Apoio).</t>
  </si>
  <si>
    <t>Resistência do concreto na liberação da protensão (ato) – dado da fábrica/ensaio.</t>
  </si>
  <si>
    <t>Controle rigoroso =</t>
  </si>
  <si>
    <t>Controle de qualidade rigoroso (NBR 6118, 7.4.7.4): reduz o cobrimento em 5 mm.</t>
  </si>
  <si>
    <t>γf,G1 (g0+g1 a 1,3; capa a 1,4)</t>
  </si>
  <si>
    <t>U =</t>
  </si>
  <si>
    <t>Umidade relativa média do ar (NBR 6118, Anexo A) – fluência e retração.</t>
  </si>
  <si>
    <t>T =</t>
  </si>
  <si>
    <t>°C</t>
  </si>
  <si>
    <t>Temperatura média do ambiente (NBR 6118, Anexo A).</t>
  </si>
  <si>
    <t>Slump viga =</t>
  </si>
  <si>
    <t>Abatimento do concreto da viga pré-fabricada (define ε1s e φ1c).</t>
  </si>
  <si>
    <t>Slump capa =</t>
  </si>
  <si>
    <t>Abatimento do concreto da capa moldada no local.</t>
  </si>
  <si>
    <t>Armadura passiva para controle de fissuração na borda tracionada</t>
  </si>
  <si>
    <t>fcd (zona comp.)</t>
  </si>
  <si>
    <t>Momento resistente com a zona comprimida adotada (confere com Md).</t>
  </si>
  <si>
    <t>Mesa inferior fica na zona tracionada: não contribui para a compressão (zero).</t>
  </si>
  <si>
    <t>Idem – sem contribuição da mesa inferior.</t>
  </si>
  <si>
    <t>Parcela das abas da capa (bf − bw,ligação)·hf.</t>
  </si>
  <si>
    <t>Parcela restante resistida pela alma do preenchimento (bw,ligação).</t>
  </si>
  <si>
    <t>γp</t>
  </si>
  <si>
    <t>Ecs (t=1)</t>
  </si>
  <si>
    <t>Ecs (t)</t>
  </si>
  <si>
    <t>Ecs (t capa)</t>
  </si>
  <si>
    <t>σp,0 (t=1)</t>
  </si>
  <si>
    <t>Estádio</t>
  </si>
  <si>
    <t>Limite: flecha final ≤ L/250</t>
  </si>
  <si>
    <t>Limite: contraflecha inicial ≥ −L/300</t>
  </si>
  <si>
    <t>CNLF =</t>
  </si>
  <si>
    <t>Coef. de não linearidade física: reduz a rigidez da etapa em Estádio II (aba Estádio - Flechas).</t>
  </si>
  <si>
    <t>Parâmetros da homogeneização (como na planilha de referência: α = Ep/Ecs(t) para cordoalhas e Es/Ecs(t) para vergalhões)</t>
  </si>
  <si>
    <t>Ep =</t>
  </si>
  <si>
    <t>Módulo de elasticidade das cordoalhas (NBR 6118, 8.4.4).</t>
  </si>
  <si>
    <t>Módulo de elasticidade dos vergalhões (NBR 6118, 8.3.5).</t>
  </si>
  <si>
    <t>t,pré =</t>
  </si>
  <si>
    <t>Idade da seção pré-fabricada na homogeneização (ato da protensão).</t>
  </si>
  <si>
    <t>β1(t,pré) =</t>
  </si>
  <si>
    <t>Crescimento da resistência do concreto com a idade.</t>
  </si>
  <si>
    <t>Ecs(t,pré) =</t>
  </si>
  <si>
    <t>Módulo secante do concreto da viga nessa idade.</t>
  </si>
  <si>
    <t>αp,pré =</t>
  </si>
  <si>
    <t>Relação Ep/Ecs – cordoalhas na seção pré-fabricada.</t>
  </si>
  <si>
    <t>αe,pré =</t>
  </si>
  <si>
    <t>Relação Es/Ecs – vergalhões na seção pré-fabricada.</t>
  </si>
  <si>
    <t>t,comp =</t>
  </si>
  <si>
    <t>Idade na solidarização (seção composta).</t>
  </si>
  <si>
    <t>β1(t,comp) =</t>
  </si>
  <si>
    <t>Ecs(t,comp) =</t>
  </si>
  <si>
    <t>αp,comp =</t>
  </si>
  <si>
    <t>Relação Ep/Ecs – cordoalhas na seção composta.</t>
  </si>
  <si>
    <t>αe,comp =</t>
  </si>
  <si>
    <t>Relação Es/Ecs – vergalhões na seção composta.</t>
  </si>
  <si>
    <t>Trecho 2</t>
  </si>
  <si>
    <t>→ Estribos, apoios (tirante/grampos), dente Gerber, suspensão, interface e ancoragem: ver a aba "Cisalhamento e Apoios".</t>
  </si>
  <si>
    <t>MSd,máx semitramo (kN.m):</t>
  </si>
  <si>
    <t>NBR 6118 17.4.2.2: Vc = Vc0·(1+M0/MSd,máx), com MSd,máx do semitramo (como na referência).</t>
  </si>
  <si>
    <t>termo geom. sup. [(h − y cabo sup − ycg,comp)/100]</t>
  </si>
  <si>
    <t>R,inf = σp,inf,t1 / fptk</t>
  </si>
  <si>
    <t>R,sup = σp,sup,t1 / fptk</t>
  </si>
  <si>
    <t>γc (capa se solidarizada) =</t>
  </si>
  <si>
    <t>σcd = αc·ηc·(fck/10γc) – capa se solidarizada =</t>
  </si>
  <si>
    <t>bw (alma; preenchimento se solidarizada) =</t>
  </si>
  <si>
    <t>Δσ capa = σcd,capa/r − σcd =</t>
  </si>
  <si>
    <t>A zona da capa/preenchimento tem largura homogeneizada (×r = Ecapa/Eviga); esta correção aplica nela a resistência de cálculo do concreto da capa, como na referência.</t>
  </si>
  <si>
    <t>VERIFICAÇÃO DO ESTÁDIO POR ETAPA PARA O CÁLCULO DAS FLECHAS</t>
  </si>
  <si>
    <t>Mr = α·fct,m(t)·W + Wi·Np/A + Mp  (momento de fissuração na borda inferior da viga, na idade t de cada etapa; fck,j(t) = β1(t)·fck, limitado entre fck,j do ato e fck).</t>
  </si>
  <si>
    <t>Ma = momento fletor acumulado na combinação rara (etapas permanentes + carga acidental integral). Se Ma &gt; Mr a etapa passa ao Estádio II e permanece nele nas etapas seguintes; a flecha imediata dessa etapa é dividida pelo CNLF (Geometria!L1290). Mesmo critério da planilha de referência (aba ELS-Deformação).</t>
  </si>
  <si>
    <t>Seção resistente: etapas 1 a 4 na seção pré-fabricada; etapas 5 a 7 na seção composta quando há solidarização (Geometria!M18). Etapas 1 a 6 com σp após as perdas imediatas; etapa 7 com σp no tempo infinito.</t>
  </si>
  <si>
    <t>Etapa</t>
  </si>
  <si>
    <t>Seção resistente</t>
  </si>
  <si>
    <t>Idade t (dias)</t>
  </si>
  <si>
    <t>β1(t)</t>
  </si>
  <si>
    <t>fck,j(t) (MPa)</t>
  </si>
  <si>
    <t>fct,m(t) (MPa)</t>
  </si>
  <si>
    <t>σp,inf (kN/cm²)</t>
  </si>
  <si>
    <t>σp,sup (kN/cm²)</t>
  </si>
  <si>
    <t>Mp (kN·cm)</t>
  </si>
  <si>
    <t>A (cm²)</t>
  </si>
  <si>
    <t>Wi (cm³)</t>
  </si>
  <si>
    <t>W p/ fct (cm³)</t>
  </si>
  <si>
    <t>Mr (kN·cm)</t>
  </si>
  <si>
    <t>Ma,rara acumulado (kN·cm)</t>
  </si>
  <si>
    <t>Fator na flecha imediata</t>
  </si>
  <si>
    <t>Peso próprio da viga (g0)</t>
  </si>
  <si>
    <t>Peso próprio da laje (g1)</t>
  </si>
  <si>
    <t>Capa (g2)</t>
  </si>
  <si>
    <t>Alvenaria (g4)</t>
  </si>
  <si>
    <t>Revestimento (g3)</t>
  </si>
  <si>
    <t>Carga acidental (q – rara)</t>
  </si>
  <si>
    <t>Observações</t>
  </si>
  <si>
    <t>1) A etapa "Perda de protensão" da tabela de flechas (Geometria, linha 1279) usa o estádio da etapa 1, como na referência.</t>
  </si>
  <si>
    <t>2) Diferença intencional em relação à referência: lá o α desta verificação está fixo em 1,2 (seção T) para qualquer seção; aqui α segue o tipo de seção da Geometria (célula R75).</t>
  </si>
  <si>
    <t>3) Para a seção composta, Mr usa W composto apenas na parcela α·fct (mesma aproximação da referência); Np/A e Mp atuam na seção pré-fabricada.</t>
  </si>
  <si>
    <t>1 . DADOS (vêm da Geometria – só os cinzas são editáveis)</t>
  </si>
  <si>
    <t>Tipo de extremidade da viga (Geometria!L34): "Gerber" = dente de apoio; outro = apoio direto sem recorte.</t>
  </si>
  <si>
    <t>Largura da alma.</t>
  </si>
  <si>
    <t>h,pré</t>
  </si>
  <si>
    <t>Altura da viga pré-fabricada.</t>
  </si>
  <si>
    <t>h,comp</t>
  </si>
  <si>
    <t>Altura da seção resistente final (com laje e capa se solidarizada).</t>
  </si>
  <si>
    <t>Cobrimento.</t>
  </si>
  <si>
    <t>Ø long.</t>
  </si>
  <si>
    <t>Bitola da armadura longitudinal inferior.</t>
  </si>
  <si>
    <t>Distância do CG da armadura inferior à face (c + Ø estribo + Ø long./2).</t>
  </si>
  <si>
    <t>Altura útil da seção final.</t>
  </si>
  <si>
    <t>d,pré</t>
  </si>
  <si>
    <t>Altura útil da viga pré-fabricada sozinha (fase de montagem).</t>
  </si>
  <si>
    <t>Resistência do concreto da viga.</t>
  </si>
  <si>
    <t>γc</t>
  </si>
  <si>
    <t>Minoração do concreto.</t>
  </si>
  <si>
    <t>γs</t>
  </si>
  <si>
    <t>Minoração do aço.</t>
  </si>
  <si>
    <t>Resistência de cálculo à compressão.</t>
  </si>
  <si>
    <t>fctd</t>
  </si>
  <si>
    <t>Resistência de cálculo à tração (fctk,inf/γc).</t>
  </si>
  <si>
    <t>fyk</t>
  </si>
  <si>
    <t>Aço dos estribos e tirantes (CA-50).</t>
  </si>
  <si>
    <t>fywd</t>
  </si>
  <si>
    <t>Resistência de cálculo do estribo (≤ 435 MPa, NBR 6118 17.4.2.2).</t>
  </si>
  <si>
    <t>fyd</t>
  </si>
  <si>
    <t>Resistência de cálculo dos tirantes/grampos, em kN/cm².</t>
  </si>
  <si>
    <t>αv2</t>
  </si>
  <si>
    <t>Coeficiente de efetividade do concreto.</t>
  </si>
  <si>
    <t>VRd2</t>
  </si>
  <si>
    <t>Resistência das bielas (Modelo I, θ = 45°).</t>
  </si>
  <si>
    <t>Vc0</t>
  </si>
  <si>
    <t>Parcela do concreto, seção final.</t>
  </si>
  <si>
    <t>Vc0,pré</t>
  </si>
  <si>
    <t>Parcela do concreto, viga pré-fabricada sozinha.</t>
  </si>
  <si>
    <t>Asw,mín/s</t>
  </si>
  <si>
    <t>Armadura mínima: 0,2·fct,m/fywk·bw.</t>
  </si>
  <si>
    <t>Protensão no Vc?</t>
  </si>
  <si>
    <t>Considerar o efeito favorável da protensão no Vc (NBR 6118 17.4.2.2)? Sim/Não.</t>
  </si>
  <si>
    <t>Coeficiente da protensão favorável (Geometria!R77).</t>
  </si>
  <si>
    <t>Usar Vd em d/2?</t>
  </si>
  <si>
    <t>NBR 6118 17.4.1.2.1: só no apoio direto (sem recorte). A biela (VRd2) sempre usa Vd na face do apoio.</t>
  </si>
  <si>
    <t>s,mín prático</t>
  </si>
  <si>
    <t>Espaçamento mínimo que você aceita executar (abaixo disso a planilha avisa).</t>
  </si>
  <si>
    <t>2 . FORÇA CORTANTE E ARMADURA NECESSÁRIA AO LONGO DO VÃO (S1 = apoio … S11 = meio do vão)</t>
  </si>
  <si>
    <t>Vd = combinação de cálculo (γ de g0/g1/capa ponderado e 1,4 nas demais – mesmas combinações da flexão). Na seção S1 o estribo usa Vd em d/2 quando permitido (item 1). A fase pré-fabricada (viga sozinha com peso próprio, laje e capa, antes da solidarização) é verificada com d,pré. Asw/s adotado = maior entre seção final, fase pré-fabricada e armadura mínima.</t>
  </si>
  <si>
    <t>Vd face (kN)</t>
  </si>
  <si>
    <t>Vd estribo (kN)</t>
  </si>
  <si>
    <t>Vd pré (kN)</t>
  </si>
  <si>
    <t>Md (kN·m)</t>
  </si>
  <si>
    <t>Mp (kN·m)</t>
  </si>
  <si>
    <t>M0 (kN·m)</t>
  </si>
  <si>
    <t>Vc (kN)</t>
  </si>
  <si>
    <t>Asw/s final</t>
  </si>
  <si>
    <t>Asw/s pré</t>
  </si>
  <si>
    <t>Asw/s adotado</t>
  </si>
  <si>
    <t>Biela (VRd2)</t>
  </si>
  <si>
    <t>smáx (cm)</t>
  </si>
  <si>
    <t>Vão</t>
  </si>
  <si>
    <t>Vão teórico (entre eixos de apoio).</t>
  </si>
  <si>
    <t>a0</t>
  </si>
  <si>
    <t>Distância da ponta da viga ao eixo do apoio.</t>
  </si>
  <si>
    <t>Início x (cm)</t>
  </si>
  <si>
    <t>Fim x (cm)</t>
  </si>
  <si>
    <t>Ø (mm)</t>
  </si>
  <si>
    <t>Ramos</t>
  </si>
  <si>
    <t>Asw/s nec. (cm²/cm)</t>
  </si>
  <si>
    <t>s calc. (cm)</t>
  </si>
  <si>
    <t>s adotado (cm)</t>
  </si>
  <si>
    <t>Comprimento total (cm)</t>
  </si>
  <si>
    <t>Quantidade</t>
  </si>
  <si>
    <t>Peso (kg)</t>
  </si>
  <si>
    <t>Status</t>
  </si>
  <si>
    <t>Trecho 1 (apoio)</t>
  </si>
  <si>
    <t>Trecho 3 (miolo)</t>
  </si>
  <si>
    <t>Resumo</t>
  </si>
  <si>
    <t>Peso estribos</t>
  </si>
  <si>
    <t>Peso total dos estribos da viga.</t>
  </si>
  <si>
    <t>4 . APOIO DIRETO SEM RECORTE – tirante e costura (planilha de referência, aba "Sem Gerber")</t>
  </si>
  <si>
    <t>Aplica-se?</t>
  </si>
  <si>
    <t>Este item vale quando a extremidade não tem dente.</t>
  </si>
  <si>
    <t>Vd</t>
  </si>
  <si>
    <t>Reação de cálculo no apoio (mesmas combinações).</t>
  </si>
  <si>
    <t>μ</t>
  </si>
  <si>
    <t>Força horizontal/vertical no aparelho (elastômero 0,16; argamassa 0,5; chapa 0,25; concreto × chapa 0,4).</t>
  </si>
  <si>
    <t>Força horizontal de cálculo no apoio.</t>
  </si>
  <si>
    <t>As,ref</t>
  </si>
  <si>
    <t>Tirante pela referência: (Vd/1,2 + Hd)/fyd.</t>
  </si>
  <si>
    <t>aℓ/d</t>
  </si>
  <si>
    <t>Decalagem do Modelo I: aℓ = d·Vd/[2(Vd − Vc)] ≥ 0,5d (NBR 6118 18.3.2.4.1).</t>
  </si>
  <si>
    <t>As,NBR</t>
  </si>
  <si>
    <t>Tirante pela NBR 6118: (aℓ/d·Vd + Hd)/fyd.</t>
  </si>
  <si>
    <t>Contar protensão?</t>
  </si>
  <si>
    <t>Descontar a força das cordoalhas já transferida até o eixo do apoio? (a referência não desconta)</t>
  </si>
  <si>
    <t>Np no apoio</t>
  </si>
  <si>
    <t>Np∞ · a0/ℓbpt (força já transferida no eixo do apoio).</t>
  </si>
  <si>
    <t>Barras long. ancoradas</t>
  </si>
  <si>
    <t>Barras inferiores prolongadas e ANCORADAS além do apoio (com gancho/solda) que podem contar no tirante.</t>
  </si>
  <si>
    <t>As,tir nec.</t>
  </si>
  <si>
    <t>Área a colocar em grampos no apoio.</t>
  </si>
  <si>
    <t>Ø grampo</t>
  </si>
  <si>
    <t>Bitola do grampo (em U, 2 ramos).</t>
  </si>
  <si>
    <t>Grampos</t>
  </si>
  <si>
    <t>Quantidade de grampos por apoio.</t>
  </si>
  <si>
    <t>fbd</t>
  </si>
  <si>
    <t>Aderência de cálculo (η1 = 2,25; boa aderência; η3).</t>
  </si>
  <si>
    <t>ℓb</t>
  </si>
  <si>
    <t>Comprimento de ancoragem básico (≥ 25Ø).</t>
  </si>
  <si>
    <t>Compr. mín. tirante</t>
  </si>
  <si>
    <t>Comprimento mínimo do tirante a partir do aparelho de apoio (2ℓb – referência).</t>
  </si>
  <si>
    <t>As,costura</t>
  </si>
  <si>
    <t>Costura horizontal: Vd/(8·fyd), distribuída em 2d/3 a partir do tirante.</t>
  </si>
  <si>
    <t>Ø costura</t>
  </si>
  <si>
    <t>Bitola da costura.</t>
  </si>
  <si>
    <t>Ramos de cada estribo de costura.</t>
  </si>
  <si>
    <t>Estribos costura</t>
  </si>
  <si>
    <t>Quantidade por apoio.</t>
  </si>
  <si>
    <t>s costura</t>
  </si>
  <si>
    <t>Espaçamento dentro de 2d/3.</t>
  </si>
  <si>
    <t>Peso item 4</t>
  </si>
  <si>
    <t>Dois apoios (grampos em U com 2ℓb por perna + costura).</t>
  </si>
  <si>
    <t>5 . DENTE GERBER – bielas e tirantes, suspensão e costura (planilha de referência, aba "Com Gerber")</t>
  </si>
  <si>
    <t>Este item vale quando a extremidade tem dente.</t>
  </si>
  <si>
    <t>L1</t>
  </si>
  <si>
    <t>Comprimento do dente.</t>
  </si>
  <si>
    <t>h1</t>
  </si>
  <si>
    <t>Altura do dente (padrão da planilha antiga – editável).</t>
  </si>
  <si>
    <t>Ø tirante</t>
  </si>
  <si>
    <t>Bitola do tirante do dente.</t>
  </si>
  <si>
    <t>cg tirante</t>
  </si>
  <si>
    <t>Posição do tirante a partir do topo do dente.</t>
  </si>
  <si>
    <t>folga</t>
  </si>
  <si>
    <t>Folga de montagem.</t>
  </si>
  <si>
    <t>e</t>
  </si>
  <si>
    <t>Espessura do aparelho de apoio.</t>
  </si>
  <si>
    <t>a2</t>
  </si>
  <si>
    <t>Distância do início do dente ao aparelho (e do consolo ao aparelho).</t>
  </si>
  <si>
    <t>ap</t>
  </si>
  <si>
    <t>Comprimento do aparelho de apoio.</t>
  </si>
  <si>
    <t>bp</t>
  </si>
  <si>
    <t>Largura do aparelho (= largura da biela).</t>
  </si>
  <si>
    <t>d,viga</t>
  </si>
  <si>
    <t>Altura útil da viga junto ao dente.</t>
  </si>
  <si>
    <t>d1</t>
  </si>
  <si>
    <t>Altura útil do dente.</t>
  </si>
  <si>
    <t>a1</t>
  </si>
  <si>
    <t>Faixa onde se concentra a suspensão.</t>
  </si>
  <si>
    <t>γn</t>
  </si>
  <si>
    <t>Coeficiente adicional para dentes/consolos (referência).</t>
  </si>
  <si>
    <t>Força horizontal/vertical no aparelho.</t>
  </si>
  <si>
    <t>Reação de cálculo com γn.</t>
  </si>
  <si>
    <t>Força horizontal de cálculo.</t>
  </si>
  <si>
    <t>Distância da carga ao centro da suspensão (referência).</t>
  </si>
  <si>
    <t>a/d1</t>
  </si>
  <si>
    <t>Define o tipo de consolo.</t>
  </si>
  <si>
    <t>Tipo</t>
  </si>
  <si>
    <t>Classificação NBR 9062.</t>
  </si>
  <si>
    <t>fcd3</t>
  </si>
  <si>
    <t>Tensão limite em biela com tirante único (nós CCT).</t>
  </si>
  <si>
    <t>fcd2</t>
  </si>
  <si>
    <t>Tensão limite em bielas cruzadas por mais de um tirante.</t>
  </si>
  <si>
    <t>Altura da biela no topo (compressão).</t>
  </si>
  <si>
    <t>z1</t>
  </si>
  <si>
    <t>Braço de alavanca no dente.</t>
  </si>
  <si>
    <t>z</t>
  </si>
  <si>
    <t>Braço de alavanca na viga.</t>
  </si>
  <si>
    <t>θ1</t>
  </si>
  <si>
    <t>°</t>
  </si>
  <si>
    <t>Inclinação da biela.</t>
  </si>
  <si>
    <t>Ftd1</t>
  </si>
  <si>
    <t>Força no tirante do dente.</t>
  </si>
  <si>
    <t>Ftd3</t>
  </si>
  <si>
    <t>Força no tirante inferior da viga junto à suspensão (deve ser ancorada pela armadura inferior).</t>
  </si>
  <si>
    <t>Rsus</t>
  </si>
  <si>
    <t>Força a suspender.</t>
  </si>
  <si>
    <t>As,susp</t>
  </si>
  <si>
    <t>Armadura de suspensão.</t>
  </si>
  <si>
    <t>Ø susp.</t>
  </si>
  <si>
    <t>Bitola da suspensão.</t>
  </si>
  <si>
    <t>Ramos dos estribos de suspensão.</t>
  </si>
  <si>
    <t>Estribos susp.</t>
  </si>
  <si>
    <t>Quantidade por apoio, concentrada em a1.</t>
  </si>
  <si>
    <t>As (NBR curto)</t>
  </si>
  <si>
    <t>NBR 9062 consolo curto.</t>
  </si>
  <si>
    <t>As (NBR m. curto)</t>
  </si>
  <si>
    <t>NBR 9062 consolo muito curto (μ = 1,4).</t>
  </si>
  <si>
    <t>As (bielas)</t>
  </si>
  <si>
    <t>Bielas e tirantes.</t>
  </si>
  <si>
    <t>As (El Debs)</t>
  </si>
  <si>
    <t>El Debs (2017).</t>
  </si>
  <si>
    <t>As,mín</t>
  </si>
  <si>
    <t>Taxa mecânica mínima 0,04.</t>
  </si>
  <si>
    <t>As,tir</t>
  </si>
  <si>
    <t>Tirante adotado (maior entre os critérios, como na referência).</t>
  </si>
  <si>
    <t>Barras tirante</t>
  </si>
  <si>
    <t>Quantidade de barras do tirante do dente.</t>
  </si>
  <si>
    <t>σ biela nó A</t>
  </si>
  <si>
    <t>Tensão na biela junto ao aparelho.</t>
  </si>
  <si>
    <t>σ biela nó C</t>
  </si>
  <si>
    <t>Tensão na biela junto à suspensão.</t>
  </si>
  <si>
    <t>τwd</t>
  </si>
  <si>
    <t>Cisalhamento no dente (limite do consolo muito curto).</t>
  </si>
  <si>
    <t>Costura NBR 9062: 0,4·As,tir (curto) ou 0,5·As,tir (muito curto), em 2d1/3.</t>
  </si>
  <si>
    <t>Bitola da costura do dente.</t>
  </si>
  <si>
    <t>Ramos da costura.</t>
  </si>
  <si>
    <t>Quantidade por dente.</t>
  </si>
  <si>
    <t>Peso item 5</t>
  </si>
  <si>
    <t>Dois apoios (aproximado).</t>
  </si>
  <si>
    <t>6 . INTERFACE VIGA × LAJE/CAPA – seção composta (NBR 9062, planilha de referência "Interface cisalhamento")</t>
  </si>
  <si>
    <t>Só quando a viga trabalha com a laje/capa (Geometria!M18).</t>
  </si>
  <si>
    <t>bc</t>
  </si>
  <si>
    <t>Largura da interface (preenchimento sobre a viga).</t>
  </si>
  <si>
    <t>fck interface</t>
  </si>
  <si>
    <t>Concreto menos resistente na ligação (capa).</t>
  </si>
  <si>
    <t>As/s médio</t>
  </si>
  <si>
    <t>Estribos que atravessam a interface: média dos 3 trechos ao longo de av (apoio → meio do vão).</t>
  </si>
  <si>
    <t>Md,comp</t>
  </si>
  <si>
    <t>Momento aplicado à seção composta (Md total − parcela da fase pré-fabricada, que não passa pela interface).</t>
  </si>
  <si>
    <t>ρ</t>
  </si>
  <si>
    <t>Taxa que atravessa a interface.</t>
  </si>
  <si>
    <t>βs</t>
  </si>
  <si>
    <t>Coeficiente da armadura.</t>
  </si>
  <si>
    <t>βc</t>
  </si>
  <si>
    <t>Coeficiente do concreto.</t>
  </si>
  <si>
    <t>fctd,int</t>
  </si>
  <si>
    <t>Tração de cálculo do concreto da ligação.</t>
  </si>
  <si>
    <t>h,verif</t>
  </si>
  <si>
    <t>d + (laje + capa)/2.</t>
  </si>
  <si>
    <t>Fmd</t>
  </si>
  <si>
    <t>Força de compressão acima da ligação: Md,comp / braço (a referência usa Mk total – mais simples, menos exato).</t>
  </si>
  <si>
    <t>av</t>
  </si>
  <si>
    <t>Distância entre momento nulo e máximo.</t>
  </si>
  <si>
    <t>τsd</t>
  </si>
  <si>
    <t>Tensão atuante na interface.</t>
  </si>
  <si>
    <t>τsd,lim</t>
  </si>
  <si>
    <t>7 . ANCORAGEM DA PROTENSÃO NA EXTREMIDADE</t>
  </si>
  <si>
    <t>ℓbpt</t>
  </si>
  <si>
    <t>Comprimento de transferência das cordoalhas (Geometria).</t>
  </si>
  <si>
    <t>P0</t>
  </si>
  <si>
    <t>Força de protensão logo após a liberação.</t>
  </si>
  <si>
    <t>At (fendilh.)</t>
  </si>
  <si>
    <t>PESO TOTAL</t>
  </si>
  <si>
    <t>Estribos + armaduras dos apoios (vai para a aba Taxas).</t>
  </si>
  <si>
    <t>tamanhos estribos (U14 = aba Cisalhamento e Apoios, item 3b)</t>
  </si>
  <si>
    <t>h (altura resistente: viga + laje/capa se solidarizada)</t>
  </si>
  <si>
    <t>Distância à face do apoio mais próximo (≈ x − a0)</t>
  </si>
  <si>
    <t>Dimensão máxima permitida (12 cm e h/3)</t>
  </si>
  <si>
    <t>Situação — furo na zona tracionada (abaixo da LN do ELU)</t>
  </si>
  <si>
    <t>ENVELOPE DE ESFORÇOS DE CÁLCULO (mesmas combinações da flexão) + momento frequente para o ELS</t>
  </si>
  <si>
    <t>Md (kN.m)</t>
  </si>
  <si>
    <t>Vd (kN)</t>
  </si>
  <si>
    <t>M freq. ELS (kN.m)</t>
  </si>
  <si>
    <t>M fase pré (kN.m)</t>
  </si>
  <si>
    <t>Md(x) no eixo do furo</t>
  </si>
  <si>
    <t>Vd(x) no eixo do furo</t>
  </si>
  <si>
    <t>M,freq(x) no eixo do furo (ELS)</t>
  </si>
  <si>
    <t>M,pré(x) — g0 + laje + capa (atua só na viga pré-fabricada)</t>
  </si>
  <si>
    <t>Np(x) — força de protensão no furo, após perdas</t>
  </si>
  <si>
    <t>Ap·fpyd·k — resistência das cordoalhas no banzo tracionado (k = x/ℓbpt ≤ 1)</t>
  </si>
  <si>
    <t>N,sup (banzo comprimido) = D  (+ Np se houver cordoalha no banzo superior)</t>
  </si>
  <si>
    <t>Z,res (banzo tracionado) = Z − Ap·fpyd·k  → parcela para a armadura passiva</t>
  </si>
  <si>
    <t>Momento de Np no banzo (0: a cordoalha é tratada como armadura do banzo)</t>
  </si>
  <si>
    <t>fyd = fywd (CA-50, ≤ 435 MPa)</t>
  </si>
  <si>
    <t>Concreto do banzo comprimido: D/(bw·h1) + 6·M1/(bw·h1²) ≤ 0,85·fcd</t>
  </si>
  <si>
    <t>Biela do banzo comprimido: Q1 ≤ 0,27·αv2·fcd·bw·(h1 − c1)</t>
  </si>
  <si>
    <t>Estribos já existentes no furo (aba Cisalhamento, trecho da posição x) — As/s</t>
  </si>
  <si>
    <t>h (viga pré-fabricada)</t>
  </si>
  <si>
    <t>VERIFICAÇÃO ELS NO EIXO DO FURO (combinação frequente) — SEÇÃO REDUZIDA × LIMITES</t>
  </si>
  <si>
    <t>σ,sup — topo da viga (compressão negativa): fase pré na seção reduzida + fase composta na seção composta</t>
  </si>
  <si>
    <t>σ,inf — base da viga (compressão negativa)</t>
  </si>
  <si>
    <t>Limite de TRAÇÃO (ELS-F: fctk,inf)</t>
  </si>
  <si>
    <t>CISALHAMENTO E ESTRIBOS – VIGA PRÉ-FABRICADA PROTENDIDA  (painel: escolha aqui; detalhes a partir da linha 11)</t>
  </si>
  <si>
    <t>Cinza = entrada. "Até x" já vem com o limite MAIS ECONÔMICO (coluna ao lado) – digite outro valor se quiser forçar. x medido do eixo do apoio para o meio do vão; o trecho 3 vai até o meio do vão.</t>
  </si>
  <si>
    <t>Até x (cm)</t>
  </si>
  <si>
    <t>Econômico (cm)</t>
  </si>
  <si>
    <t>Compr. estribo (cm)</t>
  </si>
  <si>
    <t>meio do vão</t>
  </si>
  <si>
    <t>Ligação da interface</t>
  </si>
  <si>
    <t>ao longo do vão</t>
  </si>
  <si>
    <t>grampos U inv.</t>
  </si>
  <si>
    <t>Verificações</t>
  </si>
  <si>
    <t>3 . ESTRIBOS POR TRECHOS – DETALHE DO CÁLCULO (as escolhas ficam no painel do topo)</t>
  </si>
  <si>
    <t>Cada trecho é dimensionado pela armadura necessária no seu INÍCIO (interpolada na tabela do item 2 – é a maior dentro do trecho). Espaçamento = arredondado para baixo de 0,5 cm e limitado ao smáx. Quantidade: trechos 1 e 2 contam as duas extremidades; o trecho 3 é o miolo da viga.</t>
  </si>
  <si>
    <t>Trecho mínimo</t>
  </si>
  <si>
    <t>Comprimento mínimo de cada trecho considerado na busca do limite econômico.</t>
  </si>
  <si>
    <t>Início do estribo</t>
  </si>
  <si>
    <t>Na ponta: cobrimento (sem dente) ou após o dente + faixa da suspensão (com Gerber).</t>
  </si>
  <si>
    <t>3b . COMPRIMENTO DO ESTRIBO (forma da fábrica – conferida com os detalhes VT1 e VRL35)</t>
  </si>
  <si>
    <t>2 ramos = estribo fechado com a forma da seção (inclui a volta das abas e a espera acima da viga). 3 ramos = + 1 perna reta com ganchos. 4 ramos = + 1 estribo interno fechado (largura B/3). Conferência: VT1 (T) N5 402 cm → fórmula 399,5; N4 327 → 324,5 | VRL35 (R/A) N4 331 → 331; N3 251 → 251.</t>
  </si>
  <si>
    <t>Gancho</t>
  </si>
  <si>
    <t>Comprimento de cada gancho (padrão dos detalhes da fábrica).</t>
  </si>
  <si>
    <t>Espera acima da viga</t>
  </si>
  <si>
    <t>Quanto o estribo sobe acima do topo da viga para ligar na capa (T/R: altura acima do topo; R/A: perna de espera). Editável.</t>
  </si>
  <si>
    <t>Ajuste R/A</t>
  </si>
  <si>
    <t>Dobras de fechamento da forma R/A (conferido no VRL35).</t>
  </si>
  <si>
    <t>Largura interna do estribo.</t>
  </si>
  <si>
    <t>h interno</t>
  </si>
  <si>
    <t>Altura interna na viga.</t>
  </si>
  <si>
    <t>H perna</t>
  </si>
  <si>
    <t>Altura da perna do estribo (com espera).</t>
  </si>
  <si>
    <t>Forma</t>
  </si>
  <si>
    <t>Forma usada (Geometria M19/M20).</t>
  </si>
  <si>
    <t>L (2 ramos)</t>
  </si>
  <si>
    <t>T: 2g + 2H + 4B + (espera + h,aba − c) + 2(h,aba − 2c) + 2·√((L,aba − c)² + (h+aba − h,aba)²) + h interno | R/A: g + espera + 2(h + h,sup − 2c) + 2(bw − 2c) + 2(h − 2c) + (L,aba − 2c) + ajuste | R: 2H + 2B + 2g.</t>
  </si>
  <si>
    <t>L (3 ramos)</t>
  </si>
  <si>
    <t>+ uma perna reta interna com ganchos.</t>
  </si>
  <si>
    <t>L (4 ramos)</t>
  </si>
  <si>
    <t>+ um estribo interno fechado (largura B/3).</t>
  </si>
  <si>
    <t>a (eq.)</t>
  </si>
  <si>
    <t>Coeficiente auxiliar da equação de ρ necessário (trecho 0,2% &lt; ρ &lt; 0,5%).</t>
  </si>
  <si>
    <t>b (eq.)</t>
  </si>
  <si>
    <t>Coeficiente auxiliar.</t>
  </si>
  <si>
    <t>c (eq.)</t>
  </si>
  <si>
    <t>ρ necessário</t>
  </si>
  <si>
    <t>Taxa mínima que atravessa a interface para τsd ≤ τsd,lim.</t>
  </si>
  <si>
    <t>As/s necessário</t>
  </si>
  <si>
    <t>Total que precisa atravessar a interface (média em av).</t>
  </si>
  <si>
    <t>As/s ligação</t>
  </si>
  <si>
    <t>Falta a ser coberta pelos grampos de ligação (além dos estribos).</t>
  </si>
  <si>
    <t>s ligação</t>
  </si>
  <si>
    <t>Espaçamento dos grampos (Ø e pernas escolhidos no painel), máx. 30 cm.</t>
  </si>
  <si>
    <t>Grampos ligação</t>
  </si>
  <si>
    <t>Quantidade ao longo do vão.</t>
  </si>
  <si>
    <t>ℓb grampo</t>
  </si>
  <si>
    <t>Ancoragem de cada perna dentro da viga.</t>
  </si>
  <si>
    <t>Compr. grampo</t>
  </si>
  <si>
    <t>Pernas (ℓb na viga + espera na capa) + trecho horizontal.</t>
  </si>
  <si>
    <t>Peso ligação</t>
  </si>
  <si>
    <t>Peso dos grampos de ligação.</t>
  </si>
  <si>
    <t>ρ total</t>
  </si>
  <si>
    <t>Estribos + grampos de ligação.</t>
  </si>
  <si>
    <t>Com a taxa total.</t>
  </si>
  <si>
    <t>Limite com estribos + grampos: βs·fyd·ρ + βc·fctd ≤ 0,25·fcd.</t>
  </si>
  <si>
    <t>Área transversal de fendilhamento na ponta (Marshall &amp; Mattock/PCI): 0,021·P0·h/(fs·ℓbpt), fs = 138 MPa. Recomendação – a NBR não traz fórmula específica.</t>
  </si>
  <si>
    <t>Ø laço</t>
  </si>
  <si>
    <t>Bitola dos laços (U horizontal) de fendilhamento.</t>
  </si>
  <si>
    <t>Laços por ponta</t>
  </si>
  <si>
    <t>Cada laço tem 2 pernas atravessando o plano de fendilhamento; mínimo 2 (também servem de apoio da armadura longitudinal).</t>
  </si>
  <si>
    <t>Espaçamento vertical</t>
  </si>
  <si>
    <t>Laços empilhados na zona das cordoalhas, a partir da base (padrão dos detalhes: 5 cm).</t>
  </si>
  <si>
    <t>ℓb laço</t>
  </si>
  <si>
    <t>Comprimento de ancoragem de cada perna.</t>
  </si>
  <si>
    <t>Largura do laço</t>
  </si>
  <si>
    <t>Volta pela largura da viga, por dentro das barras longitudinais (apoiando-as).</t>
  </si>
  <si>
    <t>Perna do laço</t>
  </si>
  <si>
    <t>Comprimento de cada perna ao longo da viga, a partir da ponta (padrão dos detalhes VT1/VRL35: 70 cm).</t>
  </si>
  <si>
    <t>Compr. do laço</t>
  </si>
  <si>
    <t>2 pernas + volta (VT1: N8 = 160 cm | VRL35: N1 = 161 cm).</t>
  </si>
  <si>
    <t>Peso laços</t>
  </si>
  <si>
    <t>Duas pontas.</t>
  </si>
  <si>
    <t>8 . DESENHO DA MEIA VIGA COM OS ESTRIBOS CALCULADOS (atualiza sozinho)</t>
  </si>
  <si>
    <t>Elevação da ponta até o meio do vão: contorno, laje/capa, eixo do apoio, aparelho, cordoalhas, estribos de cada trecho (cor por trecho), grampos e costura do apoio, laços de fendilhamento e as marcas x1, x2 e d/2. Os desenhos explicativos de cada termo estão no item 9, logo abaixo.</t>
  </si>
  <si>
    <t>9 . DETALHES EXPLICATIVOS (o que é cada termo e cada armadura)</t>
  </si>
  <si>
    <t>Peso mínimo</t>
  </si>
  <si>
    <t>Peso dos estribos com os limites econômicos (busca a cada 5 cm – tabela auxiliar oculta no final).</t>
  </si>
  <si>
    <t>A(x1)</t>
  </si>
  <si>
    <t>TABELA AUXILIAR – busca do limite econômico dos trechos (não editar)</t>
  </si>
  <si>
    <t>Asw/s</t>
  </si>
  <si>
    <t>smáx</t>
  </si>
  <si>
    <t>s T2</t>
  </si>
  <si>
    <t>s T3</t>
  </si>
  <si>
    <t>Wmín</t>
  </si>
  <si>
    <t>linha</t>
  </si>
  <si>
    <t>coluna</t>
  </si>
  <si>
    <t>x1 econ.</t>
  </si>
  <si>
    <t>x2 econ.</t>
  </si>
  <si>
    <t>kg/estribo T1</t>
  </si>
  <si>
    <t>kg/estribo T2</t>
  </si>
  <si>
    <t>kg/estribo T3</t>
  </si>
  <si>
    <t>COORDENADAS DO DESENHO (não editar)</t>
  </si>
  <si>
    <t>Elemento</t>
  </si>
  <si>
    <t>3 - 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</si>
</sst>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164" formatCode="General_)"/>
    <numFmt numFmtId="165" formatCode="0.00&quot; cm&quot;"/>
    <numFmt numFmtId="166" formatCode="0&quot; kg/m³&quot;"/>
    <numFmt numFmtId="167" formatCode="\Ø0.0&quot;mm&quot;"/>
    <numFmt numFmtId="168" formatCode="0.000"/>
    <numFmt numFmtId="169" formatCode="0.0&quot; cm&quot;"/>
    <numFmt numFmtId="170" formatCode="0.00&quot; m³&quot;"/>
    <numFmt numFmtId="171" formatCode="0.0"/>
    <numFmt numFmtId="172" formatCode="0&quot; cm&quot;"/>
    <numFmt numFmtId="173" formatCode="0.0&quot; cm²&quot;"/>
    <numFmt numFmtId="174" formatCode="0&quot; cm4&quot;"/>
    <numFmt numFmtId="175" formatCode="0.0000&quot; cm&quot;"/>
    <numFmt numFmtId="176" formatCode="0.00&quot; m&quot;"/>
    <numFmt numFmtId="177" formatCode="0&quot; cm³&quot;"/>
    <numFmt numFmtId="178" formatCode="0.00&quot; kN/m&quot;"/>
    <numFmt numFmtId="179" formatCode="0&quot; %..&quot;"/>
    <numFmt numFmtId="180" formatCode="0.0&quot; %&quot;"/>
    <numFmt numFmtId="181" formatCode="_-* #,##0.00_-;\-* #,##0.00_-;_-* \-??_-;_-@_-"/>
    <numFmt numFmtId="182" formatCode="_-* #,##0_-;\-* #,##0_-;_-* \-??_-;_-@_-"/>
    <numFmt numFmtId="183" formatCode="0&quot; %&quot;"/>
    <numFmt numFmtId="184" formatCode="0.0000"/>
    <numFmt numFmtId="185" formatCode="0.00&quot; MPa&quot;"/>
    <numFmt numFmtId="186" formatCode="0.00&quot; %..&quot;"/>
    <numFmt numFmtId="187" formatCode="0.00&quot; cm²&quot;"/>
    <numFmt numFmtId="188" formatCode="0.0&quot; %..&quot;"/>
    <numFmt numFmtId="189" formatCode="0&quot; MPa&quot;"/>
    <numFmt numFmtId="190" formatCode="0.0&quot; mm&quot;"/>
    <numFmt numFmtId="191" formatCode="0.0&quot; cm4&quot;"/>
    <numFmt numFmtId="192" formatCode="0.0&quot; kN.cm²&quot;"/>
    <numFmt numFmtId="193" formatCode="0.0&quot; kN.cm&quot;"/>
    <numFmt numFmtId="194" formatCode="0.00000"/>
    <numFmt numFmtId="195" formatCode="&quot;Ø &quot;0.0&quot; mm&quot;"/>
    <numFmt numFmtId="196" formatCode="&quot;c/ &quot;0&quot; cm&quot;"/>
    <numFmt numFmtId="197" formatCode="&quot;c= &quot;0.00&quot; m&quot;"/>
    <numFmt numFmtId="198" formatCode="&quot;As,min: &quot;0.00&quot; cm²&quot;"/>
    <numFmt numFmtId="199" formatCode="&quot;As,pele &quot;0.00&quot; cm²&quot;"/>
    <numFmt numFmtId="200" formatCode="0&quot; kg&quot;"/>
    <numFmt numFmtId="201" formatCode="&quot;As,inf: &quot;0.00&quot; cm²&quot;"/>
    <numFmt numFmtId="202" formatCode="0.00&quot; kg&quot;"/>
    <numFmt numFmtId="203" formatCode="0.0&quot; kg&quot;"/>
    <numFmt numFmtId="204" formatCode="\Ø0.0"/>
    <numFmt numFmtId="205" formatCode="0&quot; cm²&quot;"/>
    <numFmt numFmtId="206" formatCode="0&quot; dias&quot;"/>
    <numFmt numFmtId="207" formatCode="0&quot; °&quot;"/>
    <numFmt numFmtId="208" formatCode="0.0;-0.0;&quot;–&quot;"/>
    <numFmt numFmtId="209" formatCode="0;-0;&quot;–&quot;"/>
    <numFmt numFmtId="210" formatCode="0.00;-0.00;&quot;–&quot;"/>
    <numFmt numFmtId="211" formatCode="0.0%"/>
  </numFmts>
  <fonts count="209" x14ac:knownFonts="1">
    <font>
      <sz val="11"/>
      <color theme="1"/>
      <name val="Aptos Narrow"/>
      <family val="2"/>
      <charset val="1"/>
    </font>
    <font>
      <sz val="10"/>
      <name val="Arial"/>
      <family val="2"/>
      <charset val="1"/>
    </font>
    <font>
      <sz val="10"/>
      <name val="Courier New"/>
      <family val="3"/>
      <charset val="1"/>
    </font>
    <font>
      <sz val="11"/>
      <name val="Arial"/>
      <family val="2"/>
      <charset val="1"/>
    </font>
    <font>
      <b/>
      <i/>
      <sz val="11"/>
      <color theme="9" tint="-0.249977111117893"/>
      <name val="Arial"/>
      <family val="2"/>
      <charset val="1"/>
    </font>
    <font>
      <b/>
      <i/>
      <sz val="11"/>
      <color rgb="FF0070C0"/>
      <name val="Arial"/>
      <family val="2"/>
      <charset val="1"/>
    </font>
    <font>
      <sz val="11"/>
      <color theme="1"/>
      <name val="Arial"/>
      <family val="2"/>
      <charset val="1"/>
    </font>
    <font>
      <b/>
      <sz val="11"/>
      <color rgb="FFFF0000"/>
      <name val="Aptos Narrow"/>
      <family val="2"/>
      <charset val="1"/>
    </font>
    <font>
      <b/>
      <u/>
      <sz val="11"/>
      <color rgb="FF000000"/>
      <name val="Aptos Narrow"/>
      <family val="2"/>
      <charset val="1"/>
    </font>
    <font>
      <b/>
      <sz val="11"/>
      <color theme="1"/>
      <name val="Aptos Narrow"/>
      <family val="2"/>
      <charset val="1"/>
    </font>
    <font>
      <i/>
      <sz val="14"/>
      <color theme="1"/>
      <name val="Arial"/>
      <family val="2"/>
      <charset val="1"/>
    </font>
    <font>
      <i/>
      <sz val="11"/>
      <name val="Arial"/>
      <family val="2"/>
      <charset val="1"/>
    </font>
    <font>
      <sz val="11"/>
      <name val="Aptos Narrow"/>
      <family val="2"/>
      <charset val="1"/>
    </font>
    <font>
      <i/>
      <sz val="11"/>
      <color theme="1"/>
      <name val="Aptos Narrow"/>
      <family val="2"/>
      <charset val="1"/>
    </font>
    <font>
      <i/>
      <sz val="11"/>
      <color theme="1"/>
      <name val="Arial"/>
      <family val="2"/>
      <charset val="1"/>
    </font>
    <font>
      <sz val="10"/>
      <color rgb="FF333333"/>
      <name val="Aptos Narrow"/>
      <family val="2"/>
      <charset val="1"/>
    </font>
    <font>
      <sz val="11"/>
      <color theme="0"/>
      <name val="Aptos Narrow"/>
      <family val="2"/>
      <charset val="1"/>
    </font>
    <font>
      <u/>
      <sz val="11"/>
      <color theme="1"/>
      <name val="Aptos Narrow"/>
      <family val="2"/>
      <charset val="1"/>
    </font>
    <font>
      <i/>
      <sz val="12"/>
      <color rgb="FF333333"/>
      <name val="Aptos Narrow"/>
      <family val="2"/>
      <charset val="1"/>
    </font>
    <font>
      <i/>
      <vertAlign val="subscript"/>
      <sz val="12"/>
      <color rgb="FF333333"/>
      <name val="Aptos Narrow"/>
      <family val="2"/>
      <charset val="1"/>
    </font>
    <font>
      <i/>
      <sz val="12"/>
      <color theme="1"/>
      <name val="Aptos Narrow"/>
      <family val="2"/>
      <charset val="1"/>
    </font>
    <font>
      <b/>
      <sz val="11"/>
      <color theme="3" tint="0.24958037049470505"/>
      <name val="Aptos Narrow"/>
      <family val="2"/>
      <charset val="1"/>
    </font>
    <font>
      <b/>
      <sz val="11"/>
      <color theme="8" tint="-0.249977111117893"/>
      <name val="Aptos Narrow"/>
      <family val="2"/>
      <charset val="1"/>
    </font>
    <font>
      <sz val="11"/>
      <color theme="1" tint="0.49958800012207405"/>
      <name val="Aptos Narrow"/>
      <family val="2"/>
      <charset val="1"/>
    </font>
    <font>
      <sz val="11"/>
      <color theme="2" tint="-0.499984740745262"/>
      <name val="Aptos Narrow"/>
      <family val="2"/>
      <charset val="1"/>
    </font>
    <font>
      <b/>
      <sz val="13.5"/>
      <color theme="1"/>
      <name val="Aptos Narrow"/>
      <family val="2"/>
      <charset val="1"/>
    </font>
    <font>
      <b/>
      <i/>
      <sz val="11"/>
      <color theme="1"/>
      <name val="Aptos Narrow"/>
      <family val="2"/>
      <charset val="1"/>
    </font>
    <font>
      <b/>
      <sz val="11"/>
      <name val="Arial"/>
      <family val="2"/>
      <charset val="1"/>
    </font>
    <font>
      <b/>
      <i/>
      <sz val="11"/>
      <color theme="9" tint="-0.499984740745262"/>
      <name val="Aptos Narrow"/>
      <family val="2"/>
      <charset val="1"/>
    </font>
    <font>
      <sz val="12"/>
      <color rgb="FF333333"/>
      <name val="Aptos Narrow"/>
      <family val="2"/>
      <charset val="1"/>
    </font>
    <font>
      <sz val="10"/>
      <color theme="1"/>
      <name val="Aptos Narrow"/>
      <family val="2"/>
      <charset val="1"/>
    </font>
    <font>
      <b/>
      <sz val="11"/>
      <color theme="1"/>
      <name val="Arial"/>
      <family val="2"/>
      <charset val="1"/>
    </font>
    <font>
      <sz val="14"/>
      <color theme="1"/>
      <name val="Arial"/>
      <family val="2"/>
      <charset val="1"/>
    </font>
    <font>
      <sz val="11"/>
      <color theme="1"/>
      <name val="Calibri"/>
      <family val="2"/>
      <charset val="1"/>
    </font>
    <font>
      <sz val="14"/>
      <color rgb="FF333333"/>
      <name val="Aptos Narrow"/>
      <family val="2"/>
      <charset val="1"/>
    </font>
    <font>
      <sz val="14.3"/>
      <color rgb="FF333333"/>
      <name val="Aptos Narrow"/>
      <family val="2"/>
      <charset val="1"/>
    </font>
    <font>
      <sz val="11"/>
      <color rgb="FF333333"/>
      <name val="Times New Roman"/>
      <family val="1"/>
      <charset val="1"/>
    </font>
    <font>
      <sz val="11"/>
      <color theme="1"/>
      <name val="Times New Roman"/>
      <family val="1"/>
      <charset val="1"/>
    </font>
    <font>
      <vertAlign val="subscript"/>
      <sz val="11"/>
      <color rgb="FF333333"/>
      <name val="Aptos Narrow"/>
      <family val="2"/>
      <charset val="1"/>
    </font>
    <font>
      <b/>
      <sz val="11"/>
      <name val="Times New Roman"/>
      <family val="1"/>
      <charset val="1"/>
    </font>
    <font>
      <b/>
      <vertAlign val="subscript"/>
      <sz val="11"/>
      <name val="Aptos Narrow"/>
      <family val="2"/>
      <charset val="1"/>
    </font>
    <font>
      <b/>
      <sz val="11"/>
      <name val="Aptos Narrow"/>
      <family val="2"/>
      <charset val="1"/>
    </font>
    <font>
      <b/>
      <i/>
      <sz val="11"/>
      <color theme="1"/>
      <name val="Calibri"/>
      <family val="2"/>
      <charset val="1"/>
    </font>
    <font>
      <b/>
      <sz val="10"/>
      <name val="Aptos Narrow"/>
      <family val="2"/>
      <charset val="1"/>
    </font>
    <font>
      <sz val="10"/>
      <name val="Arial"/>
      <family val="2"/>
    </font>
    <font>
      <sz val="9"/>
      <color rgb="FF333333"/>
      <name val="Segoe UI"/>
      <family val="2"/>
      <charset val="1"/>
    </font>
    <font>
      <b/>
      <sz val="10"/>
      <name val="Arial"/>
      <family val="2"/>
      <charset val="1"/>
    </font>
    <font>
      <sz val="10"/>
      <color theme="0"/>
      <name val="Arial"/>
      <family val="2"/>
      <charset val="1"/>
    </font>
    <font>
      <sz val="10"/>
      <color rgb="FFFF0000"/>
      <name val="Arial"/>
      <family val="2"/>
      <charset val="1"/>
    </font>
    <font>
      <sz val="10"/>
      <name val="Symbol"/>
      <family val="1"/>
      <charset val="2"/>
    </font>
    <font>
      <b/>
      <sz val="10"/>
      <color rgb="FFFF0000"/>
      <name val="Arial"/>
      <family val="2"/>
      <charset val="1"/>
    </font>
    <font>
      <b/>
      <sz val="10"/>
      <color theme="0"/>
      <name val="Arial"/>
      <family val="2"/>
      <charset val="1"/>
    </font>
    <font>
      <sz val="10"/>
      <color rgb="FFC0C0C0"/>
      <name val="Symbol"/>
      <family val="1"/>
      <charset val="2"/>
    </font>
    <font>
      <sz val="10"/>
      <color rgb="FFC0C0C0"/>
      <name val="Arial"/>
      <family val="2"/>
      <charset val="1"/>
    </font>
    <font>
      <i/>
      <sz val="11"/>
      <color rgb="FF333333"/>
      <name val="Aptos Narrow"/>
      <family val="2"/>
      <charset val="1"/>
    </font>
    <font>
      <i/>
      <vertAlign val="subscript"/>
      <sz val="11"/>
      <color rgb="FF333333"/>
      <name val="Aptos Narrow"/>
      <family val="2"/>
      <charset val="1"/>
    </font>
    <font>
      <b/>
      <sz val="11"/>
      <color rgb="FF0000FF"/>
      <name val="Calibri"/>
      <family val="2"/>
      <charset val="1"/>
    </font>
    <font>
      <sz val="11"/>
      <color theme="1"/>
      <name val="Symbol"/>
      <family val="1"/>
      <charset val="2"/>
    </font>
    <font>
      <b/>
      <sz val="12"/>
      <color rgb="FFFFFF00"/>
      <name val="Arial Narrow"/>
      <family val="2"/>
      <charset val="1"/>
    </font>
    <font>
      <b/>
      <sz val="9"/>
      <name val="Tahoma"/>
      <family val="2"/>
      <charset val="1"/>
    </font>
    <font>
      <b/>
      <sz val="11"/>
      <color rgb="FF0000FF"/>
      <name val="Arial"/>
      <family val="2"/>
      <charset val="1"/>
    </font>
    <font>
      <b/>
      <sz val="10"/>
      <color rgb="FF0000FF"/>
      <name val="Arial"/>
      <family val="2"/>
      <charset val="1"/>
    </font>
    <font>
      <sz val="10"/>
      <color rgb="FF0000FF"/>
      <name val="Arial"/>
      <family val="2"/>
      <charset val="1"/>
    </font>
    <font>
      <b/>
      <i/>
      <sz val="11"/>
      <name val="Aptos Narrow"/>
      <family val="2"/>
      <charset val="1"/>
    </font>
    <font>
      <sz val="12"/>
      <color theme="1"/>
      <name val="Aptos Narrow"/>
      <family val="2"/>
      <charset val="1"/>
    </font>
    <font>
      <b/>
      <sz val="11"/>
      <color rgb="FFFF0000"/>
      <name val="Arial"/>
      <family val="2"/>
      <charset val="1"/>
    </font>
    <font>
      <vertAlign val="subscript"/>
      <sz val="11"/>
      <name val="Arial"/>
      <family val="2"/>
      <charset val="1"/>
    </font>
    <font>
      <vertAlign val="superscript"/>
      <sz val="11"/>
      <name val="Arial"/>
      <family val="2"/>
      <charset val="1"/>
    </font>
    <font>
      <sz val="11"/>
      <color rgb="FF333333"/>
      <name val="Arial"/>
      <family val="2"/>
      <charset val="1"/>
    </font>
    <font>
      <vertAlign val="subscript"/>
      <sz val="11"/>
      <color rgb="FF333333"/>
      <name val="Arial"/>
      <family val="2"/>
      <charset val="1"/>
    </font>
    <font>
      <vertAlign val="superscript"/>
      <sz val="11"/>
      <color rgb="FF333333"/>
      <name val="Arial"/>
      <family val="2"/>
      <charset val="1"/>
    </font>
    <font>
      <b/>
      <sz val="11"/>
      <color theme="9" tint="-0.499984740745262"/>
      <name val="Arial"/>
      <family val="2"/>
      <charset val="1"/>
    </font>
    <font>
      <b/>
      <sz val="14"/>
      <color theme="1"/>
      <name val="Arial"/>
      <family val="2"/>
      <charset val="1"/>
    </font>
    <font>
      <vertAlign val="subscript"/>
      <sz val="11"/>
      <color rgb="FF333333"/>
      <name val="Times New Roman"/>
      <family val="1"/>
      <charset val="1"/>
    </font>
    <font>
      <vertAlign val="subscript"/>
      <sz val="11"/>
      <color rgb="FF333333"/>
      <name val="Calibri"/>
      <family val="2"/>
      <charset val="1"/>
    </font>
    <font>
      <sz val="11"/>
      <color rgb="FF333333"/>
      <name val="Calibri"/>
      <family val="2"/>
      <charset val="1"/>
    </font>
    <font>
      <b/>
      <sz val="11"/>
      <color rgb="FF333333"/>
      <name val="Times New Roman"/>
      <family val="1"/>
      <charset val="1"/>
    </font>
    <font>
      <b/>
      <vertAlign val="subscript"/>
      <sz val="11"/>
      <color rgb="FF333333"/>
      <name val="Calibri"/>
      <family val="2"/>
      <charset val="1"/>
    </font>
    <font>
      <b/>
      <sz val="11"/>
      <color rgb="FF333333"/>
      <name val="Calibri"/>
      <family val="2"/>
      <charset val="1"/>
    </font>
    <font>
      <b/>
      <sz val="14"/>
      <color theme="1"/>
      <name val="Aptos Narrow"/>
      <family val="2"/>
      <charset val="1"/>
    </font>
    <font>
      <i/>
      <sz val="10"/>
      <color rgb="FF595959"/>
      <name val="Aptos Narrow"/>
      <family val="2"/>
      <charset val="1"/>
    </font>
    <font>
      <b/>
      <sz val="11"/>
      <color rgb="FFFFFFFF"/>
      <name val="Aptos Narrow"/>
      <family val="2"/>
      <charset val="1"/>
    </font>
    <font>
      <b/>
      <sz val="10"/>
      <color rgb="FF000000"/>
      <name val="Aptos Narrow"/>
      <family val="2"/>
      <charset val="1"/>
    </font>
    <font>
      <sz val="10"/>
      <color rgb="FF008000"/>
      <name val="Aptos Narrow"/>
      <family val="2"/>
      <charset val="1"/>
    </font>
    <font>
      <sz val="10"/>
      <color rgb="FF000000"/>
      <name val="Aptos Narrow"/>
      <family val="2"/>
      <charset val="1"/>
    </font>
    <font>
      <i/>
      <sz val="9"/>
      <color rgb="FF7F7F7F"/>
      <name val="Aptos Narrow"/>
      <family val="2"/>
      <charset val="1"/>
    </font>
    <font>
      <i/>
      <sz val="9"/>
      <color rgb="FFC00000"/>
      <name val="Aptos Narrow"/>
      <family val="2"/>
      <charset val="1"/>
    </font>
    <font>
      <b/>
      <i/>
      <u/>
      <sz val="11"/>
      <color theme="1"/>
      <name val="Calibri"/>
      <family val="2"/>
      <charset val="1"/>
    </font>
    <font>
      <b/>
      <u/>
      <sz val="11"/>
      <color theme="1"/>
      <name val="Calibri"/>
      <family val="2"/>
      <charset val="1"/>
    </font>
    <font>
      <i/>
      <sz val="11"/>
      <color theme="1"/>
      <name val="Calibri"/>
      <family val="2"/>
      <charset val="1"/>
    </font>
    <font>
      <b/>
      <sz val="12"/>
      <name val="Calibri"/>
      <family val="2"/>
      <charset val="1"/>
    </font>
    <font>
      <b/>
      <sz val="11"/>
      <color theme="1"/>
      <name val="Calibri"/>
      <family val="2"/>
      <charset val="1"/>
    </font>
    <font>
      <b/>
      <sz val="12"/>
      <color theme="1"/>
      <name val="Calibri"/>
      <family val="2"/>
      <charset val="1"/>
    </font>
    <font>
      <b/>
      <u/>
      <sz val="11"/>
      <color theme="1"/>
      <name val="Symbol"/>
      <family val="1"/>
      <charset val="2"/>
    </font>
    <font>
      <u/>
      <sz val="11"/>
      <color theme="1"/>
      <name val="Calibri"/>
      <family val="2"/>
      <charset val="1"/>
    </font>
    <font>
      <sz val="11"/>
      <name val="Calibri"/>
      <family val="2"/>
      <charset val="1"/>
    </font>
    <font>
      <b/>
      <sz val="11"/>
      <color rgb="FF9C0006"/>
      <name val="Calibri"/>
      <family val="2"/>
      <charset val="1"/>
    </font>
    <font>
      <b/>
      <sz val="10"/>
      <color theme="1"/>
      <name val="Calibri"/>
      <family val="2"/>
      <charset val="1"/>
    </font>
    <font>
      <sz val="9"/>
      <color theme="1"/>
      <name val="Calibri"/>
      <family val="2"/>
      <charset val="1"/>
    </font>
    <font>
      <b/>
      <sz val="11"/>
      <color rgb="FF1F6B27"/>
      <name val="Calibri"/>
      <family val="2"/>
      <charset val="1"/>
    </font>
    <font>
      <b/>
      <sz val="12"/>
      <color rgb="FF1F6B27"/>
      <name val="Calibri"/>
      <family val="2"/>
      <charset val="1"/>
    </font>
    <font>
      <sz val="11"/>
      <color theme="1"/>
      <name val="Aptos Narrow"/>
      <family val="2"/>
      <charset val="1"/>
    </font>
    <font>
      <b/>
      <sz val="11"/>
      <color rgb="FF1F3864"/>
      <name val="Aptos Narrow"/>
      <family val="2"/>
    </font>
    <font>
      <b/>
      <sz val="8"/>
      <color rgb="FFFFFFFF"/>
      <name val="Arial"/>
      <family val="2"/>
    </font>
    <font>
      <sz val="8"/>
      <color theme="1"/>
      <name val="Arial"/>
      <family val="2"/>
    </font>
    <font>
      <b/>
      <sz val="8"/>
      <color theme="1"/>
      <name val="Arial"/>
      <family val="2"/>
    </font>
    <font>
      <b/>
      <sz val="7.5"/>
      <color theme="1"/>
      <name val="Arial"/>
      <family val="2"/>
    </font>
    <font>
      <sz val="7"/>
      <color theme="1"/>
      <name val="Arial"/>
      <family val="2"/>
    </font>
    <font>
      <b/>
      <sz val="8"/>
      <color rgb="FF1F3864"/>
      <name val="Arial"/>
      <family val="2"/>
    </font>
    <font>
      <b/>
      <sz val="8"/>
      <color rgb="FFFFFFFF"/>
      <name val="Arial"/>
      <family val="2"/>
    </font>
    <font>
      <b/>
      <sz val="8"/>
      <color theme="1"/>
      <name val="Arial"/>
      <family val="2"/>
    </font>
    <font>
      <b/>
      <sz val="7"/>
      <color theme="1"/>
      <name val="Arial"/>
      <family val="2"/>
    </font>
    <font>
      <sz val="7"/>
      <color theme="1"/>
      <name val="Arial"/>
      <family val="2"/>
    </font>
    <font>
      <sz val="7"/>
      <color theme="1"/>
      <name val="Arial"/>
      <family val="2"/>
    </font>
    <font>
      <sz val="8"/>
      <color theme="1"/>
      <name val="Arial"/>
      <family val="2"/>
    </font>
    <font>
      <sz val="8"/>
      <color theme="1"/>
      <name val="Arial"/>
      <family val="2"/>
    </font>
    <font>
      <sz val="8"/>
      <color theme="1"/>
      <name val="Arial"/>
      <family val="2"/>
    </font>
    <font>
      <b/>
      <sz val="13"/>
      <color rgb="FFFFFFFF"/>
      <name val="Arial"/>
      <family val="2"/>
    </font>
    <font>
      <b/>
      <sz val="9"/>
      <color rgb="FFFFFFFF"/>
      <name val="Arial"/>
      <family val="2"/>
    </font>
    <font>
      <sz val="7"/>
      <color theme="1"/>
      <name val="Arial"/>
      <family val="2"/>
    </font>
    <font>
      <sz val="8"/>
      <color theme="1"/>
      <name val="Arial"/>
      <family val="2"/>
    </font>
    <font>
      <sz val="7"/>
      <color theme="1"/>
      <name val="Arial"/>
      <family val="2"/>
    </font>
    <font>
      <sz val="8"/>
      <color theme="1"/>
      <name val="Arial"/>
      <family val="2"/>
    </font>
    <font>
      <sz val="8"/>
      <color theme="1"/>
      <name val="Arial"/>
      <family val="2"/>
    </font>
    <font>
      <b/>
      <sz val="7.5"/>
      <color theme="1"/>
      <name val="Arial"/>
      <family val="2"/>
    </font>
    <font>
      <b/>
      <sz val="7"/>
      <color theme="1"/>
      <name val="Arial"/>
      <family val="2"/>
    </font>
    <font>
      <b/>
      <sz val="8"/>
      <color rgb="FFC00000"/>
      <name val="Arial"/>
      <family val="2"/>
    </font>
    <font>
      <sz val="8"/>
      <color theme="1"/>
      <name val="Arial"/>
      <family val="2"/>
    </font>
    <font>
      <b/>
      <sz val="15"/>
      <color rgb="FFFFFFFF"/>
      <name val="Arial"/>
      <family val="2"/>
    </font>
    <font>
      <b/>
      <sz val="15"/>
      <color rgb="FFFFFFFF"/>
      <name val="Arial"/>
      <family val="2"/>
    </font>
    <font>
      <b/>
      <sz val="13"/>
      <color rgb="FFFFFFFF"/>
      <name val="Arial"/>
      <family val="2"/>
    </font>
    <font>
      <sz val="8"/>
      <color theme="1"/>
      <name val="Arial"/>
      <family val="2"/>
    </font>
    <font>
      <sz val="7"/>
      <color theme="1"/>
      <name val="Arial"/>
      <family val="2"/>
    </font>
    <font>
      <b/>
      <sz val="8"/>
      <color theme="1"/>
      <name val="Arial"/>
      <family val="2"/>
    </font>
    <font>
      <sz val="7"/>
      <color theme="1"/>
      <name val="Arial"/>
      <family val="2"/>
    </font>
    <font>
      <sz val="8"/>
      <color theme="1"/>
      <name val="Arial"/>
      <family val="2"/>
    </font>
    <font>
      <b/>
      <sz val="8"/>
      <color rgb="FFFFFFFF"/>
      <name val="Arial"/>
      <family val="2"/>
    </font>
    <font>
      <sz val="8"/>
      <color theme="1"/>
      <name val="Arial"/>
      <family val="2"/>
    </font>
    <font>
      <sz val="7"/>
      <color theme="1"/>
      <name val="Arial"/>
      <family val="2"/>
    </font>
    <font>
      <sz val="8"/>
      <color theme="1"/>
      <name val="Arial"/>
      <family val="2"/>
    </font>
    <font>
      <sz val="8"/>
      <color theme="1"/>
      <name val="Arial"/>
      <family val="2"/>
    </font>
    <font>
      <sz val="8"/>
      <color theme="1"/>
      <name val="Arial"/>
      <family val="2"/>
    </font>
    <font>
      <b/>
      <sz val="15"/>
      <color rgb="FFFFFFFF"/>
      <name val="Arial"/>
      <family val="2"/>
    </font>
    <font>
      <sz val="7"/>
      <color theme="1"/>
      <name val="Arial"/>
      <family val="2"/>
    </font>
    <font>
      <sz val="8"/>
      <color theme="1"/>
      <name val="Arial"/>
      <family val="2"/>
    </font>
    <font>
      <b/>
      <sz val="7.5"/>
      <color theme="1"/>
      <name val="Arial"/>
      <family val="2"/>
    </font>
    <font>
      <sz val="7"/>
      <color theme="1"/>
      <name val="Arial"/>
      <family val="2"/>
    </font>
    <font>
      <b/>
      <sz val="7"/>
      <color theme="1"/>
      <name val="Arial"/>
      <family val="2"/>
    </font>
    <font>
      <sz val="7"/>
      <color theme="1"/>
      <name val="Arial"/>
      <family val="2"/>
    </font>
    <font>
      <b/>
      <sz val="8"/>
      <color theme="1"/>
      <name val="Arial"/>
      <family val="2"/>
    </font>
    <font>
      <sz val="8"/>
      <color theme="1"/>
      <name val="Arial"/>
      <family val="2"/>
    </font>
    <font>
      <sz val="8"/>
      <color theme="1"/>
      <name val="Arial"/>
      <family val="2"/>
    </font>
    <font>
      <sz val="8"/>
      <color theme="1"/>
      <name val="Arial"/>
      <family val="2"/>
    </font>
    <font>
      <sz val="8"/>
      <color theme="1"/>
      <name val="Arial"/>
      <family val="2"/>
    </font>
    <font>
      <sz val="8"/>
      <color theme="1"/>
      <name val="Arial"/>
      <family val="2"/>
    </font>
    <font>
      <sz val="8"/>
      <color theme="1"/>
      <name val="Arial"/>
      <family val="2"/>
    </font>
    <font>
      <b/>
      <sz val="8"/>
      <color theme="1"/>
      <name val="Arial"/>
      <family val="2"/>
    </font>
    <font>
      <sz val="7"/>
      <color theme="1"/>
      <name val="Arial"/>
      <family val="2"/>
    </font>
    <font>
      <sz val="8"/>
      <color theme="1"/>
      <name val="Arial"/>
      <family val="2"/>
    </font>
    <font>
      <b/>
      <sz val="7.5"/>
      <color theme="1"/>
      <name val="Arial"/>
      <family val="2"/>
    </font>
    <font>
      <sz val="8"/>
      <color theme="1"/>
      <name val="Arial"/>
      <family val="2"/>
    </font>
    <font>
      <b/>
      <sz val="8"/>
      <color theme="1"/>
      <name val="Arial"/>
      <family val="2"/>
    </font>
    <font>
      <sz val="8"/>
      <color theme="1"/>
      <name val="Arial"/>
      <family val="2"/>
    </font>
    <font>
      <sz val="8"/>
      <color theme="1"/>
      <name val="Arial"/>
      <family val="2"/>
    </font>
    <font>
      <sz val="7"/>
      <color theme="1"/>
      <name val="Arial"/>
      <family val="2"/>
    </font>
    <font>
      <sz val="8"/>
      <color theme="1"/>
      <name val="Arial"/>
      <family val="2"/>
    </font>
    <font>
      <sz val="8"/>
      <color theme="1"/>
      <name val="Arial"/>
      <family val="2"/>
    </font>
    <font>
      <b/>
      <sz val="8"/>
      <color theme="1"/>
      <name val="Arial"/>
      <family val="2"/>
    </font>
    <font>
      <sz val="8"/>
      <color theme="1"/>
      <name val="Arial"/>
      <family val="2"/>
    </font>
    <font>
      <sz val="7"/>
      <color theme="1"/>
      <name val="Arial"/>
      <family val="2"/>
    </font>
    <font>
      <b/>
      <sz val="9"/>
      <color rgb="FFFFFFFF"/>
      <name val="Arial"/>
      <family val="2"/>
    </font>
    <font>
      <sz val="8"/>
      <color theme="1"/>
      <name val="Arial"/>
      <family val="2"/>
    </font>
    <font>
      <sz val="8"/>
      <color theme="1"/>
      <name val="Arial"/>
      <family val="2"/>
    </font>
    <font>
      <b/>
      <sz val="8"/>
      <color rgb="FF1F3864"/>
      <name val="Arial"/>
      <family val="2"/>
    </font>
    <font>
      <b/>
      <sz val="8"/>
      <color theme="1"/>
      <name val="Arial"/>
      <family val="2"/>
    </font>
    <font>
      <b/>
      <sz val="9"/>
      <color rgb="FFFFFFFF"/>
      <name val="Arial"/>
      <family val="2"/>
    </font>
    <font>
      <sz val="7"/>
      <color theme="1"/>
      <name val="Arial"/>
      <family val="2"/>
    </font>
    <font>
      <sz val="8"/>
      <color theme="1"/>
      <name val="Arial"/>
      <family val="2"/>
    </font>
    <font>
      <sz val="7"/>
      <color theme="1"/>
      <name val="Arial"/>
      <family val="2"/>
    </font>
    <font>
      <sz val="8"/>
      <color theme="1"/>
      <name val="Arial"/>
      <family val="2"/>
    </font>
    <font>
      <b/>
      <sz val="8"/>
      <color theme="1"/>
      <name val="Arial"/>
      <family val="2"/>
    </font>
    <font>
      <b/>
      <sz val="7"/>
      <color theme="1"/>
      <name val="Arial"/>
      <family val="2"/>
    </font>
    <font>
      <b/>
      <sz val="13"/>
      <color rgb="FFFFFFFF"/>
      <name val="Arial"/>
      <family val="2"/>
    </font>
    <font>
      <b/>
      <sz val="7"/>
      <color theme="1"/>
      <name val="Arial"/>
      <family val="2"/>
    </font>
    <font>
      <b/>
      <sz val="7"/>
      <color theme="1"/>
      <name val="Arial"/>
      <family val="2"/>
    </font>
    <font>
      <sz val="8"/>
      <color theme="1"/>
      <name val="Arial"/>
      <family val="2"/>
    </font>
    <font>
      <sz val="8"/>
      <color theme="1"/>
      <name val="Arial"/>
      <family val="2"/>
    </font>
    <font>
      <b/>
      <sz val="13"/>
      <color rgb="FFFFFFFF"/>
      <name val="Arial"/>
      <family val="2"/>
    </font>
    <font>
      <b/>
      <sz val="8"/>
      <color theme="1"/>
      <name val="Arial"/>
      <family val="2"/>
    </font>
    <font>
      <b/>
      <sz val="8"/>
      <color theme="1"/>
      <name val="Arial"/>
      <family val="2"/>
    </font>
    <font>
      <b/>
      <sz val="8"/>
      <color theme="1"/>
      <name val="Arial"/>
      <family val="2"/>
    </font>
    <font>
      <b/>
      <sz val="8"/>
      <color theme="1"/>
      <name val="Arial"/>
      <family val="2"/>
    </font>
    <font>
      <sz val="7"/>
      <color theme="1"/>
      <name val="Arial"/>
      <family val="2"/>
    </font>
    <font>
      <b/>
      <sz val="8"/>
      <color rgb="FFC00000"/>
      <name val="Arial"/>
      <family val="2"/>
    </font>
    <font>
      <sz val="8"/>
      <color theme="1"/>
      <name val="Arial"/>
      <family val="2"/>
    </font>
    <font>
      <b/>
      <sz val="8"/>
      <color rgb="FF1F3864"/>
      <name val="Arial"/>
      <family val="2"/>
    </font>
    <font>
      <b/>
      <sz val="8"/>
      <color rgb="FFC00000"/>
      <name val="Arial"/>
      <family val="2"/>
    </font>
    <font>
      <b/>
      <sz val="15"/>
      <color rgb="FFFFFFFF"/>
      <name val="Arial"/>
      <family val="2"/>
    </font>
    <font>
      <sz val="8"/>
      <color theme="1"/>
      <name val="Arial"/>
      <family val="2"/>
    </font>
    <font>
      <b/>
      <sz val="8"/>
      <color rgb="FFC00000"/>
      <name val="Arial"/>
      <family val="2"/>
    </font>
    <font>
      <sz val="8"/>
      <color theme="1"/>
      <name val="Arial"/>
      <family val="2"/>
    </font>
    <font>
      <sz val="8"/>
      <color theme="1"/>
      <name val="Arial"/>
      <family val="2"/>
    </font>
    <font>
      <b/>
      <sz val="7"/>
      <color theme="1"/>
      <name val="Arial"/>
      <family val="2"/>
    </font>
    <font>
      <b/>
      <sz val="8"/>
      <color theme="1"/>
      <name val="Arial"/>
      <family val="2"/>
    </font>
    <font>
      <b/>
      <sz val="8"/>
      <color theme="1"/>
      <name val="Arial"/>
      <family val="2"/>
    </font>
    <font>
      <sz val="7"/>
      <color theme="1"/>
      <name val="Arial"/>
      <family val="2"/>
    </font>
    <font>
      <sz val="8"/>
      <color theme="1"/>
      <name val="Arial"/>
      <family val="2"/>
    </font>
    <font>
      <b/>
      <sz val="8"/>
      <color theme="1"/>
      <name val="Arial"/>
      <family val="2"/>
    </font>
    <font>
      <b/>
      <sz val="10"/>
      <color rgb="FF1F3864"/>
      <name val="Aptos Narrow"/>
      <family val="2"/>
    </font>
  </fonts>
  <fills count="77">
    <fill>
      <patternFill patternType="none"/>
    </fill>
    <fill>
      <patternFill patternType="gray125"/>
    </fill>
    <fill>
      <patternFill patternType="solid">
        <fgColor theme="2" tint="-9.9978637043366805E-2"/>
        <bgColor rgb="FFD9D9D9"/>
      </patternFill>
    </fill>
    <fill>
      <patternFill patternType="solid">
        <fgColor theme="5" tint="0.79979857783745845"/>
        <bgColor rgb="FFE8E8E8"/>
      </patternFill>
    </fill>
    <fill>
      <patternFill patternType="solid">
        <fgColor theme="3" tint="0.89989928891872917"/>
        <bgColor rgb="FFD9E1F2"/>
      </patternFill>
    </fill>
    <fill>
      <patternFill patternType="solid">
        <fgColor theme="0"/>
        <bgColor rgb="FFF2F2F2"/>
      </patternFill>
    </fill>
    <fill>
      <patternFill patternType="solid">
        <fgColor rgb="FFFFFF00"/>
        <bgColor rgb="FFFFEB9C"/>
      </patternFill>
    </fill>
    <fill>
      <patternFill patternType="solid">
        <fgColor rgb="FFCCFFCC"/>
        <bgColor rgb="FFD9F2D0"/>
      </patternFill>
    </fill>
    <fill>
      <patternFill patternType="solid">
        <fgColor theme="3" tint="0.39957884456923126"/>
        <bgColor rgb="FF0F9ED5"/>
      </patternFill>
    </fill>
    <fill>
      <patternFill patternType="solid">
        <fgColor theme="3" tint="0.79979857783745845"/>
        <bgColor rgb="FFC1E5F5"/>
      </patternFill>
    </fill>
    <fill>
      <patternFill patternType="solid">
        <fgColor rgb="FF369C54"/>
        <bgColor rgb="FF3B7D23"/>
      </patternFill>
    </fill>
    <fill>
      <patternFill patternType="solid">
        <fgColor theme="4" tint="0.39957884456923126"/>
        <bgColor rgb="FF0F9ED5"/>
      </patternFill>
    </fill>
    <fill>
      <patternFill patternType="solid">
        <fgColor theme="2"/>
        <bgColor rgb="FFE2EFDA"/>
      </patternFill>
    </fill>
    <fill>
      <patternFill patternType="solid">
        <fgColor theme="0" tint="-0.34998626667073579"/>
        <bgColor rgb="FFB3B3B3"/>
      </patternFill>
    </fill>
    <fill>
      <patternFill patternType="solid">
        <fgColor theme="0" tint="-0.14999847407452621"/>
        <bgColor rgb="FFD1D1D1"/>
      </patternFill>
    </fill>
    <fill>
      <patternFill patternType="solid">
        <fgColor rgb="FF00B0F0"/>
        <bgColor rgb="FF0F9ED5"/>
      </patternFill>
    </fill>
    <fill>
      <patternFill patternType="solid">
        <fgColor rgb="FFD9E1F2"/>
        <bgColor rgb="FFDCEAF7"/>
      </patternFill>
    </fill>
    <fill>
      <patternFill patternType="solid">
        <fgColor rgb="FFEAF1DD"/>
        <bgColor rgb="FFE2EFDA"/>
      </patternFill>
    </fill>
    <fill>
      <patternFill patternType="solid">
        <fgColor theme="9" tint="0.79989013336588644"/>
        <bgColor rgb="FFE2EFDA"/>
      </patternFill>
    </fill>
    <fill>
      <patternFill patternType="solid">
        <fgColor rgb="FF2E5395"/>
        <bgColor rgb="FF156082"/>
      </patternFill>
    </fill>
    <fill>
      <patternFill patternType="solid">
        <fgColor theme="8" tint="0.79979857783745845"/>
        <bgColor rgb="FFFFC7CE"/>
      </patternFill>
    </fill>
    <fill>
      <patternFill patternType="solid">
        <fgColor theme="4" tint="0.79979857783745845"/>
        <bgColor rgb="FFD9E1F2"/>
      </patternFill>
    </fill>
    <fill>
      <patternFill patternType="solid">
        <fgColor rgb="FFF2F2F2"/>
        <bgColor rgb="FFEAF1DD"/>
      </patternFill>
    </fill>
    <fill>
      <patternFill patternType="solid">
        <fgColor rgb="FFE2EFDA"/>
        <bgColor rgb="FFEAF1DD"/>
      </patternFill>
    </fill>
    <fill>
      <patternFill patternType="solid">
        <fgColor rgb="FFFFF2CC"/>
        <bgColor indexed="64"/>
      </patternFill>
    </fill>
    <fill>
      <patternFill patternType="solid">
        <fgColor rgb="FF1F3864"/>
        <bgColor indexed="64"/>
      </patternFill>
    </fill>
    <fill>
      <patternFill patternType="solid">
        <fgColor rgb="FFD9E1F2"/>
        <bgColor indexed="64"/>
      </patternFill>
    </fill>
    <fill>
      <patternFill patternType="solid">
        <fgColor rgb="FF1F3864"/>
        <bgColor indexed="64"/>
      </patternFill>
    </fill>
    <fill>
      <patternFill patternType="solid">
        <fgColor rgb="FFD9E1F2"/>
        <bgColor indexed="64"/>
      </patternFill>
    </fill>
    <fill>
      <patternFill patternType="solid">
        <fgColor rgb="FF1F3864"/>
        <bgColor indexed="64"/>
      </patternFill>
    </fill>
    <fill>
      <patternFill patternType="solid">
        <fgColor rgb="FF1F3864"/>
        <bgColor indexed="64"/>
      </patternFill>
    </fill>
    <fill>
      <patternFill patternType="solid">
        <fgColor rgb="FFD9E1F2"/>
        <bgColor indexed="64"/>
      </patternFill>
    </fill>
    <fill>
      <patternFill patternType="solid">
        <fgColor rgb="FFD9E1F2"/>
        <bgColor indexed="64"/>
      </patternFill>
    </fill>
    <fill>
      <patternFill patternType="solid">
        <fgColor rgb="FFFFF2CC"/>
        <bgColor indexed="64"/>
      </patternFill>
    </fill>
    <fill>
      <patternFill patternType="solid">
        <fgColor rgb="FFF2F2F2"/>
        <bgColor indexed="64"/>
      </patternFill>
    </fill>
    <fill>
      <patternFill patternType="solid">
        <fgColor rgb="FF1F3864"/>
        <bgColor indexed="64"/>
      </patternFill>
    </fill>
    <fill>
      <patternFill patternType="solid">
        <fgColor rgb="FF1F3864"/>
        <bgColor indexed="64"/>
      </patternFill>
    </fill>
    <fill>
      <patternFill patternType="solid">
        <fgColor rgb="FF1F3864"/>
        <bgColor indexed="64"/>
      </patternFill>
    </fill>
    <fill>
      <patternFill patternType="solid">
        <fgColor rgb="FFD9E1F2"/>
        <bgColor indexed="64"/>
      </patternFill>
    </fill>
    <fill>
      <patternFill patternType="solid">
        <fgColor rgb="FF1F3864"/>
        <bgColor indexed="64"/>
      </patternFill>
    </fill>
    <fill>
      <patternFill patternType="solid">
        <fgColor rgb="FF1F3864"/>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F2F2F2"/>
        <bgColor indexed="64"/>
      </patternFill>
    </fill>
    <fill>
      <patternFill patternType="solid">
        <fgColor rgb="FF1F3864"/>
        <bgColor indexed="64"/>
      </patternFill>
    </fill>
    <fill>
      <patternFill patternType="solid">
        <fgColor rgb="FFF2F2F2"/>
        <bgColor indexed="64"/>
      </patternFill>
    </fill>
    <fill>
      <patternFill patternType="solid">
        <fgColor rgb="FFD9E1F2"/>
        <bgColor indexed="64"/>
      </patternFill>
    </fill>
    <fill>
      <patternFill patternType="solid">
        <fgColor rgb="FF1F3864"/>
        <bgColor indexed="64"/>
      </patternFill>
    </fill>
    <fill>
      <patternFill patternType="solid">
        <fgColor rgb="FFF2F2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1F3864"/>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F2F2F2"/>
        <bgColor indexed="64"/>
      </patternFill>
    </fill>
    <fill>
      <patternFill patternType="solid">
        <fgColor rgb="FF1F3864"/>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FFF2CC"/>
        <bgColor indexed="64"/>
      </patternFill>
    </fill>
    <fill>
      <patternFill patternType="solid">
        <fgColor rgb="FF1F3864"/>
        <bgColor indexed="64"/>
      </patternFill>
    </fill>
    <fill>
      <patternFill patternType="solid">
        <fgColor rgb="FFFFF2CC"/>
        <bgColor indexed="64"/>
      </patternFill>
    </fill>
    <fill>
      <patternFill patternType="solid">
        <fgColor rgb="FFF2F2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D9E1F2"/>
        <bgColor indexed="64"/>
      </patternFill>
    </fill>
    <fill>
      <patternFill patternType="solid">
        <fgColor rgb="FFFFF2CC"/>
        <bgColor indexed="64"/>
      </patternFill>
    </fill>
  </fills>
  <borders count="176">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right/>
      <top style="medium">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bottom/>
      <diagonal/>
    </border>
    <border>
      <left/>
      <right/>
      <top style="medium">
        <color auto="1"/>
      </top>
      <bottom style="medium">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double">
        <color auto="1"/>
      </bottom>
      <diagonal/>
    </border>
    <border>
      <left style="double">
        <color auto="1"/>
      </left>
      <right/>
      <top style="thin">
        <color auto="1"/>
      </top>
      <bottom style="double">
        <color auto="1"/>
      </bottom>
      <diagonal/>
    </border>
    <border>
      <left style="double">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style="thin">
        <color auto="1"/>
      </right>
      <top style="double">
        <color auto="1"/>
      </top>
      <bottom style="thin">
        <color auto="1"/>
      </bottom>
      <diagonal/>
    </border>
    <border>
      <left/>
      <right/>
      <top style="double">
        <color auto="1"/>
      </top>
      <bottom style="double">
        <color auto="1"/>
      </bottom>
      <diagonal/>
    </border>
    <border>
      <left style="double">
        <color auto="1"/>
      </left>
      <right style="double">
        <color auto="1"/>
      </right>
      <top style="double">
        <color auto="1"/>
      </top>
      <bottom style="thin">
        <color auto="1"/>
      </bottom>
      <diagonal/>
    </border>
    <border>
      <left/>
      <right/>
      <top style="double">
        <color auto="1"/>
      </top>
      <bottom/>
      <diagonal/>
    </border>
    <border>
      <left style="medium">
        <color auto="1"/>
      </left>
      <right style="thin">
        <color auto="1"/>
      </right>
      <top style="medium">
        <color auto="1"/>
      </top>
      <bottom style="thin">
        <color auto="1"/>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style="thin">
        <color rgb="FF000000"/>
      </right>
      <top style="thin">
        <color rgb="FF000000"/>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181" fontId="101" fillId="0" borderId="0" applyBorder="0" applyProtection="0"/>
    <xf numFmtId="0" fontId="1" fillId="0" borderId="0"/>
    <xf numFmtId="0" fontId="1" fillId="0" borderId="0"/>
    <xf numFmtId="164" fontId="2" fillId="0" borderId="0"/>
  </cellStyleXfs>
  <cellXfs count="971">
    <xf numFmtId="0" fontId="0" fillId="0" borderId="0" xfId="0"/>
    <xf numFmtId="0" fontId="0" fillId="0" borderId="0" xfId="0" applyAlignment="1">
      <alignment horizontal="center"/>
    </xf>
    <xf numFmtId="0" fontId="9" fillId="0" borderId="14" xfId="0" applyFont="1" applyBorder="1" applyAlignment="1" applyProtection="1">
      <alignment horizontal="center"/>
      <protection locked="0"/>
    </xf>
    <xf numFmtId="0" fontId="3" fillId="0" borderId="2" xfId="0" applyFont="1" applyBorder="1" applyAlignment="1" applyProtection="1">
      <alignment horizontal="center"/>
      <protection locked="0"/>
    </xf>
    <xf numFmtId="0" fontId="0" fillId="0" borderId="0" xfId="0" applyProtection="1">
      <protection locked="0"/>
    </xf>
    <xf numFmtId="165" fontId="4" fillId="0" borderId="3" xfId="0" applyNumberFormat="1" applyFont="1" applyBorder="1" applyAlignment="1" applyProtection="1">
      <alignment horizontal="center"/>
      <protection locked="0"/>
    </xf>
    <xf numFmtId="0" fontId="3" fillId="0" borderId="2" xfId="0" applyFont="1" applyBorder="1" applyAlignment="1" applyProtection="1">
      <alignment horizontal="center" vertical="center"/>
      <protection locked="0"/>
    </xf>
    <xf numFmtId="165" fontId="4" fillId="0" borderId="5" xfId="0" applyNumberFormat="1" applyFont="1" applyBorder="1" applyAlignment="1" applyProtection="1">
      <alignment horizontal="center"/>
      <protection locked="0"/>
    </xf>
    <xf numFmtId="0" fontId="3" fillId="0" borderId="4" xfId="0" applyFont="1" applyBorder="1" applyAlignment="1" applyProtection="1">
      <alignment horizontal="center" vertical="center"/>
      <protection locked="0"/>
    </xf>
    <xf numFmtId="166" fontId="4" fillId="0" borderId="7" xfId="0" applyNumberFormat="1" applyFont="1" applyBorder="1" applyAlignment="1">
      <alignment horizontal="center" vertical="center"/>
    </xf>
    <xf numFmtId="0" fontId="3" fillId="0" borderId="6" xfId="0" applyFont="1" applyBorder="1" applyAlignment="1" applyProtection="1">
      <alignment horizontal="center" vertical="center"/>
      <protection locked="0"/>
    </xf>
    <xf numFmtId="0" fontId="4" fillId="0" borderId="9" xfId="0" applyFont="1" applyBorder="1" applyAlignment="1" applyProtection="1">
      <alignment horizontal="center"/>
      <protection locked="0"/>
    </xf>
    <xf numFmtId="167" fontId="5" fillId="2" borderId="1" xfId="0" applyNumberFormat="1" applyFont="1" applyFill="1" applyBorder="1" applyAlignment="1" applyProtection="1">
      <alignment horizontal="center"/>
      <protection locked="0"/>
    </xf>
    <xf numFmtId="0" fontId="6" fillId="0" borderId="2" xfId="0" applyFont="1" applyBorder="1" applyAlignment="1" applyProtection="1">
      <alignment horizontal="center" vertical="center"/>
      <protection locked="0"/>
    </xf>
    <xf numFmtId="0" fontId="5" fillId="2" borderId="1" xfId="0" applyFont="1" applyFill="1" applyBorder="1" applyAlignment="1" applyProtection="1">
      <alignment horizontal="center"/>
      <protection locked="0"/>
    </xf>
    <xf numFmtId="0" fontId="4" fillId="0" borderId="3" xfId="0" applyFont="1" applyBorder="1" applyProtection="1">
      <protection locked="0"/>
    </xf>
    <xf numFmtId="0" fontId="6" fillId="0" borderId="6" xfId="0" applyFont="1" applyBorder="1" applyAlignment="1" applyProtection="1">
      <alignment horizontal="center"/>
      <protection locked="0"/>
    </xf>
    <xf numFmtId="1" fontId="4" fillId="0" borderId="11" xfId="0" applyNumberFormat="1" applyFont="1" applyBorder="1" applyAlignment="1" applyProtection="1">
      <alignment horizontal="center"/>
      <protection locked="0"/>
    </xf>
    <xf numFmtId="167" fontId="5" fillId="2" borderId="10" xfId="0" applyNumberFormat="1" applyFont="1" applyFill="1" applyBorder="1" applyAlignment="1" applyProtection="1">
      <alignment horizontal="center"/>
      <protection locked="0"/>
    </xf>
    <xf numFmtId="0" fontId="6" fillId="0" borderId="6" xfId="0" applyFont="1" applyBorder="1" applyAlignment="1" applyProtection="1">
      <alignment horizontal="center" vertical="center"/>
      <protection locked="0"/>
    </xf>
    <xf numFmtId="0" fontId="5" fillId="2" borderId="10" xfId="0" applyFont="1" applyFill="1" applyBorder="1" applyAlignment="1" applyProtection="1">
      <alignment horizontal="center"/>
      <protection locked="0"/>
    </xf>
    <xf numFmtId="0" fontId="4" fillId="0" borderId="7" xfId="0" applyFont="1" applyBorder="1" applyProtection="1">
      <protection locked="0"/>
    </xf>
    <xf numFmtId="0" fontId="0" fillId="0" borderId="15" xfId="0" applyBorder="1" applyAlignment="1" applyProtection="1">
      <alignment horizontal="center"/>
      <protection locked="0"/>
    </xf>
    <xf numFmtId="0" fontId="0" fillId="2" borderId="13" xfId="0" applyFill="1" applyBorder="1" applyAlignment="1" applyProtection="1">
      <alignment horizontal="center"/>
      <protection locked="0"/>
    </xf>
    <xf numFmtId="0" fontId="0" fillId="0" borderId="15" xfId="0" applyBorder="1" applyProtection="1">
      <protection locked="0"/>
    </xf>
    <xf numFmtId="0" fontId="0" fillId="0" borderId="13" xfId="0" applyBorder="1" applyAlignment="1" applyProtection="1">
      <alignment horizontal="center"/>
      <protection locked="0"/>
    </xf>
    <xf numFmtId="0" fontId="10" fillId="0" borderId="0" xfId="0" applyFont="1" applyAlignment="1" applyProtection="1">
      <alignment vertical="top" wrapText="1"/>
      <protection locked="0"/>
    </xf>
    <xf numFmtId="0" fontId="0" fillId="0" borderId="0" xfId="0" applyAlignment="1" applyProtection="1">
      <alignment horizontal="center"/>
      <protection locked="0"/>
    </xf>
    <xf numFmtId="0" fontId="0" fillId="2" borderId="13" xfId="0" applyFill="1" applyBorder="1" applyAlignment="1" applyProtection="1">
      <alignment horizontal="center" vertical="center"/>
      <protection locked="0"/>
    </xf>
    <xf numFmtId="0" fontId="9" fillId="0" borderId="0" xfId="0" applyFont="1" applyProtection="1">
      <protection locked="0"/>
    </xf>
    <xf numFmtId="0" fontId="0" fillId="0" borderId="16" xfId="0" applyBorder="1" applyAlignment="1" applyProtection="1">
      <alignment horizontal="center"/>
      <protection locked="0"/>
    </xf>
    <xf numFmtId="0" fontId="0" fillId="4" borderId="13" xfId="0" applyFill="1" applyBorder="1" applyAlignment="1" applyProtection="1">
      <alignment horizontal="center"/>
      <protection locked="0"/>
    </xf>
    <xf numFmtId="0" fontId="0" fillId="0" borderId="16" xfId="0" applyBorder="1" applyProtection="1">
      <protection locked="0"/>
    </xf>
    <xf numFmtId="0" fontId="0" fillId="0" borderId="13" xfId="0" applyBorder="1" applyAlignment="1" applyProtection="1">
      <alignment horizontal="center" vertical="center" wrapText="1"/>
      <protection locked="0"/>
    </xf>
    <xf numFmtId="0" fontId="0" fillId="0" borderId="14" xfId="0" applyBorder="1" applyAlignment="1" applyProtection="1">
      <alignment horizontal="center" vertical="center"/>
      <protection locked="0"/>
    </xf>
    <xf numFmtId="0" fontId="6" fillId="0" borderId="13" xfId="0" applyFont="1" applyBorder="1" applyAlignment="1">
      <alignment horizontal="center"/>
    </xf>
    <xf numFmtId="168" fontId="12" fillId="5" borderId="0" xfId="0" applyNumberFormat="1" applyFont="1" applyFill="1"/>
    <xf numFmtId="169" fontId="0" fillId="2" borderId="13" xfId="0" applyNumberFormat="1" applyFill="1" applyBorder="1" applyAlignment="1" applyProtection="1">
      <alignment horizontal="center"/>
      <protection locked="0"/>
    </xf>
    <xf numFmtId="0" fontId="13" fillId="0" borderId="0" xfId="0" applyFont="1" applyProtection="1">
      <protection locked="0"/>
    </xf>
    <xf numFmtId="0" fontId="0" fillId="0" borderId="14" xfId="0" applyBorder="1" applyAlignment="1" applyProtection="1">
      <alignment horizontal="center"/>
      <protection locked="0"/>
    </xf>
    <xf numFmtId="0" fontId="12" fillId="0" borderId="0" xfId="0" applyFont="1" applyProtection="1">
      <protection locked="0"/>
    </xf>
    <xf numFmtId="169" fontId="0" fillId="2" borderId="13" xfId="0" applyNumberFormat="1" applyFill="1" applyBorder="1" applyAlignment="1" applyProtection="1">
      <alignment horizontal="center" vertical="top"/>
      <protection locked="0"/>
    </xf>
    <xf numFmtId="169" fontId="0" fillId="4" borderId="13" xfId="0" applyNumberFormat="1" applyFill="1" applyBorder="1" applyAlignment="1" applyProtection="1">
      <alignment horizontal="center"/>
      <protection locked="0"/>
    </xf>
    <xf numFmtId="2" fontId="0" fillId="0" borderId="0" xfId="0" applyNumberFormat="1" applyProtection="1">
      <protection locked="0"/>
    </xf>
    <xf numFmtId="165" fontId="0" fillId="4" borderId="13" xfId="0" applyNumberFormat="1" applyFill="1" applyBorder="1" applyAlignment="1" applyProtection="1">
      <alignment horizontal="center"/>
      <protection locked="0"/>
    </xf>
    <xf numFmtId="2" fontId="13" fillId="0" borderId="0" xfId="0" applyNumberFormat="1" applyFont="1" applyProtection="1">
      <protection locked="0"/>
    </xf>
    <xf numFmtId="0" fontId="13" fillId="0" borderId="0" xfId="0" applyFont="1"/>
    <xf numFmtId="0" fontId="12" fillId="0" borderId="0" xfId="0" applyFont="1"/>
    <xf numFmtId="0" fontId="0" fillId="0" borderId="13" xfId="0" applyBorder="1" applyAlignment="1">
      <alignment horizontal="center" vertical="center" wrapText="1"/>
    </xf>
    <xf numFmtId="0" fontId="16" fillId="0" borderId="0" xfId="0" applyFont="1"/>
    <xf numFmtId="0" fontId="0" fillId="0" borderId="13" xfId="0" applyBorder="1" applyAlignment="1">
      <alignment horizontal="center"/>
    </xf>
    <xf numFmtId="170" fontId="0" fillId="4" borderId="13" xfId="0" applyNumberFormat="1" applyFill="1" applyBorder="1" applyAlignment="1" applyProtection="1">
      <alignment horizontal="center"/>
      <protection locked="0"/>
    </xf>
    <xf numFmtId="171" fontId="12" fillId="5" borderId="0" xfId="0" applyNumberFormat="1" applyFont="1" applyFill="1"/>
    <xf numFmtId="172" fontId="0" fillId="4" borderId="13" xfId="0" applyNumberFormat="1" applyFill="1" applyBorder="1" applyAlignment="1" applyProtection="1">
      <alignment horizontal="center"/>
      <protection locked="0"/>
    </xf>
    <xf numFmtId="171" fontId="12" fillId="0" borderId="0" xfId="0" applyNumberFormat="1" applyFont="1" applyProtection="1">
      <protection locked="0"/>
    </xf>
    <xf numFmtId="171" fontId="0" fillId="0" borderId="0" xfId="0" applyNumberFormat="1" applyProtection="1">
      <protection locked="0"/>
    </xf>
    <xf numFmtId="173" fontId="0" fillId="4" borderId="13" xfId="0" applyNumberFormat="1" applyFill="1" applyBorder="1" applyAlignment="1" applyProtection="1">
      <alignment horizontal="center"/>
      <protection locked="0"/>
    </xf>
    <xf numFmtId="174" fontId="0" fillId="4" borderId="13" xfId="0" applyNumberFormat="1" applyFill="1" applyBorder="1" applyAlignment="1" applyProtection="1">
      <alignment horizontal="center"/>
      <protection locked="0"/>
    </xf>
    <xf numFmtId="175" fontId="13" fillId="0" borderId="0" xfId="0" applyNumberFormat="1" applyFont="1" applyProtection="1">
      <protection locked="0"/>
    </xf>
    <xf numFmtId="176" fontId="0" fillId="4" borderId="13" xfId="0" applyNumberFormat="1" applyFill="1" applyBorder="1" applyAlignment="1" applyProtection="1">
      <alignment horizontal="center"/>
      <protection locked="0"/>
    </xf>
    <xf numFmtId="2" fontId="0" fillId="0" borderId="0" xfId="0" applyNumberFormat="1" applyAlignment="1" applyProtection="1">
      <alignment horizontal="center"/>
      <protection locked="0"/>
    </xf>
    <xf numFmtId="1" fontId="0" fillId="0" borderId="0" xfId="0" applyNumberFormat="1" applyProtection="1">
      <protection locked="0"/>
    </xf>
    <xf numFmtId="177" fontId="0" fillId="4" borderId="13" xfId="0" applyNumberFormat="1" applyFill="1" applyBorder="1" applyAlignment="1" applyProtection="1">
      <alignment horizontal="center"/>
      <protection locked="0"/>
    </xf>
    <xf numFmtId="9" fontId="0" fillId="4" borderId="13" xfId="0" applyNumberFormat="1" applyFill="1" applyBorder="1" applyAlignment="1" applyProtection="1">
      <alignment horizontal="center"/>
      <protection locked="0"/>
    </xf>
    <xf numFmtId="1" fontId="13" fillId="0" borderId="0" xfId="0" applyNumberFormat="1" applyFont="1" applyProtection="1">
      <protection locked="0"/>
    </xf>
    <xf numFmtId="0" fontId="0" fillId="0" borderId="17" xfId="0" applyBorder="1" applyAlignment="1">
      <alignment horizontal="center"/>
    </xf>
    <xf numFmtId="0" fontId="0" fillId="2" borderId="13"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16" xfId="0" applyBorder="1"/>
    <xf numFmtId="0" fontId="0" fillId="0" borderId="15" xfId="0" applyBorder="1"/>
    <xf numFmtId="0" fontId="0" fillId="0" borderId="0" xfId="0" applyAlignment="1" applyProtection="1">
      <alignment horizontal="center" vertical="center"/>
      <protection locked="0"/>
    </xf>
    <xf numFmtId="0" fontId="0" fillId="0" borderId="20" xfId="0" applyBorder="1" applyAlignment="1" applyProtection="1">
      <alignment horizontal="center"/>
      <protection locked="0"/>
    </xf>
    <xf numFmtId="0" fontId="0" fillId="0" borderId="20" xfId="0" applyBorder="1" applyAlignment="1" applyProtection="1">
      <alignment horizontal="center" vertical="center"/>
      <protection locked="0"/>
    </xf>
    <xf numFmtId="0" fontId="0" fillId="0" borderId="21" xfId="0" applyBorder="1" applyAlignment="1" applyProtection="1">
      <alignment horizontal="center"/>
      <protection locked="0"/>
    </xf>
    <xf numFmtId="169" fontId="0" fillId="0" borderId="22" xfId="0" applyNumberFormat="1" applyBorder="1" applyAlignment="1" applyProtection="1">
      <alignment horizontal="center"/>
      <protection locked="0"/>
    </xf>
    <xf numFmtId="0" fontId="0" fillId="0" borderId="22" xfId="0" applyBorder="1" applyAlignment="1" applyProtection="1">
      <alignment horizontal="center"/>
      <protection locked="0"/>
    </xf>
    <xf numFmtId="0" fontId="0" fillId="0" borderId="16"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17" fillId="0" borderId="0" xfId="0" applyFont="1" applyProtection="1">
      <protection locked="0"/>
    </xf>
    <xf numFmtId="0" fontId="0" fillId="0" borderId="0" xfId="0" applyAlignment="1" applyProtection="1">
      <alignment horizontal="right"/>
      <protection locked="0"/>
    </xf>
    <xf numFmtId="169" fontId="0" fillId="0" borderId="0" xfId="0" applyNumberFormat="1" applyProtection="1">
      <protection locked="0"/>
    </xf>
    <xf numFmtId="0" fontId="0" fillId="0" borderId="0" xfId="0" applyAlignment="1" applyProtection="1">
      <alignment vertical="top" wrapText="1"/>
      <protection locked="0"/>
    </xf>
    <xf numFmtId="2" fontId="0" fillId="4" borderId="13" xfId="0" applyNumberFormat="1" applyFill="1" applyBorder="1" applyAlignment="1" applyProtection="1">
      <alignment horizontal="center"/>
      <protection locked="0"/>
    </xf>
    <xf numFmtId="0" fontId="0" fillId="0" borderId="0" xfId="0" applyAlignment="1" applyProtection="1">
      <alignment vertical="top"/>
      <protection locked="0"/>
    </xf>
    <xf numFmtId="0" fontId="18" fillId="0" borderId="13" xfId="0" applyFont="1" applyBorder="1" applyAlignment="1">
      <alignment horizontal="center"/>
    </xf>
    <xf numFmtId="0" fontId="20" fillId="0" borderId="13" xfId="0" applyFont="1" applyBorder="1" applyAlignment="1">
      <alignment horizontal="center"/>
    </xf>
    <xf numFmtId="0" fontId="13" fillId="0" borderId="13" xfId="0" applyFont="1" applyBorder="1" applyAlignment="1">
      <alignment horizontal="center"/>
    </xf>
    <xf numFmtId="0" fontId="13" fillId="0" borderId="0" xfId="0" applyFont="1" applyAlignment="1">
      <alignment horizontal="center"/>
    </xf>
    <xf numFmtId="169" fontId="21" fillId="0" borderId="0" xfId="0" applyNumberFormat="1" applyFont="1" applyAlignment="1" applyProtection="1">
      <alignment horizontal="center" vertical="center"/>
      <protection locked="0"/>
    </xf>
    <xf numFmtId="2" fontId="21" fillId="0" borderId="0" xfId="0" applyNumberFormat="1" applyFont="1" applyAlignment="1" applyProtection="1">
      <alignment horizontal="center" vertical="center"/>
      <protection locked="0"/>
    </xf>
    <xf numFmtId="178" fontId="0" fillId="0" borderId="0" xfId="0" applyNumberFormat="1" applyAlignment="1">
      <alignment horizontal="center" vertical="center"/>
    </xf>
    <xf numFmtId="169" fontId="21" fillId="0" borderId="0" xfId="0" applyNumberFormat="1" applyFont="1" applyAlignment="1">
      <alignment horizontal="center" vertical="center"/>
    </xf>
    <xf numFmtId="169" fontId="12" fillId="0" borderId="0" xfId="0" applyNumberFormat="1" applyFont="1" applyAlignment="1">
      <alignment horizontal="center" vertical="center"/>
    </xf>
    <xf numFmtId="169" fontId="22" fillId="0" borderId="0" xfId="0" applyNumberFormat="1" applyFont="1" applyAlignment="1" applyProtection="1">
      <alignment horizontal="center" vertical="center"/>
      <protection locked="0"/>
    </xf>
    <xf numFmtId="2" fontId="22" fillId="0" borderId="0" xfId="0" applyNumberFormat="1" applyFont="1" applyAlignment="1" applyProtection="1">
      <alignment horizontal="center" vertical="center"/>
      <protection locked="0"/>
    </xf>
    <xf numFmtId="0" fontId="0" fillId="0" borderId="14" xfId="0" applyBorder="1" applyProtection="1">
      <protection locked="0"/>
    </xf>
    <xf numFmtId="171" fontId="0" fillId="4" borderId="13" xfId="0" applyNumberFormat="1" applyFill="1" applyBorder="1" applyAlignment="1" applyProtection="1">
      <alignment horizontal="center"/>
      <protection locked="0"/>
    </xf>
    <xf numFmtId="0" fontId="13" fillId="0" borderId="0" xfId="0" applyFont="1" applyAlignment="1" applyProtection="1">
      <alignment horizontal="center"/>
      <protection locked="0"/>
    </xf>
    <xf numFmtId="0" fontId="13" fillId="0" borderId="16" xfId="0" applyFont="1" applyBorder="1" applyAlignment="1" applyProtection="1">
      <alignment horizontal="center"/>
      <protection locked="0"/>
    </xf>
    <xf numFmtId="172" fontId="0" fillId="0" borderId="0" xfId="0" applyNumberFormat="1" applyProtection="1">
      <protection locked="0"/>
    </xf>
    <xf numFmtId="1" fontId="0" fillId="4" borderId="13" xfId="0" applyNumberFormat="1" applyFill="1" applyBorder="1" applyAlignment="1" applyProtection="1">
      <alignment horizontal="center" vertical="center"/>
      <protection locked="0"/>
    </xf>
    <xf numFmtId="0" fontId="13" fillId="0" borderId="0" xfId="0" applyFont="1" applyAlignment="1" applyProtection="1">
      <alignment horizontal="center" vertical="center"/>
      <protection locked="0"/>
    </xf>
    <xf numFmtId="1" fontId="0" fillId="4" borderId="13" xfId="0" applyNumberFormat="1" applyFill="1" applyBorder="1" applyAlignment="1" applyProtection="1">
      <alignment horizontal="center"/>
      <protection locked="0"/>
    </xf>
    <xf numFmtId="0" fontId="13" fillId="0" borderId="16" xfId="0" applyFont="1" applyBorder="1" applyAlignment="1" applyProtection="1">
      <alignment horizontal="center" vertical="center"/>
      <protection locked="0"/>
    </xf>
    <xf numFmtId="1" fontId="0" fillId="0" borderId="0" xfId="0" applyNumberFormat="1" applyAlignment="1" applyProtection="1">
      <alignment horizontal="center"/>
      <protection locked="0"/>
    </xf>
    <xf numFmtId="0" fontId="0" fillId="0" borderId="24" xfId="0" applyBorder="1" applyAlignment="1" applyProtection="1">
      <alignment horizontal="center"/>
      <protection locked="0"/>
    </xf>
    <xf numFmtId="0" fontId="9" fillId="0" borderId="0" xfId="0" applyFont="1" applyAlignment="1" applyProtection="1">
      <alignment horizontal="center"/>
      <protection locked="0"/>
    </xf>
    <xf numFmtId="0" fontId="0" fillId="0" borderId="0" xfId="0" applyAlignment="1" applyProtection="1">
      <alignment horizontal="right" vertical="center"/>
      <protection locked="0"/>
    </xf>
    <xf numFmtId="1" fontId="12" fillId="0" borderId="0" xfId="0" applyNumberFormat="1" applyFont="1" applyProtection="1">
      <protection locked="0"/>
    </xf>
    <xf numFmtId="168" fontId="23" fillId="2" borderId="0" xfId="0" applyNumberFormat="1" applyFont="1" applyFill="1" applyProtection="1">
      <protection locked="0"/>
    </xf>
    <xf numFmtId="0" fontId="23" fillId="2" borderId="0" xfId="0" applyFont="1" applyFill="1" applyProtection="1">
      <protection locked="0"/>
    </xf>
    <xf numFmtId="169" fontId="23" fillId="2" borderId="0" xfId="0" applyNumberFormat="1" applyFont="1" applyFill="1" applyProtection="1">
      <protection locked="0"/>
    </xf>
    <xf numFmtId="171" fontId="24" fillId="0" borderId="0" xfId="0" applyNumberFormat="1" applyFont="1" applyProtection="1">
      <protection locked="0"/>
    </xf>
    <xf numFmtId="169" fontId="24" fillId="0" borderId="0" xfId="0" applyNumberFormat="1" applyFont="1" applyProtection="1">
      <protection locked="0"/>
    </xf>
    <xf numFmtId="0" fontId="24" fillId="0" borderId="0" xfId="0" applyFont="1" applyProtection="1">
      <protection locked="0"/>
    </xf>
    <xf numFmtId="179" fontId="0" fillId="2" borderId="13" xfId="0" applyNumberFormat="1" applyFill="1" applyBorder="1" applyAlignment="1" applyProtection="1">
      <alignment horizontal="center"/>
      <protection locked="0"/>
    </xf>
    <xf numFmtId="168" fontId="24" fillId="0" borderId="0" xfId="0" applyNumberFormat="1" applyFont="1" applyProtection="1">
      <protection locked="0"/>
    </xf>
    <xf numFmtId="171" fontId="23" fillId="2" borderId="0" xfId="0" applyNumberFormat="1" applyFont="1" applyFill="1" applyProtection="1">
      <protection locked="0"/>
    </xf>
    <xf numFmtId="171" fontId="0" fillId="0" borderId="0" xfId="0" applyNumberFormat="1" applyAlignment="1" applyProtection="1">
      <alignment horizontal="right"/>
      <protection locked="0"/>
    </xf>
    <xf numFmtId="0" fontId="6" fillId="4" borderId="23" xfId="0" applyFont="1" applyFill="1" applyBorder="1" applyAlignment="1" applyProtection="1">
      <alignment horizontal="center"/>
      <protection locked="0"/>
    </xf>
    <xf numFmtId="169" fontId="24" fillId="0" borderId="0" xfId="0" applyNumberFormat="1" applyFont="1"/>
    <xf numFmtId="0" fontId="0" fillId="0" borderId="4" xfId="0" applyBorder="1" applyProtection="1">
      <protection locked="0"/>
    </xf>
    <xf numFmtId="0" fontId="0" fillId="0" borderId="5" xfId="0" applyBorder="1" applyProtection="1">
      <protection locked="0"/>
    </xf>
    <xf numFmtId="0" fontId="23" fillId="0" borderId="0" xfId="0" applyFont="1" applyProtection="1">
      <protection locked="0"/>
    </xf>
    <xf numFmtId="167" fontId="0" fillId="4" borderId="13" xfId="0" applyNumberFormat="1" applyFill="1" applyBorder="1" applyAlignment="1" applyProtection="1">
      <alignment horizontal="center"/>
      <protection locked="0"/>
    </xf>
    <xf numFmtId="0" fontId="0" fillId="4" borderId="4" xfId="0" applyFill="1" applyBorder="1" applyAlignment="1" applyProtection="1">
      <alignment horizontal="center"/>
      <protection locked="0"/>
    </xf>
    <xf numFmtId="167" fontId="0" fillId="4" borderId="0" xfId="0" applyNumberFormat="1" applyFill="1" applyAlignment="1" applyProtection="1">
      <alignment horizontal="center"/>
      <protection locked="0"/>
    </xf>
    <xf numFmtId="0" fontId="0" fillId="4" borderId="0" xfId="0" applyFill="1" applyAlignment="1" applyProtection="1">
      <alignment horizontal="center"/>
      <protection locked="0"/>
    </xf>
    <xf numFmtId="0" fontId="13" fillId="0" borderId="5" xfId="0" applyFont="1" applyBorder="1" applyProtection="1">
      <protection locked="0"/>
    </xf>
    <xf numFmtId="167" fontId="0" fillId="2" borderId="13" xfId="0" applyNumberFormat="1" applyFill="1" applyBorder="1" applyAlignment="1" applyProtection="1">
      <alignment horizontal="center"/>
      <protection locked="0"/>
    </xf>
    <xf numFmtId="169" fontId="23" fillId="0" borderId="0" xfId="0" applyNumberFormat="1" applyFont="1" applyProtection="1">
      <protection locked="0"/>
    </xf>
    <xf numFmtId="2" fontId="0" fillId="0" borderId="13" xfId="0" applyNumberFormat="1" applyBorder="1" applyAlignment="1" applyProtection="1">
      <alignment horizontal="center"/>
      <protection locked="0"/>
    </xf>
    <xf numFmtId="180" fontId="0" fillId="2" borderId="13" xfId="0" applyNumberFormat="1" applyFill="1" applyBorder="1" applyAlignment="1" applyProtection="1">
      <alignment horizontal="center"/>
      <protection locked="0"/>
    </xf>
    <xf numFmtId="0" fontId="0" fillId="4" borderId="6" xfId="0" applyFill="1" applyBorder="1" applyAlignment="1" applyProtection="1">
      <alignment horizontal="center"/>
      <protection locked="0"/>
    </xf>
    <xf numFmtId="167" fontId="0" fillId="4" borderId="11" xfId="0" applyNumberFormat="1" applyFill="1" applyBorder="1" applyAlignment="1" applyProtection="1">
      <alignment horizontal="center"/>
      <protection locked="0"/>
    </xf>
    <xf numFmtId="0" fontId="0" fillId="4" borderId="11" xfId="0" applyFill="1" applyBorder="1" applyAlignment="1" applyProtection="1">
      <alignment horizontal="center"/>
      <protection locked="0"/>
    </xf>
    <xf numFmtId="0" fontId="13" fillId="0" borderId="7" xfId="0" applyFont="1" applyBorder="1" applyProtection="1">
      <protection locked="0"/>
    </xf>
    <xf numFmtId="171" fontId="0" fillId="0" borderId="0" xfId="0" applyNumberFormat="1" applyAlignment="1" applyProtection="1">
      <alignment horizontal="center"/>
      <protection locked="0"/>
    </xf>
    <xf numFmtId="182" fontId="6" fillId="2" borderId="1" xfId="1" applyNumberFormat="1" applyFont="1" applyFill="1" applyBorder="1" applyAlignment="1" applyProtection="1">
      <alignment horizontal="center" vertical="center"/>
      <protection locked="0"/>
    </xf>
    <xf numFmtId="0" fontId="6" fillId="0" borderId="23" xfId="0" applyFont="1" applyBorder="1" applyProtection="1">
      <protection locked="0"/>
    </xf>
    <xf numFmtId="2" fontId="0" fillId="2" borderId="1" xfId="0" applyNumberFormat="1" applyFill="1" applyBorder="1" applyAlignment="1" applyProtection="1">
      <alignment horizontal="center"/>
      <protection locked="0"/>
    </xf>
    <xf numFmtId="0" fontId="0" fillId="0" borderId="1" xfId="0" applyBorder="1" applyProtection="1">
      <protection locked="0"/>
    </xf>
    <xf numFmtId="2" fontId="0" fillId="0" borderId="1" xfId="0" applyNumberFormat="1" applyBorder="1" applyAlignment="1" applyProtection="1">
      <alignment horizontal="center"/>
      <protection locked="0"/>
    </xf>
    <xf numFmtId="167" fontId="0" fillId="0" borderId="3" xfId="0" applyNumberFormat="1" applyBorder="1" applyAlignment="1" applyProtection="1">
      <alignment horizontal="center" vertical="center"/>
      <protection locked="0"/>
    </xf>
    <xf numFmtId="0" fontId="0" fillId="0" borderId="23" xfId="0" applyBorder="1" applyProtection="1">
      <protection locked="0"/>
    </xf>
    <xf numFmtId="183" fontId="0" fillId="0" borderId="0" xfId="0" applyNumberFormat="1" applyAlignment="1" applyProtection="1">
      <alignment horizontal="center"/>
      <protection locked="0"/>
    </xf>
    <xf numFmtId="2" fontId="9" fillId="0" borderId="0" xfId="0" applyNumberFormat="1" applyFont="1" applyAlignment="1" applyProtection="1">
      <alignment horizontal="center"/>
      <protection locked="0"/>
    </xf>
    <xf numFmtId="180" fontId="9" fillId="0" borderId="0" xfId="0" applyNumberFormat="1" applyFont="1" applyAlignment="1" applyProtection="1">
      <alignment horizontal="center"/>
      <protection locked="0"/>
    </xf>
    <xf numFmtId="0" fontId="9" fillId="0" borderId="26" xfId="0" applyFont="1" applyBorder="1" applyAlignment="1" applyProtection="1">
      <alignment horizontal="center" vertical="center" wrapText="1"/>
      <protection locked="0"/>
    </xf>
    <xf numFmtId="0" fontId="9" fillId="0" borderId="27" xfId="0" applyFont="1" applyBorder="1" applyAlignment="1" applyProtection="1">
      <alignment horizontal="center" vertical="center" wrapText="1"/>
      <protection locked="0"/>
    </xf>
    <xf numFmtId="0" fontId="9" fillId="0" borderId="28" xfId="0" applyFont="1" applyBorder="1" applyAlignment="1" applyProtection="1">
      <alignment horizontal="center" vertical="center" wrapText="1"/>
      <protection locked="0"/>
    </xf>
    <xf numFmtId="0" fontId="0" fillId="0" borderId="29" xfId="0" applyBorder="1" applyAlignment="1" applyProtection="1">
      <alignment vertical="center" wrapText="1"/>
      <protection locked="0"/>
    </xf>
    <xf numFmtId="0" fontId="0" fillId="0" borderId="30" xfId="0" applyBorder="1" applyAlignment="1" applyProtection="1">
      <alignment horizontal="center" vertical="center" wrapText="1"/>
      <protection locked="0"/>
    </xf>
    <xf numFmtId="168" fontId="0" fillId="0" borderId="30" xfId="0" applyNumberFormat="1" applyBorder="1" applyAlignment="1" applyProtection="1">
      <alignment horizontal="center"/>
      <protection locked="0"/>
    </xf>
    <xf numFmtId="168" fontId="0" fillId="0" borderId="31" xfId="0" applyNumberFormat="1" applyBorder="1" applyAlignment="1" applyProtection="1">
      <alignment horizontal="center" vertical="center" wrapText="1"/>
      <protection locked="0"/>
    </xf>
    <xf numFmtId="0" fontId="0" fillId="0" borderId="32" xfId="0" applyBorder="1" applyAlignment="1" applyProtection="1">
      <alignment vertical="center" wrapText="1"/>
      <protection locked="0"/>
    </xf>
    <xf numFmtId="168" fontId="0" fillId="0" borderId="13" xfId="0" applyNumberFormat="1" applyBorder="1" applyAlignment="1" applyProtection="1">
      <alignment horizontal="center" vertical="center" wrapText="1"/>
      <protection locked="0"/>
    </xf>
    <xf numFmtId="168" fontId="0" fillId="0" borderId="33" xfId="0" applyNumberFormat="1" applyBorder="1" applyAlignment="1" applyProtection="1">
      <alignment horizontal="center" vertical="center" wrapText="1"/>
      <protection locked="0"/>
    </xf>
    <xf numFmtId="168" fontId="0" fillId="0" borderId="13" xfId="0" applyNumberFormat="1" applyBorder="1" applyAlignment="1" applyProtection="1">
      <alignment horizontal="center"/>
      <protection locked="0"/>
    </xf>
    <xf numFmtId="168" fontId="0" fillId="0" borderId="13" xfId="0" applyNumberFormat="1" applyBorder="1" applyAlignment="1" applyProtection="1">
      <alignment horizontal="center" vertical="center"/>
      <protection locked="0"/>
    </xf>
    <xf numFmtId="0" fontId="0" fillId="0" borderId="32" xfId="0" applyBorder="1" applyAlignment="1" applyProtection="1">
      <alignment horizontal="center"/>
      <protection locked="0"/>
    </xf>
    <xf numFmtId="0" fontId="0" fillId="0" borderId="33" xfId="0" applyBorder="1" applyAlignment="1" applyProtection="1">
      <alignment horizontal="center"/>
      <protection locked="0"/>
    </xf>
    <xf numFmtId="168" fontId="0" fillId="0" borderId="32" xfId="0" applyNumberFormat="1" applyBorder="1" applyAlignment="1" applyProtection="1">
      <alignment horizontal="center"/>
      <protection locked="0"/>
    </xf>
    <xf numFmtId="2" fontId="0" fillId="0" borderId="33" xfId="0" applyNumberFormat="1" applyBorder="1" applyAlignment="1" applyProtection="1">
      <alignment horizontal="center"/>
      <protection locked="0"/>
    </xf>
    <xf numFmtId="0" fontId="0" fillId="0" borderId="37" xfId="0" applyBorder="1" applyAlignment="1" applyProtection="1">
      <alignment vertical="center" wrapText="1"/>
      <protection locked="0"/>
    </xf>
    <xf numFmtId="0" fontId="0" fillId="0" borderId="38" xfId="0" applyBorder="1" applyAlignment="1" applyProtection="1">
      <alignment horizontal="center" vertical="center" wrapText="1"/>
      <protection locked="0"/>
    </xf>
    <xf numFmtId="168" fontId="0" fillId="0" borderId="38" xfId="0" applyNumberFormat="1" applyBorder="1" applyAlignment="1" applyProtection="1">
      <alignment horizontal="center" vertical="center" wrapText="1"/>
      <protection locked="0"/>
    </xf>
    <xf numFmtId="168" fontId="0" fillId="0" borderId="39" xfId="0" applyNumberFormat="1" applyBorder="1" applyAlignment="1" applyProtection="1">
      <alignment horizontal="center" vertical="center" wrapText="1"/>
      <protection locked="0"/>
    </xf>
    <xf numFmtId="0" fontId="0" fillId="0" borderId="32" xfId="0" applyBorder="1" applyAlignment="1" applyProtection="1">
      <alignment horizontal="center" vertical="center" wrapText="1"/>
      <protection locked="0"/>
    </xf>
    <xf numFmtId="0" fontId="0" fillId="0" borderId="33" xfId="0" applyBorder="1" applyAlignment="1" applyProtection="1">
      <alignment horizontal="center" vertical="center"/>
      <protection locked="0"/>
    </xf>
    <xf numFmtId="0" fontId="0" fillId="0" borderId="32" xfId="0" applyBorder="1" applyAlignment="1" applyProtection="1">
      <alignment horizontal="center" vertical="center"/>
      <protection locked="0"/>
    </xf>
    <xf numFmtId="0" fontId="0" fillId="0" borderId="24" xfId="0" applyBorder="1" applyAlignment="1" applyProtection="1">
      <alignment horizontal="center" vertical="center"/>
      <protection locked="0"/>
    </xf>
    <xf numFmtId="0" fontId="0" fillId="2" borderId="24" xfId="0" applyFill="1" applyBorder="1" applyAlignment="1" applyProtection="1">
      <alignment horizontal="center" vertical="center"/>
      <protection locked="0"/>
    </xf>
    <xf numFmtId="0" fontId="0" fillId="2" borderId="32" xfId="0" applyFill="1" applyBorder="1" applyAlignment="1" applyProtection="1">
      <alignment horizontal="center"/>
      <protection locked="0"/>
    </xf>
    <xf numFmtId="0" fontId="0" fillId="2" borderId="33" xfId="0" applyFill="1" applyBorder="1" applyAlignment="1" applyProtection="1">
      <alignment horizontal="center"/>
      <protection locked="0"/>
    </xf>
    <xf numFmtId="0" fontId="0" fillId="2" borderId="24" xfId="0" applyFill="1" applyBorder="1" applyAlignment="1" applyProtection="1">
      <alignment horizontal="center"/>
      <protection locked="0"/>
    </xf>
    <xf numFmtId="168" fontId="0" fillId="0" borderId="37" xfId="0" applyNumberFormat="1" applyBorder="1" applyAlignment="1" applyProtection="1">
      <alignment horizontal="center"/>
      <protection locked="0"/>
    </xf>
    <xf numFmtId="168" fontId="0" fillId="0" borderId="38" xfId="0" applyNumberFormat="1" applyBorder="1" applyAlignment="1" applyProtection="1">
      <alignment horizontal="center"/>
      <protection locked="0"/>
    </xf>
    <xf numFmtId="2" fontId="0" fillId="0" borderId="38" xfId="0" applyNumberFormat="1" applyBorder="1" applyAlignment="1" applyProtection="1">
      <alignment horizontal="center"/>
      <protection locked="0"/>
    </xf>
    <xf numFmtId="2" fontId="0" fillId="0" borderId="39" xfId="0" applyNumberFormat="1" applyBorder="1" applyAlignment="1" applyProtection="1">
      <alignment horizontal="center"/>
      <protection locked="0"/>
    </xf>
    <xf numFmtId="168" fontId="0" fillId="4" borderId="13" xfId="0" applyNumberFormat="1" applyFill="1" applyBorder="1" applyAlignment="1" applyProtection="1">
      <alignment horizontal="center" vertical="center"/>
      <protection locked="0"/>
    </xf>
    <xf numFmtId="0" fontId="0" fillId="0" borderId="0" xfId="0" applyAlignment="1" applyProtection="1">
      <alignment vertical="center"/>
      <protection locked="0"/>
    </xf>
    <xf numFmtId="0" fontId="0" fillId="0" borderId="40" xfId="0" applyBorder="1" applyAlignment="1" applyProtection="1">
      <alignment horizontal="center" vertical="center"/>
      <protection locked="0"/>
    </xf>
    <xf numFmtId="0" fontId="0" fillId="0" borderId="37" xfId="0" applyBorder="1" applyAlignment="1" applyProtection="1">
      <alignment horizontal="center"/>
      <protection locked="0"/>
    </xf>
    <xf numFmtId="0" fontId="0" fillId="0" borderId="39" xfId="0" applyBorder="1" applyAlignment="1" applyProtection="1">
      <alignment horizontal="center"/>
      <protection locked="0"/>
    </xf>
    <xf numFmtId="184" fontId="0" fillId="4" borderId="13" xfId="0" applyNumberFormat="1" applyFill="1" applyBorder="1" applyAlignment="1" applyProtection="1">
      <alignment horizontal="center"/>
      <protection locked="0"/>
    </xf>
    <xf numFmtId="2" fontId="0" fillId="0" borderId="15" xfId="0" applyNumberFormat="1" applyBorder="1" applyAlignment="1" applyProtection="1">
      <alignment horizontal="center"/>
      <protection locked="0"/>
    </xf>
    <xf numFmtId="2" fontId="0" fillId="0" borderId="16" xfId="0" applyNumberFormat="1" applyBorder="1" applyAlignment="1" applyProtection="1">
      <alignment horizontal="center"/>
      <protection locked="0"/>
    </xf>
    <xf numFmtId="168" fontId="0" fillId="4" borderId="13" xfId="0" applyNumberFormat="1" applyFill="1" applyBorder="1" applyAlignment="1" applyProtection="1">
      <alignment horizontal="center"/>
      <protection locked="0"/>
    </xf>
    <xf numFmtId="168" fontId="0" fillId="0" borderId="0" xfId="0" applyNumberFormat="1" applyAlignment="1" applyProtection="1">
      <alignment horizontal="center"/>
      <protection locked="0"/>
    </xf>
    <xf numFmtId="183" fontId="0" fillId="4" borderId="13" xfId="0" applyNumberFormat="1" applyFill="1" applyBorder="1" applyAlignment="1" applyProtection="1">
      <alignment horizontal="center"/>
      <protection locked="0"/>
    </xf>
    <xf numFmtId="0" fontId="0" fillId="0" borderId="0" xfId="0" applyAlignment="1" applyProtection="1">
      <alignment horizontal="left"/>
      <protection locked="0"/>
    </xf>
    <xf numFmtId="185" fontId="0" fillId="4" borderId="13" xfId="0" applyNumberFormat="1" applyFill="1" applyBorder="1" applyAlignment="1" applyProtection="1">
      <alignment horizontal="center"/>
      <protection locked="0"/>
    </xf>
    <xf numFmtId="2" fontId="0" fillId="4" borderId="13" xfId="0" applyNumberFormat="1" applyFill="1" applyBorder="1" applyAlignment="1" applyProtection="1">
      <alignment horizontal="center" vertical="center"/>
      <protection locked="0"/>
    </xf>
    <xf numFmtId="1" fontId="0" fillId="0" borderId="14" xfId="0" applyNumberFormat="1" applyBorder="1" applyAlignment="1" applyProtection="1">
      <alignment horizontal="center"/>
      <protection locked="0"/>
    </xf>
    <xf numFmtId="185" fontId="0" fillId="0" borderId="14" xfId="0" applyNumberFormat="1" applyBorder="1" applyAlignment="1" applyProtection="1">
      <alignment horizontal="center"/>
      <protection locked="0"/>
    </xf>
    <xf numFmtId="0" fontId="9" fillId="0" borderId="13" xfId="0" applyFont="1" applyBorder="1" applyAlignment="1" applyProtection="1">
      <alignment horizontal="center"/>
      <protection locked="0"/>
    </xf>
    <xf numFmtId="176" fontId="0" fillId="0" borderId="0" xfId="0" applyNumberFormat="1" applyAlignment="1" applyProtection="1">
      <alignment horizontal="center"/>
      <protection locked="0"/>
    </xf>
    <xf numFmtId="171" fontId="9" fillId="0" borderId="13" xfId="0" applyNumberFormat="1" applyFont="1" applyBorder="1" applyAlignment="1" applyProtection="1">
      <alignment horizontal="center"/>
      <protection locked="0"/>
    </xf>
    <xf numFmtId="1" fontId="0" fillId="0" borderId="8" xfId="0" applyNumberFormat="1" applyBorder="1" applyAlignment="1" applyProtection="1">
      <alignment horizontal="center"/>
      <protection locked="0"/>
    </xf>
    <xf numFmtId="171" fontId="0" fillId="0" borderId="8" xfId="0" applyNumberFormat="1" applyBorder="1" applyAlignment="1" applyProtection="1">
      <alignment horizontal="center"/>
      <protection locked="0"/>
    </xf>
    <xf numFmtId="1" fontId="0" fillId="0" borderId="41" xfId="0" applyNumberFormat="1" applyBorder="1" applyAlignment="1" applyProtection="1">
      <alignment horizontal="center"/>
      <protection locked="0"/>
    </xf>
    <xf numFmtId="171" fontId="0" fillId="0" borderId="41" xfId="0" applyNumberFormat="1" applyBorder="1" applyAlignment="1" applyProtection="1">
      <alignment horizontal="center"/>
      <protection locked="0"/>
    </xf>
    <xf numFmtId="1" fontId="0" fillId="0" borderId="10" xfId="0" applyNumberFormat="1" applyBorder="1" applyAlignment="1" applyProtection="1">
      <alignment horizontal="center"/>
      <protection locked="0"/>
    </xf>
    <xf numFmtId="171" fontId="0" fillId="0" borderId="10" xfId="0" applyNumberFormat="1" applyBorder="1" applyAlignment="1" applyProtection="1">
      <alignment horizontal="center"/>
      <protection locked="0"/>
    </xf>
    <xf numFmtId="1" fontId="0" fillId="0" borderId="16" xfId="0" applyNumberFormat="1" applyBorder="1" applyAlignment="1" applyProtection="1">
      <alignment horizontal="center"/>
      <protection locked="0"/>
    </xf>
    <xf numFmtId="0" fontId="13" fillId="0" borderId="16" xfId="0" applyFont="1" applyBorder="1" applyProtection="1">
      <protection locked="0"/>
    </xf>
    <xf numFmtId="171" fontId="0" fillId="0" borderId="16" xfId="0" applyNumberFormat="1" applyBorder="1" applyAlignment="1" applyProtection="1">
      <alignment horizontal="center"/>
      <protection locked="0"/>
    </xf>
    <xf numFmtId="0" fontId="0" fillId="0" borderId="4" xfId="0" applyBorder="1" applyAlignment="1" applyProtection="1">
      <alignment horizontal="right"/>
      <protection locked="0"/>
    </xf>
    <xf numFmtId="0" fontId="13" fillId="0" borderId="0" xfId="0" applyFont="1" applyAlignment="1" applyProtection="1">
      <alignment horizontal="center" vertical="top" wrapText="1"/>
      <protection locked="0"/>
    </xf>
    <xf numFmtId="0" fontId="13" fillId="0" borderId="0" xfId="0" applyFont="1" applyAlignment="1" applyProtection="1">
      <alignment vertical="top" wrapText="1"/>
      <protection locked="0"/>
    </xf>
    <xf numFmtId="1" fontId="0" fillId="0" borderId="4" xfId="0" applyNumberFormat="1" applyBorder="1" applyAlignment="1" applyProtection="1">
      <alignment horizontal="right"/>
      <protection locked="0"/>
    </xf>
    <xf numFmtId="0" fontId="0" fillId="0" borderId="25" xfId="0" applyBorder="1" applyAlignment="1" applyProtection="1">
      <alignment horizontal="center"/>
      <protection locked="0"/>
    </xf>
    <xf numFmtId="0" fontId="0" fillId="0" borderId="42" xfId="0" applyBorder="1" applyAlignment="1" applyProtection="1">
      <alignment horizontal="center"/>
      <protection locked="0"/>
    </xf>
    <xf numFmtId="171" fontId="0" fillId="0" borderId="42" xfId="0" applyNumberFormat="1" applyBorder="1" applyAlignment="1" applyProtection="1">
      <alignment horizontal="center"/>
      <protection locked="0"/>
    </xf>
    <xf numFmtId="171" fontId="0" fillId="0" borderId="0" xfId="0" applyNumberFormat="1" applyAlignment="1" applyProtection="1">
      <alignment vertical="top" wrapText="1"/>
      <protection locked="0"/>
    </xf>
    <xf numFmtId="1" fontId="0" fillId="0" borderId="0" xfId="0" applyNumberFormat="1" applyAlignment="1" applyProtection="1">
      <alignment horizontal="right"/>
      <protection locked="0"/>
    </xf>
    <xf numFmtId="171" fontId="0" fillId="0" borderId="14" xfId="0" applyNumberFormat="1" applyBorder="1" applyAlignment="1" applyProtection="1">
      <alignment horizontal="center"/>
      <protection locked="0"/>
    </xf>
    <xf numFmtId="1" fontId="13" fillId="0" borderId="0" xfId="0" applyNumberFormat="1" applyFont="1" applyAlignment="1" applyProtection="1">
      <alignment horizontal="center"/>
      <protection locked="0"/>
    </xf>
    <xf numFmtId="0" fontId="26" fillId="0" borderId="0" xfId="0" applyFont="1" applyProtection="1">
      <protection locked="0"/>
    </xf>
    <xf numFmtId="0" fontId="9" fillId="0" borderId="16" xfId="0" applyFont="1" applyBorder="1" applyProtection="1">
      <protection locked="0"/>
    </xf>
    <xf numFmtId="171" fontId="0" fillId="0" borderId="0" xfId="0" applyNumberFormat="1" applyAlignment="1" applyProtection="1">
      <alignment horizontal="left"/>
      <protection locked="0"/>
    </xf>
    <xf numFmtId="0" fontId="0" fillId="0" borderId="13" xfId="0" applyBorder="1" applyProtection="1">
      <protection locked="0"/>
    </xf>
    <xf numFmtId="186" fontId="0" fillId="4" borderId="13" xfId="0" applyNumberFormat="1" applyFill="1" applyBorder="1" applyAlignment="1" applyProtection="1">
      <alignment horizontal="center"/>
      <protection locked="0"/>
    </xf>
    <xf numFmtId="173" fontId="0" fillId="0" borderId="13" xfId="0" applyNumberFormat="1" applyBorder="1" applyAlignment="1" applyProtection="1">
      <alignment horizontal="center"/>
      <protection locked="0"/>
    </xf>
    <xf numFmtId="184" fontId="0" fillId="0" borderId="0" xfId="0" applyNumberFormat="1" applyAlignment="1" applyProtection="1">
      <alignment horizontal="center"/>
      <protection locked="0"/>
    </xf>
    <xf numFmtId="186" fontId="0" fillId="0" borderId="0" xfId="0" applyNumberFormat="1" applyAlignment="1" applyProtection="1">
      <alignment horizontal="center"/>
      <protection locked="0"/>
    </xf>
    <xf numFmtId="0" fontId="6" fillId="0" borderId="0" xfId="0" applyFont="1" applyAlignment="1" applyProtection="1">
      <alignment horizontal="right"/>
      <protection locked="0"/>
    </xf>
    <xf numFmtId="171" fontId="27" fillId="4" borderId="13" xfId="0" applyNumberFormat="1" applyFont="1" applyFill="1" applyBorder="1" applyAlignment="1" applyProtection="1">
      <alignment horizontal="center"/>
      <protection locked="0"/>
    </xf>
    <xf numFmtId="0" fontId="14" fillId="0" borderId="0" xfId="0" applyFont="1" applyAlignment="1" applyProtection="1">
      <alignment horizontal="center" vertical="center"/>
      <protection locked="0"/>
    </xf>
    <xf numFmtId="165" fontId="6" fillId="0" borderId="0" xfId="0" applyNumberFormat="1" applyFont="1" applyAlignment="1" applyProtection="1">
      <alignment horizontal="center" vertical="center"/>
      <protection locked="0"/>
    </xf>
    <xf numFmtId="0" fontId="6" fillId="0" borderId="0" xfId="0" applyFont="1" applyAlignment="1" applyProtection="1">
      <alignment horizontal="center" vertical="center" wrapText="1"/>
      <protection locked="0"/>
    </xf>
    <xf numFmtId="171" fontId="6" fillId="4" borderId="13" xfId="0" applyNumberFormat="1" applyFont="1" applyFill="1" applyBorder="1" applyAlignment="1" applyProtection="1">
      <alignment horizontal="center"/>
      <protection locked="0"/>
    </xf>
    <xf numFmtId="0" fontId="28" fillId="0" borderId="0" xfId="0" applyFont="1"/>
    <xf numFmtId="0" fontId="29" fillId="0" borderId="0" xfId="0" applyFont="1" applyAlignment="1" applyProtection="1">
      <alignment horizontal="right"/>
      <protection locked="0"/>
    </xf>
    <xf numFmtId="169" fontId="0" fillId="4" borderId="43" xfId="0" applyNumberFormat="1" applyFill="1" applyBorder="1" applyAlignment="1" applyProtection="1">
      <alignment horizontal="center"/>
      <protection locked="0"/>
    </xf>
    <xf numFmtId="169" fontId="0" fillId="0" borderId="0" xfId="0" applyNumberFormat="1" applyAlignment="1" applyProtection="1">
      <alignment horizontal="center"/>
      <protection locked="0"/>
    </xf>
    <xf numFmtId="0" fontId="30" fillId="0" borderId="0" xfId="0" applyFont="1" applyAlignment="1" applyProtection="1">
      <alignment horizontal="right"/>
      <protection locked="0"/>
    </xf>
    <xf numFmtId="165" fontId="6" fillId="4" borderId="13" xfId="0" applyNumberFormat="1" applyFont="1" applyFill="1" applyBorder="1" applyAlignment="1" applyProtection="1">
      <alignment horizontal="center" vertical="center"/>
      <protection locked="0"/>
    </xf>
    <xf numFmtId="0" fontId="6" fillId="0" borderId="0" xfId="0" applyFont="1" applyAlignment="1" applyProtection="1">
      <alignment horizontal="right" vertical="center"/>
      <protection locked="0"/>
    </xf>
    <xf numFmtId="0" fontId="10" fillId="0" borderId="0" xfId="0" applyFont="1" applyAlignment="1" applyProtection="1">
      <alignment wrapText="1"/>
      <protection locked="0"/>
    </xf>
    <xf numFmtId="171" fontId="6" fillId="0" borderId="3" xfId="0" applyNumberFormat="1" applyFont="1" applyBorder="1" applyAlignment="1" applyProtection="1">
      <alignment horizontal="center" vertical="center"/>
      <protection locked="0"/>
    </xf>
    <xf numFmtId="0" fontId="6" fillId="0" borderId="0" xfId="0" applyFont="1" applyProtection="1">
      <protection locked="0"/>
    </xf>
    <xf numFmtId="171" fontId="6" fillId="0" borderId="1" xfId="0" applyNumberFormat="1" applyFont="1" applyBorder="1" applyAlignment="1" applyProtection="1">
      <alignment horizontal="center" vertical="center"/>
      <protection locked="0"/>
    </xf>
    <xf numFmtId="0" fontId="14" fillId="0" borderId="0" xfId="0" applyFont="1" applyProtection="1">
      <protection locked="0"/>
    </xf>
    <xf numFmtId="0" fontId="32" fillId="0" borderId="0" xfId="0" applyFont="1" applyProtection="1">
      <protection locked="0"/>
    </xf>
    <xf numFmtId="2" fontId="0" fillId="4" borderId="30" xfId="0" applyNumberFormat="1" applyFill="1" applyBorder="1" applyAlignment="1" applyProtection="1">
      <alignment horizontal="center" vertical="center"/>
      <protection locked="0"/>
    </xf>
    <xf numFmtId="0" fontId="0" fillId="0" borderId="43" xfId="0" applyBorder="1" applyAlignment="1">
      <alignment horizontal="center"/>
    </xf>
    <xf numFmtId="0" fontId="0" fillId="0" borderId="24" xfId="0" applyBorder="1" applyAlignment="1">
      <alignment horizontal="center"/>
    </xf>
    <xf numFmtId="0" fontId="0" fillId="0" borderId="30" xfId="0" applyBorder="1" applyAlignment="1">
      <alignment horizontal="center"/>
    </xf>
    <xf numFmtId="1" fontId="0" fillId="0" borderId="0" xfId="0" applyNumberFormat="1" applyAlignment="1" applyProtection="1">
      <alignment horizontal="center" vertical="center"/>
      <protection locked="0"/>
    </xf>
    <xf numFmtId="167" fontId="0" fillId="0" borderId="0" xfId="0" applyNumberFormat="1" applyAlignment="1" applyProtection="1">
      <alignment horizontal="center" vertical="center"/>
      <protection locked="0"/>
    </xf>
    <xf numFmtId="188" fontId="0" fillId="0" borderId="0" xfId="0" applyNumberFormat="1" applyAlignment="1" applyProtection="1">
      <alignment horizontal="left"/>
      <protection locked="0"/>
    </xf>
    <xf numFmtId="188" fontId="0" fillId="4" borderId="13" xfId="0" applyNumberFormat="1" applyFill="1" applyBorder="1" applyAlignment="1" applyProtection="1">
      <alignment horizontal="center"/>
      <protection locked="0"/>
    </xf>
    <xf numFmtId="0" fontId="9" fillId="3" borderId="0" xfId="0" applyFont="1" applyFill="1" applyProtection="1">
      <protection locked="0"/>
    </xf>
    <xf numFmtId="0" fontId="0" fillId="3" borderId="13" xfId="0" applyFill="1" applyBorder="1" applyAlignment="1" applyProtection="1">
      <alignment horizontal="center"/>
      <protection locked="0"/>
    </xf>
    <xf numFmtId="0" fontId="9" fillId="0" borderId="14" xfId="0" applyFont="1" applyBorder="1" applyAlignment="1" applyProtection="1">
      <alignment horizontal="center" vertical="center" wrapText="1"/>
      <protection locked="0"/>
    </xf>
    <xf numFmtId="0" fontId="0" fillId="4" borderId="13" xfId="0" applyFill="1" applyBorder="1" applyAlignment="1">
      <alignment horizontal="center"/>
    </xf>
    <xf numFmtId="0" fontId="0" fillId="0" borderId="0" xfId="0" applyAlignment="1" applyProtection="1">
      <alignment horizontal="center" vertical="center" wrapText="1"/>
      <protection locked="0"/>
    </xf>
    <xf numFmtId="0" fontId="33" fillId="0" borderId="0" xfId="0" applyFont="1" applyAlignment="1" applyProtection="1">
      <alignment horizontal="right" vertical="center"/>
      <protection locked="0"/>
    </xf>
    <xf numFmtId="0" fontId="33" fillId="0" borderId="0" xfId="0" applyFont="1" applyAlignment="1" applyProtection="1">
      <alignment horizontal="right"/>
      <protection locked="0"/>
    </xf>
    <xf numFmtId="2" fontId="0" fillId="6" borderId="13" xfId="0" applyNumberFormat="1" applyFill="1" applyBorder="1" applyAlignment="1" applyProtection="1">
      <alignment horizontal="center"/>
      <protection locked="0"/>
    </xf>
    <xf numFmtId="1" fontId="0" fillId="3" borderId="13" xfId="0" applyNumberFormat="1" applyFill="1" applyBorder="1" applyAlignment="1" applyProtection="1">
      <alignment horizontal="center"/>
      <protection locked="0"/>
    </xf>
    <xf numFmtId="0" fontId="33" fillId="0" borderId="0" xfId="0" applyFont="1" applyProtection="1">
      <protection locked="0"/>
    </xf>
    <xf numFmtId="1" fontId="0" fillId="0" borderId="13" xfId="0" applyNumberFormat="1" applyBorder="1" applyAlignment="1" applyProtection="1">
      <alignment horizontal="center"/>
      <protection locked="0"/>
    </xf>
    <xf numFmtId="0" fontId="0" fillId="0" borderId="0" xfId="0" applyAlignment="1">
      <alignment horizontal="center" vertical="center" wrapText="1"/>
    </xf>
    <xf numFmtId="0" fontId="0" fillId="3" borderId="0" xfId="0" applyFill="1" applyAlignment="1" applyProtection="1">
      <alignment horizontal="center" vertical="center"/>
      <protection locked="0"/>
    </xf>
    <xf numFmtId="0" fontId="0" fillId="0" borderId="14" xfId="0" applyBorder="1" applyAlignment="1" applyProtection="1">
      <alignment horizontal="center" vertical="center" wrapText="1"/>
      <protection locked="0"/>
    </xf>
    <xf numFmtId="168" fontId="0" fillId="0" borderId="16" xfId="0" applyNumberFormat="1" applyBorder="1" applyAlignment="1" applyProtection="1">
      <alignment horizontal="center"/>
      <protection locked="0"/>
    </xf>
    <xf numFmtId="168" fontId="0" fillId="0" borderId="0" xfId="0" applyNumberFormat="1" applyProtection="1">
      <protection locked="0"/>
    </xf>
    <xf numFmtId="1" fontId="9" fillId="4" borderId="1" xfId="0" applyNumberFormat="1" applyFont="1" applyFill="1" applyBorder="1" applyAlignment="1" applyProtection="1">
      <alignment horizontal="center"/>
      <protection locked="0"/>
    </xf>
    <xf numFmtId="0" fontId="0" fillId="0" borderId="0" xfId="0" applyAlignment="1">
      <alignment vertical="center"/>
    </xf>
    <xf numFmtId="0" fontId="36" fillId="0" borderId="0" xfId="0" applyFont="1" applyAlignment="1">
      <alignment horizontal="center"/>
    </xf>
    <xf numFmtId="0" fontId="0" fillId="0" borderId="0" xfId="0" applyAlignment="1">
      <alignment horizontal="right" vertical="center"/>
    </xf>
    <xf numFmtId="0" fontId="9" fillId="2" borderId="13" xfId="0" applyFont="1" applyFill="1" applyBorder="1" applyAlignment="1">
      <alignment horizontal="center" vertical="center"/>
    </xf>
    <xf numFmtId="0" fontId="13" fillId="0" borderId="0" xfId="0" applyFont="1" applyAlignment="1">
      <alignment horizontal="left"/>
    </xf>
    <xf numFmtId="189" fontId="12" fillId="4" borderId="13" xfId="0" applyNumberFormat="1" applyFont="1" applyFill="1" applyBorder="1" applyAlignment="1">
      <alignment horizontal="center" vertical="center"/>
    </xf>
    <xf numFmtId="0" fontId="37" fillId="0" borderId="0" xfId="0" applyFont="1" applyAlignment="1">
      <alignment horizontal="right" vertical="center"/>
    </xf>
    <xf numFmtId="2" fontId="12" fillId="4" borderId="13" xfId="0" applyNumberFormat="1" applyFont="1" applyFill="1" applyBorder="1" applyAlignment="1">
      <alignment horizontal="center" vertical="center"/>
    </xf>
    <xf numFmtId="0" fontId="12" fillId="4" borderId="13" xfId="0" applyFont="1" applyFill="1" applyBorder="1" applyAlignment="1">
      <alignment horizontal="center" vertical="center"/>
    </xf>
    <xf numFmtId="190" fontId="9" fillId="2" borderId="13" xfId="0" applyNumberFormat="1" applyFont="1" applyFill="1" applyBorder="1" applyAlignment="1">
      <alignment horizontal="center" vertical="center"/>
    </xf>
    <xf numFmtId="187" fontId="12" fillId="4" borderId="13" xfId="0" applyNumberFormat="1" applyFont="1" applyFill="1" applyBorder="1" applyAlignment="1">
      <alignment horizontal="center" vertical="center"/>
    </xf>
    <xf numFmtId="169" fontId="12" fillId="4" borderId="13" xfId="0" applyNumberFormat="1" applyFont="1" applyFill="1" applyBorder="1" applyAlignment="1">
      <alignment horizontal="center" vertical="center"/>
    </xf>
    <xf numFmtId="191" fontId="12" fillId="4" borderId="13" xfId="0" applyNumberFormat="1" applyFont="1" applyFill="1" applyBorder="1" applyAlignment="1">
      <alignment horizontal="center" vertical="center"/>
    </xf>
    <xf numFmtId="169" fontId="9" fillId="2" borderId="13" xfId="0" applyNumberFormat="1" applyFont="1" applyFill="1" applyBorder="1" applyAlignment="1">
      <alignment horizontal="center" vertical="center"/>
    </xf>
    <xf numFmtId="172" fontId="12" fillId="4" borderId="13" xfId="0" applyNumberFormat="1" applyFont="1" applyFill="1" applyBorder="1" applyAlignment="1">
      <alignment horizontal="center" vertical="center"/>
    </xf>
    <xf numFmtId="192" fontId="12" fillId="4" borderId="13" xfId="0" applyNumberFormat="1" applyFont="1" applyFill="1" applyBorder="1" applyAlignment="1">
      <alignment horizontal="center" vertical="center"/>
    </xf>
    <xf numFmtId="193" fontId="0" fillId="4" borderId="13" xfId="0" applyNumberFormat="1" applyFill="1" applyBorder="1" applyAlignment="1">
      <alignment horizontal="center" vertical="center"/>
    </xf>
    <xf numFmtId="0" fontId="0" fillId="0" borderId="0" xfId="0" applyAlignment="1">
      <alignment horizontal="center" vertical="center"/>
    </xf>
    <xf numFmtId="0" fontId="39" fillId="0" borderId="0" xfId="0" applyFont="1" applyAlignment="1">
      <alignment horizontal="right" vertical="center"/>
    </xf>
    <xf numFmtId="168" fontId="41" fillId="2" borderId="13" xfId="0" applyNumberFormat="1" applyFont="1" applyFill="1" applyBorder="1" applyAlignment="1">
      <alignment horizontal="center" vertical="center"/>
    </xf>
    <xf numFmtId="0" fontId="41" fillId="0" borderId="0" xfId="0" applyFont="1" applyAlignment="1">
      <alignment horizontal="right" vertical="center"/>
    </xf>
    <xf numFmtId="2" fontId="0" fillId="2" borderId="13" xfId="0" applyNumberFormat="1" applyFill="1" applyBorder="1" applyAlignment="1" applyProtection="1">
      <alignment horizontal="center"/>
      <protection locked="0"/>
    </xf>
    <xf numFmtId="168" fontId="12" fillId="4" borderId="13" xfId="0" applyNumberFormat="1" applyFont="1" applyFill="1" applyBorder="1" applyAlignment="1">
      <alignment horizontal="center" vertical="center"/>
    </xf>
    <xf numFmtId="0" fontId="0" fillId="2" borderId="13" xfId="0" applyFill="1" applyBorder="1" applyAlignment="1">
      <alignment horizontal="center" vertical="center"/>
    </xf>
    <xf numFmtId="0" fontId="12" fillId="2" borderId="13" xfId="0" applyFont="1" applyFill="1" applyBorder="1" applyAlignment="1">
      <alignment horizontal="center" vertical="center"/>
    </xf>
    <xf numFmtId="0" fontId="6" fillId="2" borderId="23" xfId="0" applyFont="1" applyFill="1" applyBorder="1" applyAlignment="1" applyProtection="1">
      <alignment horizontal="center"/>
      <protection locked="0"/>
    </xf>
    <xf numFmtId="0" fontId="0" fillId="4" borderId="13" xfId="0" applyFill="1" applyBorder="1" applyAlignment="1" applyProtection="1">
      <alignment horizontal="center" vertical="center"/>
      <protection locked="0"/>
    </xf>
    <xf numFmtId="0" fontId="0" fillId="4" borderId="24" xfId="0" applyFill="1" applyBorder="1" applyAlignment="1" applyProtection="1">
      <alignment horizontal="center" vertical="center"/>
      <protection locked="0"/>
    </xf>
    <xf numFmtId="0" fontId="0" fillId="4" borderId="32" xfId="0" applyFill="1" applyBorder="1" applyAlignment="1" applyProtection="1">
      <alignment horizontal="center"/>
      <protection locked="0"/>
    </xf>
    <xf numFmtId="0" fontId="0" fillId="4" borderId="44" xfId="0" applyFill="1" applyBorder="1" applyAlignment="1" applyProtection="1">
      <alignment horizontal="center" vertical="center"/>
      <protection locked="0"/>
    </xf>
    <xf numFmtId="2" fontId="13" fillId="0" borderId="1" xfId="0" applyNumberFormat="1" applyFont="1" applyBorder="1" applyAlignment="1" applyProtection="1">
      <alignment horizontal="center"/>
      <protection locked="0"/>
    </xf>
    <xf numFmtId="0" fontId="0" fillId="2" borderId="37" xfId="0" applyFill="1" applyBorder="1" applyAlignment="1" applyProtection="1">
      <alignment horizontal="center"/>
      <protection locked="0"/>
    </xf>
    <xf numFmtId="167" fontId="0" fillId="2" borderId="38" xfId="0" applyNumberFormat="1" applyFill="1" applyBorder="1" applyAlignment="1" applyProtection="1">
      <alignment horizontal="center"/>
      <protection locked="0"/>
    </xf>
    <xf numFmtId="0" fontId="0" fillId="2" borderId="38" xfId="0" applyFill="1" applyBorder="1" applyAlignment="1" applyProtection="1">
      <alignment horizontal="center"/>
      <protection locked="0"/>
    </xf>
    <xf numFmtId="1" fontId="6" fillId="2" borderId="1" xfId="1" applyNumberFormat="1" applyFont="1" applyFill="1" applyBorder="1" applyAlignment="1" applyProtection="1">
      <alignment horizontal="center" vertical="center"/>
      <protection locked="0"/>
    </xf>
    <xf numFmtId="0" fontId="13" fillId="0" borderId="1" xfId="0" applyFont="1" applyBorder="1" applyAlignment="1" applyProtection="1">
      <alignment horizontal="center"/>
      <protection locked="0"/>
    </xf>
    <xf numFmtId="167" fontId="0" fillId="0" borderId="11" xfId="0" applyNumberFormat="1" applyBorder="1" applyAlignment="1" applyProtection="1">
      <alignment horizontal="center"/>
      <protection locked="0"/>
    </xf>
    <xf numFmtId="0" fontId="0" fillId="0" borderId="11" xfId="0" applyBorder="1" applyAlignment="1" applyProtection="1">
      <alignment horizontal="center"/>
      <protection locked="0"/>
    </xf>
    <xf numFmtId="1" fontId="6" fillId="2" borderId="1" xfId="1" applyNumberFormat="1" applyFont="1" applyFill="1" applyBorder="1" applyAlignment="1" applyProtection="1">
      <alignment horizontal="center"/>
      <protection locked="0"/>
    </xf>
    <xf numFmtId="0" fontId="47" fillId="0" borderId="0" xfId="3" applyFont="1"/>
    <xf numFmtId="0" fontId="48" fillId="0" borderId="0" xfId="3" applyFont="1"/>
    <xf numFmtId="0" fontId="1" fillId="0" borderId="0" xfId="3"/>
    <xf numFmtId="0" fontId="12" fillId="0" borderId="13" xfId="0" applyFont="1" applyBorder="1" applyAlignment="1">
      <alignment horizontal="center"/>
    </xf>
    <xf numFmtId="0" fontId="49" fillId="0" borderId="21" xfId="3" applyFont="1" applyBorder="1" applyAlignment="1">
      <alignment horizontal="right"/>
    </xf>
    <xf numFmtId="168" fontId="1" fillId="0" borderId="0" xfId="3" applyNumberFormat="1"/>
    <xf numFmtId="0" fontId="1" fillId="0" borderId="18" xfId="3" applyBorder="1"/>
    <xf numFmtId="0" fontId="1" fillId="0" borderId="21" xfId="3" applyBorder="1" applyAlignment="1">
      <alignment horizontal="right"/>
    </xf>
    <xf numFmtId="164" fontId="1" fillId="0" borderId="18" xfId="3" applyNumberFormat="1" applyBorder="1"/>
    <xf numFmtId="0" fontId="47" fillId="0" borderId="0" xfId="3" applyFont="1" applyAlignment="1">
      <alignment horizontal="right"/>
    </xf>
    <xf numFmtId="0" fontId="46" fillId="9" borderId="29" xfId="3" applyFont="1" applyFill="1" applyBorder="1" applyAlignment="1">
      <alignment horizontal="center" vertical="center"/>
    </xf>
    <xf numFmtId="168" fontId="1" fillId="0" borderId="30" xfId="3" applyNumberFormat="1" applyBorder="1" applyAlignment="1">
      <alignment horizontal="center" vertical="center"/>
    </xf>
    <xf numFmtId="164" fontId="1" fillId="0" borderId="31" xfId="3" applyNumberFormat="1" applyBorder="1" applyAlignment="1">
      <alignment horizontal="center" vertical="center"/>
    </xf>
    <xf numFmtId="2" fontId="48" fillId="0" borderId="0" xfId="3" applyNumberFormat="1" applyFont="1"/>
    <xf numFmtId="171" fontId="48" fillId="0" borderId="0" xfId="3" applyNumberFormat="1" applyFont="1"/>
    <xf numFmtId="2" fontId="1" fillId="0" borderId="0" xfId="3" applyNumberFormat="1"/>
    <xf numFmtId="0" fontId="46" fillId="9" borderId="32" xfId="3" applyFont="1" applyFill="1" applyBorder="1" applyAlignment="1">
      <alignment horizontal="center" vertical="center"/>
    </xf>
    <xf numFmtId="168" fontId="1" fillId="0" borderId="13" xfId="3" applyNumberFormat="1" applyBorder="1" applyAlignment="1">
      <alignment horizontal="center"/>
    </xf>
    <xf numFmtId="0" fontId="1" fillId="0" borderId="33" xfId="3" applyBorder="1" applyAlignment="1">
      <alignment horizontal="center"/>
    </xf>
    <xf numFmtId="171" fontId="1" fillId="0" borderId="0" xfId="3" applyNumberFormat="1"/>
    <xf numFmtId="1" fontId="46" fillId="9" borderId="32" xfId="3" applyNumberFormat="1" applyFont="1" applyFill="1" applyBorder="1" applyAlignment="1">
      <alignment horizontal="center" vertical="center"/>
    </xf>
    <xf numFmtId="168" fontId="1" fillId="0" borderId="13" xfId="3" applyNumberFormat="1" applyBorder="1" applyAlignment="1">
      <alignment horizontal="center" vertical="center"/>
    </xf>
    <xf numFmtId="164" fontId="1" fillId="0" borderId="33" xfId="3" applyNumberFormat="1" applyBorder="1" applyAlignment="1">
      <alignment horizontal="center" vertical="center"/>
    </xf>
    <xf numFmtId="3" fontId="46" fillId="9" borderId="32" xfId="3" applyNumberFormat="1" applyFont="1" applyFill="1" applyBorder="1" applyAlignment="1">
      <alignment horizontal="center" vertical="center"/>
    </xf>
    <xf numFmtId="0" fontId="48" fillId="0" borderId="0" xfId="3" applyFont="1" applyAlignment="1">
      <alignment horizontal="center"/>
    </xf>
    <xf numFmtId="3" fontId="1" fillId="0" borderId="33" xfId="3" applyNumberFormat="1" applyBorder="1" applyAlignment="1">
      <alignment horizontal="center" vertical="center"/>
    </xf>
    <xf numFmtId="168" fontId="48" fillId="0" borderId="0" xfId="3" applyNumberFormat="1" applyFont="1"/>
    <xf numFmtId="168" fontId="50" fillId="0" borderId="0" xfId="3" applyNumberFormat="1" applyFont="1"/>
    <xf numFmtId="0" fontId="1" fillId="0" borderId="22" xfId="3" applyBorder="1" applyAlignment="1">
      <alignment horizontal="right"/>
    </xf>
    <xf numFmtId="171" fontId="1" fillId="0" borderId="16" xfId="3" applyNumberFormat="1" applyBorder="1"/>
    <xf numFmtId="0" fontId="1" fillId="0" borderId="19" xfId="3" applyBorder="1"/>
    <xf numFmtId="0" fontId="1" fillId="0" borderId="22" xfId="3" applyBorder="1"/>
    <xf numFmtId="2" fontId="1" fillId="0" borderId="16" xfId="3" applyNumberFormat="1" applyBorder="1"/>
    <xf numFmtId="3" fontId="46" fillId="9" borderId="37" xfId="3" applyNumberFormat="1" applyFont="1" applyFill="1" applyBorder="1" applyAlignment="1">
      <alignment horizontal="center" vertical="center"/>
    </xf>
    <xf numFmtId="168" fontId="1" fillId="0" borderId="38" xfId="3" applyNumberFormat="1" applyBorder="1" applyAlignment="1">
      <alignment horizontal="center" vertical="center"/>
    </xf>
    <xf numFmtId="3" fontId="1" fillId="0" borderId="39" xfId="3" applyNumberFormat="1" applyBorder="1" applyAlignment="1">
      <alignment horizontal="center" vertical="center"/>
    </xf>
    <xf numFmtId="168" fontId="47" fillId="0" borderId="0" xfId="3" applyNumberFormat="1" applyFont="1"/>
    <xf numFmtId="0" fontId="51" fillId="0" borderId="0" xfId="3" applyFont="1" applyAlignment="1">
      <alignment horizontal="center"/>
    </xf>
    <xf numFmtId="2" fontId="47" fillId="0" borderId="0" xfId="3" applyNumberFormat="1" applyFont="1"/>
    <xf numFmtId="1" fontId="47" fillId="0" borderId="0" xfId="3" applyNumberFormat="1" applyFont="1"/>
    <xf numFmtId="0" fontId="51" fillId="0" borderId="0" xfId="3" applyFont="1"/>
    <xf numFmtId="0" fontId="52" fillId="0" borderId="0" xfId="3" applyFont="1" applyAlignment="1">
      <alignment horizontal="right"/>
    </xf>
    <xf numFmtId="168" fontId="53" fillId="0" borderId="0" xfId="3" applyNumberFormat="1" applyFont="1"/>
    <xf numFmtId="1" fontId="1" fillId="0" borderId="0" xfId="3" applyNumberFormat="1"/>
    <xf numFmtId="0" fontId="53" fillId="0" borderId="0" xfId="3" applyFont="1" applyAlignment="1">
      <alignment horizontal="right"/>
    </xf>
    <xf numFmtId="171" fontId="53" fillId="0" borderId="0" xfId="3" applyNumberFormat="1" applyFont="1"/>
    <xf numFmtId="0" fontId="53" fillId="0" borderId="0" xfId="3" applyFont="1"/>
    <xf numFmtId="0" fontId="1" fillId="0" borderId="16" xfId="3" applyBorder="1"/>
    <xf numFmtId="169" fontId="0" fillId="4" borderId="13" xfId="0" applyNumberFormat="1" applyFill="1" applyBorder="1" applyAlignment="1">
      <alignment horizontal="center"/>
    </xf>
    <xf numFmtId="0" fontId="0" fillId="4" borderId="13" xfId="0" applyFill="1" applyBorder="1"/>
    <xf numFmtId="0" fontId="0" fillId="0" borderId="2" xfId="0" applyBorder="1"/>
    <xf numFmtId="0" fontId="0" fillId="0" borderId="9" xfId="0" applyBorder="1"/>
    <xf numFmtId="0" fontId="0" fillId="0" borderId="3" xfId="0" applyBorder="1"/>
    <xf numFmtId="0" fontId="0" fillId="0" borderId="4" xfId="0" applyBorder="1"/>
    <xf numFmtId="0" fontId="0" fillId="0" borderId="5" xfId="0" applyBorder="1"/>
    <xf numFmtId="168" fontId="0" fillId="0" borderId="9" xfId="0" applyNumberFormat="1" applyBorder="1"/>
    <xf numFmtId="0" fontId="0" fillId="0" borderId="6" xfId="0" applyBorder="1"/>
    <xf numFmtId="0" fontId="0" fillId="0" borderId="11" xfId="0" applyBorder="1"/>
    <xf numFmtId="0" fontId="0" fillId="0" borderId="7" xfId="0" applyBorder="1"/>
    <xf numFmtId="168" fontId="0" fillId="0" borderId="0" xfId="0" applyNumberFormat="1"/>
    <xf numFmtId="1" fontId="0" fillId="0" borderId="0" xfId="0" applyNumberFormat="1"/>
    <xf numFmtId="1" fontId="0" fillId="0" borderId="4" xfId="0" applyNumberFormat="1" applyBorder="1"/>
    <xf numFmtId="171" fontId="0" fillId="0" borderId="0" xfId="0" applyNumberFormat="1"/>
    <xf numFmtId="0" fontId="0" fillId="0" borderId="13" xfId="0" applyBorder="1"/>
    <xf numFmtId="171" fontId="12" fillId="0" borderId="13" xfId="0" applyNumberFormat="1" applyFont="1" applyBorder="1" applyAlignment="1">
      <alignment horizontal="center"/>
    </xf>
    <xf numFmtId="2" fontId="0" fillId="0" borderId="0" xfId="0" applyNumberFormat="1"/>
    <xf numFmtId="169" fontId="0" fillId="0" borderId="0" xfId="0" applyNumberFormat="1"/>
    <xf numFmtId="0" fontId="54" fillId="0" borderId="13" xfId="0" applyFont="1" applyBorder="1" applyAlignment="1">
      <alignment horizontal="center"/>
    </xf>
    <xf numFmtId="169" fontId="22" fillId="0" borderId="13" xfId="0" applyNumberFormat="1" applyFont="1" applyBorder="1" applyAlignment="1" applyProtection="1">
      <alignment horizontal="center" vertical="center"/>
      <protection locked="0"/>
    </xf>
    <xf numFmtId="2" fontId="22" fillId="0" borderId="13" xfId="0" applyNumberFormat="1" applyFont="1" applyBorder="1" applyAlignment="1" applyProtection="1">
      <alignment horizontal="center" vertical="center"/>
      <protection locked="0"/>
    </xf>
    <xf numFmtId="178" fontId="0" fillId="0" borderId="13" xfId="0" applyNumberFormat="1" applyBorder="1" applyAlignment="1">
      <alignment horizontal="center" vertical="center"/>
    </xf>
    <xf numFmtId="0" fontId="0" fillId="0" borderId="20" xfId="0" applyBorder="1" applyAlignment="1">
      <alignment horizontal="center" vertical="center"/>
    </xf>
    <xf numFmtId="0" fontId="0" fillId="0" borderId="17" xfId="0" applyBorder="1" applyAlignment="1">
      <alignment horizontal="center" vertical="center"/>
    </xf>
    <xf numFmtId="0" fontId="0" fillId="0" borderId="21" xfId="0" applyBorder="1" applyAlignment="1">
      <alignment horizontal="center" vertical="center"/>
    </xf>
    <xf numFmtId="171" fontId="0" fillId="0" borderId="18" xfId="0" applyNumberFormat="1" applyBorder="1" applyAlignment="1">
      <alignment horizontal="center" vertical="center"/>
    </xf>
    <xf numFmtId="176" fontId="0" fillId="0" borderId="21" xfId="0" applyNumberFormat="1" applyBorder="1" applyAlignment="1">
      <alignment horizontal="center" vertical="center"/>
    </xf>
    <xf numFmtId="169" fontId="0" fillId="0" borderId="21" xfId="0" applyNumberFormat="1" applyBorder="1" applyAlignment="1">
      <alignment horizontal="center" vertical="center"/>
    </xf>
    <xf numFmtId="0" fontId="13" fillId="0" borderId="45" xfId="0" applyFont="1" applyBorder="1" applyAlignment="1">
      <alignment horizontal="center"/>
    </xf>
    <xf numFmtId="2" fontId="56" fillId="2" borderId="1" xfId="0" applyNumberFormat="1" applyFont="1" applyFill="1" applyBorder="1" applyAlignment="1">
      <alignment horizontal="center"/>
    </xf>
    <xf numFmtId="194" fontId="0" fillId="0" borderId="0" xfId="0" applyNumberFormat="1"/>
    <xf numFmtId="180" fontId="0" fillId="4" borderId="13" xfId="0" applyNumberFormat="1" applyFill="1" applyBorder="1" applyAlignment="1" applyProtection="1">
      <alignment horizontal="center"/>
      <protection locked="0"/>
    </xf>
    <xf numFmtId="0" fontId="0" fillId="0" borderId="4" xfId="0" applyBorder="1" applyAlignment="1">
      <alignment horizontal="right"/>
    </xf>
    <xf numFmtId="0" fontId="0" fillId="0" borderId="0" xfId="0" applyAlignment="1">
      <alignment horizontal="right"/>
    </xf>
    <xf numFmtId="0" fontId="0" fillId="0" borderId="46" xfId="0" applyBorder="1" applyAlignment="1" applyProtection="1">
      <alignment horizontal="center"/>
      <protection locked="0"/>
    </xf>
    <xf numFmtId="2" fontId="0" fillId="0" borderId="4" xfId="0" applyNumberFormat="1" applyBorder="1"/>
    <xf numFmtId="0" fontId="0" fillId="0" borderId="41" xfId="0" applyBorder="1"/>
    <xf numFmtId="0" fontId="0" fillId="0" borderId="32" xfId="0" applyBorder="1" applyProtection="1">
      <protection locked="0"/>
    </xf>
    <xf numFmtId="0" fontId="0" fillId="0" borderId="33" xfId="0" applyBorder="1" applyProtection="1">
      <protection locked="0"/>
    </xf>
    <xf numFmtId="171" fontId="0" fillId="0" borderId="5" xfId="0" applyNumberFormat="1" applyBorder="1" applyAlignment="1" applyProtection="1">
      <alignment horizontal="center"/>
      <protection locked="0"/>
    </xf>
    <xf numFmtId="2" fontId="0" fillId="0" borderId="33" xfId="0" applyNumberFormat="1" applyBorder="1" applyProtection="1">
      <protection locked="0"/>
    </xf>
    <xf numFmtId="1" fontId="0" fillId="0" borderId="41" xfId="0" applyNumberFormat="1" applyBorder="1"/>
    <xf numFmtId="1" fontId="0" fillId="0" borderId="2" xfId="0" applyNumberFormat="1" applyBorder="1" applyProtection="1">
      <protection locked="0"/>
    </xf>
    <xf numFmtId="1" fontId="0" fillId="0" borderId="4" xfId="0" applyNumberFormat="1" applyBorder="1" applyProtection="1">
      <protection locked="0"/>
    </xf>
    <xf numFmtId="1" fontId="0" fillId="0" borderId="6" xfId="0" applyNumberFormat="1" applyBorder="1" applyProtection="1">
      <protection locked="0"/>
    </xf>
    <xf numFmtId="0" fontId="0" fillId="0" borderId="49" xfId="0" applyBorder="1" applyProtection="1">
      <protection locked="0"/>
    </xf>
    <xf numFmtId="0" fontId="0" fillId="0" borderId="10" xfId="0" applyBorder="1"/>
    <xf numFmtId="0" fontId="0" fillId="0" borderId="37" xfId="0" applyBorder="1" applyProtection="1">
      <protection locked="0"/>
    </xf>
    <xf numFmtId="0" fontId="0" fillId="0" borderId="39" xfId="0" applyBorder="1" applyProtection="1">
      <protection locked="0"/>
    </xf>
    <xf numFmtId="171" fontId="0" fillId="0" borderId="50" xfId="0" applyNumberFormat="1" applyBorder="1" applyAlignment="1" applyProtection="1">
      <alignment horizontal="center"/>
      <protection locked="0"/>
    </xf>
    <xf numFmtId="1" fontId="0" fillId="0" borderId="5" xfId="0" applyNumberFormat="1" applyBorder="1" applyAlignment="1" applyProtection="1">
      <alignment horizontal="center"/>
      <protection locked="0"/>
    </xf>
    <xf numFmtId="0" fontId="0" fillId="0" borderId="52" xfId="0" applyBorder="1" applyProtection="1">
      <protection locked="0"/>
    </xf>
    <xf numFmtId="0" fontId="0" fillId="0" borderId="53" xfId="0" applyBorder="1" applyProtection="1">
      <protection locked="0"/>
    </xf>
    <xf numFmtId="2" fontId="0" fillId="0" borderId="54" xfId="0" applyNumberFormat="1" applyBorder="1" applyProtection="1">
      <protection locked="0"/>
    </xf>
    <xf numFmtId="171" fontId="12" fillId="0" borderId="0" xfId="0" applyNumberFormat="1" applyFont="1"/>
    <xf numFmtId="2" fontId="0" fillId="0" borderId="39" xfId="0" applyNumberFormat="1" applyBorder="1" applyProtection="1">
      <protection locked="0"/>
    </xf>
    <xf numFmtId="0" fontId="0" fillId="0" borderId="56" xfId="0" applyBorder="1" applyProtection="1">
      <protection locked="0"/>
    </xf>
    <xf numFmtId="0" fontId="0" fillId="0" borderId="57" xfId="0" applyBorder="1" applyProtection="1">
      <protection locked="0"/>
    </xf>
    <xf numFmtId="0" fontId="26" fillId="0" borderId="0" xfId="0" applyFont="1" applyAlignment="1">
      <alignment horizontal="center"/>
    </xf>
    <xf numFmtId="0" fontId="0" fillId="0" borderId="18" xfId="0" applyBorder="1" applyAlignment="1">
      <alignment horizontal="center" vertical="center"/>
    </xf>
    <xf numFmtId="0" fontId="57" fillId="0" borderId="0" xfId="0" applyFont="1"/>
    <xf numFmtId="0" fontId="58" fillId="10" borderId="0" xfId="3" applyFont="1" applyFill="1"/>
    <xf numFmtId="0" fontId="1" fillId="10" borderId="0" xfId="3" applyFill="1"/>
    <xf numFmtId="0" fontId="59" fillId="10" borderId="0" xfId="3" applyFont="1" applyFill="1"/>
    <xf numFmtId="0" fontId="1" fillId="0" borderId="0" xfId="3" applyAlignment="1">
      <alignment horizontal="right"/>
    </xf>
    <xf numFmtId="164" fontId="60" fillId="11" borderId="13" xfId="4" applyFont="1" applyFill="1" applyBorder="1" applyAlignment="1" applyProtection="1">
      <alignment horizontal="center"/>
      <protection locked="0"/>
    </xf>
    <xf numFmtId="0" fontId="46" fillId="7" borderId="24" xfId="3" applyFont="1" applyFill="1" applyBorder="1" applyAlignment="1">
      <alignment vertical="center"/>
    </xf>
    <xf numFmtId="168" fontId="61" fillId="7" borderId="14" xfId="3" applyNumberFormat="1" applyFont="1" applyFill="1" applyBorder="1" applyAlignment="1">
      <alignment vertical="center"/>
    </xf>
    <xf numFmtId="0" fontId="46" fillId="7" borderId="44" xfId="3" applyFont="1" applyFill="1" applyBorder="1" applyAlignment="1">
      <alignment vertical="center"/>
    </xf>
    <xf numFmtId="0" fontId="1" fillId="0" borderId="13" xfId="3" applyBorder="1"/>
    <xf numFmtId="0" fontId="46" fillId="0" borderId="13" xfId="3" applyFont="1" applyBorder="1" applyAlignment="1">
      <alignment horizontal="center"/>
    </xf>
    <xf numFmtId="0" fontId="1" fillId="0" borderId="13" xfId="3" applyBorder="1" applyAlignment="1">
      <alignment horizontal="center"/>
    </xf>
    <xf numFmtId="168" fontId="53" fillId="0" borderId="13" xfId="3" applyNumberFormat="1" applyFont="1" applyBorder="1"/>
    <xf numFmtId="168" fontId="62" fillId="11" borderId="13" xfId="3" applyNumberFormat="1" applyFont="1" applyFill="1" applyBorder="1" applyProtection="1">
      <protection locked="0"/>
    </xf>
    <xf numFmtId="3" fontId="1" fillId="0" borderId="0" xfId="3" applyNumberFormat="1"/>
    <xf numFmtId="0" fontId="1" fillId="0" borderId="0" xfId="3" applyAlignment="1">
      <alignment horizontal="center" vertical="center"/>
    </xf>
    <xf numFmtId="0" fontId="12" fillId="0" borderId="13" xfId="0" applyFont="1" applyBorder="1" applyAlignment="1" applyProtection="1">
      <alignment horizontal="center"/>
      <protection locked="0"/>
    </xf>
    <xf numFmtId="0" fontId="12" fillId="5" borderId="13" xfId="0" applyFont="1" applyFill="1" applyBorder="1" applyAlignment="1">
      <alignment horizontal="center"/>
    </xf>
    <xf numFmtId="169" fontId="12" fillId="5" borderId="13" xfId="0" applyNumberFormat="1" applyFont="1" applyFill="1" applyBorder="1" applyAlignment="1">
      <alignment horizontal="center"/>
    </xf>
    <xf numFmtId="171" fontId="12" fillId="5" borderId="13" xfId="0" applyNumberFormat="1" applyFont="1" applyFill="1" applyBorder="1" applyAlignment="1">
      <alignment horizontal="center"/>
    </xf>
    <xf numFmtId="168" fontId="12" fillId="5" borderId="13" xfId="0" applyNumberFormat="1" applyFont="1" applyFill="1" applyBorder="1" applyAlignment="1">
      <alignment horizontal="center"/>
    </xf>
    <xf numFmtId="173" fontId="0" fillId="0" borderId="0" xfId="0" applyNumberFormat="1" applyAlignment="1" applyProtection="1">
      <alignment horizontal="center"/>
      <protection locked="0"/>
    </xf>
    <xf numFmtId="174" fontId="0" fillId="0" borderId="0" xfId="0" applyNumberFormat="1" applyAlignment="1" applyProtection="1">
      <alignment horizontal="center"/>
      <protection locked="0"/>
    </xf>
    <xf numFmtId="177" fontId="0" fillId="0" borderId="0" xfId="0" applyNumberFormat="1" applyAlignment="1" applyProtection="1">
      <alignment horizontal="center"/>
      <protection locked="0"/>
    </xf>
    <xf numFmtId="9" fontId="0" fillId="0" borderId="0" xfId="0" applyNumberFormat="1" applyAlignment="1" applyProtection="1">
      <alignment horizontal="center"/>
      <protection locked="0"/>
    </xf>
    <xf numFmtId="171" fontId="0" fillId="0" borderId="13" xfId="0" applyNumberFormat="1" applyBorder="1" applyAlignment="1" applyProtection="1">
      <alignment horizontal="center"/>
      <protection locked="0"/>
    </xf>
    <xf numFmtId="171" fontId="12" fillId="0" borderId="13" xfId="0" applyNumberFormat="1" applyFont="1" applyBorder="1" applyAlignment="1" applyProtection="1">
      <alignment horizontal="center"/>
      <protection locked="0"/>
    </xf>
    <xf numFmtId="1" fontId="12" fillId="5" borderId="13" xfId="0" applyNumberFormat="1" applyFont="1" applyFill="1" applyBorder="1" applyAlignment="1">
      <alignment horizontal="center"/>
    </xf>
    <xf numFmtId="3" fontId="0" fillId="0" borderId="0" xfId="0" applyNumberFormat="1" applyProtection="1">
      <protection locked="0"/>
    </xf>
    <xf numFmtId="169" fontId="0" fillId="0" borderId="13" xfId="0" applyNumberFormat="1" applyBorder="1" applyAlignment="1" applyProtection="1">
      <alignment horizontal="center"/>
      <protection locked="0"/>
    </xf>
    <xf numFmtId="169" fontId="0" fillId="0" borderId="13" xfId="0" applyNumberFormat="1" applyBorder="1" applyAlignment="1">
      <alignment horizontal="center"/>
    </xf>
    <xf numFmtId="0" fontId="6" fillId="0" borderId="0" xfId="0" applyFont="1" applyAlignment="1">
      <alignment horizontal="center" vertical="center"/>
    </xf>
    <xf numFmtId="172" fontId="6" fillId="0" borderId="0" xfId="0" applyNumberFormat="1" applyFont="1" applyAlignment="1">
      <alignment horizontal="center" vertical="center"/>
    </xf>
    <xf numFmtId="0" fontId="6" fillId="0" borderId="0" xfId="0" applyFont="1" applyAlignment="1">
      <alignment horizontal="center"/>
    </xf>
    <xf numFmtId="0" fontId="6" fillId="0" borderId="0" xfId="0" applyFont="1"/>
    <xf numFmtId="0" fontId="3" fillId="0" borderId="0" xfId="0" applyFont="1"/>
    <xf numFmtId="0" fontId="3" fillId="0" borderId="60" xfId="0" applyFont="1" applyBorder="1" applyAlignment="1">
      <alignment vertical="center"/>
    </xf>
    <xf numFmtId="0" fontId="3" fillId="12" borderId="61" xfId="0" applyFont="1" applyFill="1" applyBorder="1" applyAlignment="1" applyProtection="1">
      <alignment horizontal="center" vertical="center"/>
      <protection locked="0"/>
    </xf>
    <xf numFmtId="0" fontId="3" fillId="2" borderId="58" xfId="0" applyFont="1" applyFill="1" applyBorder="1" applyAlignment="1">
      <alignment horizontal="center"/>
    </xf>
    <xf numFmtId="169" fontId="6" fillId="0" borderId="0" xfId="0" applyNumberFormat="1" applyFont="1" applyAlignment="1">
      <alignment horizontal="center"/>
    </xf>
    <xf numFmtId="0" fontId="3" fillId="0" borderId="62" xfId="0" applyFont="1" applyBorder="1" applyAlignment="1">
      <alignment vertical="center"/>
    </xf>
    <xf numFmtId="169" fontId="3" fillId="12" borderId="63" xfId="0" applyNumberFormat="1" applyFont="1" applyFill="1" applyBorder="1" applyAlignment="1" applyProtection="1">
      <alignment horizontal="center" vertical="center"/>
      <protection locked="0"/>
    </xf>
    <xf numFmtId="2" fontId="6" fillId="0" borderId="0" xfId="0" applyNumberFormat="1" applyFont="1" applyAlignment="1">
      <alignment horizontal="center"/>
    </xf>
    <xf numFmtId="2" fontId="6" fillId="0" borderId="0" xfId="0" applyNumberFormat="1" applyFont="1"/>
    <xf numFmtId="0" fontId="3" fillId="0" borderId="0" xfId="0" applyFont="1" applyAlignment="1">
      <alignment horizontal="center"/>
    </xf>
    <xf numFmtId="0" fontId="3" fillId="0" borderId="64" xfId="0" applyFont="1" applyBorder="1" applyAlignment="1">
      <alignment vertical="center"/>
    </xf>
    <xf numFmtId="169" fontId="3" fillId="12" borderId="65" xfId="0" applyNumberFormat="1" applyFont="1" applyFill="1" applyBorder="1" applyAlignment="1" applyProtection="1">
      <alignment horizontal="center" vertical="center"/>
      <protection locked="0"/>
    </xf>
    <xf numFmtId="166" fontId="3" fillId="0" borderId="0" xfId="0" applyNumberFormat="1" applyFont="1"/>
    <xf numFmtId="0" fontId="3" fillId="0" borderId="62" xfId="0" applyFont="1" applyBorder="1" applyAlignment="1">
      <alignment horizontal="center" vertical="center"/>
    </xf>
    <xf numFmtId="0" fontId="3" fillId="0" borderId="13" xfId="0" applyFont="1" applyBorder="1" applyAlignment="1">
      <alignment horizontal="center" vertical="center"/>
    </xf>
    <xf numFmtId="0" fontId="3" fillId="0" borderId="62" xfId="0" applyFont="1" applyBorder="1" applyAlignment="1">
      <alignment horizontal="left" vertical="center"/>
    </xf>
    <xf numFmtId="172" fontId="6" fillId="0" borderId="0" xfId="0" applyNumberFormat="1" applyFont="1"/>
    <xf numFmtId="2" fontId="3" fillId="0" borderId="13" xfId="0" applyNumberFormat="1" applyFont="1" applyBorder="1" applyAlignment="1">
      <alignment horizontal="center" vertical="center"/>
    </xf>
    <xf numFmtId="2" fontId="3" fillId="0" borderId="58" xfId="0" applyNumberFormat="1" applyFont="1" applyBorder="1" applyAlignment="1">
      <alignment horizontal="center" vertical="center"/>
    </xf>
    <xf numFmtId="0" fontId="3" fillId="0" borderId="58" xfId="0" applyFont="1" applyBorder="1" applyAlignment="1">
      <alignment horizontal="center" vertical="center"/>
    </xf>
    <xf numFmtId="0" fontId="6" fillId="0" borderId="0" xfId="0" applyFont="1" applyAlignment="1">
      <alignment horizontal="right"/>
    </xf>
    <xf numFmtId="0" fontId="3" fillId="0" borderId="62" xfId="0" applyFont="1" applyBorder="1"/>
    <xf numFmtId="168" fontId="3" fillId="0" borderId="13" xfId="0" applyNumberFormat="1" applyFont="1" applyBorder="1" applyAlignment="1">
      <alignment horizontal="center" vertical="center"/>
    </xf>
    <xf numFmtId="1" fontId="3" fillId="0" borderId="13" xfId="0" applyNumberFormat="1" applyFont="1" applyBorder="1" applyAlignment="1">
      <alignment horizontal="center" vertical="center"/>
    </xf>
    <xf numFmtId="168" fontId="3" fillId="0" borderId="58" xfId="0" applyNumberFormat="1" applyFont="1" applyBorder="1" applyAlignment="1">
      <alignment horizontal="center" vertical="center"/>
    </xf>
    <xf numFmtId="1" fontId="3" fillId="0" borderId="58" xfId="0" applyNumberFormat="1" applyFont="1" applyBorder="1" applyAlignment="1">
      <alignment horizontal="center" vertical="center"/>
    </xf>
    <xf numFmtId="168" fontId="3" fillId="0" borderId="15" xfId="0" applyNumberFormat="1" applyFont="1" applyBorder="1" applyAlignment="1">
      <alignment horizontal="center" vertical="center"/>
    </xf>
    <xf numFmtId="2" fontId="3" fillId="0" borderId="15" xfId="0" applyNumberFormat="1" applyFont="1" applyBorder="1" applyAlignment="1">
      <alignment horizontal="center" vertical="center"/>
    </xf>
    <xf numFmtId="1" fontId="3" fillId="0" borderId="15" xfId="0" applyNumberFormat="1" applyFont="1" applyBorder="1" applyAlignment="1">
      <alignment horizontal="center" vertical="center"/>
    </xf>
    <xf numFmtId="2" fontId="3" fillId="0" borderId="0" xfId="0" applyNumberFormat="1" applyFont="1" applyAlignment="1">
      <alignment horizontal="center" vertical="center"/>
    </xf>
    <xf numFmtId="1" fontId="3" fillId="0" borderId="0" xfId="0" applyNumberFormat="1" applyFont="1" applyAlignment="1">
      <alignment horizontal="center" vertical="center"/>
    </xf>
    <xf numFmtId="0" fontId="31" fillId="0" borderId="21" xfId="0" applyFont="1" applyBorder="1" applyAlignment="1">
      <alignment horizontal="center"/>
    </xf>
    <xf numFmtId="0" fontId="31" fillId="0" borderId="0" xfId="0" applyFont="1" applyAlignment="1">
      <alignment horizontal="center"/>
    </xf>
    <xf numFmtId="0" fontId="68" fillId="0" borderId="21" xfId="0" applyFont="1" applyBorder="1" applyAlignment="1">
      <alignment horizontal="right"/>
    </xf>
    <xf numFmtId="169" fontId="6" fillId="4" borderId="13" xfId="0" applyNumberFormat="1" applyFont="1" applyFill="1" applyBorder="1" applyAlignment="1">
      <alignment horizontal="center"/>
    </xf>
    <xf numFmtId="0" fontId="6" fillId="0" borderId="21" xfId="0" applyFont="1" applyBorder="1" applyAlignment="1">
      <alignment horizontal="right"/>
    </xf>
    <xf numFmtId="1" fontId="6" fillId="4" borderId="13" xfId="0" applyNumberFormat="1" applyFont="1" applyFill="1" applyBorder="1" applyAlignment="1">
      <alignment horizontal="center"/>
    </xf>
    <xf numFmtId="0" fontId="6" fillId="0" borderId="21" xfId="0" applyFont="1" applyBorder="1"/>
    <xf numFmtId="0" fontId="6" fillId="4" borderId="13" xfId="0" applyFont="1" applyFill="1" applyBorder="1" applyAlignment="1">
      <alignment horizontal="center"/>
    </xf>
    <xf numFmtId="0" fontId="68" fillId="0" borderId="0" xfId="0" applyFont="1"/>
    <xf numFmtId="1" fontId="6" fillId="2" borderId="13" xfId="0" applyNumberFormat="1" applyFont="1" applyFill="1" applyBorder="1" applyAlignment="1" applyProtection="1">
      <alignment horizontal="center"/>
      <protection locked="0"/>
    </xf>
    <xf numFmtId="0" fontId="6" fillId="2" borderId="13" xfId="0" applyFont="1" applyFill="1" applyBorder="1" applyAlignment="1" applyProtection="1">
      <alignment horizontal="center"/>
      <protection locked="0"/>
    </xf>
    <xf numFmtId="2" fontId="6" fillId="4" borderId="13" xfId="0" applyNumberFormat="1" applyFont="1" applyFill="1" applyBorder="1" applyAlignment="1">
      <alignment horizontal="center"/>
    </xf>
    <xf numFmtId="0" fontId="71" fillId="0" borderId="0" xfId="0" applyFont="1"/>
    <xf numFmtId="0" fontId="14" fillId="0" borderId="0" xfId="0" applyFont="1"/>
    <xf numFmtId="1" fontId="6" fillId="0" borderId="0" xfId="0" applyNumberFormat="1" applyFont="1"/>
    <xf numFmtId="169" fontId="6" fillId="0" borderId="0" xfId="0" applyNumberFormat="1" applyFont="1"/>
    <xf numFmtId="200" fontId="6" fillId="0" borderId="0" xfId="0" applyNumberFormat="1" applyFont="1" applyAlignment="1">
      <alignment vertical="center"/>
    </xf>
    <xf numFmtId="1" fontId="0" fillId="2" borderId="13" xfId="0" applyNumberFormat="1" applyFill="1" applyBorder="1" applyAlignment="1">
      <alignment horizontal="center"/>
    </xf>
    <xf numFmtId="0" fontId="6" fillId="0" borderId="0" xfId="0" applyFont="1" applyAlignment="1">
      <alignment vertical="center"/>
    </xf>
    <xf numFmtId="0" fontId="0" fillId="0" borderId="13" xfId="0" applyBorder="1" applyAlignment="1">
      <alignment horizontal="center" vertical="center"/>
    </xf>
    <xf numFmtId="0" fontId="13" fillId="0" borderId="0" xfId="0" applyFont="1" applyAlignment="1">
      <alignment horizontal="left" wrapText="1"/>
    </xf>
    <xf numFmtId="2" fontId="6" fillId="4" borderId="13" xfId="0" applyNumberFormat="1" applyFont="1" applyFill="1" applyBorder="1" applyAlignment="1">
      <alignment horizontal="center" vertical="center"/>
    </xf>
    <xf numFmtId="0" fontId="13" fillId="0" borderId="0" xfId="0" applyFont="1" applyAlignment="1">
      <alignment horizontal="left" vertical="center"/>
    </xf>
    <xf numFmtId="1" fontId="6" fillId="4" borderId="13" xfId="0" applyNumberFormat="1" applyFont="1" applyFill="1" applyBorder="1" applyAlignment="1">
      <alignment horizontal="center" vertical="center"/>
    </xf>
    <xf numFmtId="1" fontId="0" fillId="4" borderId="13" xfId="0" applyNumberFormat="1" applyFill="1" applyBorder="1" applyAlignment="1">
      <alignment horizontal="center"/>
    </xf>
    <xf numFmtId="168" fontId="0" fillId="4" borderId="13" xfId="0" applyNumberFormat="1" applyFill="1" applyBorder="1" applyAlignment="1">
      <alignment horizontal="center"/>
    </xf>
    <xf numFmtId="166" fontId="14" fillId="0" borderId="0" xfId="0" applyNumberFormat="1" applyFont="1" applyAlignment="1">
      <alignment vertical="center"/>
    </xf>
    <xf numFmtId="2" fontId="0" fillId="4" borderId="13" xfId="0" applyNumberFormat="1" applyFill="1" applyBorder="1" applyAlignment="1">
      <alignment horizontal="center"/>
    </xf>
    <xf numFmtId="0" fontId="13" fillId="0" borderId="0" xfId="0" applyFont="1" applyAlignment="1">
      <alignment horizontal="right"/>
    </xf>
    <xf numFmtId="171" fontId="6" fillId="4" borderId="13" xfId="0" applyNumberFormat="1" applyFont="1" applyFill="1" applyBorder="1" applyAlignment="1">
      <alignment horizontal="center"/>
    </xf>
    <xf numFmtId="0" fontId="0" fillId="12" borderId="13" xfId="0" applyFill="1" applyBorder="1" applyAlignment="1">
      <alignment horizontal="center"/>
    </xf>
    <xf numFmtId="0" fontId="72" fillId="0" borderId="0" xfId="0" applyFont="1"/>
    <xf numFmtId="0" fontId="9" fillId="0" borderId="0" xfId="0" applyFont="1"/>
    <xf numFmtId="2" fontId="0" fillId="0" borderId="0" xfId="0" applyNumberFormat="1" applyAlignment="1">
      <alignment horizontal="center"/>
    </xf>
    <xf numFmtId="167" fontId="0" fillId="0" borderId="0" xfId="0" applyNumberFormat="1" applyAlignment="1">
      <alignment horizontal="center"/>
    </xf>
    <xf numFmtId="204" fontId="0" fillId="12" borderId="0" xfId="0" applyNumberFormat="1" applyFill="1" applyAlignment="1">
      <alignment horizontal="center"/>
    </xf>
    <xf numFmtId="0" fontId="0" fillId="3" borderId="0" xfId="0" applyFill="1" applyAlignment="1">
      <alignment horizontal="center"/>
    </xf>
    <xf numFmtId="166" fontId="6" fillId="0" borderId="0" xfId="0" applyNumberFormat="1" applyFont="1"/>
    <xf numFmtId="0" fontId="0" fillId="0" borderId="0" xfId="0" applyAlignment="1">
      <alignment horizontal="center" wrapText="1"/>
    </xf>
    <xf numFmtId="0" fontId="0" fillId="3" borderId="13" xfId="0" applyFill="1" applyBorder="1"/>
    <xf numFmtId="169" fontId="0" fillId="4" borderId="13" xfId="0" applyNumberFormat="1" applyFill="1" applyBorder="1"/>
    <xf numFmtId="2" fontId="0" fillId="4" borderId="13" xfId="0" applyNumberFormat="1" applyFill="1" applyBorder="1"/>
    <xf numFmtId="2" fontId="0" fillId="3" borderId="13" xfId="0" applyNumberFormat="1" applyFill="1" applyBorder="1"/>
    <xf numFmtId="1" fontId="0" fillId="0" borderId="0" xfId="0" applyNumberFormat="1" applyAlignment="1">
      <alignment horizontal="center"/>
    </xf>
    <xf numFmtId="0" fontId="1" fillId="0" borderId="0" xfId="2" applyProtection="1">
      <protection hidden="1"/>
    </xf>
    <xf numFmtId="0" fontId="0" fillId="0" borderId="29" xfId="0" applyBorder="1" applyAlignment="1">
      <alignment horizontal="center"/>
    </xf>
    <xf numFmtId="205" fontId="0" fillId="11" borderId="30" xfId="0" applyNumberFormat="1" applyFill="1" applyBorder="1" applyAlignment="1" applyProtection="1">
      <alignment horizontal="center"/>
      <protection locked="0"/>
    </xf>
    <xf numFmtId="189" fontId="0" fillId="11" borderId="31" xfId="0" applyNumberFormat="1" applyFill="1" applyBorder="1" applyAlignment="1" applyProtection="1">
      <alignment horizontal="center"/>
      <protection locked="0"/>
    </xf>
    <xf numFmtId="0" fontId="9" fillId="0" borderId="29" xfId="0" applyFont="1" applyBorder="1" applyAlignment="1">
      <alignment horizontal="center"/>
    </xf>
    <xf numFmtId="0" fontId="9" fillId="0" borderId="30" xfId="0" applyFont="1" applyBorder="1" applyAlignment="1">
      <alignment horizontal="center"/>
    </xf>
    <xf numFmtId="0" fontId="9" fillId="0" borderId="31" xfId="0" applyFont="1" applyBorder="1" applyAlignment="1">
      <alignment horizontal="center"/>
    </xf>
    <xf numFmtId="0" fontId="0" fillId="0" borderId="32" xfId="0" applyBorder="1" applyAlignment="1">
      <alignment horizontal="center"/>
    </xf>
    <xf numFmtId="169" fontId="0" fillId="11" borderId="13" xfId="0" applyNumberFormat="1" applyFill="1" applyBorder="1" applyAlignment="1" applyProtection="1">
      <alignment horizontal="center"/>
      <protection locked="0"/>
    </xf>
    <xf numFmtId="0" fontId="0" fillId="11" borderId="33" xfId="0" applyFill="1" applyBorder="1" applyAlignment="1" applyProtection="1">
      <alignment horizontal="center"/>
      <protection locked="0"/>
    </xf>
    <xf numFmtId="0" fontId="0" fillId="11" borderId="32" xfId="0" applyFill="1" applyBorder="1" applyAlignment="1" applyProtection="1">
      <alignment horizontal="center"/>
      <protection locked="0"/>
    </xf>
    <xf numFmtId="0" fontId="0" fillId="11" borderId="13" xfId="0" applyFill="1" applyBorder="1" applyAlignment="1" applyProtection="1">
      <alignment horizontal="center"/>
      <protection locked="0"/>
    </xf>
    <xf numFmtId="0" fontId="33" fillId="0" borderId="32" xfId="0" applyFont="1" applyBorder="1" applyAlignment="1">
      <alignment horizontal="center"/>
    </xf>
    <xf numFmtId="183" fontId="0" fillId="11" borderId="13" xfId="0" applyNumberFormat="1" applyFill="1" applyBorder="1" applyAlignment="1" applyProtection="1">
      <alignment horizontal="center"/>
      <protection locked="0"/>
    </xf>
    <xf numFmtId="0" fontId="36" fillId="0" borderId="13" xfId="0" applyFont="1" applyBorder="1" applyAlignment="1">
      <alignment horizontal="center"/>
    </xf>
    <xf numFmtId="206" fontId="0" fillId="11" borderId="33" xfId="0" applyNumberFormat="1" applyFill="1" applyBorder="1" applyAlignment="1" applyProtection="1">
      <alignment horizontal="center"/>
      <protection locked="0"/>
    </xf>
    <xf numFmtId="207" fontId="0" fillId="11" borderId="13" xfId="0" applyNumberFormat="1" applyFill="1" applyBorder="1" applyAlignment="1" applyProtection="1">
      <alignment horizontal="center"/>
      <protection locked="0"/>
    </xf>
    <xf numFmtId="0" fontId="0" fillId="11" borderId="37" xfId="0" applyFill="1" applyBorder="1" applyAlignment="1" applyProtection="1">
      <alignment horizontal="center"/>
      <protection locked="0"/>
    </xf>
    <xf numFmtId="0" fontId="0" fillId="11" borderId="38" xfId="0" applyFill="1" applyBorder="1" applyAlignment="1" applyProtection="1">
      <alignment horizontal="center"/>
      <protection locked="0"/>
    </xf>
    <xf numFmtId="0" fontId="0" fillId="11" borderId="39" xfId="0" applyFill="1" applyBorder="1" applyAlignment="1" applyProtection="1">
      <alignment horizontal="center"/>
      <protection locked="0"/>
    </xf>
    <xf numFmtId="0" fontId="0" fillId="0" borderId="37" xfId="0" applyBorder="1" applyAlignment="1">
      <alignment horizontal="center"/>
    </xf>
    <xf numFmtId="169" fontId="0" fillId="11" borderId="38" xfId="0" applyNumberFormat="1" applyFill="1" applyBorder="1" applyAlignment="1" applyProtection="1">
      <alignment horizontal="center"/>
      <protection locked="0"/>
    </xf>
    <xf numFmtId="0" fontId="0" fillId="0" borderId="38" xfId="0" applyBorder="1" applyAlignment="1">
      <alignment horizontal="center"/>
    </xf>
    <xf numFmtId="0" fontId="0" fillId="0" borderId="39" xfId="0" applyBorder="1" applyAlignment="1">
      <alignment horizontal="center"/>
    </xf>
    <xf numFmtId="0" fontId="36" fillId="0" borderId="70" xfId="0" applyFont="1" applyBorder="1" applyAlignment="1">
      <alignment horizontal="center"/>
    </xf>
    <xf numFmtId="0" fontId="0" fillId="0" borderId="54" xfId="0" applyBorder="1" applyAlignment="1">
      <alignment horizontal="center"/>
    </xf>
    <xf numFmtId="0" fontId="37" fillId="0" borderId="29" xfId="0" applyFont="1" applyBorder="1" applyAlignment="1">
      <alignment horizontal="center"/>
    </xf>
    <xf numFmtId="0" fontId="0" fillId="0" borderId="31" xfId="0" applyBorder="1" applyAlignment="1">
      <alignment horizontal="center"/>
    </xf>
    <xf numFmtId="0" fontId="36" fillId="0" borderId="32" xfId="0" applyFont="1" applyBorder="1" applyAlignment="1">
      <alignment horizontal="center"/>
    </xf>
    <xf numFmtId="0" fontId="0" fillId="0" borderId="33" xfId="0" applyBorder="1" applyAlignment="1">
      <alignment horizontal="center"/>
    </xf>
    <xf numFmtId="2" fontId="0" fillId="0" borderId="33" xfId="0" applyNumberFormat="1" applyBorder="1" applyAlignment="1">
      <alignment horizontal="center"/>
    </xf>
    <xf numFmtId="168" fontId="0" fillId="0" borderId="33" xfId="0" applyNumberFormat="1" applyBorder="1" applyAlignment="1">
      <alignment horizontal="center" vertical="center"/>
    </xf>
    <xf numFmtId="0" fontId="37" fillId="0" borderId="32" xfId="0" applyFont="1" applyBorder="1" applyAlignment="1">
      <alignment horizontal="center"/>
    </xf>
    <xf numFmtId="0" fontId="36" fillId="0" borderId="52" xfId="0" applyFont="1" applyBorder="1" applyAlignment="1">
      <alignment horizontal="center"/>
    </xf>
    <xf numFmtId="168" fontId="0" fillId="0" borderId="53" xfId="0" applyNumberFormat="1" applyBorder="1" applyAlignment="1">
      <alignment horizontal="center" vertical="center"/>
    </xf>
    <xf numFmtId="0" fontId="75" fillId="0" borderId="32" xfId="0" applyFont="1" applyBorder="1" applyAlignment="1">
      <alignment horizontal="center"/>
    </xf>
    <xf numFmtId="2" fontId="0" fillId="0" borderId="33" xfId="0" applyNumberFormat="1" applyBorder="1" applyAlignment="1">
      <alignment horizontal="center" vertical="center"/>
    </xf>
    <xf numFmtId="0" fontId="36" fillId="0" borderId="29" xfId="0" applyFont="1" applyBorder="1" applyAlignment="1">
      <alignment horizontal="center"/>
    </xf>
    <xf numFmtId="0" fontId="75" fillId="0" borderId="52" xfId="0" applyFont="1" applyBorder="1" applyAlignment="1">
      <alignment horizontal="center"/>
    </xf>
    <xf numFmtId="0" fontId="0" fillId="0" borderId="53" xfId="0" applyBorder="1" applyAlignment="1">
      <alignment horizontal="center"/>
    </xf>
    <xf numFmtId="168" fontId="0" fillId="0" borderId="33" xfId="0" applyNumberFormat="1" applyBorder="1" applyAlignment="1">
      <alignment horizontal="center"/>
    </xf>
    <xf numFmtId="0" fontId="76" fillId="13" borderId="26" xfId="0" applyFont="1" applyFill="1" applyBorder="1" applyAlignment="1">
      <alignment horizontal="center"/>
    </xf>
    <xf numFmtId="0" fontId="9" fillId="0" borderId="28" xfId="0" applyFont="1" applyBorder="1" applyAlignment="1">
      <alignment horizontal="center"/>
    </xf>
    <xf numFmtId="2" fontId="0" fillId="0" borderId="53" xfId="0" applyNumberFormat="1" applyBorder="1" applyAlignment="1">
      <alignment horizontal="center" vertical="center"/>
    </xf>
    <xf numFmtId="184" fontId="0" fillId="0" borderId="33" xfId="0" applyNumberFormat="1" applyBorder="1" applyAlignment="1">
      <alignment horizontal="center"/>
    </xf>
    <xf numFmtId="0" fontId="75" fillId="0" borderId="37" xfId="0" applyFont="1" applyBorder="1" applyAlignment="1">
      <alignment horizontal="center"/>
    </xf>
    <xf numFmtId="184" fontId="0" fillId="0" borderId="39" xfId="0" applyNumberFormat="1" applyBorder="1" applyAlignment="1">
      <alignment horizontal="center"/>
    </xf>
    <xf numFmtId="168" fontId="9" fillId="0" borderId="28" xfId="0" applyNumberFormat="1" applyFont="1" applyBorder="1" applyAlignment="1">
      <alignment horizontal="center"/>
    </xf>
    <xf numFmtId="0" fontId="82" fillId="0" borderId="0" xfId="0" applyFont="1"/>
    <xf numFmtId="0" fontId="82" fillId="16" borderId="71" xfId="0" applyFont="1" applyFill="1" applyBorder="1" applyAlignment="1">
      <alignment horizontal="center"/>
    </xf>
    <xf numFmtId="168" fontId="83" fillId="0" borderId="71" xfId="0" applyNumberFormat="1" applyFont="1" applyBorder="1" applyAlignment="1">
      <alignment horizontal="center"/>
    </xf>
    <xf numFmtId="2" fontId="84" fillId="0" borderId="71" xfId="0" applyNumberFormat="1" applyFont="1" applyBorder="1" applyAlignment="1">
      <alignment horizontal="center"/>
    </xf>
    <xf numFmtId="2" fontId="84" fillId="0" borderId="71" xfId="0" applyNumberFormat="1" applyFont="1" applyBorder="1"/>
    <xf numFmtId="184" fontId="83" fillId="17" borderId="71" xfId="0" applyNumberFormat="1" applyFont="1" applyFill="1" applyBorder="1" applyAlignment="1">
      <alignment horizontal="center"/>
    </xf>
    <xf numFmtId="184" fontId="84" fillId="0" borderId="71" xfId="0" applyNumberFormat="1" applyFont="1" applyBorder="1"/>
    <xf numFmtId="2" fontId="85" fillId="0" borderId="71" xfId="0" applyNumberFormat="1" applyFont="1" applyBorder="1"/>
    <xf numFmtId="0" fontId="82" fillId="0" borderId="0" xfId="0" applyFont="1" applyAlignment="1">
      <alignment vertical="center" wrapText="1"/>
    </xf>
    <xf numFmtId="2" fontId="82" fillId="18" borderId="71" xfId="0" applyNumberFormat="1" applyFont="1" applyFill="1" applyBorder="1"/>
    <xf numFmtId="0" fontId="84" fillId="0" borderId="0" xfId="0" applyFont="1"/>
    <xf numFmtId="184" fontId="83" fillId="0" borderId="71" xfId="0" applyNumberFormat="1" applyFont="1" applyBorder="1"/>
    <xf numFmtId="184" fontId="86" fillId="0" borderId="71" xfId="0" applyNumberFormat="1" applyFont="1" applyBorder="1"/>
    <xf numFmtId="0" fontId="33" fillId="0" borderId="0" xfId="0" applyFont="1"/>
    <xf numFmtId="0" fontId="89" fillId="0" borderId="0" xfId="0" applyFont="1"/>
    <xf numFmtId="2" fontId="33" fillId="21" borderId="30" xfId="0" applyNumberFormat="1" applyFont="1" applyFill="1" applyBorder="1" applyAlignment="1">
      <alignment horizontal="center"/>
    </xf>
    <xf numFmtId="2" fontId="33" fillId="21" borderId="13" xfId="0" applyNumberFormat="1" applyFont="1" applyFill="1" applyBorder="1" applyAlignment="1">
      <alignment horizontal="center"/>
    </xf>
    <xf numFmtId="2" fontId="33" fillId="21" borderId="43" xfId="0" applyNumberFormat="1" applyFont="1" applyFill="1" applyBorder="1" applyAlignment="1">
      <alignment horizontal="center"/>
    </xf>
    <xf numFmtId="0" fontId="33" fillId="0" borderId="0" xfId="0" applyFont="1" applyAlignment="1">
      <alignment horizontal="center" vertical="center"/>
    </xf>
    <xf numFmtId="0" fontId="33" fillId="0" borderId="1" xfId="0" applyFont="1" applyBorder="1" applyAlignment="1">
      <alignment horizontal="center"/>
    </xf>
    <xf numFmtId="2" fontId="33" fillId="21" borderId="13" xfId="0" applyNumberFormat="1" applyFont="1" applyFill="1" applyBorder="1" applyAlignment="1">
      <alignment horizontal="center" vertical="center"/>
    </xf>
    <xf numFmtId="168" fontId="33" fillId="21" borderId="13" xfId="0" applyNumberFormat="1" applyFont="1" applyFill="1" applyBorder="1" applyAlignment="1">
      <alignment horizontal="center"/>
    </xf>
    <xf numFmtId="2" fontId="33" fillId="0" borderId="0" xfId="0" applyNumberFormat="1" applyFont="1"/>
    <xf numFmtId="0" fontId="92" fillId="0" borderId="0" xfId="0" applyFont="1"/>
    <xf numFmtId="1" fontId="33" fillId="2" borderId="1" xfId="0" applyNumberFormat="1" applyFont="1" applyFill="1" applyBorder="1"/>
    <xf numFmtId="2" fontId="33" fillId="2" borderId="1" xfId="0" applyNumberFormat="1" applyFont="1" applyFill="1" applyBorder="1"/>
    <xf numFmtId="1" fontId="33" fillId="2" borderId="1" xfId="0" applyNumberFormat="1" applyFont="1" applyFill="1" applyBorder="1" applyAlignment="1">
      <alignment horizontal="center"/>
    </xf>
    <xf numFmtId="171" fontId="33" fillId="2" borderId="1" xfId="0" applyNumberFormat="1" applyFont="1" applyFill="1" applyBorder="1" applyAlignment="1">
      <alignment horizontal="center"/>
    </xf>
    <xf numFmtId="0" fontId="88" fillId="0" borderId="21" xfId="0" applyFont="1" applyBorder="1" applyAlignment="1">
      <alignment horizontal="center" vertical="center"/>
    </xf>
    <xf numFmtId="0" fontId="93" fillId="0" borderId="0" xfId="0" applyFont="1" applyAlignment="1">
      <alignment horizontal="center" vertical="center"/>
    </xf>
    <xf numFmtId="171" fontId="88" fillId="0" borderId="0" xfId="0" applyNumberFormat="1" applyFont="1" applyAlignment="1">
      <alignment horizontal="center" vertical="center"/>
    </xf>
    <xf numFmtId="0" fontId="94" fillId="0" borderId="0" xfId="0" applyFont="1" applyAlignment="1">
      <alignment horizontal="center" vertical="center"/>
    </xf>
    <xf numFmtId="0" fontId="89" fillId="0" borderId="0" xfId="0" applyFont="1" applyAlignment="1">
      <alignment horizontal="center" vertical="center"/>
    </xf>
    <xf numFmtId="0" fontId="33" fillId="0" borderId="18" xfId="0" applyFont="1" applyBorder="1"/>
    <xf numFmtId="1" fontId="88" fillId="0" borderId="21" xfId="0" applyNumberFormat="1" applyFont="1" applyBorder="1" applyAlignment="1">
      <alignment horizontal="center" vertical="center"/>
    </xf>
    <xf numFmtId="2" fontId="95" fillId="21" borderId="13" xfId="0" applyNumberFormat="1" applyFont="1" applyFill="1" applyBorder="1" applyAlignment="1">
      <alignment horizontal="center"/>
    </xf>
    <xf numFmtId="184" fontId="56" fillId="2" borderId="1" xfId="0" applyNumberFormat="1" applyFont="1" applyFill="1" applyBorder="1" applyAlignment="1">
      <alignment horizontal="center"/>
    </xf>
    <xf numFmtId="0" fontId="33" fillId="0" borderId="0" xfId="0" applyFont="1" applyAlignment="1">
      <alignment horizontal="center"/>
    </xf>
    <xf numFmtId="167" fontId="33" fillId="0" borderId="0" xfId="0" applyNumberFormat="1" applyFont="1" applyAlignment="1">
      <alignment horizontal="center"/>
    </xf>
    <xf numFmtId="2" fontId="33" fillId="0" borderId="0" xfId="0" applyNumberFormat="1" applyFont="1" applyAlignment="1">
      <alignment horizontal="center"/>
    </xf>
    <xf numFmtId="1" fontId="33" fillId="0" borderId="0" xfId="0" applyNumberFormat="1" applyFont="1" applyAlignment="1">
      <alignment horizontal="center"/>
    </xf>
    <xf numFmtId="0" fontId="96" fillId="0" borderId="0" xfId="0" applyFont="1" applyAlignment="1">
      <alignment vertical="top" wrapText="1"/>
    </xf>
    <xf numFmtId="169" fontId="33" fillId="0" borderId="0" xfId="0" applyNumberFormat="1" applyFont="1" applyAlignment="1">
      <alignment horizontal="center"/>
    </xf>
    <xf numFmtId="0" fontId="97" fillId="22" borderId="0" xfId="0" applyFont="1" applyFill="1" applyAlignment="1">
      <alignment horizontal="center"/>
    </xf>
    <xf numFmtId="0" fontId="98" fillId="0" borderId="0" xfId="0" applyFont="1" applyAlignment="1">
      <alignment horizontal="center"/>
    </xf>
    <xf numFmtId="0" fontId="99" fillId="23" borderId="0" xfId="0" applyFont="1" applyFill="1" applyAlignment="1">
      <alignment horizontal="center"/>
    </xf>
    <xf numFmtId="172" fontId="33" fillId="0" borderId="0" xfId="0" applyNumberFormat="1" applyFont="1" applyAlignment="1">
      <alignment horizontal="center"/>
    </xf>
    <xf numFmtId="0" fontId="99" fillId="23" borderId="0" xfId="0" applyFont="1" applyFill="1" applyAlignment="1">
      <alignment horizontal="center" vertical="center"/>
    </xf>
    <xf numFmtId="0" fontId="100" fillId="23" borderId="0" xfId="0" applyFont="1" applyFill="1" applyAlignment="1">
      <alignment horizontal="center"/>
    </xf>
    <xf numFmtId="0" fontId="92" fillId="0" borderId="0" xfId="0" applyFont="1" applyAlignment="1">
      <alignment horizontal="center"/>
    </xf>
    <xf numFmtId="176" fontId="98" fillId="0" borderId="0" xfId="0" applyNumberFormat="1" applyFont="1" applyAlignment="1">
      <alignment horizontal="center"/>
    </xf>
    <xf numFmtId="168" fontId="99" fillId="23" borderId="0" xfId="0" applyNumberFormat="1" applyFont="1" applyFill="1" applyAlignment="1">
      <alignment horizontal="center"/>
    </xf>
    <xf numFmtId="1" fontId="98" fillId="0" borderId="0" xfId="0" applyNumberFormat="1" applyFont="1" applyAlignment="1">
      <alignment horizontal="center"/>
    </xf>
    <xf numFmtId="0" fontId="96" fillId="0" borderId="0" xfId="0" applyFont="1" applyAlignment="1">
      <alignment horizontal="left" vertical="top" wrapText="1"/>
    </xf>
    <xf numFmtId="0" fontId="0" fillId="0" borderId="0" xfId="0" applyAlignment="1">
      <alignment horizontal="left" vertical="top"/>
    </xf>
    <xf numFmtId="165" fontId="0" fillId="0" borderId="1" xfId="0" applyNumberFormat="1" applyBorder="1" applyAlignment="1" applyProtection="1">
      <alignment horizontal="center" vertical="center"/>
      <protection locked="0"/>
    </xf>
    <xf numFmtId="0" fontId="6" fillId="0" borderId="13" xfId="0" applyFont="1" applyBorder="1" applyAlignment="1">
      <alignment horizontal="center" vertical="center"/>
    </xf>
    <xf numFmtId="0" fontId="9" fillId="3" borderId="0" xfId="0" applyFont="1" applyFill="1" applyAlignment="1" applyProtection="1">
      <alignment horizontal="center"/>
      <protection locked="0"/>
    </xf>
    <xf numFmtId="0" fontId="6" fillId="0" borderId="18" xfId="0" applyFont="1" applyBorder="1" applyAlignment="1">
      <alignment horizontal="center" vertical="center"/>
    </xf>
    <xf numFmtId="195" fontId="3" fillId="0" borderId="13" xfId="0" applyNumberFormat="1" applyFont="1" applyBorder="1" applyAlignment="1">
      <alignment horizontal="center" vertical="center"/>
    </xf>
    <xf numFmtId="197" fontId="3" fillId="0" borderId="13" xfId="0" applyNumberFormat="1" applyFont="1" applyBorder="1" applyAlignment="1">
      <alignment horizontal="center" vertical="center"/>
    </xf>
    <xf numFmtId="196" fontId="3" fillId="0" borderId="58" xfId="0" applyNumberFormat="1" applyFont="1" applyBorder="1" applyAlignment="1">
      <alignment horizontal="center" vertical="center"/>
    </xf>
    <xf numFmtId="0" fontId="89" fillId="0" borderId="0" xfId="0" applyFont="1" applyAlignment="1">
      <alignment horizontal="left" vertical="top" wrapText="1"/>
    </xf>
    <xf numFmtId="0" fontId="9" fillId="2" borderId="72" xfId="0" applyFont="1" applyFill="1" applyBorder="1" applyAlignment="1">
      <alignment horizontal="center" vertical="center" wrapText="1"/>
    </xf>
    <xf numFmtId="4" fontId="0" fillId="0" borderId="72" xfId="0" applyNumberFormat="1" applyBorder="1" applyAlignment="1">
      <alignment horizontal="center" vertical="center"/>
    </xf>
    <xf numFmtId="0" fontId="0" fillId="0" borderId="72" xfId="0" applyBorder="1" applyAlignment="1">
      <alignment horizontal="center" vertical="center" wrapText="1"/>
    </xf>
    <xf numFmtId="0" fontId="25" fillId="0" borderId="0" xfId="0" applyFont="1"/>
    <xf numFmtId="0" fontId="9" fillId="0" borderId="72" xfId="0" applyFont="1" applyBorder="1" applyAlignment="1">
      <alignment horizontal="center" vertical="center"/>
    </xf>
    <xf numFmtId="168" fontId="0" fillId="0" borderId="72" xfId="0" applyNumberFormat="1" applyBorder="1" applyAlignment="1">
      <alignment horizontal="center" vertical="center"/>
    </xf>
    <xf numFmtId="0" fontId="9" fillId="0" borderId="0" xfId="0" applyFont="1" applyAlignment="1">
      <alignment horizontal="left" vertical="center"/>
    </xf>
    <xf numFmtId="0" fontId="0" fillId="0" borderId="1" xfId="0" applyBorder="1" applyAlignment="1" applyProtection="1">
      <alignment horizontal="center"/>
      <protection locked="0"/>
    </xf>
    <xf numFmtId="0" fontId="9" fillId="0" borderId="1" xfId="0" applyFont="1" applyBorder="1" applyAlignment="1" applyProtection="1">
      <alignment horizontal="center"/>
      <protection locked="0"/>
    </xf>
    <xf numFmtId="167" fontId="0" fillId="0" borderId="1" xfId="0" applyNumberFormat="1" applyBorder="1" applyAlignment="1" applyProtection="1">
      <alignment horizontal="center"/>
      <protection locked="0"/>
    </xf>
    <xf numFmtId="0" fontId="6" fillId="0" borderId="25" xfId="0" applyFont="1" applyBorder="1" applyAlignment="1" applyProtection="1">
      <alignment horizontal="center"/>
      <protection locked="0"/>
    </xf>
    <xf numFmtId="0" fontId="0" fillId="0" borderId="0" xfId="0" applyAlignment="1" applyProtection="1">
      <alignment horizontal="center"/>
      <protection locked="0"/>
    </xf>
    <xf numFmtId="0" fontId="9" fillId="3" borderId="14" xfId="0" applyFont="1" applyFill="1" applyBorder="1" applyAlignment="1" applyProtection="1">
      <alignment horizontal="center"/>
      <protection locked="0"/>
    </xf>
    <xf numFmtId="0" fontId="6" fillId="0" borderId="1" xfId="0" applyFont="1" applyBorder="1" applyAlignment="1" applyProtection="1">
      <alignment horizontal="center"/>
      <protection locked="0"/>
    </xf>
    <xf numFmtId="0" fontId="0" fillId="0" borderId="25" xfId="0" applyBorder="1" applyAlignment="1" applyProtection="1">
      <alignment horizontal="center"/>
      <protection locked="0"/>
    </xf>
    <xf numFmtId="0" fontId="0" fillId="0" borderId="1" xfId="0" applyBorder="1" applyAlignment="1" applyProtection="1">
      <alignment horizontal="center" vertical="center"/>
      <protection locked="0"/>
    </xf>
    <xf numFmtId="165" fontId="0" fillId="4" borderId="1" xfId="0" applyNumberFormat="1" applyFill="1" applyBorder="1" applyAlignment="1" applyProtection="1">
      <alignment horizontal="center" vertical="center"/>
      <protection locked="0"/>
    </xf>
    <xf numFmtId="0" fontId="0" fillId="0" borderId="0" xfId="0" applyAlignment="1" applyProtection="1">
      <alignment horizontal="right" vertical="center"/>
      <protection locked="0"/>
    </xf>
    <xf numFmtId="0" fontId="13" fillId="0" borderId="0" xfId="0" applyFont="1" applyAlignment="1" applyProtection="1">
      <alignment horizontal="left" vertical="center"/>
      <protection locked="0"/>
    </xf>
    <xf numFmtId="0" fontId="0" fillId="0" borderId="5" xfId="0" applyBorder="1" applyAlignment="1" applyProtection="1">
      <alignment horizontal="right"/>
      <protection locked="0"/>
    </xf>
    <xf numFmtId="0" fontId="42" fillId="3" borderId="13" xfId="0" applyFont="1" applyFill="1" applyBorder="1" applyAlignment="1">
      <alignment horizontal="center" vertical="center"/>
    </xf>
    <xf numFmtId="0" fontId="9" fillId="0" borderId="24" xfId="0" applyFont="1" applyBorder="1" applyAlignment="1" applyProtection="1">
      <alignment horizontal="center"/>
      <protection locked="0"/>
    </xf>
    <xf numFmtId="0" fontId="9" fillId="0" borderId="0" xfId="0" applyFont="1" applyAlignment="1" applyProtection="1">
      <alignment horizontal="center"/>
      <protection locked="0"/>
    </xf>
    <xf numFmtId="0" fontId="0" fillId="0" borderId="44" xfId="0" applyBorder="1" applyAlignment="1" applyProtection="1">
      <alignment horizontal="center" vertical="center"/>
      <protection locked="0"/>
    </xf>
    <xf numFmtId="165" fontId="0" fillId="0" borderId="1" xfId="0" applyNumberFormat="1" applyBorder="1" applyAlignment="1" applyProtection="1">
      <alignment horizontal="center" vertical="center"/>
      <protection locked="0"/>
    </xf>
    <xf numFmtId="0" fontId="0" fillId="0" borderId="0" xfId="0" applyAlignment="1" applyProtection="1">
      <alignment horizontal="left" wrapText="1"/>
      <protection locked="0"/>
    </xf>
    <xf numFmtId="1" fontId="0" fillId="0" borderId="1" xfId="0" applyNumberFormat="1" applyBorder="1" applyAlignment="1" applyProtection="1">
      <alignment horizontal="center" vertical="center"/>
      <protection locked="0"/>
    </xf>
    <xf numFmtId="167" fontId="0" fillId="2" borderId="23" xfId="0" applyNumberFormat="1" applyFill="1" applyBorder="1" applyAlignment="1" applyProtection="1">
      <alignment horizontal="center" vertical="center"/>
      <protection locked="0"/>
    </xf>
    <xf numFmtId="0" fontId="0" fillId="0" borderId="15" xfId="0" applyBorder="1" applyAlignment="1" applyProtection="1">
      <alignment horizontal="center"/>
      <protection locked="0"/>
    </xf>
    <xf numFmtId="187" fontId="0" fillId="0" borderId="1" xfId="0" applyNumberFormat="1" applyBorder="1" applyAlignment="1" applyProtection="1">
      <alignment horizontal="center" vertical="center"/>
      <protection locked="0"/>
    </xf>
    <xf numFmtId="0" fontId="6" fillId="0" borderId="1" xfId="0" applyFont="1" applyBorder="1" applyAlignment="1" applyProtection="1">
      <alignment horizontal="center" vertical="center" wrapText="1"/>
      <protection locked="0"/>
    </xf>
    <xf numFmtId="0" fontId="9" fillId="0" borderId="44" xfId="0" applyFont="1" applyBorder="1" applyAlignment="1">
      <alignment horizontal="center" vertical="center" wrapText="1"/>
    </xf>
    <xf numFmtId="0" fontId="9" fillId="0" borderId="13" xfId="0" applyFont="1" applyBorder="1" applyAlignment="1">
      <alignment horizontal="center" wrapText="1"/>
    </xf>
    <xf numFmtId="0" fontId="0" fillId="0" borderId="44" xfId="0" applyBorder="1" applyAlignment="1">
      <alignment horizontal="center" vertical="center" wrapText="1"/>
    </xf>
    <xf numFmtId="0" fontId="0" fillId="0" borderId="13" xfId="0" applyBorder="1" applyAlignment="1">
      <alignment horizontal="center" vertical="center" wrapText="1"/>
    </xf>
    <xf numFmtId="0" fontId="6" fillId="0" borderId="1" xfId="0" applyFont="1" applyBorder="1" applyAlignment="1" applyProtection="1">
      <alignment horizontal="center" vertical="center"/>
      <protection locked="0"/>
    </xf>
    <xf numFmtId="0" fontId="0" fillId="0" borderId="0" xfId="0" applyAlignment="1" applyProtection="1">
      <alignment horizontal="center" vertical="center"/>
      <protection locked="0"/>
    </xf>
    <xf numFmtId="165" fontId="6" fillId="0" borderId="23" xfId="0" applyNumberFormat="1" applyFont="1" applyBorder="1" applyAlignment="1" applyProtection="1">
      <alignment horizontal="center" vertical="center"/>
      <protection locked="0"/>
    </xf>
    <xf numFmtId="165" fontId="6" fillId="0" borderId="1" xfId="0" applyNumberFormat="1" applyFont="1" applyBorder="1" applyAlignment="1" applyProtection="1">
      <alignment horizontal="center" vertical="center"/>
      <protection locked="0"/>
    </xf>
    <xf numFmtId="0" fontId="9" fillId="3" borderId="15" xfId="0" applyFont="1" applyFill="1" applyBorder="1" applyAlignment="1" applyProtection="1">
      <alignment horizontal="center"/>
      <protection locked="0"/>
    </xf>
    <xf numFmtId="0" fontId="0" fillId="0" borderId="13" xfId="0" applyBorder="1" applyAlignment="1" applyProtection="1">
      <alignment horizontal="center"/>
      <protection locked="0"/>
    </xf>
    <xf numFmtId="0" fontId="6" fillId="0" borderId="0" xfId="0" applyFont="1" applyAlignment="1" applyProtection="1">
      <alignment horizontal="center"/>
      <protection locked="0"/>
    </xf>
    <xf numFmtId="0" fontId="31" fillId="0" borderId="4"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1" fontId="9" fillId="0" borderId="1" xfId="0" applyNumberFormat="1" applyFont="1" applyBorder="1" applyAlignment="1" applyProtection="1">
      <alignment horizontal="center"/>
      <protection locked="0"/>
    </xf>
    <xf numFmtId="0" fontId="13" fillId="0" borderId="0" xfId="0" applyFont="1" applyAlignment="1" applyProtection="1">
      <alignment horizontal="center" vertical="top" wrapText="1"/>
      <protection locked="0"/>
    </xf>
    <xf numFmtId="0" fontId="9" fillId="0" borderId="11" xfId="0" applyFont="1" applyBorder="1" applyAlignment="1" applyProtection="1">
      <alignment horizontal="center" vertical="center"/>
      <protection locked="0"/>
    </xf>
    <xf numFmtId="0" fontId="0" fillId="2" borderId="1" xfId="0" applyFill="1" applyBorder="1" applyAlignment="1" applyProtection="1">
      <alignment horizontal="center" vertical="center"/>
      <protection locked="0"/>
    </xf>
    <xf numFmtId="0" fontId="13" fillId="0" borderId="6" xfId="0" applyFont="1" applyBorder="1" applyAlignment="1" applyProtection="1">
      <alignment horizontal="left" vertical="center"/>
      <protection locked="0"/>
    </xf>
    <xf numFmtId="0" fontId="13" fillId="0" borderId="0" xfId="0" applyFont="1" applyAlignment="1" applyProtection="1">
      <alignment horizontal="left" vertical="top" wrapText="1"/>
      <protection locked="0"/>
    </xf>
    <xf numFmtId="0" fontId="0" fillId="0" borderId="14" xfId="0" applyBorder="1" applyAlignment="1" applyProtection="1">
      <alignment horizontal="center"/>
      <protection locked="0"/>
    </xf>
    <xf numFmtId="1" fontId="0" fillId="0" borderId="14" xfId="0" applyNumberFormat="1" applyBorder="1" applyAlignment="1" applyProtection="1">
      <alignment horizontal="center"/>
      <protection locked="0"/>
    </xf>
    <xf numFmtId="0" fontId="9" fillId="0" borderId="13" xfId="0" applyFont="1" applyBorder="1" applyAlignment="1" applyProtection="1">
      <alignment horizontal="center"/>
      <protection locked="0"/>
    </xf>
    <xf numFmtId="0" fontId="9" fillId="0" borderId="14" xfId="0" applyFont="1" applyBorder="1" applyAlignment="1" applyProtection="1">
      <alignment horizontal="center"/>
      <protection locked="0"/>
    </xf>
    <xf numFmtId="0" fontId="9" fillId="0" borderId="15" xfId="0" applyFont="1" applyBorder="1" applyAlignment="1" applyProtection="1">
      <alignment horizontal="center"/>
      <protection locked="0"/>
    </xf>
    <xf numFmtId="0" fontId="9" fillId="0" borderId="36" xfId="0" applyFont="1" applyBorder="1" applyAlignment="1" applyProtection="1">
      <alignment horizontal="center" vertical="center" wrapText="1"/>
      <protection locked="0"/>
    </xf>
    <xf numFmtId="0" fontId="9" fillId="0" borderId="32" xfId="0" applyFont="1" applyBorder="1" applyAlignment="1" applyProtection="1">
      <alignment horizontal="center" vertical="center" wrapText="1"/>
      <protection locked="0"/>
    </xf>
    <xf numFmtId="0" fontId="0" fillId="0" borderId="38" xfId="0" applyBorder="1" applyAlignment="1" applyProtection="1">
      <alignment horizontal="center" vertical="center"/>
      <protection locked="0"/>
    </xf>
    <xf numFmtId="0" fontId="9" fillId="0" borderId="37" xfId="0" applyFont="1" applyBorder="1" applyAlignment="1" applyProtection="1">
      <alignment horizontal="center" vertical="center" wrapText="1"/>
      <protection locked="0"/>
    </xf>
    <xf numFmtId="0" fontId="0" fillId="0" borderId="16" xfId="0" applyBorder="1" applyAlignment="1" applyProtection="1">
      <alignment horizontal="center" vertical="center"/>
      <protection locked="0"/>
    </xf>
    <xf numFmtId="0" fontId="0" fillId="0" borderId="34" xfId="0" applyBorder="1" applyAlignment="1" applyProtection="1">
      <alignment horizontal="center"/>
      <protection locked="0"/>
    </xf>
    <xf numFmtId="0" fontId="25" fillId="0" borderId="35" xfId="0" applyFont="1" applyBorder="1" applyAlignment="1" applyProtection="1">
      <alignment horizontal="center" vertical="center"/>
      <protection locked="0"/>
    </xf>
    <xf numFmtId="0" fontId="0" fillId="0" borderId="34" xfId="0" applyBorder="1" applyAlignment="1" applyProtection="1">
      <alignment horizontal="center" vertical="center"/>
      <protection locked="0"/>
    </xf>
    <xf numFmtId="0" fontId="0" fillId="0" borderId="35" xfId="0" applyBorder="1" applyAlignment="1" applyProtection="1">
      <alignment horizontal="center" vertical="center"/>
      <protection locked="0"/>
    </xf>
    <xf numFmtId="2" fontId="9" fillId="0" borderId="1" xfId="0" applyNumberFormat="1" applyFont="1" applyBorder="1" applyAlignment="1" applyProtection="1">
      <alignment horizontal="center"/>
      <protection locked="0"/>
    </xf>
    <xf numFmtId="2" fontId="0" fillId="0" borderId="1" xfId="0" applyNumberFormat="1" applyBorder="1" applyAlignment="1" applyProtection="1">
      <alignment horizontal="center"/>
      <protection locked="0"/>
    </xf>
    <xf numFmtId="0" fontId="24" fillId="0" borderId="0" xfId="0" applyFont="1" applyAlignment="1" applyProtection="1">
      <alignment horizontal="center"/>
      <protection locked="0"/>
    </xf>
    <xf numFmtId="0" fontId="23" fillId="0" borderId="0" xfId="0" applyFont="1" applyAlignment="1" applyProtection="1">
      <alignment horizontal="center"/>
      <protection locked="0"/>
    </xf>
    <xf numFmtId="0" fontId="0" fillId="0" borderId="23" xfId="0" applyBorder="1" applyAlignment="1">
      <alignment horizontal="center" vertical="center"/>
    </xf>
    <xf numFmtId="0" fontId="23" fillId="2" borderId="0" xfId="0" applyFont="1" applyFill="1" applyAlignment="1" applyProtection="1">
      <alignment horizontal="center"/>
      <protection locked="0"/>
    </xf>
    <xf numFmtId="169" fontId="21" fillId="0" borderId="0" xfId="0" applyNumberFormat="1" applyFont="1" applyAlignment="1" applyProtection="1">
      <alignment horizontal="center" vertical="center"/>
      <protection locked="0"/>
    </xf>
    <xf numFmtId="0" fontId="0" fillId="0" borderId="14" xfId="0" applyBorder="1" applyAlignment="1" applyProtection="1">
      <alignment horizontal="center" vertical="center"/>
      <protection locked="0"/>
    </xf>
    <xf numFmtId="0" fontId="20" fillId="0" borderId="13" xfId="0" applyFont="1" applyBorder="1" applyAlignment="1">
      <alignment horizontal="center"/>
    </xf>
    <xf numFmtId="0" fontId="9" fillId="0" borderId="14" xfId="0" applyFont="1" applyBorder="1" applyAlignment="1" applyProtection="1">
      <alignment horizontal="center" vertical="center"/>
      <protection locked="0"/>
    </xf>
    <xf numFmtId="0" fontId="9" fillId="0" borderId="13" xfId="0" applyFont="1" applyBorder="1" applyAlignment="1" applyProtection="1">
      <alignment horizontal="center" vertical="center" wrapText="1"/>
      <protection locked="0"/>
    </xf>
    <xf numFmtId="0" fontId="0" fillId="0" borderId="13" xfId="0" applyBorder="1" applyAlignment="1" applyProtection="1">
      <alignment horizontal="left" vertical="top" wrapText="1"/>
      <protection locked="0"/>
    </xf>
    <xf numFmtId="0" fontId="0" fillId="0" borderId="13" xfId="0" applyBorder="1" applyAlignment="1" applyProtection="1">
      <alignment horizontal="center" vertical="center" wrapText="1"/>
      <protection locked="0"/>
    </xf>
    <xf numFmtId="0" fontId="9" fillId="0" borderId="13" xfId="0" applyFont="1" applyBorder="1" applyAlignment="1">
      <alignment horizontal="center" vertical="center" wrapText="1"/>
    </xf>
    <xf numFmtId="0" fontId="6" fillId="0" borderId="13" xfId="0" applyFont="1" applyBorder="1" applyAlignment="1" applyProtection="1">
      <alignment horizontal="center"/>
      <protection locked="0"/>
    </xf>
    <xf numFmtId="0" fontId="14" fillId="0" borderId="13" xfId="0" applyFont="1"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6" fillId="0" borderId="13" xfId="0" applyFont="1" applyBorder="1" applyAlignment="1">
      <alignment horizontal="center" vertical="center"/>
    </xf>
    <xf numFmtId="0" fontId="0" fillId="0" borderId="13" xfId="0" applyBorder="1" applyAlignment="1" applyProtection="1">
      <alignment horizontal="left" vertical="center" wrapText="1"/>
      <protection locked="0"/>
    </xf>
    <xf numFmtId="0" fontId="6" fillId="0" borderId="13" xfId="0" applyFont="1" applyBorder="1" applyAlignment="1">
      <alignment horizontal="center"/>
    </xf>
    <xf numFmtId="0" fontId="4" fillId="0" borderId="10" xfId="0" applyFont="1" applyBorder="1" applyAlignment="1" applyProtection="1">
      <alignment horizontal="center"/>
      <protection locked="0"/>
    </xf>
    <xf numFmtId="0" fontId="7" fillId="0" borderId="12" xfId="0" applyFont="1" applyBorder="1" applyAlignment="1" applyProtection="1">
      <alignment horizontal="center"/>
      <protection locked="0"/>
    </xf>
    <xf numFmtId="0" fontId="8" fillId="3" borderId="13" xfId="0" applyFont="1" applyFill="1" applyBorder="1" applyAlignment="1" applyProtection="1">
      <alignment horizontal="center" vertical="center"/>
      <protection locked="0"/>
    </xf>
    <xf numFmtId="0" fontId="0" fillId="0" borderId="0" xfId="0" applyAlignment="1">
      <alignment horizontal="center"/>
    </xf>
    <xf numFmtId="0" fontId="11" fillId="0" borderId="13"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0" fillId="0" borderId="1" xfId="0" applyBorder="1" applyAlignment="1">
      <alignment horizontal="center" vertical="center"/>
      <extLst>
        <ext xmlns:xfpb="http://schemas.microsoft.com/office/spreadsheetml/2022/featurepropertybag" uri="{C7286773-470A-42A8-94C5-96B5CB345126}">
          <xfpb:xfComplement i="0"/>
        </ext>
      </extLst>
    </xf>
    <xf numFmtId="0" fontId="3" fillId="0" borderId="2" xfId="0" applyFont="1" applyBorder="1" applyAlignment="1" applyProtection="1">
      <alignment horizontal="center"/>
      <protection locked="0"/>
    </xf>
    <xf numFmtId="0" fontId="4" fillId="0" borderId="3" xfId="0" applyFont="1" applyBorder="1" applyAlignment="1" applyProtection="1">
      <alignment horizontal="center"/>
      <protection locked="0"/>
    </xf>
    <xf numFmtId="0" fontId="3" fillId="0" borderId="4" xfId="0" applyFont="1" applyBorder="1" applyAlignment="1" applyProtection="1">
      <alignment horizontal="center"/>
      <protection locked="0"/>
    </xf>
    <xf numFmtId="166" fontId="4" fillId="0" borderId="5" xfId="0" applyNumberFormat="1" applyFont="1" applyBorder="1" applyAlignment="1" applyProtection="1">
      <alignment horizontal="center"/>
      <protection locked="0"/>
    </xf>
    <xf numFmtId="0" fontId="3" fillId="0" borderId="6" xfId="0" applyFont="1" applyBorder="1" applyAlignment="1" applyProtection="1">
      <alignment horizontal="center"/>
      <protection locked="0"/>
    </xf>
    <xf numFmtId="166" fontId="4" fillId="0" borderId="7" xfId="0" applyNumberFormat="1" applyFont="1" applyBorder="1" applyAlignment="1" applyProtection="1">
      <alignment horizontal="center"/>
      <protection locked="0"/>
    </xf>
    <xf numFmtId="0" fontId="3" fillId="0" borderId="8" xfId="0" applyFont="1" applyBorder="1" applyAlignment="1" applyProtection="1">
      <alignment horizontal="center" vertical="center" wrapText="1"/>
      <protection locked="0"/>
    </xf>
    <xf numFmtId="0" fontId="46" fillId="7" borderId="13" xfId="3" applyFont="1" applyFill="1" applyBorder="1" applyAlignment="1">
      <alignment horizontal="center"/>
    </xf>
    <xf numFmtId="0" fontId="46" fillId="7" borderId="13" xfId="3" applyFont="1" applyFill="1" applyBorder="1" applyAlignment="1">
      <alignment horizontal="center" wrapText="1"/>
    </xf>
    <xf numFmtId="0" fontId="46" fillId="8" borderId="1" xfId="3" applyFont="1" applyFill="1" applyBorder="1" applyAlignment="1">
      <alignment horizontal="center" vertical="center" wrapText="1"/>
    </xf>
    <xf numFmtId="0" fontId="9" fillId="3" borderId="0" xfId="0" applyFont="1" applyFill="1" applyAlignment="1" applyProtection="1">
      <alignment horizontal="center"/>
      <protection locked="0"/>
    </xf>
    <xf numFmtId="0" fontId="0" fillId="0" borderId="47" xfId="0" applyBorder="1" applyAlignment="1" applyProtection="1">
      <alignment horizontal="center"/>
      <protection locked="0"/>
    </xf>
    <xf numFmtId="0" fontId="0" fillId="0" borderId="55" xfId="0" applyBorder="1" applyAlignment="1" applyProtection="1">
      <alignment horizontal="center"/>
      <protection locked="0"/>
    </xf>
    <xf numFmtId="0" fontId="0" fillId="0" borderId="8" xfId="0" applyBorder="1" applyAlignment="1">
      <alignment horizontal="center" vertical="center"/>
    </xf>
    <xf numFmtId="0" fontId="0" fillId="0" borderId="34" xfId="0" applyBorder="1" applyAlignment="1" applyProtection="1">
      <alignment horizontal="center" vertical="center" wrapText="1"/>
      <protection locked="0"/>
    </xf>
    <xf numFmtId="0" fontId="0" fillId="0" borderId="0" xfId="0" applyAlignment="1">
      <alignment horizontal="center" vertical="center"/>
    </xf>
    <xf numFmtId="0" fontId="0" fillId="0" borderId="10" xfId="0" applyBorder="1" applyAlignment="1" applyProtection="1">
      <alignment horizontal="center"/>
      <protection locked="0"/>
    </xf>
    <xf numFmtId="0" fontId="26" fillId="0" borderId="25" xfId="0" applyFont="1" applyBorder="1" applyAlignment="1">
      <alignment horizontal="center"/>
    </xf>
    <xf numFmtId="0" fontId="0" fillId="0" borderId="8" xfId="0" applyBorder="1" applyAlignment="1">
      <alignment horizontal="center" vertical="center" wrapText="1"/>
    </xf>
    <xf numFmtId="1" fontId="0" fillId="0" borderId="41" xfId="0" applyNumberFormat="1" applyBorder="1" applyAlignment="1" applyProtection="1">
      <alignment horizontal="center"/>
      <protection locked="0"/>
    </xf>
    <xf numFmtId="1" fontId="0" fillId="0" borderId="10" xfId="0" applyNumberFormat="1" applyBorder="1" applyAlignment="1" applyProtection="1">
      <alignment horizontal="center"/>
      <protection locked="0"/>
    </xf>
    <xf numFmtId="0" fontId="0" fillId="0" borderId="48" xfId="0" applyBorder="1" applyAlignment="1" applyProtection="1">
      <alignment horizontal="center"/>
      <protection locked="0"/>
    </xf>
    <xf numFmtId="1" fontId="0" fillId="0" borderId="8" xfId="0" applyNumberFormat="1" applyBorder="1" applyAlignment="1" applyProtection="1">
      <alignment horizontal="center"/>
      <protection locked="0"/>
    </xf>
    <xf numFmtId="0" fontId="0" fillId="0" borderId="51" xfId="0" applyBorder="1" applyAlignment="1" applyProtection="1">
      <alignment horizontal="center"/>
      <protection locked="0"/>
    </xf>
    <xf numFmtId="0" fontId="26" fillId="0" borderId="1" xfId="0" applyFont="1" applyBorder="1" applyAlignment="1">
      <alignment horizontal="center"/>
    </xf>
    <xf numFmtId="0" fontId="0" fillId="0" borderId="8" xfId="0" applyBorder="1" applyAlignment="1" applyProtection="1">
      <alignment horizontal="center" vertical="center" wrapText="1"/>
      <protection locked="0"/>
    </xf>
    <xf numFmtId="0" fontId="0" fillId="0" borderId="8" xfId="0" applyBorder="1" applyAlignment="1" applyProtection="1">
      <alignment horizontal="center"/>
      <protection locked="0"/>
    </xf>
    <xf numFmtId="0" fontId="0" fillId="5" borderId="0" xfId="0" applyFill="1" applyAlignment="1">
      <alignment horizontal="center"/>
    </xf>
    <xf numFmtId="171" fontId="0" fillId="0" borderId="13" xfId="0" applyNumberFormat="1" applyBorder="1" applyAlignment="1" applyProtection="1">
      <alignment horizontal="center"/>
      <protection locked="0"/>
    </xf>
    <xf numFmtId="0" fontId="0" fillId="0" borderId="16" xfId="0" applyBorder="1" applyAlignment="1" applyProtection="1">
      <alignment horizontal="center"/>
      <protection locked="0"/>
    </xf>
    <xf numFmtId="0" fontId="0" fillId="0" borderId="30" xfId="0" applyBorder="1" applyAlignment="1" applyProtection="1">
      <alignment horizontal="left" vertical="center" wrapText="1"/>
      <protection locked="0"/>
    </xf>
    <xf numFmtId="0" fontId="0" fillId="0" borderId="30" xfId="0" applyBorder="1" applyAlignment="1" applyProtection="1">
      <alignment horizontal="center" vertical="center" wrapText="1"/>
      <protection locked="0"/>
    </xf>
    <xf numFmtId="199" fontId="6" fillId="0" borderId="0" xfId="0" applyNumberFormat="1" applyFont="1" applyAlignment="1">
      <alignment horizontal="center"/>
    </xf>
    <xf numFmtId="0" fontId="6" fillId="0" borderId="18" xfId="0" applyFont="1" applyBorder="1" applyAlignment="1">
      <alignment horizontal="center" vertical="center"/>
    </xf>
    <xf numFmtId="195" fontId="3" fillId="0" borderId="13" xfId="0" applyNumberFormat="1" applyFont="1" applyBorder="1" applyAlignment="1">
      <alignment horizontal="center" vertical="center"/>
    </xf>
    <xf numFmtId="197" fontId="3" fillId="0" borderId="13" xfId="0" applyNumberFormat="1" applyFont="1" applyBorder="1" applyAlignment="1">
      <alignment horizontal="center" vertical="center"/>
    </xf>
    <xf numFmtId="198" fontId="6" fillId="0" borderId="0" xfId="0" applyNumberFormat="1" applyFont="1" applyAlignment="1">
      <alignment horizontal="center"/>
    </xf>
    <xf numFmtId="1" fontId="6" fillId="0" borderId="13" xfId="0" applyNumberFormat="1" applyFont="1" applyBorder="1" applyAlignment="1">
      <alignment horizontal="center" vertical="center"/>
    </xf>
    <xf numFmtId="0" fontId="6" fillId="0" borderId="0" xfId="0" applyFont="1" applyAlignment="1">
      <alignment horizontal="center"/>
    </xf>
    <xf numFmtId="196" fontId="3" fillId="0" borderId="58" xfId="0" applyNumberFormat="1" applyFont="1" applyBorder="1" applyAlignment="1">
      <alignment horizontal="center" vertical="center"/>
    </xf>
    <xf numFmtId="0" fontId="14" fillId="0" borderId="1" xfId="0" applyFont="1" applyBorder="1" applyAlignment="1">
      <alignment horizontal="center"/>
    </xf>
    <xf numFmtId="172" fontId="6" fillId="0" borderId="1" xfId="0" applyNumberFormat="1" applyFont="1" applyBorder="1" applyAlignment="1">
      <alignment horizontal="center" vertical="center"/>
    </xf>
    <xf numFmtId="0" fontId="64" fillId="0" borderId="13" xfId="0" applyFont="1" applyBorder="1" applyAlignment="1">
      <alignment horizontal="center" vertical="center"/>
    </xf>
    <xf numFmtId="0" fontId="6" fillId="0" borderId="1" xfId="0" applyFont="1" applyBorder="1" applyAlignment="1">
      <alignment horizontal="center" vertical="center"/>
    </xf>
    <xf numFmtId="165" fontId="6"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0" fontId="14" fillId="0" borderId="1" xfId="0" applyFont="1" applyBorder="1" applyAlignment="1" applyProtection="1">
      <alignment horizontal="center" vertical="center"/>
      <protection locked="0"/>
    </xf>
    <xf numFmtId="0" fontId="26" fillId="3" borderId="13" xfId="0" applyFont="1" applyFill="1" applyBorder="1" applyAlignment="1">
      <alignment horizontal="center"/>
    </xf>
    <xf numFmtId="0" fontId="6" fillId="0" borderId="8" xfId="0" applyFont="1" applyBorder="1" applyAlignment="1" applyProtection="1">
      <alignment horizontal="center"/>
      <protection locked="0"/>
    </xf>
    <xf numFmtId="0" fontId="9" fillId="0" borderId="19" xfId="0" applyFont="1" applyBorder="1" applyAlignment="1">
      <alignment horizontal="center"/>
    </xf>
    <xf numFmtId="0" fontId="0" fillId="0" borderId="22" xfId="0" applyBorder="1" applyAlignment="1">
      <alignment horizontal="center"/>
    </xf>
    <xf numFmtId="0" fontId="9" fillId="0" borderId="44" xfId="0" applyFont="1" applyBorder="1" applyAlignment="1">
      <alignment horizontal="center"/>
    </xf>
    <xf numFmtId="0" fontId="0" fillId="0" borderId="24" xfId="0" applyBorder="1" applyAlignment="1">
      <alignment horizontal="center"/>
    </xf>
    <xf numFmtId="0" fontId="63" fillId="3" borderId="13" xfId="0" applyFont="1" applyFill="1" applyBorder="1" applyAlignment="1">
      <alignment horizontal="center"/>
    </xf>
    <xf numFmtId="199" fontId="6" fillId="0" borderId="16" xfId="0" applyNumberFormat="1" applyFont="1" applyBorder="1" applyAlignment="1">
      <alignment horizontal="center"/>
    </xf>
    <xf numFmtId="0" fontId="6" fillId="0" borderId="58" xfId="0" applyFont="1" applyBorder="1" applyAlignment="1">
      <alignment horizontal="center" vertical="center"/>
    </xf>
    <xf numFmtId="195" fontId="3" fillId="2" borderId="58" xfId="0" applyNumberFormat="1" applyFont="1" applyFill="1" applyBorder="1" applyAlignment="1">
      <alignment horizontal="center" vertical="center"/>
    </xf>
    <xf numFmtId="197" fontId="3" fillId="0" borderId="58" xfId="0" applyNumberFormat="1" applyFont="1" applyBorder="1" applyAlignment="1">
      <alignment horizontal="center" vertical="center"/>
    </xf>
    <xf numFmtId="203" fontId="6" fillId="0" borderId="69" xfId="0" applyNumberFormat="1" applyFont="1" applyBorder="1" applyAlignment="1">
      <alignment horizontal="center" vertical="center"/>
    </xf>
    <xf numFmtId="166" fontId="14" fillId="0" borderId="69" xfId="0" applyNumberFormat="1" applyFont="1" applyBorder="1" applyAlignment="1">
      <alignment horizontal="center" vertical="center"/>
    </xf>
    <xf numFmtId="200" fontId="6" fillId="0" borderId="69" xfId="0" applyNumberFormat="1" applyFont="1" applyBorder="1" applyAlignment="1">
      <alignment horizontal="center" vertical="center"/>
    </xf>
    <xf numFmtId="1" fontId="6" fillId="0" borderId="58" xfId="0" applyNumberFormat="1" applyFont="1" applyBorder="1" applyAlignment="1">
      <alignment horizontal="center" vertical="center"/>
    </xf>
    <xf numFmtId="202" fontId="6" fillId="0" borderId="69" xfId="0" applyNumberFormat="1" applyFont="1" applyBorder="1" applyAlignment="1">
      <alignment horizontal="center" vertical="center"/>
    </xf>
    <xf numFmtId="0" fontId="9" fillId="3" borderId="0" xfId="0" applyFont="1" applyFill="1" applyAlignment="1">
      <alignment horizontal="center"/>
    </xf>
    <xf numFmtId="0" fontId="13" fillId="0" borderId="0" xfId="0" applyFont="1" applyAlignment="1">
      <alignment horizontal="left" vertical="top" wrapText="1"/>
    </xf>
    <xf numFmtId="0" fontId="0" fillId="0" borderId="18" xfId="0" applyBorder="1" applyAlignment="1">
      <alignment horizontal="center" vertical="center"/>
    </xf>
    <xf numFmtId="0" fontId="0" fillId="0" borderId="18" xfId="0" applyBorder="1" applyAlignment="1">
      <alignment horizontal="right" vertical="center"/>
    </xf>
    <xf numFmtId="0" fontId="0" fillId="2" borderId="13" xfId="0" applyFill="1" applyBorder="1" applyAlignment="1">
      <alignment horizontal="center" vertical="center"/>
    </xf>
    <xf numFmtId="0" fontId="13" fillId="0" borderId="0" xfId="0" applyFont="1" applyAlignment="1">
      <alignment horizontal="left" wrapText="1"/>
    </xf>
    <xf numFmtId="0" fontId="14" fillId="0" borderId="13" xfId="0" applyFont="1" applyBorder="1" applyAlignment="1">
      <alignment horizontal="center"/>
    </xf>
    <xf numFmtId="0" fontId="14" fillId="0" borderId="13" xfId="0" applyFont="1" applyBorder="1" applyAlignment="1">
      <alignment horizontal="center" vertical="center"/>
    </xf>
    <xf numFmtId="201" fontId="6" fillId="0" borderId="16" xfId="0" applyNumberFormat="1" applyFont="1" applyBorder="1" applyAlignment="1">
      <alignment horizontal="center"/>
    </xf>
    <xf numFmtId="166" fontId="14" fillId="0" borderId="13" xfId="0" applyNumberFormat="1" applyFont="1" applyBorder="1" applyAlignment="1">
      <alignment horizontal="center" vertical="center"/>
    </xf>
    <xf numFmtId="1" fontId="3" fillId="12" borderId="58" xfId="0" applyNumberFormat="1" applyFont="1" applyFill="1" applyBorder="1" applyAlignment="1" applyProtection="1">
      <alignment horizontal="center" vertical="center"/>
      <protection locked="0"/>
    </xf>
    <xf numFmtId="2" fontId="3" fillId="0" borderId="58" xfId="0" applyNumberFormat="1" applyFont="1" applyBorder="1" applyAlignment="1">
      <alignment horizontal="center" vertical="center"/>
    </xf>
    <xf numFmtId="168" fontId="3" fillId="0" borderId="65" xfId="0" applyNumberFormat="1" applyFont="1" applyBorder="1" applyAlignment="1">
      <alignment horizontal="center" vertical="center"/>
    </xf>
    <xf numFmtId="0" fontId="27" fillId="0" borderId="68" xfId="0" applyFont="1" applyBorder="1" applyAlignment="1">
      <alignment horizontal="center" vertical="center"/>
    </xf>
    <xf numFmtId="0" fontId="3" fillId="0" borderId="43" xfId="0" applyFont="1" applyBorder="1" applyAlignment="1">
      <alignment horizontal="center" vertical="center"/>
    </xf>
    <xf numFmtId="0" fontId="31" fillId="3" borderId="21" xfId="0" applyFont="1" applyFill="1" applyBorder="1" applyAlignment="1">
      <alignment horizontal="center"/>
    </xf>
    <xf numFmtId="0" fontId="6" fillId="0" borderId="16" xfId="0" applyFont="1" applyBorder="1" applyAlignment="1">
      <alignment horizontal="center"/>
    </xf>
    <xf numFmtId="200" fontId="6" fillId="0" borderId="13" xfId="0" applyNumberFormat="1" applyFont="1" applyBorder="1" applyAlignment="1">
      <alignment horizontal="center" vertical="center"/>
    </xf>
    <xf numFmtId="2" fontId="6" fillId="0" borderId="13" xfId="0" applyNumberFormat="1" applyFont="1" applyBorder="1" applyAlignment="1">
      <alignment horizontal="center" vertical="center"/>
    </xf>
    <xf numFmtId="1" fontId="3" fillId="12" borderId="13" xfId="0" applyNumberFormat="1" applyFont="1" applyFill="1" applyBorder="1" applyAlignment="1" applyProtection="1">
      <alignment horizontal="center" vertical="center"/>
      <protection locked="0"/>
    </xf>
    <xf numFmtId="2" fontId="3" fillId="0" borderId="13" xfId="0" applyNumberFormat="1" applyFont="1" applyBorder="1" applyAlignment="1">
      <alignment horizontal="center" vertical="center"/>
    </xf>
    <xf numFmtId="168" fontId="3" fillId="0" borderId="63" xfId="0" applyNumberFormat="1" applyFont="1" applyBorder="1" applyAlignment="1">
      <alignment horizontal="center" vertical="center"/>
    </xf>
    <xf numFmtId="200" fontId="3" fillId="0" borderId="67" xfId="0" applyNumberFormat="1" applyFont="1" applyBorder="1" applyAlignment="1">
      <alignment horizontal="center" vertical="center"/>
    </xf>
    <xf numFmtId="166" fontId="14" fillId="0" borderId="67" xfId="0" applyNumberFormat="1" applyFont="1" applyBorder="1" applyAlignment="1">
      <alignment horizontal="center" vertical="center"/>
    </xf>
    <xf numFmtId="0" fontId="3" fillId="0" borderId="13" xfId="0" applyFont="1" applyBorder="1" applyAlignment="1">
      <alignment horizontal="center" vertical="center"/>
    </xf>
    <xf numFmtId="0" fontId="3" fillId="0" borderId="63" xfId="0" applyFont="1" applyBorder="1" applyAlignment="1">
      <alignment horizontal="center" vertical="center"/>
    </xf>
    <xf numFmtId="0" fontId="27" fillId="3" borderId="59" xfId="0" applyFont="1" applyFill="1" applyBorder="1" applyAlignment="1">
      <alignment horizontal="center"/>
    </xf>
    <xf numFmtId="0" fontId="65" fillId="0" borderId="0" xfId="0" applyFont="1" applyAlignment="1">
      <alignment horizontal="center"/>
    </xf>
    <xf numFmtId="0" fontId="3" fillId="0" borderId="58" xfId="0" applyFont="1" applyBorder="1" applyAlignment="1">
      <alignment horizontal="center"/>
    </xf>
    <xf numFmtId="0" fontId="3" fillId="0" borderId="66" xfId="0" applyFont="1" applyBorder="1" applyAlignment="1">
      <alignment horizontal="center" vertical="center"/>
    </xf>
    <xf numFmtId="195" fontId="3" fillId="0" borderId="58" xfId="0" applyNumberFormat="1" applyFont="1" applyBorder="1" applyAlignment="1">
      <alignment horizontal="center" vertical="center"/>
    </xf>
    <xf numFmtId="0" fontId="0" fillId="3" borderId="0" xfId="0" applyFill="1" applyAlignment="1">
      <alignment horizontal="center" wrapText="1"/>
    </xf>
    <xf numFmtId="0" fontId="0" fillId="3" borderId="0" xfId="0" applyFill="1" applyAlignment="1">
      <alignment horizontal="center"/>
    </xf>
    <xf numFmtId="0" fontId="0" fillId="0" borderId="0" xfId="0" applyAlignment="1">
      <alignment horizontal="center" vertical="center" wrapText="1"/>
    </xf>
    <xf numFmtId="0" fontId="0" fillId="0" borderId="0" xfId="0" applyAlignment="1">
      <alignment horizontal="center" vertical="top" wrapText="1"/>
    </xf>
    <xf numFmtId="0" fontId="9" fillId="14" borderId="1" xfId="0" applyFont="1" applyFill="1" applyBorder="1" applyAlignment="1">
      <alignment horizontal="center"/>
    </xf>
    <xf numFmtId="0" fontId="9" fillId="13" borderId="1" xfId="0" applyFont="1" applyFill="1" applyBorder="1" applyAlignment="1">
      <alignment horizontal="center"/>
    </xf>
    <xf numFmtId="0" fontId="46" fillId="14" borderId="1" xfId="2" applyFont="1" applyFill="1" applyBorder="1" applyAlignment="1" applyProtection="1">
      <alignment horizontal="center"/>
      <protection hidden="1"/>
    </xf>
    <xf numFmtId="0" fontId="9" fillId="13" borderId="8" xfId="0" applyFont="1" applyFill="1" applyBorder="1" applyAlignment="1">
      <alignment horizontal="center"/>
    </xf>
    <xf numFmtId="0" fontId="20" fillId="0" borderId="1" xfId="0" applyFont="1" applyBorder="1" applyAlignment="1">
      <alignment horizontal="center" vertical="center"/>
    </xf>
    <xf numFmtId="0" fontId="81" fillId="19" borderId="0" xfId="0" applyFont="1" applyFill="1" applyAlignment="1">
      <alignment horizontal="left" vertical="center"/>
    </xf>
    <xf numFmtId="0" fontId="81" fillId="15" borderId="0" xfId="0" applyFont="1" applyFill="1" applyAlignment="1">
      <alignment horizontal="left" vertical="center"/>
    </xf>
    <xf numFmtId="0" fontId="80" fillId="0" borderId="0" xfId="0" applyFont="1" applyAlignment="1">
      <alignment vertical="top" wrapText="1"/>
    </xf>
    <xf numFmtId="0" fontId="79" fillId="0" borderId="0" xfId="0" applyFont="1"/>
    <xf numFmtId="0" fontId="0" fillId="0" borderId="13" xfId="0" applyBorder="1" applyAlignment="1">
      <alignment horizontal="center"/>
    </xf>
    <xf numFmtId="0" fontId="0" fillId="0" borderId="16" xfId="0" applyBorder="1" applyAlignment="1">
      <alignment horizontal="center"/>
    </xf>
    <xf numFmtId="0" fontId="89" fillId="0" borderId="45" xfId="0" applyFont="1" applyBorder="1" applyAlignment="1">
      <alignment horizontal="center"/>
    </xf>
    <xf numFmtId="0" fontId="89" fillId="0" borderId="30" xfId="0" applyFont="1" applyBorder="1" applyAlignment="1">
      <alignment horizontal="center"/>
    </xf>
    <xf numFmtId="0" fontId="92" fillId="0" borderId="0" xfId="0" applyFont="1" applyAlignment="1">
      <alignment horizontal="center" wrapText="1"/>
    </xf>
    <xf numFmtId="0" fontId="89" fillId="0" borderId="0" xfId="0" applyFont="1" applyAlignment="1">
      <alignment horizontal="center" vertical="top" wrapText="1"/>
    </xf>
    <xf numFmtId="0" fontId="91" fillId="0" borderId="0" xfId="0" applyFont="1"/>
    <xf numFmtId="0" fontId="89" fillId="0" borderId="0" xfId="0" applyFont="1" applyAlignment="1">
      <alignment vertical="top" wrapText="1"/>
    </xf>
    <xf numFmtId="0" fontId="88" fillId="20" borderId="13" xfId="0" applyFont="1" applyFill="1" applyBorder="1" applyAlignment="1">
      <alignment horizontal="center" vertical="center"/>
    </xf>
    <xf numFmtId="0" fontId="90" fillId="0" borderId="1" xfId="0" applyFont="1" applyBorder="1" applyAlignment="1">
      <alignment horizontal="center" vertical="center" wrapText="1"/>
    </xf>
    <xf numFmtId="0" fontId="89" fillId="0" borderId="0" xfId="0" applyFont="1" applyAlignment="1">
      <alignment horizontal="left" vertical="top" wrapText="1"/>
    </xf>
    <xf numFmtId="0" fontId="88" fillId="20" borderId="0" xfId="0" applyFont="1" applyFill="1" applyAlignment="1">
      <alignment horizontal="center"/>
    </xf>
    <xf numFmtId="0" fontId="33" fillId="0" borderId="1" xfId="0" applyFont="1" applyBorder="1" applyAlignment="1">
      <alignment horizontal="center"/>
    </xf>
    <xf numFmtId="0" fontId="33" fillId="0" borderId="0" xfId="0" applyFont="1" applyAlignment="1">
      <alignment horizontal="center" vertical="center"/>
    </xf>
    <xf numFmtId="2" fontId="33" fillId="21" borderId="13" xfId="0" applyNumberFormat="1" applyFont="1" applyFill="1" applyBorder="1" applyAlignment="1">
      <alignment horizontal="center" vertical="center"/>
    </xf>
    <xf numFmtId="0" fontId="33" fillId="0" borderId="1" xfId="0" applyFont="1" applyBorder="1" applyAlignment="1">
      <alignment horizontal="center" wrapText="1"/>
    </xf>
    <xf numFmtId="0" fontId="87" fillId="20" borderId="0" xfId="0" applyFont="1" applyFill="1" applyAlignment="1">
      <alignment horizontal="center"/>
    </xf>
    <xf numFmtId="0" fontId="33" fillId="0" borderId="0" xfId="0" applyFont="1" applyAlignment="1">
      <alignment vertical="top" wrapText="1"/>
    </xf>
    <xf numFmtId="0" fontId="88" fillId="0" borderId="0" xfId="0" applyFont="1" applyAlignment="1">
      <alignment horizontal="center"/>
    </xf>
    <xf numFmtId="0" fontId="87" fillId="0" borderId="0" xfId="0" applyFont="1" applyAlignment="1">
      <alignment horizontal="center" vertical="center" wrapText="1"/>
    </xf>
    <xf numFmtId="0" fontId="0" fillId="0" borderId="0" xfId="0"/>
    <xf numFmtId="0" fontId="9" fillId="2" borderId="72" xfId="0" applyFont="1" applyFill="1" applyBorder="1" applyAlignment="1">
      <alignment horizontal="center" vertical="center" wrapText="1"/>
    </xf>
    <xf numFmtId="0" fontId="9" fillId="0" borderId="72" xfId="0" applyFont="1" applyBorder="1" applyAlignment="1">
      <alignment horizontal="center" vertical="center"/>
    </xf>
    <xf numFmtId="0" fontId="0" fillId="0" borderId="72" xfId="0" applyBorder="1" applyAlignment="1">
      <alignment horizontal="center" vertical="center" wrapText="1"/>
    </xf>
    <xf numFmtId="0" fontId="9" fillId="0" borderId="0" xfId="0" applyFont="1" applyAlignment="1">
      <alignment horizontal="left" vertical="center"/>
    </xf>
    <xf numFmtId="0" fontId="102" fillId="24" borderId="73" xfId="0" applyNumberFormat="1" applyFont="1" applyFill="1" applyBorder="1" applyAlignment="1">
      <alignment horizontal="left" vertical="center" wrapText="1"/>
    </xf>
    <xf numFmtId="0" fontId="103" fillId="25" borderId="74" xfId="0" applyNumberFormat="1" applyFont="1" applyFill="1" applyBorder="1" applyAlignment="1">
      <alignment horizontal="left" vertical="center"/>
    </xf>
    <xf numFmtId="208" fontId="104" fillId="0" borderId="75" xfId="0" applyNumberFormat="1" applyFont="1" applyFill="1" applyBorder="1" applyAlignment="1">
      <alignment horizontal="center" vertical="center"/>
    </xf>
    <xf numFmtId="0" fontId="105" fillId="0" borderId="76" xfId="0" applyNumberFormat="1" applyFont="1" applyFill="1" applyBorder="1" applyAlignment="1">
      <alignment horizontal="center" vertical="center"/>
    </xf>
    <xf numFmtId="0" fontId="106" fillId="26" borderId="77" xfId="0" applyNumberFormat="1" applyFont="1" applyFill="1" applyBorder="1" applyAlignment="1">
      <alignment horizontal="left" vertical="center"/>
    </xf>
    <xf numFmtId="0" fontId="107" fillId="0" borderId="78" xfId="0" applyNumberFormat="1" applyFont="1" applyFill="1" applyBorder="1" applyAlignment="1">
      <alignment horizontal="center" vertical="center"/>
    </xf>
    <xf numFmtId="0" fontId="108" fillId="0" borderId="0" xfId="0" applyNumberFormat="1" applyFont="1" applyFill="1" applyBorder="1" applyAlignment="1">
      <alignment horizontal="left" vertical="center"/>
    </xf>
    <xf numFmtId="0" fontId="109" fillId="27" borderId="79" xfId="0" applyNumberFormat="1" applyFont="1" applyFill="1" applyBorder="1" applyAlignment="1">
      <alignment horizontal="left" vertical="center"/>
    </xf>
    <xf numFmtId="0" fontId="110" fillId="0" borderId="80" xfId="0" applyNumberFormat="1" applyFont="1" applyFill="1" applyBorder="1" applyAlignment="1">
      <alignment horizontal="center" vertical="center"/>
    </xf>
    <xf numFmtId="0" fontId="111" fillId="28" borderId="81" xfId="0" applyNumberFormat="1" applyFont="1" applyFill="1" applyBorder="1" applyAlignment="1">
      <alignment horizontal="left" vertical="center"/>
    </xf>
    <xf numFmtId="0" fontId="112" fillId="0" borderId="82" xfId="0" applyNumberFormat="1" applyFont="1" applyFill="1" applyBorder="1" applyAlignment="1">
      <alignment horizontal="left" vertical="top" wrapText="1"/>
    </xf>
    <xf numFmtId="0" fontId="113" fillId="0" borderId="83" xfId="0" applyNumberFormat="1" applyFont="1" applyFill="1" applyBorder="1" applyAlignment="1">
      <alignment horizontal="left" vertical="center" shrinkToFit="1"/>
    </xf>
    <xf numFmtId="209" fontId="114" fillId="0" borderId="84" xfId="0" applyNumberFormat="1" applyFont="1" applyFill="1" applyBorder="1" applyAlignment="1">
      <alignment horizontal="center" vertical="center"/>
    </xf>
    <xf numFmtId="0" fontId="115" fillId="0" borderId="85" xfId="0" applyNumberFormat="1" applyFont="1" applyFill="1" applyBorder="1" applyAlignment="1">
      <alignment horizontal="center" vertical="center"/>
    </xf>
    <xf numFmtId="2" fontId="116" fillId="0" borderId="86" xfId="0" applyNumberFormat="1" applyFont="1" applyFill="1" applyBorder="1" applyAlignment="1">
      <alignment horizontal="center" vertical="center"/>
    </xf>
    <xf numFmtId="0" fontId="117" fillId="29" borderId="87" xfId="0" applyNumberFormat="1" applyFont="1" applyFill="1" applyBorder="1" applyAlignment="1">
      <alignment horizontal="right" vertical="center"/>
    </xf>
    <xf numFmtId="0" fontId="118" fillId="30" borderId="88" xfId="0" applyNumberFormat="1" applyFont="1" applyFill="1" applyBorder="1" applyAlignment="1">
      <alignment horizontal="center" vertical="center"/>
    </xf>
    <xf numFmtId="0" fontId="119" fillId="0" borderId="0" xfId="0" applyNumberFormat="1" applyFont="1" applyFill="1" applyBorder="1" applyAlignment="1">
      <alignment horizontal="left" vertical="top" wrapText="1"/>
    </xf>
    <xf numFmtId="3" fontId="120" fillId="0" borderId="89" xfId="0" applyNumberFormat="1" applyFont="1" applyFill="1" applyBorder="1" applyAlignment="1">
      <alignment horizontal="center" vertical="center"/>
    </xf>
    <xf numFmtId="0" fontId="121" fillId="0" borderId="90" xfId="0" applyNumberFormat="1" applyFont="1" applyFill="1" applyBorder="1" applyAlignment="1">
      <alignment horizontal="left" vertical="top" wrapText="1"/>
    </xf>
    <xf numFmtId="1" fontId="122" fillId="0" borderId="91" xfId="0" applyNumberFormat="1" applyFont="1" applyFill="1" applyBorder="1" applyAlignment="1">
      <alignment horizontal="center" vertical="center"/>
    </xf>
    <xf numFmtId="208" fontId="123" fillId="0" borderId="92" xfId="0" applyNumberFormat="1" applyFont="1" applyFill="1" applyBorder="1" applyAlignment="1">
      <alignment horizontal="center" vertical="center"/>
    </xf>
    <xf numFmtId="0" fontId="124" fillId="31" borderId="93" xfId="0" applyNumberFormat="1" applyFont="1" applyFill="1" applyBorder="1" applyAlignment="1">
      <alignment horizontal="left" vertical="center"/>
    </xf>
    <xf numFmtId="0" fontId="125" fillId="32" borderId="94" xfId="0" applyNumberFormat="1" applyFont="1" applyFill="1" applyBorder="1" applyAlignment="1">
      <alignment horizontal="center" vertical="center"/>
    </xf>
    <xf numFmtId="0" fontId="126" fillId="33" borderId="95" xfId="0" applyNumberFormat="1" applyFont="1" applyFill="1" applyBorder="1" applyAlignment="1">
      <alignment horizontal="left" vertical="center" shrinkToFit="1"/>
    </xf>
    <xf numFmtId="0" fontId="127" fillId="34" borderId="96" xfId="0" applyNumberFormat="1" applyFont="1" applyFill="1" applyBorder="1" applyAlignment="1" applyProtection="1">
      <alignment horizontal="center" vertical="center"/>
      <protection locked="0"/>
    </xf>
    <xf numFmtId="0" fontId="128" fillId="35" borderId="0" xfId="0" applyNumberFormat="1" applyFont="1" applyFill="1" applyBorder="1" applyAlignment="1">
      <alignment horizontal="left" vertical="center"/>
    </xf>
    <xf numFmtId="0" fontId="129" fillId="36" borderId="97" xfId="0" applyNumberFormat="1" applyFont="1" applyFill="1" applyBorder="1" applyAlignment="1">
      <alignment horizontal="left" vertical="center"/>
    </xf>
    <xf numFmtId="0" fontId="130" fillId="37" borderId="0" xfId="0" applyNumberFormat="1" applyFont="1" applyFill="1" applyBorder="1" applyAlignment="1">
      <alignment horizontal="right" vertical="center"/>
    </xf>
    <xf numFmtId="171" fontId="131" fillId="0" borderId="98" xfId="0" applyNumberFormat="1" applyFont="1" applyFill="1" applyBorder="1" applyAlignment="1">
      <alignment horizontal="center" vertical="center" shrinkToFit="1"/>
    </xf>
    <xf numFmtId="0" fontId="132" fillId="0" borderId="99" xfId="0" applyNumberFormat="1" applyFont="1" applyFill="1" applyBorder="1" applyAlignment="1">
      <alignment horizontal="left" vertical="center"/>
    </xf>
    <xf numFmtId="0" fontId="133" fillId="38" borderId="100" xfId="0" applyNumberFormat="1" applyFont="1" applyFill="1" applyBorder="1" applyAlignment="1">
      <alignment horizontal="center" vertical="center"/>
    </xf>
    <xf numFmtId="0" fontId="134" fillId="0" borderId="101" xfId="0" applyNumberFormat="1" applyFont="1" applyFill="1" applyBorder="1" applyAlignment="1">
      <alignment horizontal="left" vertical="top" wrapText="1"/>
    </xf>
    <xf numFmtId="209" fontId="135" fillId="0" borderId="102" xfId="0" applyNumberFormat="1" applyFont="1" applyFill="1" applyBorder="1" applyAlignment="1">
      <alignment horizontal="center" vertical="center"/>
    </xf>
    <xf numFmtId="0" fontId="136" fillId="39" borderId="103" xfId="0" applyNumberFormat="1" applyFont="1" applyFill="1" applyBorder="1" applyAlignment="1">
      <alignment horizontal="left" vertical="center"/>
    </xf>
    <xf numFmtId="171" fontId="137" fillId="0" borderId="104" xfId="0" applyNumberFormat="1" applyFont="1" applyFill="1" applyBorder="1" applyAlignment="1">
      <alignment horizontal="center" vertical="center"/>
    </xf>
    <xf numFmtId="0" fontId="138" fillId="0" borderId="105" xfId="0" applyNumberFormat="1" applyFont="1" applyFill="1" applyBorder="1" applyAlignment="1">
      <alignment horizontal="left" vertical="center"/>
    </xf>
    <xf numFmtId="0" fontId="139" fillId="0" borderId="106" xfId="0" applyNumberFormat="1" applyFont="1" applyFill="1" applyBorder="1" applyAlignment="1">
      <alignment horizontal="left" vertical="center"/>
    </xf>
    <xf numFmtId="0" fontId="140" fillId="0" borderId="107" xfId="0" applyNumberFormat="1" applyFont="1" applyFill="1" applyBorder="1" applyAlignment="1">
      <alignment horizontal="center" vertical="center" shrinkToFit="1"/>
    </xf>
    <xf numFmtId="168" fontId="141" fillId="0" borderId="108" xfId="0" applyNumberFormat="1" applyFont="1" applyFill="1" applyBorder="1" applyAlignment="1">
      <alignment horizontal="center" vertical="center" shrinkToFit="1"/>
    </xf>
    <xf numFmtId="0" fontId="142" fillId="40" borderId="109" xfId="0" applyNumberFormat="1" applyFont="1" applyFill="1" applyBorder="1" applyAlignment="1">
      <alignment horizontal="left" vertical="center"/>
    </xf>
    <xf numFmtId="0" fontId="143" fillId="0" borderId="110" xfId="0" applyNumberFormat="1" applyFont="1" applyFill="1" applyBorder="1" applyAlignment="1">
      <alignment horizontal="left" vertical="top" wrapText="1"/>
    </xf>
    <xf numFmtId="0" fontId="144" fillId="0" borderId="111" xfId="0" applyNumberFormat="1" applyFont="1" applyFill="1" applyBorder="1" applyAlignment="1">
      <alignment horizontal="left" vertical="center"/>
    </xf>
    <xf numFmtId="0" fontId="145" fillId="41" borderId="112" xfId="0" applyNumberFormat="1" applyFont="1" applyFill="1" applyBorder="1" applyAlignment="1">
      <alignment horizontal="left" vertical="center"/>
    </xf>
    <xf numFmtId="0" fontId="146" fillId="0" borderId="113" xfId="0" applyNumberFormat="1" applyFont="1" applyFill="1" applyBorder="1" applyAlignment="1">
      <alignment horizontal="left" vertical="top" wrapText="1"/>
    </xf>
    <xf numFmtId="0" fontId="147" fillId="42" borderId="114" xfId="0" applyNumberFormat="1" applyFont="1" applyFill="1" applyBorder="1" applyAlignment="1">
      <alignment horizontal="left" vertical="center"/>
    </xf>
    <xf numFmtId="0" fontId="148" fillId="0" borderId="115" xfId="0" applyNumberFormat="1" applyFont="1" applyFill="1" applyBorder="1" applyAlignment="1">
      <alignment horizontal="left" vertical="center" shrinkToFit="1"/>
    </xf>
    <xf numFmtId="0" fontId="149" fillId="43" borderId="116" xfId="0" applyNumberFormat="1" applyFont="1" applyFill="1" applyBorder="1" applyAlignment="1">
      <alignment horizontal="center" vertical="center"/>
    </xf>
    <xf numFmtId="171" fontId="150" fillId="0" borderId="117" xfId="0" applyNumberFormat="1" applyFont="1" applyFill="1" applyBorder="1" applyAlignment="1">
      <alignment horizontal="center" vertical="center" shrinkToFit="1"/>
    </xf>
    <xf numFmtId="0" fontId="151" fillId="0" borderId="118" xfId="0" applyNumberFormat="1" applyFont="1" applyFill="1" applyBorder="1" applyAlignment="1">
      <alignment horizontal="left" vertical="center"/>
    </xf>
    <xf numFmtId="0" fontId="152" fillId="0" borderId="119" xfId="0" applyNumberFormat="1" applyFont="1" applyFill="1" applyBorder="1" applyAlignment="1">
      <alignment horizontal="left" vertical="center" shrinkToFit="1"/>
    </xf>
    <xf numFmtId="0" fontId="153" fillId="0" borderId="120" xfId="0" applyNumberFormat="1" applyFont="1" applyFill="1" applyBorder="1" applyAlignment="1">
      <alignment horizontal="center" vertical="center" shrinkToFit="1"/>
    </xf>
    <xf numFmtId="2" fontId="154" fillId="0" borderId="121" xfId="0" applyNumberFormat="1" applyFont="1" applyFill="1" applyBorder="1" applyAlignment="1">
      <alignment horizontal="center" vertical="center" shrinkToFit="1"/>
    </xf>
    <xf numFmtId="210" fontId="155" fillId="0" borderId="122" xfId="0" applyNumberFormat="1" applyFont="1" applyFill="1" applyBorder="1" applyAlignment="1">
      <alignment horizontal="center" vertical="center"/>
    </xf>
    <xf numFmtId="0" fontId="156" fillId="44" borderId="123" xfId="0" applyNumberFormat="1" applyFont="1" applyFill="1" applyBorder="1" applyAlignment="1">
      <alignment horizontal="right" vertical="center"/>
    </xf>
    <xf numFmtId="0" fontId="157" fillId="0" borderId="124" xfId="0" applyNumberFormat="1" applyFont="1" applyFill="1" applyBorder="1" applyAlignment="1">
      <alignment horizontal="left" vertical="center" shrinkToFit="1"/>
    </xf>
    <xf numFmtId="1" fontId="158" fillId="0" borderId="125" xfId="0" applyNumberFormat="1" applyFont="1" applyFill="1" applyBorder="1" applyAlignment="1">
      <alignment horizontal="center" vertical="center" shrinkToFit="1"/>
    </xf>
    <xf numFmtId="0" fontId="159" fillId="45" borderId="126" xfId="0" applyNumberFormat="1" applyFont="1" applyFill="1" applyBorder="1" applyAlignment="1">
      <alignment horizontal="left" vertical="center"/>
    </xf>
    <xf numFmtId="0" fontId="160" fillId="0" borderId="127" xfId="0" applyNumberFormat="1" applyFont="1" applyFill="1" applyBorder="1" applyAlignment="1">
      <alignment horizontal="center" vertical="center"/>
    </xf>
    <xf numFmtId="0" fontId="161" fillId="46" borderId="128" xfId="0" applyNumberFormat="1" applyFont="1" applyFill="1" applyBorder="1" applyAlignment="1">
      <alignment horizontal="right" vertical="center"/>
    </xf>
    <xf numFmtId="3" fontId="162" fillId="0" borderId="129" xfId="0" applyNumberFormat="1" applyFont="1" applyFill="1" applyBorder="1" applyAlignment="1">
      <alignment horizontal="center" vertical="center"/>
    </xf>
    <xf numFmtId="2" fontId="163" fillId="0" borderId="130" xfId="0" applyNumberFormat="1" applyFont="1" applyFill="1" applyBorder="1" applyAlignment="1">
      <alignment horizontal="center" vertical="center" shrinkToFit="1"/>
    </xf>
    <xf numFmtId="0" fontId="164" fillId="0" borderId="131" xfId="0" applyNumberFormat="1" applyFont="1" applyFill="1" applyBorder="1" applyAlignment="1">
      <alignment horizontal="center" vertical="center"/>
    </xf>
    <xf numFmtId="171" fontId="165" fillId="0" borderId="132" xfId="0" applyNumberFormat="1" applyFont="1" applyFill="1" applyBorder="1" applyAlignment="1">
      <alignment horizontal="center" vertical="center"/>
    </xf>
    <xf numFmtId="2" fontId="166" fillId="0" borderId="133" xfId="0" applyNumberFormat="1" applyFont="1" applyFill="1" applyBorder="1" applyAlignment="1">
      <alignment horizontal="center" vertical="center"/>
    </xf>
    <xf numFmtId="203" fontId="167" fillId="47" borderId="134" xfId="0" applyNumberFormat="1" applyFont="1" applyFill="1" applyBorder="1" applyAlignment="1">
      <alignment horizontal="center" vertical="center"/>
    </xf>
    <xf numFmtId="0" fontId="168" fillId="48" borderId="135" xfId="0" applyNumberFormat="1" applyFont="1" applyFill="1" applyBorder="1" applyAlignment="1" applyProtection="1">
      <alignment horizontal="left" vertical="center" shrinkToFit="1"/>
      <protection locked="0"/>
    </xf>
    <xf numFmtId="0" fontId="169" fillId="0" borderId="136" xfId="0" applyNumberFormat="1" applyFont="1" applyFill="1" applyBorder="1" applyAlignment="1">
      <alignment horizontal="left" vertical="center" shrinkToFit="1"/>
    </xf>
    <xf numFmtId="0" fontId="170" fillId="49" borderId="137" xfId="0" applyNumberFormat="1" applyFont="1" applyFill="1" applyBorder="1" applyAlignment="1">
      <alignment horizontal="center" vertical="center"/>
    </xf>
    <xf numFmtId="0" fontId="171" fillId="0" borderId="138" xfId="0" applyNumberFormat="1" applyFont="1" applyFill="1" applyBorder="1" applyAlignment="1">
      <alignment horizontal="left" vertical="center"/>
    </xf>
    <xf numFmtId="0" fontId="172" fillId="50" borderId="139" xfId="0" applyNumberFormat="1" applyFont="1" applyFill="1" applyBorder="1" applyAlignment="1" applyProtection="1">
      <alignment horizontal="left" vertical="center" shrinkToFit="1"/>
      <protection locked="0"/>
    </xf>
    <xf numFmtId="0" fontId="173" fillId="0" borderId="140" xfId="0" applyNumberFormat="1" applyFont="1" applyFill="1" applyBorder="1" applyAlignment="1">
      <alignment horizontal="left" vertical="center"/>
    </xf>
    <xf numFmtId="0" fontId="174" fillId="51" borderId="141" xfId="0" applyNumberFormat="1" applyFont="1" applyFill="1" applyBorder="1" applyAlignment="1">
      <alignment horizontal="center" vertical="center"/>
    </xf>
    <xf numFmtId="0" fontId="175" fillId="52" borderId="142" xfId="0" applyNumberFormat="1" applyFont="1" applyFill="1" applyBorder="1" applyAlignment="1">
      <alignment horizontal="center" vertical="center"/>
    </xf>
    <xf numFmtId="0" fontId="176" fillId="0" borderId="143" xfId="0" applyNumberFormat="1" applyFont="1" applyFill="1" applyBorder="1" applyAlignment="1">
      <alignment horizontal="center" vertical="center"/>
    </xf>
    <xf numFmtId="0" fontId="177" fillId="53" borderId="144" xfId="0" applyNumberFormat="1" applyFont="1" applyFill="1" applyBorder="1" applyAlignment="1" applyProtection="1">
      <alignment horizontal="center" vertical="center"/>
      <protection locked="0"/>
    </xf>
    <xf numFmtId="0" fontId="178" fillId="54" borderId="145" xfId="0" applyNumberFormat="1" applyFont="1" applyFill="1" applyBorder="1" applyAlignment="1">
      <alignment horizontal="center" vertical="center"/>
    </xf>
    <xf numFmtId="0" fontId="179" fillId="55" borderId="146" xfId="0" applyNumberFormat="1" applyFont="1" applyFill="1" applyBorder="1" applyAlignment="1">
      <alignment horizontal="left" vertical="center"/>
    </xf>
    <xf numFmtId="0" fontId="180" fillId="56" borderId="147" xfId="0" applyNumberFormat="1" applyFont="1" applyFill="1" applyBorder="1" applyAlignment="1">
      <alignment horizontal="right" vertical="center"/>
    </xf>
    <xf numFmtId="0" fontId="181" fillId="57" borderId="148" xfId="0" applyNumberFormat="1" applyFont="1" applyFill="1" applyBorder="1" applyAlignment="1">
      <alignment horizontal="left" vertical="center"/>
    </xf>
    <xf numFmtId="0" fontId="182" fillId="58" borderId="149" xfId="0" applyNumberFormat="1" applyFont="1" applyFill="1" applyBorder="1" applyAlignment="1">
      <alignment horizontal="right" vertical="center"/>
    </xf>
    <xf numFmtId="0" fontId="183" fillId="59" borderId="150" xfId="0" applyNumberFormat="1" applyFont="1" applyFill="1" applyBorder="1" applyAlignment="1">
      <alignment horizontal="center" vertical="center"/>
    </xf>
    <xf numFmtId="0" fontId="184" fillId="60" borderId="151" xfId="0" applyNumberFormat="1" applyFont="1" applyFill="1" applyBorder="1" applyAlignment="1">
      <alignment horizontal="left" vertical="center"/>
    </xf>
    <xf numFmtId="0" fontId="185" fillId="61" borderId="152" xfId="0" applyNumberFormat="1" applyFont="1" applyFill="1" applyBorder="1" applyAlignment="1">
      <alignment horizontal="left" vertical="center"/>
    </xf>
    <xf numFmtId="0" fontId="186" fillId="62" borderId="153" xfId="0" applyNumberFormat="1" applyFont="1" applyFill="1" applyBorder="1" applyAlignment="1" applyProtection="1">
      <alignment horizontal="center" vertical="center"/>
      <protection locked="0"/>
    </xf>
    <xf numFmtId="0" fontId="187" fillId="63" borderId="154" xfId="0" applyNumberFormat="1" applyFont="1" applyFill="1" applyBorder="1" applyAlignment="1">
      <alignment horizontal="right" vertical="center"/>
    </xf>
    <xf numFmtId="0" fontId="188" fillId="64" borderId="155" xfId="0" applyNumberFormat="1" applyFont="1" applyFill="1" applyBorder="1" applyAlignment="1">
      <alignment horizontal="center" vertical="center"/>
    </xf>
    <xf numFmtId="0" fontId="189" fillId="65" borderId="156" xfId="0" applyNumberFormat="1" applyFont="1" applyFill="1" applyBorder="1" applyAlignment="1">
      <alignment horizontal="right" vertical="center"/>
    </xf>
    <xf numFmtId="0" fontId="190" fillId="66" borderId="157" xfId="0" applyNumberFormat="1" applyFont="1" applyFill="1" applyBorder="1" applyAlignment="1">
      <alignment horizontal="center" vertical="center"/>
    </xf>
    <xf numFmtId="171" fontId="191" fillId="67" borderId="158" xfId="0" applyNumberFormat="1" applyFont="1" applyFill="1" applyBorder="1" applyAlignment="1">
      <alignment horizontal="center" vertical="center"/>
    </xf>
    <xf numFmtId="0" fontId="192" fillId="0" borderId="159" xfId="0" applyNumberFormat="1" applyFont="1" applyFill="1" applyBorder="1" applyAlignment="1">
      <alignment horizontal="center" vertical="center"/>
    </xf>
    <xf numFmtId="0" fontId="193" fillId="68" borderId="160" xfId="0" applyNumberFormat="1" applyFont="1" applyFill="1" applyBorder="1" applyAlignment="1">
      <alignment horizontal="left" vertical="center" shrinkToFit="1"/>
    </xf>
    <xf numFmtId="0" fontId="194" fillId="0" borderId="161" xfId="0" applyNumberFormat="1" applyFont="1" applyFill="1" applyBorder="1" applyAlignment="1">
      <alignment horizontal="left" vertical="center"/>
    </xf>
    <xf numFmtId="0" fontId="195" fillId="0" borderId="162" xfId="0" applyNumberFormat="1" applyFont="1" applyFill="1" applyBorder="1" applyAlignment="1">
      <alignment horizontal="left" vertical="center"/>
    </xf>
    <xf numFmtId="0" fontId="196" fillId="0" borderId="163" xfId="0" applyNumberFormat="1" applyFont="1" applyFill="1" applyBorder="1" applyAlignment="1">
      <alignment horizontal="center" vertical="center"/>
    </xf>
    <xf numFmtId="0" fontId="197" fillId="69" borderId="164" xfId="0" applyNumberFormat="1" applyFont="1" applyFill="1" applyBorder="1" applyAlignment="1">
      <alignment horizontal="left" vertical="center"/>
    </xf>
    <xf numFmtId="211" fontId="198" fillId="0" borderId="165" xfId="0" applyNumberFormat="1" applyFont="1" applyFill="1" applyBorder="1" applyAlignment="1">
      <alignment horizontal="center" vertical="center" shrinkToFit="1"/>
    </xf>
    <xf numFmtId="0" fontId="199" fillId="70" borderId="166" xfId="0" applyNumberFormat="1" applyFont="1" applyFill="1" applyBorder="1" applyAlignment="1">
      <alignment horizontal="left" vertical="center" shrinkToFit="1"/>
    </xf>
    <xf numFmtId="0" fontId="200" fillId="0" borderId="167" xfId="0" applyNumberFormat="1" applyFont="1" applyFill="1" applyBorder="1" applyAlignment="1">
      <alignment horizontal="left" vertical="center"/>
    </xf>
    <xf numFmtId="0" fontId="201" fillId="71" borderId="168" xfId="0" applyNumberFormat="1" applyFont="1" applyFill="1" applyBorder="1" applyAlignment="1" applyProtection="1">
      <alignment horizontal="center" vertical="center"/>
      <protection locked="0"/>
    </xf>
    <xf numFmtId="0" fontId="202" fillId="72" borderId="169" xfId="0" applyNumberFormat="1" applyFont="1" applyFill="1" applyBorder="1" applyAlignment="1">
      <alignment horizontal="center" vertical="center"/>
    </xf>
    <xf numFmtId="0" fontId="203" fillId="0" borderId="170" xfId="0" applyNumberFormat="1" applyFont="1" applyFill="1" applyBorder="1" applyAlignment="1">
      <alignment horizontal="center" vertical="center"/>
    </xf>
    <xf numFmtId="0" fontId="204" fillId="73" borderId="171" xfId="0" applyNumberFormat="1" applyFont="1" applyFill="1" applyBorder="1" applyAlignment="1">
      <alignment horizontal="center" vertical="center"/>
    </xf>
    <xf numFmtId="0" fontId="205" fillId="74" borderId="172" xfId="0" applyNumberFormat="1" applyFont="1" applyFill="1" applyBorder="1" applyAlignment="1">
      <alignment horizontal="center" vertical="center"/>
    </xf>
    <xf numFmtId="0" fontId="206" fillId="0" borderId="173" xfId="0" applyNumberFormat="1" applyFont="1" applyFill="1" applyBorder="1" applyAlignment="1">
      <alignment horizontal="center" vertical="center"/>
    </xf>
    <xf numFmtId="203" fontId="207" fillId="75" borderId="174" xfId="0" applyNumberFormat="1" applyFont="1" applyFill="1" applyBorder="1" applyAlignment="1">
      <alignment horizontal="center" vertical="center"/>
    </xf>
    <xf numFmtId="0" fontId="208" fillId="76" borderId="175" xfId="0" applyNumberFormat="1" applyFont="1" applyFill="1" applyBorder="1" applyAlignment="1">
      <alignment horizontal="left" vertical="center" wrapText="1"/>
    </xf>
  </cellXfs>
  <cellStyles count="5">
    <cellStyle name="Normal" xfId="0" builtinId="0"/>
    <cellStyle name="Normal 2" xfId="2" xr:uid="{00000000-0005-0000-0000-000006000000}"/>
    <cellStyle name="Normal 3" xfId="3" xr:uid="{00000000-0005-0000-0000-000007000000}"/>
    <cellStyle name="Normal_SECTION" xfId="4" xr:uid="{00000000-0005-0000-0000-000008000000}"/>
    <cellStyle name="Vírgula" xfId="1" builtinId="3"/>
  </cellStyles>
  <dxfs count="10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8CBAD"/>
        </patternFill>
      </fill>
    </dxf>
    <dxf>
      <fill>
        <patternFill>
          <bgColor rgb="FFC6E0B4"/>
        </patternFill>
      </fill>
    </dxf>
    <dxf>
      <fill>
        <patternFill>
          <bgColor rgb="FFF8CBAD"/>
        </patternFill>
      </fill>
    </dxf>
    <dxf>
      <fill>
        <patternFill>
          <bgColor rgb="FFC6E0B4"/>
        </patternFill>
      </fill>
    </dxf>
    <dxf>
      <fill>
        <patternFill>
          <bgColor rgb="FFF8CBAD"/>
        </patternFill>
      </fill>
    </dxf>
    <dxf>
      <fill>
        <patternFill>
          <bgColor rgb="FFF8CBAD"/>
        </patternFill>
      </fill>
    </dxf>
    <dxf>
      <fill>
        <patternFill>
          <bgColor rgb="FFC6E0B4"/>
        </patternFill>
      </fill>
    </dxf>
    <dxf>
      <fill>
        <patternFill>
          <bgColor rgb="FFF8CBAD"/>
        </patternFill>
      </fill>
    </dxf>
    <dxf>
      <fill>
        <patternFill>
          <bgColor rgb="FFF8CBAD"/>
        </patternFill>
      </fill>
    </dxf>
    <dxf>
      <fill>
        <patternFill>
          <bgColor rgb="FFC6E0B4"/>
        </patternFill>
      </fill>
    </dxf>
    <dxf>
      <fill>
        <patternFill>
          <bgColor rgb="FFF8CBAD"/>
        </patternFill>
      </fill>
    </dxf>
    <dxf>
      <fill>
        <patternFill>
          <bgColor rgb="FFF8CBAD"/>
        </patternFill>
      </fill>
    </dxf>
    <dxf>
      <fill>
        <patternFill>
          <bgColor rgb="FFC6E0B4"/>
        </patternFill>
      </fill>
    </dxf>
    <dxf>
      <fill>
        <patternFill>
          <bgColor rgb="FFF8CBAD"/>
        </patternFill>
      </fill>
    </dxf>
    <dxf>
      <fill>
        <patternFill>
          <bgColor rgb="FFF8CBAD"/>
        </patternFill>
      </fill>
    </dxf>
    <dxf>
      <fill>
        <patternFill>
          <bgColor rgb="FFC6E0B4"/>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FF0000"/>
      </font>
      <numFmt numFmtId="0" formatCode="Genera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numFmt numFmtId="0" formatCode="Genera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3B7D23"/>
      <rgbColor rgb="FF0000FF"/>
      <rgbColor rgb="FFFFFF00"/>
      <rgbColor rgb="FFF2CFEE"/>
      <rgbColor rgb="FF0F9ED5"/>
      <rgbColor rgb="FF9C0006"/>
      <rgbColor rgb="FF006200"/>
      <rgbColor rgb="FF275417"/>
      <rgbColor rgb="FF9C5700"/>
      <rgbColor rgb="FFD9E1F2"/>
      <rgbColor rgb="FF156082"/>
      <rgbColor rgb="FFC0C0C0"/>
      <rgbColor rgb="FF818181"/>
      <rgbColor rgb="FFBFBFBF"/>
      <rgbColor rgb="FFA02B93"/>
      <rgbColor rgb="FFEAF1DD"/>
      <rgbColor rgb="FFDCEAF7"/>
      <rgbColor rgb="FF595959"/>
      <rgbColor rgb="FFE97132"/>
      <rgbColor rgb="FF0767B3"/>
      <rgbColor rgb="FFB8D4F0"/>
      <rgbColor rgb="FF1F6B27"/>
      <rgbColor rgb="FFD9D9D9"/>
      <rgbColor rgb="FFE2EFDA"/>
      <rgbColor rgb="FFC6EFCE"/>
      <rgbColor rgb="FFE8E8E8"/>
      <rgbColor rgb="FFC00000"/>
      <rgbColor rgb="FF196B24"/>
      <rgbColor rgb="FFF2F2F2"/>
      <rgbColor rgb="FF00B0F0"/>
      <rgbColor rgb="FFD9F2D0"/>
      <rgbColor rgb="FFCCFFCC"/>
      <rgbColor rgb="FFFFEB9C"/>
      <rgbColor rgb="FFC1E5F5"/>
      <rgbColor rgb="FFFFC7CE"/>
      <rgbColor rgb="FFB3B3B3"/>
      <rgbColor rgb="FFF8CBAD"/>
      <rgbColor rgb="FF2D7FCF"/>
      <rgbColor rgb="FF45B0E1"/>
      <rgbColor rgb="FFC6E0B4"/>
      <rgbColor rgb="FFFBE3D6"/>
      <rgbColor rgb="FFD1D1D1"/>
      <rgbColor rgb="FFF07623"/>
      <rgbColor rgb="FF747474"/>
      <rgbColor rgb="FFA6A6A6"/>
      <rgbColor rgb="FF0D3A4E"/>
      <rgbColor rgb="FF369C54"/>
      <rgbColor rgb="FF0F4016"/>
      <rgbColor rgb="FF404040"/>
      <rgbColor rgb="FF9A4010"/>
      <rgbColor rgb="FF78206E"/>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worksheet" Target="worksheets/sheet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4.9301601206988899E-2"/>
          <c:y val="2.23473074014954E-2"/>
          <c:w val="0.92305446050518303"/>
          <c:h val="0.89498445769974"/>
        </c:manualLayout>
      </c:layout>
      <c:scatterChart>
        <c:scatterStyle val="lineMarker"/>
        <c:varyColors val="0"/>
        <c:ser>
          <c:idx val="0"/>
          <c:order val="0"/>
          <c:spPr>
            <a:ln w="12600">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Geometria!$V$16:$V$34</c:f>
              <c:numCache>
                <c:formatCode>0.000</c:formatCode>
                <c:ptCount val="19"/>
                <c:pt idx="0">
                  <c:v>0</c:v>
                </c:pt>
                <c:pt idx="1">
                  <c:v>-15</c:v>
                </c:pt>
                <c:pt idx="2">
                  <c:v>-15</c:v>
                </c:pt>
                <c:pt idx="3">
                  <c:v>-30</c:v>
                </c:pt>
                <c:pt idx="4">
                  <c:v>-30</c:v>
                </c:pt>
                <c:pt idx="5">
                  <c:v>30</c:v>
                </c:pt>
                <c:pt idx="6">
                  <c:v>30</c:v>
                </c:pt>
                <c:pt idx="7">
                  <c:v>15</c:v>
                </c:pt>
                <c:pt idx="8">
                  <c:v>15</c:v>
                </c:pt>
                <c:pt idx="9">
                  <c:v>0</c:v>
                </c:pt>
                <c:pt idx="10">
                  <c:v>0</c:v>
                </c:pt>
                <c:pt idx="11">
                  <c:v>0</c:v>
                </c:pt>
                <c:pt idx="12">
                  <c:v>0</c:v>
                </c:pt>
                <c:pt idx="13">
                  <c:v>0</c:v>
                </c:pt>
                <c:pt idx="14">
                  <c:v>0</c:v>
                </c:pt>
                <c:pt idx="15">
                  <c:v>0</c:v>
                </c:pt>
                <c:pt idx="16">
                  <c:v>0</c:v>
                </c:pt>
                <c:pt idx="17">
                  <c:v>0</c:v>
                </c:pt>
                <c:pt idx="18">
                  <c:v>0</c:v>
                </c:pt>
              </c:numCache>
            </c:numRef>
          </c:xVal>
          <c:yVal>
            <c:numRef>
              <c:f>Geometria!$W$16:$W$34</c:f>
              <c:numCache>
                <c:formatCode>0.000</c:formatCode>
                <c:ptCount val="19"/>
                <c:pt idx="0">
                  <c:v>0</c:v>
                </c:pt>
                <c:pt idx="1">
                  <c:v>0</c:v>
                </c:pt>
                <c:pt idx="2">
                  <c:v>40</c:v>
                </c:pt>
                <c:pt idx="3">
                  <c:v>45</c:v>
                </c:pt>
                <c:pt idx="4">
                  <c:v>60</c:v>
                </c:pt>
                <c:pt idx="5">
                  <c:v>60</c:v>
                </c:pt>
                <c:pt idx="6">
                  <c:v>45</c:v>
                </c:pt>
                <c:pt idx="7">
                  <c:v>40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0-F473-4BDF-8E00-E5DDDF761F3B}"/>
            </c:ext>
          </c:extLst>
        </c:ser>
        <c:dLbls>
          <c:showLegendKey val="0"/>
          <c:showVal val="0"/>
          <c:showCatName val="0"/>
          <c:showSerName val="0"/>
          <c:showPercent val="0"/>
          <c:showBubbleSize val="0"/>
        </c:dLbls>
        <c:axId val="45482030"/>
        <c:axId val="68017097"/>
      </c:scatterChart>
      <c:valAx>
        <c:axId val="45482030"/>
        <c:scaling>
          <c:orientation val="minMax"/>
        </c:scaling>
        <c:delete val="0"/>
        <c:axPos val="b"/>
        <c:numFmt formatCode="General" sourceLinked="0"/>
        <c:majorTickMark val="none"/>
        <c:minorTickMark val="none"/>
        <c:tickLblPos val="nextTo"/>
        <c:spPr>
          <a:ln w="3240">
            <a:solidFill>
              <a:srgbClr val="7F7F7F"/>
            </a:solidFill>
            <a:round/>
          </a:ln>
        </c:spPr>
        <c:txPr>
          <a:bodyPr/>
          <a:lstStyle/>
          <a:p>
            <a:pPr>
              <a:defRPr sz="900" b="0" strike="noStrike" spc="-1">
                <a:solidFill>
                  <a:srgbClr val="BFBFBF"/>
                </a:solidFill>
                <a:latin typeface="Aptos Narrow"/>
                <a:ea typeface="Aptos Narrow"/>
              </a:defRPr>
            </a:pPr>
            <a:endParaRPr lang="pt-BR"/>
          </a:p>
        </c:txPr>
        <c:crossAx val="68017097"/>
        <c:crosses val="autoZero"/>
        <c:crossBetween val="midCat"/>
      </c:valAx>
      <c:valAx>
        <c:axId val="68017097"/>
        <c:scaling>
          <c:orientation val="minMax"/>
        </c:scaling>
        <c:delete val="0"/>
        <c:axPos val="l"/>
        <c:numFmt formatCode="General" sourceLinked="0"/>
        <c:majorTickMark val="none"/>
        <c:minorTickMark val="none"/>
        <c:tickLblPos val="low"/>
        <c:spPr>
          <a:ln w="3240">
            <a:solidFill>
              <a:srgbClr val="7F7F7F"/>
            </a:solidFill>
            <a:round/>
          </a:ln>
        </c:spPr>
        <c:txPr>
          <a:bodyPr/>
          <a:lstStyle/>
          <a:p>
            <a:pPr>
              <a:defRPr sz="900" b="0" strike="noStrike" spc="-1">
                <a:solidFill>
                  <a:srgbClr val="BFBFBF"/>
                </a:solidFill>
                <a:latin typeface="Aptos Narrow"/>
                <a:ea typeface="Aptos Narrow"/>
              </a:defRPr>
            </a:pPr>
            <a:endParaRPr lang="pt-BR"/>
          </a:p>
        </c:txPr>
        <c:crossAx val="45482030"/>
        <c:crosses val="autoZero"/>
        <c:crossBetween val="midCat"/>
      </c:valAx>
      <c:spPr>
        <a:solidFill>
          <a:srgbClr val="000000"/>
        </a:solidFill>
        <a:ln w="0">
          <a:noFill/>
        </a:ln>
      </c:spPr>
    </c:plotArea>
    <c:plotVisOnly val="1"/>
    <c:dispBlanksAs val="gap"/>
    <c:showDLblsOverMax val="1"/>
  </c:chart>
  <c:spPr>
    <a:solidFill>
      <a:srgbClr val="000000"/>
    </a:solidFill>
    <a:ln w="9360">
      <a:solidFill>
        <a:srgbClr val="000000"/>
      </a:solidFill>
      <a:round/>
    </a:ln>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Momento mínimo</a:t>
            </a:r>
          </a:p>
        </c:rich>
      </c:tx>
      <c:overlay val="0"/>
      <c:spPr>
        <a:noFill/>
        <a:ln w="0">
          <a:noFill/>
        </a:ln>
      </c:spPr>
    </c:title>
    <c:autoTitleDeleted val="0"/>
    <c:plotArea>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Geometria!$O$552:$O$572</c:f>
              <c:numCache>
                <c:formatCode>0.0</c:formatCode>
                <c:ptCount val="21"/>
                <c:pt idx="0">
                  <c:v>0</c:v>
                </c:pt>
                <c:pt idx="1">
                  <c:v>-0.59511957506663615</c:v>
                </c:pt>
                <c:pt idx="2">
                  <c:v>-1.7556718219251515</c:v>
                </c:pt>
                <c:pt idx="3">
                  <c:v>-3.4816567405755467</c:v>
                </c:pt>
                <c:pt idx="4">
                  <c:v>-8.8411862701102315</c:v>
                </c:pt>
                <c:pt idx="5">
                  <c:v>-7.4359335812448073</c:v>
                </c:pt>
                <c:pt idx="6">
                  <c:v>-6.2861256880247591</c:v>
                </c:pt>
                <c:pt idx="7">
                  <c:v>-5.3917960114395154</c:v>
                </c:pt>
                <c:pt idx="8">
                  <c:v>-4.752970539984787</c:v>
                </c:pt>
                <c:pt idx="9">
                  <c:v>-4.3696678338690749</c:v>
                </c:pt>
                <c:pt idx="10">
                  <c:v>-4.2418990280167179</c:v>
                </c:pt>
                <c:pt idx="11">
                  <c:v>-4.3696678338690749</c:v>
                </c:pt>
                <c:pt idx="12">
                  <c:v>-4.752970539984787</c:v>
                </c:pt>
                <c:pt idx="13">
                  <c:v>-5.3917960114395154</c:v>
                </c:pt>
                <c:pt idx="14">
                  <c:v>-6.2861256880247574</c:v>
                </c:pt>
                <c:pt idx="15">
                  <c:v>-7.4359335812448037</c:v>
                </c:pt>
                <c:pt idx="16">
                  <c:v>-8.8411862701102262</c:v>
                </c:pt>
                <c:pt idx="17">
                  <c:v>-3.4816567405755303</c:v>
                </c:pt>
                <c:pt idx="18">
                  <c:v>-1.7556718219251333</c:v>
                </c:pt>
                <c:pt idx="19">
                  <c:v>-0.59511957506661661</c:v>
                </c:pt>
                <c:pt idx="20">
                  <c:v>0</c:v>
                </c:pt>
              </c:numCache>
            </c:numRef>
          </c:val>
          <c:smooth val="1"/>
          <c:extLst>
            <c:ext xmlns:c16="http://schemas.microsoft.com/office/drawing/2014/chart" uri="{C3380CC4-5D6E-409C-BE32-E72D297353CC}">
              <c16:uniqueId val="{00000000-1517-496C-99A9-B63CF6EE0C47}"/>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Geometria!$O$529:$O$549</c:f>
              <c:numCache>
                <c:formatCode>0.0</c:formatCode>
                <c:ptCount val="21"/>
                <c:pt idx="0">
                  <c:v>0</c:v>
                </c:pt>
                <c:pt idx="1">
                  <c:v>-0.94593927158779323</c:v>
                </c:pt>
                <c:pt idx="2">
                  <c:v>-1.6392552430599296</c:v>
                </c:pt>
                <c:pt idx="3">
                  <c:v>-0.87585520876380807</c:v>
                </c:pt>
                <c:pt idx="4">
                  <c:v>-2.1561048267730052</c:v>
                </c:pt>
                <c:pt idx="5">
                  <c:v>-3.2394128733750711</c:v>
                </c:pt>
                <c:pt idx="6">
                  <c:v>-4.1257693920105121</c:v>
                </c:pt>
                <c:pt idx="7">
                  <c:v>-4.8151662386003959</c:v>
                </c:pt>
                <c:pt idx="8">
                  <c:v>-5.3075970802274783</c:v>
                </c:pt>
                <c:pt idx="9">
                  <c:v>-5.6030573941111514</c:v>
                </c:pt>
                <c:pt idx="10">
                  <c:v>-5.7015444668756521</c:v>
                </c:pt>
                <c:pt idx="11">
                  <c:v>-5.6030573941111514</c:v>
                </c:pt>
                <c:pt idx="12">
                  <c:v>-5.3075970802274783</c:v>
                </c:pt>
                <c:pt idx="13">
                  <c:v>-4.8151662386003959</c:v>
                </c:pt>
                <c:pt idx="14">
                  <c:v>-4.1257693920105138</c:v>
                </c:pt>
                <c:pt idx="15">
                  <c:v>-3.2394128733750751</c:v>
                </c:pt>
                <c:pt idx="16">
                  <c:v>-2.1561048267730087</c:v>
                </c:pt>
                <c:pt idx="17">
                  <c:v>-0.87585520876381262</c:v>
                </c:pt>
                <c:pt idx="18">
                  <c:v>-1.6392552430599372</c:v>
                </c:pt>
                <c:pt idx="19">
                  <c:v>-0.94593927158780133</c:v>
                </c:pt>
                <c:pt idx="20">
                  <c:v>0</c:v>
                </c:pt>
              </c:numCache>
            </c:numRef>
          </c:val>
          <c:smooth val="1"/>
          <c:extLst>
            <c:ext xmlns:c16="http://schemas.microsoft.com/office/drawing/2014/chart" uri="{C3380CC4-5D6E-409C-BE32-E72D297353CC}">
              <c16:uniqueId val="{00000001-1517-496C-99A9-B63CF6EE0C47}"/>
            </c:ext>
          </c:extLst>
        </c:ser>
        <c:ser>
          <c:idx val="2"/>
          <c:order val="2"/>
          <c:tx>
            <c:v>Série4</c:v>
          </c:tx>
          <c:spPr>
            <a:ln w="12600">
              <a:solidFill>
                <a:srgbClr val="369C54"/>
              </a:solidFill>
              <a:round/>
            </a:ln>
          </c:spPr>
          <c:marker>
            <c:symbol val="none"/>
          </c:marker>
          <c:dPt>
            <c:idx val="1"/>
            <c:bubble3D val="0"/>
            <c:extLst>
              <c:ext xmlns:c16="http://schemas.microsoft.com/office/drawing/2014/chart" uri="{C3380CC4-5D6E-409C-BE32-E72D297353CC}">
                <c16:uniqueId val="{00000002-1517-496C-99A9-B63CF6EE0C47}"/>
              </c:ext>
            </c:extLst>
          </c:dPt>
          <c:dPt>
            <c:idx val="2"/>
            <c:bubble3D val="0"/>
            <c:extLst>
              <c:ext xmlns:c16="http://schemas.microsoft.com/office/drawing/2014/chart" uri="{C3380CC4-5D6E-409C-BE32-E72D297353CC}">
                <c16:uniqueId val="{00000003-1517-496C-99A9-B63CF6EE0C47}"/>
              </c:ext>
            </c:extLst>
          </c:dPt>
          <c:dPt>
            <c:idx val="3"/>
            <c:bubble3D val="0"/>
            <c:extLst>
              <c:ext xmlns:c16="http://schemas.microsoft.com/office/drawing/2014/chart" uri="{C3380CC4-5D6E-409C-BE32-E72D297353CC}">
                <c16:uniqueId val="{00000004-1517-496C-99A9-B63CF6EE0C47}"/>
              </c:ext>
            </c:extLst>
          </c:dPt>
          <c:dPt>
            <c:idx val="4"/>
            <c:bubble3D val="0"/>
            <c:extLst>
              <c:ext xmlns:c16="http://schemas.microsoft.com/office/drawing/2014/chart" uri="{C3380CC4-5D6E-409C-BE32-E72D297353CC}">
                <c16:uniqueId val="{00000005-1517-496C-99A9-B63CF6EE0C47}"/>
              </c:ext>
            </c:extLst>
          </c:dPt>
          <c:dPt>
            <c:idx val="5"/>
            <c:bubble3D val="0"/>
            <c:extLst>
              <c:ext xmlns:c16="http://schemas.microsoft.com/office/drawing/2014/chart" uri="{C3380CC4-5D6E-409C-BE32-E72D297353CC}">
                <c16:uniqueId val="{00000006-1517-496C-99A9-B63CF6EE0C47}"/>
              </c:ext>
            </c:extLst>
          </c:dPt>
          <c:dPt>
            <c:idx val="6"/>
            <c:bubble3D val="0"/>
            <c:extLst>
              <c:ext xmlns:c16="http://schemas.microsoft.com/office/drawing/2014/chart" uri="{C3380CC4-5D6E-409C-BE32-E72D297353CC}">
                <c16:uniqueId val="{00000007-1517-496C-99A9-B63CF6EE0C47}"/>
              </c:ext>
            </c:extLst>
          </c:dPt>
          <c:dPt>
            <c:idx val="7"/>
            <c:bubble3D val="0"/>
            <c:extLst>
              <c:ext xmlns:c16="http://schemas.microsoft.com/office/drawing/2014/chart" uri="{C3380CC4-5D6E-409C-BE32-E72D297353CC}">
                <c16:uniqueId val="{00000008-1517-496C-99A9-B63CF6EE0C47}"/>
              </c:ext>
            </c:extLst>
          </c:dPt>
          <c:dPt>
            <c:idx val="8"/>
            <c:bubble3D val="0"/>
            <c:extLst>
              <c:ext xmlns:c16="http://schemas.microsoft.com/office/drawing/2014/chart" uri="{C3380CC4-5D6E-409C-BE32-E72D297353CC}">
                <c16:uniqueId val="{00000009-1517-496C-99A9-B63CF6EE0C47}"/>
              </c:ext>
            </c:extLst>
          </c:dPt>
          <c:dPt>
            <c:idx val="9"/>
            <c:bubble3D val="0"/>
            <c:extLst>
              <c:ext xmlns:c16="http://schemas.microsoft.com/office/drawing/2014/chart" uri="{C3380CC4-5D6E-409C-BE32-E72D297353CC}">
                <c16:uniqueId val="{0000000A-1517-496C-99A9-B63CF6EE0C47}"/>
              </c:ext>
            </c:extLst>
          </c:dPt>
          <c:dPt>
            <c:idx val="10"/>
            <c:bubble3D val="0"/>
            <c:extLst>
              <c:ext xmlns:c16="http://schemas.microsoft.com/office/drawing/2014/chart" uri="{C3380CC4-5D6E-409C-BE32-E72D297353CC}">
                <c16:uniqueId val="{0000000B-1517-496C-99A9-B63CF6EE0C47}"/>
              </c:ext>
            </c:extLst>
          </c:dPt>
          <c:dPt>
            <c:idx val="11"/>
            <c:bubble3D val="0"/>
            <c:extLst>
              <c:ext xmlns:c16="http://schemas.microsoft.com/office/drawing/2014/chart" uri="{C3380CC4-5D6E-409C-BE32-E72D297353CC}">
                <c16:uniqueId val="{0000000C-1517-496C-99A9-B63CF6EE0C47}"/>
              </c:ext>
            </c:extLst>
          </c:dPt>
          <c:dPt>
            <c:idx val="12"/>
            <c:bubble3D val="0"/>
            <c:extLst>
              <c:ext xmlns:c16="http://schemas.microsoft.com/office/drawing/2014/chart" uri="{C3380CC4-5D6E-409C-BE32-E72D297353CC}">
                <c16:uniqueId val="{0000000D-1517-496C-99A9-B63CF6EE0C47}"/>
              </c:ext>
            </c:extLst>
          </c:dPt>
          <c:dPt>
            <c:idx val="13"/>
            <c:bubble3D val="0"/>
            <c:extLst>
              <c:ext xmlns:c16="http://schemas.microsoft.com/office/drawing/2014/chart" uri="{C3380CC4-5D6E-409C-BE32-E72D297353CC}">
                <c16:uniqueId val="{0000000E-1517-496C-99A9-B63CF6EE0C47}"/>
              </c:ext>
            </c:extLst>
          </c:dPt>
          <c:dPt>
            <c:idx val="14"/>
            <c:bubble3D val="0"/>
            <c:extLst>
              <c:ext xmlns:c16="http://schemas.microsoft.com/office/drawing/2014/chart" uri="{C3380CC4-5D6E-409C-BE32-E72D297353CC}">
                <c16:uniqueId val="{0000000F-1517-496C-99A9-B63CF6EE0C47}"/>
              </c:ext>
            </c:extLst>
          </c:dPt>
          <c:dPt>
            <c:idx val="15"/>
            <c:bubble3D val="0"/>
            <c:extLst>
              <c:ext xmlns:c16="http://schemas.microsoft.com/office/drawing/2014/chart" uri="{C3380CC4-5D6E-409C-BE32-E72D297353CC}">
                <c16:uniqueId val="{00000010-1517-496C-99A9-B63CF6EE0C47}"/>
              </c:ext>
            </c:extLst>
          </c:dPt>
          <c:dPt>
            <c:idx val="16"/>
            <c:bubble3D val="0"/>
            <c:extLst>
              <c:ext xmlns:c16="http://schemas.microsoft.com/office/drawing/2014/chart" uri="{C3380CC4-5D6E-409C-BE32-E72D297353CC}">
                <c16:uniqueId val="{00000011-1517-496C-99A9-B63CF6EE0C47}"/>
              </c:ext>
            </c:extLst>
          </c:dPt>
          <c:dPt>
            <c:idx val="17"/>
            <c:bubble3D val="0"/>
            <c:extLst>
              <c:ext xmlns:c16="http://schemas.microsoft.com/office/drawing/2014/chart" uri="{C3380CC4-5D6E-409C-BE32-E72D297353CC}">
                <c16:uniqueId val="{00000012-1517-496C-99A9-B63CF6EE0C47}"/>
              </c:ext>
            </c:extLst>
          </c:dPt>
          <c:dPt>
            <c:idx val="18"/>
            <c:bubble3D val="0"/>
            <c:extLst>
              <c:ext xmlns:c16="http://schemas.microsoft.com/office/drawing/2014/chart" uri="{C3380CC4-5D6E-409C-BE32-E72D297353CC}">
                <c16:uniqueId val="{00000013-1517-496C-99A9-B63CF6EE0C47}"/>
              </c:ext>
            </c:extLst>
          </c:dPt>
          <c:dPt>
            <c:idx val="19"/>
            <c:bubble3D val="0"/>
            <c:extLst>
              <c:ext xmlns:c16="http://schemas.microsoft.com/office/drawing/2014/chart" uri="{C3380CC4-5D6E-409C-BE32-E72D297353CC}">
                <c16:uniqueId val="{00000014-1517-496C-99A9-B63CF6EE0C47}"/>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1517-496C-99A9-B63CF6EE0C47}"/>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1517-496C-99A9-B63CF6EE0C47}"/>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1517-496C-99A9-B63CF6EE0C47}"/>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1517-496C-99A9-B63CF6EE0C47}"/>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1517-496C-99A9-B63CF6EE0C47}"/>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1517-496C-99A9-B63CF6EE0C47}"/>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1517-496C-99A9-B63CF6EE0C47}"/>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1517-496C-99A9-B63CF6EE0C47}"/>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1517-496C-99A9-B63CF6EE0C47}"/>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1517-496C-99A9-B63CF6EE0C47}"/>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1517-496C-99A9-B63CF6EE0C47}"/>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1517-496C-99A9-B63CF6EE0C47}"/>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1517-496C-99A9-B63CF6EE0C47}"/>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1517-496C-99A9-B63CF6EE0C47}"/>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1517-496C-99A9-B63CF6EE0C47}"/>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1517-496C-99A9-B63CF6EE0C47}"/>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1517-496C-99A9-B63CF6EE0C47}"/>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1517-496C-99A9-B63CF6EE0C47}"/>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1517-496C-99A9-B63CF6EE0C47}"/>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Geometria!$Q$470:$Q$490</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1517-496C-99A9-B63CF6EE0C47}"/>
            </c:ext>
          </c:extLst>
        </c:ser>
        <c:ser>
          <c:idx val="3"/>
          <c:order val="3"/>
          <c:tx>
            <c:v>Série3</c:v>
          </c:tx>
          <c:spPr>
            <a:ln w="12600">
              <a:solidFill>
                <a:srgbClr val="C00000"/>
              </a:solidFill>
              <a:round/>
            </a:ln>
          </c:spPr>
          <c:marker>
            <c:symbol val="none"/>
          </c:marker>
          <c:dPt>
            <c:idx val="1"/>
            <c:bubble3D val="0"/>
            <c:extLst>
              <c:ext xmlns:c16="http://schemas.microsoft.com/office/drawing/2014/chart" uri="{C3380CC4-5D6E-409C-BE32-E72D297353CC}">
                <c16:uniqueId val="{00000016-1517-496C-99A9-B63CF6EE0C47}"/>
              </c:ext>
            </c:extLst>
          </c:dPt>
          <c:dPt>
            <c:idx val="2"/>
            <c:bubble3D val="0"/>
            <c:extLst>
              <c:ext xmlns:c16="http://schemas.microsoft.com/office/drawing/2014/chart" uri="{C3380CC4-5D6E-409C-BE32-E72D297353CC}">
                <c16:uniqueId val="{00000017-1517-496C-99A9-B63CF6EE0C47}"/>
              </c:ext>
            </c:extLst>
          </c:dPt>
          <c:dPt>
            <c:idx val="3"/>
            <c:bubble3D val="0"/>
            <c:extLst>
              <c:ext xmlns:c16="http://schemas.microsoft.com/office/drawing/2014/chart" uri="{C3380CC4-5D6E-409C-BE32-E72D297353CC}">
                <c16:uniqueId val="{00000018-1517-496C-99A9-B63CF6EE0C47}"/>
              </c:ext>
            </c:extLst>
          </c:dPt>
          <c:dPt>
            <c:idx val="4"/>
            <c:bubble3D val="0"/>
            <c:extLst>
              <c:ext xmlns:c16="http://schemas.microsoft.com/office/drawing/2014/chart" uri="{C3380CC4-5D6E-409C-BE32-E72D297353CC}">
                <c16:uniqueId val="{00000019-1517-496C-99A9-B63CF6EE0C47}"/>
              </c:ext>
            </c:extLst>
          </c:dPt>
          <c:dPt>
            <c:idx val="5"/>
            <c:bubble3D val="0"/>
            <c:extLst>
              <c:ext xmlns:c16="http://schemas.microsoft.com/office/drawing/2014/chart" uri="{C3380CC4-5D6E-409C-BE32-E72D297353CC}">
                <c16:uniqueId val="{0000001A-1517-496C-99A9-B63CF6EE0C47}"/>
              </c:ext>
            </c:extLst>
          </c:dPt>
          <c:dPt>
            <c:idx val="6"/>
            <c:bubble3D val="0"/>
            <c:extLst>
              <c:ext xmlns:c16="http://schemas.microsoft.com/office/drawing/2014/chart" uri="{C3380CC4-5D6E-409C-BE32-E72D297353CC}">
                <c16:uniqueId val="{0000001B-1517-496C-99A9-B63CF6EE0C47}"/>
              </c:ext>
            </c:extLst>
          </c:dPt>
          <c:dPt>
            <c:idx val="7"/>
            <c:bubble3D val="0"/>
            <c:extLst>
              <c:ext xmlns:c16="http://schemas.microsoft.com/office/drawing/2014/chart" uri="{C3380CC4-5D6E-409C-BE32-E72D297353CC}">
                <c16:uniqueId val="{0000001C-1517-496C-99A9-B63CF6EE0C47}"/>
              </c:ext>
            </c:extLst>
          </c:dPt>
          <c:dPt>
            <c:idx val="8"/>
            <c:bubble3D val="0"/>
            <c:extLst>
              <c:ext xmlns:c16="http://schemas.microsoft.com/office/drawing/2014/chart" uri="{C3380CC4-5D6E-409C-BE32-E72D297353CC}">
                <c16:uniqueId val="{0000001D-1517-496C-99A9-B63CF6EE0C47}"/>
              </c:ext>
            </c:extLst>
          </c:dPt>
          <c:dPt>
            <c:idx val="9"/>
            <c:bubble3D val="0"/>
            <c:extLst>
              <c:ext xmlns:c16="http://schemas.microsoft.com/office/drawing/2014/chart" uri="{C3380CC4-5D6E-409C-BE32-E72D297353CC}">
                <c16:uniqueId val="{0000001E-1517-496C-99A9-B63CF6EE0C47}"/>
              </c:ext>
            </c:extLst>
          </c:dPt>
          <c:dPt>
            <c:idx val="10"/>
            <c:bubble3D val="0"/>
            <c:extLst>
              <c:ext xmlns:c16="http://schemas.microsoft.com/office/drawing/2014/chart" uri="{C3380CC4-5D6E-409C-BE32-E72D297353CC}">
                <c16:uniqueId val="{0000001F-1517-496C-99A9-B63CF6EE0C47}"/>
              </c:ext>
            </c:extLst>
          </c:dPt>
          <c:dPt>
            <c:idx val="11"/>
            <c:bubble3D val="0"/>
            <c:extLst>
              <c:ext xmlns:c16="http://schemas.microsoft.com/office/drawing/2014/chart" uri="{C3380CC4-5D6E-409C-BE32-E72D297353CC}">
                <c16:uniqueId val="{00000020-1517-496C-99A9-B63CF6EE0C47}"/>
              </c:ext>
            </c:extLst>
          </c:dPt>
          <c:dPt>
            <c:idx val="12"/>
            <c:bubble3D val="0"/>
            <c:extLst>
              <c:ext xmlns:c16="http://schemas.microsoft.com/office/drawing/2014/chart" uri="{C3380CC4-5D6E-409C-BE32-E72D297353CC}">
                <c16:uniqueId val="{00000021-1517-496C-99A9-B63CF6EE0C47}"/>
              </c:ext>
            </c:extLst>
          </c:dPt>
          <c:dPt>
            <c:idx val="13"/>
            <c:bubble3D val="0"/>
            <c:extLst>
              <c:ext xmlns:c16="http://schemas.microsoft.com/office/drawing/2014/chart" uri="{C3380CC4-5D6E-409C-BE32-E72D297353CC}">
                <c16:uniqueId val="{00000022-1517-496C-99A9-B63CF6EE0C47}"/>
              </c:ext>
            </c:extLst>
          </c:dPt>
          <c:dPt>
            <c:idx val="14"/>
            <c:bubble3D val="0"/>
            <c:extLst>
              <c:ext xmlns:c16="http://schemas.microsoft.com/office/drawing/2014/chart" uri="{C3380CC4-5D6E-409C-BE32-E72D297353CC}">
                <c16:uniqueId val="{00000023-1517-496C-99A9-B63CF6EE0C47}"/>
              </c:ext>
            </c:extLst>
          </c:dPt>
          <c:dPt>
            <c:idx val="15"/>
            <c:bubble3D val="0"/>
            <c:extLst>
              <c:ext xmlns:c16="http://schemas.microsoft.com/office/drawing/2014/chart" uri="{C3380CC4-5D6E-409C-BE32-E72D297353CC}">
                <c16:uniqueId val="{00000024-1517-496C-99A9-B63CF6EE0C47}"/>
              </c:ext>
            </c:extLst>
          </c:dPt>
          <c:dPt>
            <c:idx val="16"/>
            <c:bubble3D val="0"/>
            <c:extLst>
              <c:ext xmlns:c16="http://schemas.microsoft.com/office/drawing/2014/chart" uri="{C3380CC4-5D6E-409C-BE32-E72D297353CC}">
                <c16:uniqueId val="{00000025-1517-496C-99A9-B63CF6EE0C47}"/>
              </c:ext>
            </c:extLst>
          </c:dPt>
          <c:dPt>
            <c:idx val="17"/>
            <c:bubble3D val="0"/>
            <c:extLst>
              <c:ext xmlns:c16="http://schemas.microsoft.com/office/drawing/2014/chart" uri="{C3380CC4-5D6E-409C-BE32-E72D297353CC}">
                <c16:uniqueId val="{00000026-1517-496C-99A9-B63CF6EE0C47}"/>
              </c:ext>
            </c:extLst>
          </c:dPt>
          <c:dPt>
            <c:idx val="18"/>
            <c:bubble3D val="0"/>
            <c:extLst>
              <c:ext xmlns:c16="http://schemas.microsoft.com/office/drawing/2014/chart" uri="{C3380CC4-5D6E-409C-BE32-E72D297353CC}">
                <c16:uniqueId val="{00000027-1517-496C-99A9-B63CF6EE0C47}"/>
              </c:ext>
            </c:extLst>
          </c:dPt>
          <c:dPt>
            <c:idx val="19"/>
            <c:bubble3D val="0"/>
            <c:extLst>
              <c:ext xmlns:c16="http://schemas.microsoft.com/office/drawing/2014/chart" uri="{C3380CC4-5D6E-409C-BE32-E72D297353CC}">
                <c16:uniqueId val="{00000028-1517-496C-99A9-B63CF6EE0C47}"/>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1517-496C-99A9-B63CF6EE0C47}"/>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1517-496C-99A9-B63CF6EE0C47}"/>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1517-496C-99A9-B63CF6EE0C47}"/>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1517-496C-99A9-B63CF6EE0C47}"/>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1517-496C-99A9-B63CF6EE0C47}"/>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1517-496C-99A9-B63CF6EE0C47}"/>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1517-496C-99A9-B63CF6EE0C47}"/>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1517-496C-99A9-B63CF6EE0C47}"/>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1517-496C-99A9-B63CF6EE0C47}"/>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1517-496C-99A9-B63CF6EE0C47}"/>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1517-496C-99A9-B63CF6EE0C47}"/>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1517-496C-99A9-B63CF6EE0C47}"/>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1517-496C-99A9-B63CF6EE0C47}"/>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1517-496C-99A9-B63CF6EE0C47}"/>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1517-496C-99A9-B63CF6EE0C47}"/>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1517-496C-99A9-B63CF6EE0C47}"/>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1517-496C-99A9-B63CF6EE0C47}"/>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1517-496C-99A9-B63CF6EE0C47}"/>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1517-496C-99A9-B63CF6EE0C47}"/>
                </c:ext>
              </c:extLst>
            </c:dLbl>
            <c:spPr>
              <a:solidFill>
                <a:srgbClr val="FFFFFF"/>
              </a:solidFill>
              <a:ln w="12600">
                <a:solidFill>
                  <a:srgbClr val="F07623"/>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Geometria!$Q$447:$Q$467</c:f>
              <c:numCache>
                <c:formatCode>0.0</c:formatCode>
                <c:ptCount val="21"/>
                <c:pt idx="0">
                  <c:v>2.8501384974246515</c:v>
                </c:pt>
                <c:pt idx="1">
                  <c:v>2.8501384974246515</c:v>
                </c:pt>
                <c:pt idx="2">
                  <c:v>2.8501384974246515</c:v>
                </c:pt>
                <c:pt idx="3">
                  <c:v>2.8501384974246515</c:v>
                </c:pt>
                <c:pt idx="4">
                  <c:v>2.8501384974246515</c:v>
                </c:pt>
                <c:pt idx="5">
                  <c:v>2.8501384974246515</c:v>
                </c:pt>
                <c:pt idx="6">
                  <c:v>2.8501384974246515</c:v>
                </c:pt>
                <c:pt idx="7">
                  <c:v>2.8501384974246515</c:v>
                </c:pt>
                <c:pt idx="8">
                  <c:v>2.8501384974246515</c:v>
                </c:pt>
                <c:pt idx="9">
                  <c:v>2.8501384974246515</c:v>
                </c:pt>
                <c:pt idx="10">
                  <c:v>2.8501384974246515</c:v>
                </c:pt>
                <c:pt idx="11">
                  <c:v>2.8501384974246515</c:v>
                </c:pt>
                <c:pt idx="12">
                  <c:v>2.8501384974246515</c:v>
                </c:pt>
                <c:pt idx="13">
                  <c:v>2.8501384974246515</c:v>
                </c:pt>
                <c:pt idx="14">
                  <c:v>2.8501384974246515</c:v>
                </c:pt>
                <c:pt idx="15">
                  <c:v>2.8501384974246515</c:v>
                </c:pt>
                <c:pt idx="16">
                  <c:v>2.8501384974246515</c:v>
                </c:pt>
                <c:pt idx="17">
                  <c:v>2.8501384974246515</c:v>
                </c:pt>
                <c:pt idx="18">
                  <c:v>2.8501384974246515</c:v>
                </c:pt>
                <c:pt idx="19">
                  <c:v>2.8501384974246515</c:v>
                </c:pt>
                <c:pt idx="20">
                  <c:v>2.8501384974246515</c:v>
                </c:pt>
              </c:numCache>
            </c:numRef>
          </c:val>
          <c:smooth val="1"/>
          <c:extLst>
            <c:ext xmlns:c16="http://schemas.microsoft.com/office/drawing/2014/chart" uri="{C3380CC4-5D6E-409C-BE32-E72D297353CC}">
              <c16:uniqueId val="{00000029-1517-496C-99A9-B63CF6EE0C47}"/>
            </c:ext>
          </c:extLst>
        </c:ser>
        <c:dLbls>
          <c:showLegendKey val="0"/>
          <c:showVal val="0"/>
          <c:showCatName val="0"/>
          <c:showSerName val="0"/>
          <c:showPercent val="0"/>
          <c:showBubbleSize val="0"/>
        </c:dLbls>
        <c:hiLowLines>
          <c:spPr>
            <a:ln w="0">
              <a:noFill/>
            </a:ln>
          </c:spPr>
        </c:hiLowLines>
        <c:smooth val="0"/>
        <c:axId val="18672113"/>
        <c:axId val="85503230"/>
      </c:lineChart>
      <c:catAx>
        <c:axId val="18672113"/>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85503230"/>
        <c:crosses val="autoZero"/>
        <c:auto val="1"/>
        <c:lblAlgn val="ctr"/>
        <c:lblOffset val="100"/>
        <c:noMultiLvlLbl val="0"/>
      </c:catAx>
      <c:valAx>
        <c:axId val="85503230"/>
        <c:scaling>
          <c:orientation val="minMax"/>
        </c:scaling>
        <c:delete val="1"/>
        <c:axPos val="l"/>
        <c:numFmt formatCode="0.0" sourceLinked="1"/>
        <c:majorTickMark val="out"/>
        <c:minorTickMark val="none"/>
        <c:tickLblPos val="nextTo"/>
        <c:crossAx val="18672113"/>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Momento máximo</a:t>
            </a:r>
          </a:p>
        </c:rich>
      </c:tx>
      <c:overlay val="0"/>
      <c:spPr>
        <a:noFill/>
        <a:ln w="0">
          <a:noFill/>
        </a:ln>
      </c:spPr>
    </c:title>
    <c:autoTitleDeleted val="0"/>
    <c:plotArea>
      <c:layout>
        <c:manualLayout>
          <c:layoutTarget val="inner"/>
          <c:xMode val="edge"/>
          <c:yMode val="edge"/>
          <c:x val="2.2225215517241399E-2"/>
          <c:y val="0.215953085857436"/>
          <c:w val="0.96341594827586197"/>
          <c:h val="0.71982464131177404"/>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Geometria!$O$470:$O$490</c:f>
              <c:numCache>
                <c:formatCode>0.0</c:formatCode>
                <c:ptCount val="21"/>
                <c:pt idx="0">
                  <c:v>0</c:v>
                </c:pt>
                <c:pt idx="1">
                  <c:v>-0.59511957506663615</c:v>
                </c:pt>
                <c:pt idx="2">
                  <c:v>-1.7556718219251515</c:v>
                </c:pt>
                <c:pt idx="3">
                  <c:v>-3.4816567405755467</c:v>
                </c:pt>
                <c:pt idx="4">
                  <c:v>-0.3587588883123608</c:v>
                </c:pt>
                <c:pt idx="5">
                  <c:v>2.5044110067995726</c:v>
                </c:pt>
                <c:pt idx="6">
                  <c:v>4.8470602505849447</c:v>
                </c:pt>
                <c:pt idx="7">
                  <c:v>6.6691554220543328</c:v>
                </c:pt>
                <c:pt idx="8">
                  <c:v>7.9706705327120186</c:v>
                </c:pt>
                <c:pt idx="9">
                  <c:v>8.7515870223495078</c:v>
                </c:pt>
                <c:pt idx="10">
                  <c:v>9.0118937560424577</c:v>
                </c:pt>
                <c:pt idx="11">
                  <c:v>8.7515870223495096</c:v>
                </c:pt>
                <c:pt idx="12">
                  <c:v>7.9706705327120266</c:v>
                </c:pt>
                <c:pt idx="13">
                  <c:v>6.6691554220543399</c:v>
                </c:pt>
                <c:pt idx="14">
                  <c:v>4.8470602505849536</c:v>
                </c:pt>
                <c:pt idx="15">
                  <c:v>2.5044110067995833</c:v>
                </c:pt>
                <c:pt idx="16">
                  <c:v>-0.35875888831234626</c:v>
                </c:pt>
                <c:pt idx="17">
                  <c:v>-3.4816567405755303</c:v>
                </c:pt>
                <c:pt idx="18">
                  <c:v>-1.7556718219251333</c:v>
                </c:pt>
                <c:pt idx="19">
                  <c:v>-0.59511957506661661</c:v>
                </c:pt>
                <c:pt idx="20">
                  <c:v>0</c:v>
                </c:pt>
              </c:numCache>
            </c:numRef>
          </c:val>
          <c:smooth val="1"/>
          <c:extLst>
            <c:ext xmlns:c16="http://schemas.microsoft.com/office/drawing/2014/chart" uri="{C3380CC4-5D6E-409C-BE32-E72D297353CC}">
              <c16:uniqueId val="{00000000-AC19-450E-AFBC-D39381B4D2E3}"/>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Geometria!$O$447:$O$467</c:f>
              <c:numCache>
                <c:formatCode>0.0</c:formatCode>
                <c:ptCount val="21"/>
                <c:pt idx="0">
                  <c:v>0</c:v>
                </c:pt>
                <c:pt idx="1">
                  <c:v>-0.94593927158779323</c:v>
                </c:pt>
                <c:pt idx="2">
                  <c:v>-1.6392552430599296</c:v>
                </c:pt>
                <c:pt idx="3">
                  <c:v>-2.0164074997465669</c:v>
                </c:pt>
                <c:pt idx="4">
                  <c:v>-3.5873861331043098</c:v>
                </c:pt>
                <c:pt idx="5">
                  <c:v>-4.9166956542320692</c:v>
                </c:pt>
                <c:pt idx="6">
                  <c:v>-6.0043261065703497</c:v>
                </c:pt>
                <c:pt idx="7">
                  <c:v>-6.8502693460402204</c:v>
                </c:pt>
                <c:pt idx="8">
                  <c:v>-7.4545190397244365</c:v>
                </c:pt>
                <c:pt idx="9">
                  <c:v>-7.8170706648423893</c:v>
                </c:pt>
                <c:pt idx="10">
                  <c:v>-7.9379215080183165</c:v>
                </c:pt>
                <c:pt idx="11">
                  <c:v>-7.8170706648423893</c:v>
                </c:pt>
                <c:pt idx="12">
                  <c:v>-7.4545190397244365</c:v>
                </c:pt>
                <c:pt idx="13">
                  <c:v>-6.8502693460402222</c:v>
                </c:pt>
                <c:pt idx="14">
                  <c:v>-6.0043261065703524</c:v>
                </c:pt>
                <c:pt idx="15">
                  <c:v>-4.9166956542320737</c:v>
                </c:pt>
                <c:pt idx="16">
                  <c:v>-3.5873861331043155</c:v>
                </c:pt>
                <c:pt idx="17">
                  <c:v>-2.0164074997465726</c:v>
                </c:pt>
                <c:pt idx="18">
                  <c:v>-1.6392552430599372</c:v>
                </c:pt>
                <c:pt idx="19">
                  <c:v>-0.94593927158780133</c:v>
                </c:pt>
                <c:pt idx="20">
                  <c:v>0</c:v>
                </c:pt>
              </c:numCache>
            </c:numRef>
          </c:val>
          <c:smooth val="1"/>
          <c:extLst>
            <c:ext xmlns:c16="http://schemas.microsoft.com/office/drawing/2014/chart" uri="{C3380CC4-5D6E-409C-BE32-E72D297353CC}">
              <c16:uniqueId val="{00000001-AC19-450E-AFBC-D39381B4D2E3}"/>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AC19-450E-AFBC-D39381B4D2E3}"/>
              </c:ext>
            </c:extLst>
          </c:dPt>
          <c:dPt>
            <c:idx val="2"/>
            <c:bubble3D val="0"/>
            <c:extLst>
              <c:ext xmlns:c16="http://schemas.microsoft.com/office/drawing/2014/chart" uri="{C3380CC4-5D6E-409C-BE32-E72D297353CC}">
                <c16:uniqueId val="{00000003-AC19-450E-AFBC-D39381B4D2E3}"/>
              </c:ext>
            </c:extLst>
          </c:dPt>
          <c:dPt>
            <c:idx val="3"/>
            <c:bubble3D val="0"/>
            <c:extLst>
              <c:ext xmlns:c16="http://schemas.microsoft.com/office/drawing/2014/chart" uri="{C3380CC4-5D6E-409C-BE32-E72D297353CC}">
                <c16:uniqueId val="{00000004-AC19-450E-AFBC-D39381B4D2E3}"/>
              </c:ext>
            </c:extLst>
          </c:dPt>
          <c:dPt>
            <c:idx val="4"/>
            <c:bubble3D val="0"/>
            <c:extLst>
              <c:ext xmlns:c16="http://schemas.microsoft.com/office/drawing/2014/chart" uri="{C3380CC4-5D6E-409C-BE32-E72D297353CC}">
                <c16:uniqueId val="{00000005-AC19-450E-AFBC-D39381B4D2E3}"/>
              </c:ext>
            </c:extLst>
          </c:dPt>
          <c:dPt>
            <c:idx val="5"/>
            <c:bubble3D val="0"/>
            <c:extLst>
              <c:ext xmlns:c16="http://schemas.microsoft.com/office/drawing/2014/chart" uri="{C3380CC4-5D6E-409C-BE32-E72D297353CC}">
                <c16:uniqueId val="{00000006-AC19-450E-AFBC-D39381B4D2E3}"/>
              </c:ext>
            </c:extLst>
          </c:dPt>
          <c:dPt>
            <c:idx val="6"/>
            <c:bubble3D val="0"/>
            <c:extLst>
              <c:ext xmlns:c16="http://schemas.microsoft.com/office/drawing/2014/chart" uri="{C3380CC4-5D6E-409C-BE32-E72D297353CC}">
                <c16:uniqueId val="{00000007-AC19-450E-AFBC-D39381B4D2E3}"/>
              </c:ext>
            </c:extLst>
          </c:dPt>
          <c:dPt>
            <c:idx val="7"/>
            <c:bubble3D val="0"/>
            <c:extLst>
              <c:ext xmlns:c16="http://schemas.microsoft.com/office/drawing/2014/chart" uri="{C3380CC4-5D6E-409C-BE32-E72D297353CC}">
                <c16:uniqueId val="{00000008-AC19-450E-AFBC-D39381B4D2E3}"/>
              </c:ext>
            </c:extLst>
          </c:dPt>
          <c:dPt>
            <c:idx val="8"/>
            <c:bubble3D val="0"/>
            <c:extLst>
              <c:ext xmlns:c16="http://schemas.microsoft.com/office/drawing/2014/chart" uri="{C3380CC4-5D6E-409C-BE32-E72D297353CC}">
                <c16:uniqueId val="{00000009-AC19-450E-AFBC-D39381B4D2E3}"/>
              </c:ext>
            </c:extLst>
          </c:dPt>
          <c:dPt>
            <c:idx val="9"/>
            <c:bubble3D val="0"/>
            <c:extLst>
              <c:ext xmlns:c16="http://schemas.microsoft.com/office/drawing/2014/chart" uri="{C3380CC4-5D6E-409C-BE32-E72D297353CC}">
                <c16:uniqueId val="{0000000A-AC19-450E-AFBC-D39381B4D2E3}"/>
              </c:ext>
            </c:extLst>
          </c:dPt>
          <c:dPt>
            <c:idx val="10"/>
            <c:bubble3D val="0"/>
            <c:extLst>
              <c:ext xmlns:c16="http://schemas.microsoft.com/office/drawing/2014/chart" uri="{C3380CC4-5D6E-409C-BE32-E72D297353CC}">
                <c16:uniqueId val="{0000000B-AC19-450E-AFBC-D39381B4D2E3}"/>
              </c:ext>
            </c:extLst>
          </c:dPt>
          <c:dPt>
            <c:idx val="11"/>
            <c:bubble3D val="0"/>
            <c:extLst>
              <c:ext xmlns:c16="http://schemas.microsoft.com/office/drawing/2014/chart" uri="{C3380CC4-5D6E-409C-BE32-E72D297353CC}">
                <c16:uniqueId val="{0000000C-AC19-450E-AFBC-D39381B4D2E3}"/>
              </c:ext>
            </c:extLst>
          </c:dPt>
          <c:dPt>
            <c:idx val="12"/>
            <c:bubble3D val="0"/>
            <c:extLst>
              <c:ext xmlns:c16="http://schemas.microsoft.com/office/drawing/2014/chart" uri="{C3380CC4-5D6E-409C-BE32-E72D297353CC}">
                <c16:uniqueId val="{0000000D-AC19-450E-AFBC-D39381B4D2E3}"/>
              </c:ext>
            </c:extLst>
          </c:dPt>
          <c:dPt>
            <c:idx val="13"/>
            <c:bubble3D val="0"/>
            <c:extLst>
              <c:ext xmlns:c16="http://schemas.microsoft.com/office/drawing/2014/chart" uri="{C3380CC4-5D6E-409C-BE32-E72D297353CC}">
                <c16:uniqueId val="{0000000E-AC19-450E-AFBC-D39381B4D2E3}"/>
              </c:ext>
            </c:extLst>
          </c:dPt>
          <c:dPt>
            <c:idx val="14"/>
            <c:bubble3D val="0"/>
            <c:extLst>
              <c:ext xmlns:c16="http://schemas.microsoft.com/office/drawing/2014/chart" uri="{C3380CC4-5D6E-409C-BE32-E72D297353CC}">
                <c16:uniqueId val="{0000000F-AC19-450E-AFBC-D39381B4D2E3}"/>
              </c:ext>
            </c:extLst>
          </c:dPt>
          <c:dPt>
            <c:idx val="15"/>
            <c:bubble3D val="0"/>
            <c:extLst>
              <c:ext xmlns:c16="http://schemas.microsoft.com/office/drawing/2014/chart" uri="{C3380CC4-5D6E-409C-BE32-E72D297353CC}">
                <c16:uniqueId val="{00000010-AC19-450E-AFBC-D39381B4D2E3}"/>
              </c:ext>
            </c:extLst>
          </c:dPt>
          <c:dPt>
            <c:idx val="16"/>
            <c:bubble3D val="0"/>
            <c:extLst>
              <c:ext xmlns:c16="http://schemas.microsoft.com/office/drawing/2014/chart" uri="{C3380CC4-5D6E-409C-BE32-E72D297353CC}">
                <c16:uniqueId val="{00000011-AC19-450E-AFBC-D39381B4D2E3}"/>
              </c:ext>
            </c:extLst>
          </c:dPt>
          <c:dPt>
            <c:idx val="17"/>
            <c:bubble3D val="0"/>
            <c:extLst>
              <c:ext xmlns:c16="http://schemas.microsoft.com/office/drawing/2014/chart" uri="{C3380CC4-5D6E-409C-BE32-E72D297353CC}">
                <c16:uniqueId val="{00000012-AC19-450E-AFBC-D39381B4D2E3}"/>
              </c:ext>
            </c:extLst>
          </c:dPt>
          <c:dPt>
            <c:idx val="18"/>
            <c:bubble3D val="0"/>
            <c:extLst>
              <c:ext xmlns:c16="http://schemas.microsoft.com/office/drawing/2014/chart" uri="{C3380CC4-5D6E-409C-BE32-E72D297353CC}">
                <c16:uniqueId val="{00000013-AC19-450E-AFBC-D39381B4D2E3}"/>
              </c:ext>
            </c:extLst>
          </c:dPt>
          <c:dPt>
            <c:idx val="19"/>
            <c:bubble3D val="0"/>
            <c:extLst>
              <c:ext xmlns:c16="http://schemas.microsoft.com/office/drawing/2014/chart" uri="{C3380CC4-5D6E-409C-BE32-E72D297353CC}">
                <c16:uniqueId val="{00000014-AC19-450E-AFBC-D39381B4D2E3}"/>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AC19-450E-AFBC-D39381B4D2E3}"/>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AC19-450E-AFBC-D39381B4D2E3}"/>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AC19-450E-AFBC-D39381B4D2E3}"/>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AC19-450E-AFBC-D39381B4D2E3}"/>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AC19-450E-AFBC-D39381B4D2E3}"/>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AC19-450E-AFBC-D39381B4D2E3}"/>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AC19-450E-AFBC-D39381B4D2E3}"/>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AC19-450E-AFBC-D39381B4D2E3}"/>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AC19-450E-AFBC-D39381B4D2E3}"/>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AC19-450E-AFBC-D39381B4D2E3}"/>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AC19-450E-AFBC-D39381B4D2E3}"/>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AC19-450E-AFBC-D39381B4D2E3}"/>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AC19-450E-AFBC-D39381B4D2E3}"/>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AC19-450E-AFBC-D39381B4D2E3}"/>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AC19-450E-AFBC-D39381B4D2E3}"/>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AC19-450E-AFBC-D39381B4D2E3}"/>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AC19-450E-AFBC-D39381B4D2E3}"/>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AC19-450E-AFBC-D39381B4D2E3}"/>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AC19-450E-AFBC-D39381B4D2E3}"/>
                </c:ext>
              </c:extLst>
            </c:dLbl>
            <c:spPr>
              <a:solidFill>
                <a:srgbClr val="FFFFFF"/>
              </a:solidFill>
              <a:ln w="12600">
                <a:solidFill>
                  <a:srgbClr val="F07623"/>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Geometria!$Q$447:$Q$467</c:f>
              <c:numCache>
                <c:formatCode>0.0</c:formatCode>
                <c:ptCount val="21"/>
                <c:pt idx="0">
                  <c:v>2.8501384974246515</c:v>
                </c:pt>
                <c:pt idx="1">
                  <c:v>2.8501384974246515</c:v>
                </c:pt>
                <c:pt idx="2">
                  <c:v>2.8501384974246515</c:v>
                </c:pt>
                <c:pt idx="3">
                  <c:v>2.8501384974246515</c:v>
                </c:pt>
                <c:pt idx="4">
                  <c:v>2.8501384974246515</c:v>
                </c:pt>
                <c:pt idx="5">
                  <c:v>2.8501384974246515</c:v>
                </c:pt>
                <c:pt idx="6">
                  <c:v>2.8501384974246515</c:v>
                </c:pt>
                <c:pt idx="7">
                  <c:v>2.8501384974246515</c:v>
                </c:pt>
                <c:pt idx="8">
                  <c:v>2.8501384974246515</c:v>
                </c:pt>
                <c:pt idx="9">
                  <c:v>2.8501384974246515</c:v>
                </c:pt>
                <c:pt idx="10">
                  <c:v>2.8501384974246515</c:v>
                </c:pt>
                <c:pt idx="11">
                  <c:v>2.8501384974246515</c:v>
                </c:pt>
                <c:pt idx="12">
                  <c:v>2.8501384974246515</c:v>
                </c:pt>
                <c:pt idx="13">
                  <c:v>2.8501384974246515</c:v>
                </c:pt>
                <c:pt idx="14">
                  <c:v>2.8501384974246515</c:v>
                </c:pt>
                <c:pt idx="15">
                  <c:v>2.8501384974246515</c:v>
                </c:pt>
                <c:pt idx="16">
                  <c:v>2.8501384974246515</c:v>
                </c:pt>
                <c:pt idx="17">
                  <c:v>2.8501384974246515</c:v>
                </c:pt>
                <c:pt idx="18">
                  <c:v>2.8501384974246515</c:v>
                </c:pt>
                <c:pt idx="19">
                  <c:v>2.8501384974246515</c:v>
                </c:pt>
                <c:pt idx="20">
                  <c:v>2.8501384974246515</c:v>
                </c:pt>
              </c:numCache>
            </c:numRef>
          </c:val>
          <c:smooth val="1"/>
          <c:extLst>
            <c:ext xmlns:c16="http://schemas.microsoft.com/office/drawing/2014/chart" uri="{C3380CC4-5D6E-409C-BE32-E72D297353CC}">
              <c16:uniqueId val="{00000015-AC19-450E-AFBC-D39381B4D2E3}"/>
            </c:ext>
          </c:extLst>
        </c:ser>
        <c:ser>
          <c:idx val="3"/>
          <c:order val="3"/>
          <c:tx>
            <c:v>Série4</c:v>
          </c:tx>
          <c:spPr>
            <a:ln w="12600">
              <a:solidFill>
                <a:srgbClr val="369C54"/>
              </a:solidFill>
              <a:round/>
            </a:ln>
          </c:spPr>
          <c:marker>
            <c:symbol val="none"/>
          </c:marker>
          <c:dPt>
            <c:idx val="1"/>
            <c:bubble3D val="0"/>
            <c:extLst>
              <c:ext xmlns:c16="http://schemas.microsoft.com/office/drawing/2014/chart" uri="{C3380CC4-5D6E-409C-BE32-E72D297353CC}">
                <c16:uniqueId val="{00000016-AC19-450E-AFBC-D39381B4D2E3}"/>
              </c:ext>
            </c:extLst>
          </c:dPt>
          <c:dPt>
            <c:idx val="2"/>
            <c:bubble3D val="0"/>
            <c:extLst>
              <c:ext xmlns:c16="http://schemas.microsoft.com/office/drawing/2014/chart" uri="{C3380CC4-5D6E-409C-BE32-E72D297353CC}">
                <c16:uniqueId val="{00000017-AC19-450E-AFBC-D39381B4D2E3}"/>
              </c:ext>
            </c:extLst>
          </c:dPt>
          <c:dPt>
            <c:idx val="3"/>
            <c:bubble3D val="0"/>
            <c:extLst>
              <c:ext xmlns:c16="http://schemas.microsoft.com/office/drawing/2014/chart" uri="{C3380CC4-5D6E-409C-BE32-E72D297353CC}">
                <c16:uniqueId val="{00000018-AC19-450E-AFBC-D39381B4D2E3}"/>
              </c:ext>
            </c:extLst>
          </c:dPt>
          <c:dPt>
            <c:idx val="4"/>
            <c:bubble3D val="0"/>
            <c:extLst>
              <c:ext xmlns:c16="http://schemas.microsoft.com/office/drawing/2014/chart" uri="{C3380CC4-5D6E-409C-BE32-E72D297353CC}">
                <c16:uniqueId val="{00000019-AC19-450E-AFBC-D39381B4D2E3}"/>
              </c:ext>
            </c:extLst>
          </c:dPt>
          <c:dPt>
            <c:idx val="5"/>
            <c:bubble3D val="0"/>
            <c:extLst>
              <c:ext xmlns:c16="http://schemas.microsoft.com/office/drawing/2014/chart" uri="{C3380CC4-5D6E-409C-BE32-E72D297353CC}">
                <c16:uniqueId val="{0000001A-AC19-450E-AFBC-D39381B4D2E3}"/>
              </c:ext>
            </c:extLst>
          </c:dPt>
          <c:dPt>
            <c:idx val="6"/>
            <c:bubble3D val="0"/>
            <c:extLst>
              <c:ext xmlns:c16="http://schemas.microsoft.com/office/drawing/2014/chart" uri="{C3380CC4-5D6E-409C-BE32-E72D297353CC}">
                <c16:uniqueId val="{0000001B-AC19-450E-AFBC-D39381B4D2E3}"/>
              </c:ext>
            </c:extLst>
          </c:dPt>
          <c:dPt>
            <c:idx val="7"/>
            <c:bubble3D val="0"/>
            <c:extLst>
              <c:ext xmlns:c16="http://schemas.microsoft.com/office/drawing/2014/chart" uri="{C3380CC4-5D6E-409C-BE32-E72D297353CC}">
                <c16:uniqueId val="{0000001C-AC19-450E-AFBC-D39381B4D2E3}"/>
              </c:ext>
            </c:extLst>
          </c:dPt>
          <c:dPt>
            <c:idx val="8"/>
            <c:bubble3D val="0"/>
            <c:extLst>
              <c:ext xmlns:c16="http://schemas.microsoft.com/office/drawing/2014/chart" uri="{C3380CC4-5D6E-409C-BE32-E72D297353CC}">
                <c16:uniqueId val="{0000001D-AC19-450E-AFBC-D39381B4D2E3}"/>
              </c:ext>
            </c:extLst>
          </c:dPt>
          <c:dPt>
            <c:idx val="9"/>
            <c:bubble3D val="0"/>
            <c:extLst>
              <c:ext xmlns:c16="http://schemas.microsoft.com/office/drawing/2014/chart" uri="{C3380CC4-5D6E-409C-BE32-E72D297353CC}">
                <c16:uniqueId val="{0000001E-AC19-450E-AFBC-D39381B4D2E3}"/>
              </c:ext>
            </c:extLst>
          </c:dPt>
          <c:dPt>
            <c:idx val="10"/>
            <c:bubble3D val="0"/>
            <c:extLst>
              <c:ext xmlns:c16="http://schemas.microsoft.com/office/drawing/2014/chart" uri="{C3380CC4-5D6E-409C-BE32-E72D297353CC}">
                <c16:uniqueId val="{0000001F-AC19-450E-AFBC-D39381B4D2E3}"/>
              </c:ext>
            </c:extLst>
          </c:dPt>
          <c:dPt>
            <c:idx val="11"/>
            <c:bubble3D val="0"/>
            <c:extLst>
              <c:ext xmlns:c16="http://schemas.microsoft.com/office/drawing/2014/chart" uri="{C3380CC4-5D6E-409C-BE32-E72D297353CC}">
                <c16:uniqueId val="{00000020-AC19-450E-AFBC-D39381B4D2E3}"/>
              </c:ext>
            </c:extLst>
          </c:dPt>
          <c:dPt>
            <c:idx val="12"/>
            <c:bubble3D val="0"/>
            <c:extLst>
              <c:ext xmlns:c16="http://schemas.microsoft.com/office/drawing/2014/chart" uri="{C3380CC4-5D6E-409C-BE32-E72D297353CC}">
                <c16:uniqueId val="{00000021-AC19-450E-AFBC-D39381B4D2E3}"/>
              </c:ext>
            </c:extLst>
          </c:dPt>
          <c:dPt>
            <c:idx val="13"/>
            <c:bubble3D val="0"/>
            <c:extLst>
              <c:ext xmlns:c16="http://schemas.microsoft.com/office/drawing/2014/chart" uri="{C3380CC4-5D6E-409C-BE32-E72D297353CC}">
                <c16:uniqueId val="{00000022-AC19-450E-AFBC-D39381B4D2E3}"/>
              </c:ext>
            </c:extLst>
          </c:dPt>
          <c:dPt>
            <c:idx val="14"/>
            <c:bubble3D val="0"/>
            <c:extLst>
              <c:ext xmlns:c16="http://schemas.microsoft.com/office/drawing/2014/chart" uri="{C3380CC4-5D6E-409C-BE32-E72D297353CC}">
                <c16:uniqueId val="{00000023-AC19-450E-AFBC-D39381B4D2E3}"/>
              </c:ext>
            </c:extLst>
          </c:dPt>
          <c:dPt>
            <c:idx val="15"/>
            <c:bubble3D val="0"/>
            <c:extLst>
              <c:ext xmlns:c16="http://schemas.microsoft.com/office/drawing/2014/chart" uri="{C3380CC4-5D6E-409C-BE32-E72D297353CC}">
                <c16:uniqueId val="{00000024-AC19-450E-AFBC-D39381B4D2E3}"/>
              </c:ext>
            </c:extLst>
          </c:dPt>
          <c:dPt>
            <c:idx val="16"/>
            <c:bubble3D val="0"/>
            <c:extLst>
              <c:ext xmlns:c16="http://schemas.microsoft.com/office/drawing/2014/chart" uri="{C3380CC4-5D6E-409C-BE32-E72D297353CC}">
                <c16:uniqueId val="{00000025-AC19-450E-AFBC-D39381B4D2E3}"/>
              </c:ext>
            </c:extLst>
          </c:dPt>
          <c:dPt>
            <c:idx val="17"/>
            <c:bubble3D val="0"/>
            <c:extLst>
              <c:ext xmlns:c16="http://schemas.microsoft.com/office/drawing/2014/chart" uri="{C3380CC4-5D6E-409C-BE32-E72D297353CC}">
                <c16:uniqueId val="{00000026-AC19-450E-AFBC-D39381B4D2E3}"/>
              </c:ext>
            </c:extLst>
          </c:dPt>
          <c:dPt>
            <c:idx val="18"/>
            <c:bubble3D val="0"/>
            <c:extLst>
              <c:ext xmlns:c16="http://schemas.microsoft.com/office/drawing/2014/chart" uri="{C3380CC4-5D6E-409C-BE32-E72D297353CC}">
                <c16:uniqueId val="{00000027-AC19-450E-AFBC-D39381B4D2E3}"/>
              </c:ext>
            </c:extLst>
          </c:dPt>
          <c:dPt>
            <c:idx val="19"/>
            <c:bubble3D val="0"/>
            <c:extLst>
              <c:ext xmlns:c16="http://schemas.microsoft.com/office/drawing/2014/chart" uri="{C3380CC4-5D6E-409C-BE32-E72D297353CC}">
                <c16:uniqueId val="{00000028-AC19-450E-AFBC-D39381B4D2E3}"/>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AC19-450E-AFBC-D39381B4D2E3}"/>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AC19-450E-AFBC-D39381B4D2E3}"/>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AC19-450E-AFBC-D39381B4D2E3}"/>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AC19-450E-AFBC-D39381B4D2E3}"/>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AC19-450E-AFBC-D39381B4D2E3}"/>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AC19-450E-AFBC-D39381B4D2E3}"/>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AC19-450E-AFBC-D39381B4D2E3}"/>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AC19-450E-AFBC-D39381B4D2E3}"/>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AC19-450E-AFBC-D39381B4D2E3}"/>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AC19-450E-AFBC-D39381B4D2E3}"/>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AC19-450E-AFBC-D39381B4D2E3}"/>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AC19-450E-AFBC-D39381B4D2E3}"/>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AC19-450E-AFBC-D39381B4D2E3}"/>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AC19-450E-AFBC-D39381B4D2E3}"/>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AC19-450E-AFBC-D39381B4D2E3}"/>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AC19-450E-AFBC-D39381B4D2E3}"/>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AC19-450E-AFBC-D39381B4D2E3}"/>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AC19-450E-AFBC-D39381B4D2E3}"/>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AC19-450E-AFBC-D39381B4D2E3}"/>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Geometria!$Q$552:$Q$572</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29-AC19-450E-AFBC-D39381B4D2E3}"/>
            </c:ext>
          </c:extLst>
        </c:ser>
        <c:dLbls>
          <c:showLegendKey val="0"/>
          <c:showVal val="0"/>
          <c:showCatName val="0"/>
          <c:showSerName val="0"/>
          <c:showPercent val="0"/>
          <c:showBubbleSize val="0"/>
        </c:dLbls>
        <c:hiLowLines>
          <c:spPr>
            <a:ln w="0">
              <a:noFill/>
            </a:ln>
          </c:spPr>
        </c:hiLowLines>
        <c:smooth val="0"/>
        <c:axId val="64712502"/>
        <c:axId val="12654196"/>
      </c:lineChart>
      <c:catAx>
        <c:axId val="64712502"/>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12654196"/>
        <c:crosses val="autoZero"/>
        <c:auto val="1"/>
        <c:lblAlgn val="ctr"/>
        <c:lblOffset val="100"/>
        <c:noMultiLvlLbl val="0"/>
      </c:catAx>
      <c:valAx>
        <c:axId val="12654196"/>
        <c:scaling>
          <c:orientation val="minMax"/>
        </c:scaling>
        <c:delete val="1"/>
        <c:axPos val="l"/>
        <c:numFmt formatCode="0.0" sourceLinked="1"/>
        <c:majorTickMark val="out"/>
        <c:minorTickMark val="none"/>
        <c:tickLblPos val="nextTo"/>
        <c:crossAx val="64712502"/>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Momento mínimo</a:t>
            </a:r>
          </a:p>
        </c:rich>
      </c:tx>
      <c:overlay val="0"/>
      <c:spPr>
        <a:noFill/>
        <a:ln w="0">
          <a:noFill/>
        </a:ln>
      </c:spPr>
    </c:title>
    <c:autoTitleDeleted val="0"/>
    <c:plotArea>
      <c:layout>
        <c:manualLayout>
          <c:layoutTarget val="inner"/>
          <c:xMode val="edge"/>
          <c:yMode val="edge"/>
          <c:x val="1.7688360788549799E-2"/>
          <c:y val="0.107002716571084"/>
          <c:w val="0.96834998649743498"/>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Geometria!$O$813:$O$833</c:f>
              <c:numCache>
                <c:formatCode>0.0</c:formatCode>
                <c:ptCount val="21"/>
                <c:pt idx="0">
                  <c:v>0</c:v>
                </c:pt>
                <c:pt idx="1">
                  <c:v>-0.59511957506663615</c:v>
                </c:pt>
                <c:pt idx="2">
                  <c:v>-1.7556718219251515</c:v>
                </c:pt>
                <c:pt idx="3">
                  <c:v>-3.4816567405755467</c:v>
                </c:pt>
                <c:pt idx="4">
                  <c:v>-8.8411862701102315</c:v>
                </c:pt>
                <c:pt idx="5">
                  <c:v>-7.4359335812448073</c:v>
                </c:pt>
                <c:pt idx="6">
                  <c:v>-6.2861256880247591</c:v>
                </c:pt>
                <c:pt idx="7">
                  <c:v>-5.3917960114395154</c:v>
                </c:pt>
                <c:pt idx="8">
                  <c:v>-4.752970539984787</c:v>
                </c:pt>
                <c:pt idx="9">
                  <c:v>-4.3696678338690749</c:v>
                </c:pt>
                <c:pt idx="10">
                  <c:v>-4.2418990280167179</c:v>
                </c:pt>
                <c:pt idx="11">
                  <c:v>-4.3696678338690749</c:v>
                </c:pt>
                <c:pt idx="12">
                  <c:v>-4.752970539984787</c:v>
                </c:pt>
                <c:pt idx="13">
                  <c:v>-5.3917960114395154</c:v>
                </c:pt>
                <c:pt idx="14">
                  <c:v>-6.2861256880247574</c:v>
                </c:pt>
                <c:pt idx="15">
                  <c:v>-7.4359335812448037</c:v>
                </c:pt>
                <c:pt idx="16">
                  <c:v>-8.8411862701102262</c:v>
                </c:pt>
                <c:pt idx="17">
                  <c:v>-3.4816567405755303</c:v>
                </c:pt>
                <c:pt idx="18">
                  <c:v>-1.7556718219251333</c:v>
                </c:pt>
                <c:pt idx="19">
                  <c:v>-0.59511957506661661</c:v>
                </c:pt>
                <c:pt idx="20">
                  <c:v>0</c:v>
                </c:pt>
              </c:numCache>
            </c:numRef>
          </c:val>
          <c:smooth val="1"/>
          <c:extLst>
            <c:ext xmlns:c16="http://schemas.microsoft.com/office/drawing/2014/chart" uri="{C3380CC4-5D6E-409C-BE32-E72D297353CC}">
              <c16:uniqueId val="{00000000-9C50-4FBC-84A5-9C597D61E137}"/>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Geometria!$O$789:$O$809</c:f>
              <c:numCache>
                <c:formatCode>0.0</c:formatCode>
                <c:ptCount val="21"/>
                <c:pt idx="0">
                  <c:v>0</c:v>
                </c:pt>
                <c:pt idx="1">
                  <c:v>-0.94593927158779323</c:v>
                </c:pt>
                <c:pt idx="2">
                  <c:v>-1.6392552430599296</c:v>
                </c:pt>
                <c:pt idx="3">
                  <c:v>-0.87585520876380807</c:v>
                </c:pt>
                <c:pt idx="4">
                  <c:v>-2.1561048267730052</c:v>
                </c:pt>
                <c:pt idx="5">
                  <c:v>-3.2394128733750711</c:v>
                </c:pt>
                <c:pt idx="6">
                  <c:v>-4.1257693920105121</c:v>
                </c:pt>
                <c:pt idx="7">
                  <c:v>-4.8151662386003959</c:v>
                </c:pt>
                <c:pt idx="8">
                  <c:v>-5.3075970802274783</c:v>
                </c:pt>
                <c:pt idx="9">
                  <c:v>-5.6030573941111514</c:v>
                </c:pt>
                <c:pt idx="10">
                  <c:v>-5.7015444668756521</c:v>
                </c:pt>
                <c:pt idx="11">
                  <c:v>-5.6030573941111514</c:v>
                </c:pt>
                <c:pt idx="12">
                  <c:v>-5.3075970802274783</c:v>
                </c:pt>
                <c:pt idx="13">
                  <c:v>-4.8151662386003959</c:v>
                </c:pt>
                <c:pt idx="14">
                  <c:v>-4.1257693920105138</c:v>
                </c:pt>
                <c:pt idx="15">
                  <c:v>-3.2394128733750751</c:v>
                </c:pt>
                <c:pt idx="16">
                  <c:v>-2.1561048267730087</c:v>
                </c:pt>
                <c:pt idx="17">
                  <c:v>-0.87585520876381262</c:v>
                </c:pt>
                <c:pt idx="18">
                  <c:v>-1.6392552430599372</c:v>
                </c:pt>
                <c:pt idx="19">
                  <c:v>-0.94593927158780133</c:v>
                </c:pt>
                <c:pt idx="20">
                  <c:v>0</c:v>
                </c:pt>
              </c:numCache>
            </c:numRef>
          </c:val>
          <c:smooth val="1"/>
          <c:extLst>
            <c:ext xmlns:c16="http://schemas.microsoft.com/office/drawing/2014/chart" uri="{C3380CC4-5D6E-409C-BE32-E72D297353CC}">
              <c16:uniqueId val="{00000001-9C50-4FBC-84A5-9C597D61E137}"/>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9C50-4FBC-84A5-9C597D61E137}"/>
              </c:ext>
            </c:extLst>
          </c:dPt>
          <c:dPt>
            <c:idx val="2"/>
            <c:bubble3D val="0"/>
            <c:extLst>
              <c:ext xmlns:c16="http://schemas.microsoft.com/office/drawing/2014/chart" uri="{C3380CC4-5D6E-409C-BE32-E72D297353CC}">
                <c16:uniqueId val="{00000003-9C50-4FBC-84A5-9C597D61E137}"/>
              </c:ext>
            </c:extLst>
          </c:dPt>
          <c:dPt>
            <c:idx val="3"/>
            <c:bubble3D val="0"/>
            <c:extLst>
              <c:ext xmlns:c16="http://schemas.microsoft.com/office/drawing/2014/chart" uri="{C3380CC4-5D6E-409C-BE32-E72D297353CC}">
                <c16:uniqueId val="{00000004-9C50-4FBC-84A5-9C597D61E137}"/>
              </c:ext>
            </c:extLst>
          </c:dPt>
          <c:dPt>
            <c:idx val="4"/>
            <c:bubble3D val="0"/>
            <c:extLst>
              <c:ext xmlns:c16="http://schemas.microsoft.com/office/drawing/2014/chart" uri="{C3380CC4-5D6E-409C-BE32-E72D297353CC}">
                <c16:uniqueId val="{00000005-9C50-4FBC-84A5-9C597D61E137}"/>
              </c:ext>
            </c:extLst>
          </c:dPt>
          <c:dPt>
            <c:idx val="5"/>
            <c:bubble3D val="0"/>
            <c:extLst>
              <c:ext xmlns:c16="http://schemas.microsoft.com/office/drawing/2014/chart" uri="{C3380CC4-5D6E-409C-BE32-E72D297353CC}">
                <c16:uniqueId val="{00000006-9C50-4FBC-84A5-9C597D61E137}"/>
              </c:ext>
            </c:extLst>
          </c:dPt>
          <c:dPt>
            <c:idx val="6"/>
            <c:bubble3D val="0"/>
            <c:extLst>
              <c:ext xmlns:c16="http://schemas.microsoft.com/office/drawing/2014/chart" uri="{C3380CC4-5D6E-409C-BE32-E72D297353CC}">
                <c16:uniqueId val="{00000007-9C50-4FBC-84A5-9C597D61E137}"/>
              </c:ext>
            </c:extLst>
          </c:dPt>
          <c:dPt>
            <c:idx val="7"/>
            <c:bubble3D val="0"/>
            <c:extLst>
              <c:ext xmlns:c16="http://schemas.microsoft.com/office/drawing/2014/chart" uri="{C3380CC4-5D6E-409C-BE32-E72D297353CC}">
                <c16:uniqueId val="{00000008-9C50-4FBC-84A5-9C597D61E137}"/>
              </c:ext>
            </c:extLst>
          </c:dPt>
          <c:dPt>
            <c:idx val="8"/>
            <c:bubble3D val="0"/>
            <c:extLst>
              <c:ext xmlns:c16="http://schemas.microsoft.com/office/drawing/2014/chart" uri="{C3380CC4-5D6E-409C-BE32-E72D297353CC}">
                <c16:uniqueId val="{00000009-9C50-4FBC-84A5-9C597D61E137}"/>
              </c:ext>
            </c:extLst>
          </c:dPt>
          <c:dPt>
            <c:idx val="9"/>
            <c:bubble3D val="0"/>
            <c:extLst>
              <c:ext xmlns:c16="http://schemas.microsoft.com/office/drawing/2014/chart" uri="{C3380CC4-5D6E-409C-BE32-E72D297353CC}">
                <c16:uniqueId val="{0000000A-9C50-4FBC-84A5-9C597D61E137}"/>
              </c:ext>
            </c:extLst>
          </c:dPt>
          <c:dPt>
            <c:idx val="10"/>
            <c:bubble3D val="0"/>
            <c:extLst>
              <c:ext xmlns:c16="http://schemas.microsoft.com/office/drawing/2014/chart" uri="{C3380CC4-5D6E-409C-BE32-E72D297353CC}">
                <c16:uniqueId val="{0000000B-9C50-4FBC-84A5-9C597D61E137}"/>
              </c:ext>
            </c:extLst>
          </c:dPt>
          <c:dPt>
            <c:idx val="11"/>
            <c:bubble3D val="0"/>
            <c:extLst>
              <c:ext xmlns:c16="http://schemas.microsoft.com/office/drawing/2014/chart" uri="{C3380CC4-5D6E-409C-BE32-E72D297353CC}">
                <c16:uniqueId val="{0000000C-9C50-4FBC-84A5-9C597D61E137}"/>
              </c:ext>
            </c:extLst>
          </c:dPt>
          <c:dPt>
            <c:idx val="12"/>
            <c:bubble3D val="0"/>
            <c:extLst>
              <c:ext xmlns:c16="http://schemas.microsoft.com/office/drawing/2014/chart" uri="{C3380CC4-5D6E-409C-BE32-E72D297353CC}">
                <c16:uniqueId val="{0000000D-9C50-4FBC-84A5-9C597D61E137}"/>
              </c:ext>
            </c:extLst>
          </c:dPt>
          <c:dPt>
            <c:idx val="13"/>
            <c:bubble3D val="0"/>
            <c:extLst>
              <c:ext xmlns:c16="http://schemas.microsoft.com/office/drawing/2014/chart" uri="{C3380CC4-5D6E-409C-BE32-E72D297353CC}">
                <c16:uniqueId val="{0000000E-9C50-4FBC-84A5-9C597D61E137}"/>
              </c:ext>
            </c:extLst>
          </c:dPt>
          <c:dPt>
            <c:idx val="14"/>
            <c:bubble3D val="0"/>
            <c:extLst>
              <c:ext xmlns:c16="http://schemas.microsoft.com/office/drawing/2014/chart" uri="{C3380CC4-5D6E-409C-BE32-E72D297353CC}">
                <c16:uniqueId val="{0000000F-9C50-4FBC-84A5-9C597D61E137}"/>
              </c:ext>
            </c:extLst>
          </c:dPt>
          <c:dPt>
            <c:idx val="15"/>
            <c:bubble3D val="0"/>
            <c:extLst>
              <c:ext xmlns:c16="http://schemas.microsoft.com/office/drawing/2014/chart" uri="{C3380CC4-5D6E-409C-BE32-E72D297353CC}">
                <c16:uniqueId val="{00000010-9C50-4FBC-84A5-9C597D61E137}"/>
              </c:ext>
            </c:extLst>
          </c:dPt>
          <c:dPt>
            <c:idx val="16"/>
            <c:bubble3D val="0"/>
            <c:extLst>
              <c:ext xmlns:c16="http://schemas.microsoft.com/office/drawing/2014/chart" uri="{C3380CC4-5D6E-409C-BE32-E72D297353CC}">
                <c16:uniqueId val="{00000011-9C50-4FBC-84A5-9C597D61E137}"/>
              </c:ext>
            </c:extLst>
          </c:dPt>
          <c:dPt>
            <c:idx val="17"/>
            <c:bubble3D val="0"/>
            <c:extLst>
              <c:ext xmlns:c16="http://schemas.microsoft.com/office/drawing/2014/chart" uri="{C3380CC4-5D6E-409C-BE32-E72D297353CC}">
                <c16:uniqueId val="{00000012-9C50-4FBC-84A5-9C597D61E137}"/>
              </c:ext>
            </c:extLst>
          </c:dPt>
          <c:dPt>
            <c:idx val="18"/>
            <c:bubble3D val="0"/>
            <c:extLst>
              <c:ext xmlns:c16="http://schemas.microsoft.com/office/drawing/2014/chart" uri="{C3380CC4-5D6E-409C-BE32-E72D297353CC}">
                <c16:uniqueId val="{00000013-9C50-4FBC-84A5-9C597D61E137}"/>
              </c:ext>
            </c:extLst>
          </c:dPt>
          <c:dPt>
            <c:idx val="19"/>
            <c:bubble3D val="0"/>
            <c:extLst>
              <c:ext xmlns:c16="http://schemas.microsoft.com/office/drawing/2014/chart" uri="{C3380CC4-5D6E-409C-BE32-E72D297353CC}">
                <c16:uniqueId val="{00000014-9C50-4FBC-84A5-9C597D61E137}"/>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9C50-4FBC-84A5-9C597D61E137}"/>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9C50-4FBC-84A5-9C597D61E137}"/>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9C50-4FBC-84A5-9C597D61E137}"/>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9C50-4FBC-84A5-9C597D61E137}"/>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9C50-4FBC-84A5-9C597D61E137}"/>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9C50-4FBC-84A5-9C597D61E137}"/>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9C50-4FBC-84A5-9C597D61E137}"/>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9C50-4FBC-84A5-9C597D61E137}"/>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9C50-4FBC-84A5-9C597D61E137}"/>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9C50-4FBC-84A5-9C597D61E137}"/>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9C50-4FBC-84A5-9C597D61E137}"/>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9C50-4FBC-84A5-9C597D61E137}"/>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9C50-4FBC-84A5-9C597D61E137}"/>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9C50-4FBC-84A5-9C597D61E137}"/>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9C50-4FBC-84A5-9C597D61E137}"/>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9C50-4FBC-84A5-9C597D61E137}"/>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9C50-4FBC-84A5-9C597D61E137}"/>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9C50-4FBC-84A5-9C597D61E137}"/>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9C50-4FBC-84A5-9C597D61E137}"/>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9C50-4FBC-84A5-9C597D61E137}"/>
            </c:ext>
          </c:extLst>
        </c:ser>
        <c:dLbls>
          <c:showLegendKey val="0"/>
          <c:showVal val="0"/>
          <c:showCatName val="0"/>
          <c:showSerName val="0"/>
          <c:showPercent val="0"/>
          <c:showBubbleSize val="0"/>
        </c:dLbls>
        <c:hiLowLines>
          <c:spPr>
            <a:ln w="0">
              <a:noFill/>
            </a:ln>
          </c:spPr>
        </c:hiLowLines>
        <c:smooth val="0"/>
        <c:axId val="68850395"/>
        <c:axId val="13646971"/>
      </c:lineChart>
      <c:catAx>
        <c:axId val="68850395"/>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13646971"/>
        <c:crosses val="autoZero"/>
        <c:auto val="1"/>
        <c:lblAlgn val="ctr"/>
        <c:lblOffset val="100"/>
        <c:noMultiLvlLbl val="0"/>
      </c:catAx>
      <c:valAx>
        <c:axId val="13646971"/>
        <c:scaling>
          <c:orientation val="minMax"/>
        </c:scaling>
        <c:delete val="1"/>
        <c:axPos val="l"/>
        <c:numFmt formatCode="0.0" sourceLinked="1"/>
        <c:majorTickMark val="out"/>
        <c:minorTickMark val="none"/>
        <c:tickLblPos val="nextTo"/>
        <c:crossAx val="68850395"/>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Momento máximo</a:t>
            </a:r>
          </a:p>
        </c:rich>
      </c:tx>
      <c:overlay val="0"/>
      <c:spPr>
        <a:noFill/>
        <a:ln w="0">
          <a:noFill/>
        </a:ln>
      </c:spPr>
    </c:title>
    <c:autoTitleDeleted val="0"/>
    <c:plotArea>
      <c:layout>
        <c:manualLayout>
          <c:layoutTarget val="inner"/>
          <c:xMode val="edge"/>
          <c:yMode val="edge"/>
          <c:x val="1.6389458904849299E-2"/>
          <c:y val="0.107332472377673"/>
          <c:w val="0.96705907765417398"/>
          <c:h val="0.880685894676424"/>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Geometria!$O$737:$O$757</c:f>
              <c:numCache>
                <c:formatCode>0.0</c:formatCode>
                <c:ptCount val="21"/>
                <c:pt idx="0">
                  <c:v>0</c:v>
                </c:pt>
                <c:pt idx="1">
                  <c:v>-0.59511957506663615</c:v>
                </c:pt>
                <c:pt idx="2">
                  <c:v>-1.7556718219251515</c:v>
                </c:pt>
                <c:pt idx="3">
                  <c:v>-3.4816567405755467</c:v>
                </c:pt>
                <c:pt idx="4">
                  <c:v>-3.1862346822449834</c:v>
                </c:pt>
                <c:pt idx="5">
                  <c:v>-0.80903718921522072</c:v>
                </c:pt>
                <c:pt idx="6">
                  <c:v>1.1359982710483782</c:v>
                </c:pt>
                <c:pt idx="7">
                  <c:v>2.6488382775563841</c:v>
                </c:pt>
                <c:pt idx="8">
                  <c:v>3.7294568418130849</c:v>
                </c:pt>
                <c:pt idx="9">
                  <c:v>4.3778354036099811</c:v>
                </c:pt>
                <c:pt idx="10">
                  <c:v>4.5939628280227334</c:v>
                </c:pt>
                <c:pt idx="11">
                  <c:v>4.3778354036099829</c:v>
                </c:pt>
                <c:pt idx="12">
                  <c:v>3.7294568418130885</c:v>
                </c:pt>
                <c:pt idx="13">
                  <c:v>2.6488382775563877</c:v>
                </c:pt>
                <c:pt idx="14">
                  <c:v>1.1359982710483847</c:v>
                </c:pt>
                <c:pt idx="15">
                  <c:v>-0.80903718921521073</c:v>
                </c:pt>
                <c:pt idx="16">
                  <c:v>-3.1862346822449727</c:v>
                </c:pt>
                <c:pt idx="17">
                  <c:v>-3.4816567405755303</c:v>
                </c:pt>
                <c:pt idx="18">
                  <c:v>-1.7556718219251333</c:v>
                </c:pt>
                <c:pt idx="19">
                  <c:v>-0.59511957506661661</c:v>
                </c:pt>
                <c:pt idx="20">
                  <c:v>0</c:v>
                </c:pt>
              </c:numCache>
            </c:numRef>
          </c:val>
          <c:smooth val="1"/>
          <c:extLst>
            <c:ext xmlns:c16="http://schemas.microsoft.com/office/drawing/2014/chart" uri="{C3380CC4-5D6E-409C-BE32-E72D297353CC}">
              <c16:uniqueId val="{00000000-FCD7-48B7-AAAB-877DB0AC5033}"/>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Geometria!$O$714:$O$734</c:f>
              <c:numCache>
                <c:formatCode>0.0</c:formatCode>
                <c:ptCount val="21"/>
                <c:pt idx="0">
                  <c:v>0</c:v>
                </c:pt>
                <c:pt idx="1">
                  <c:v>-0.94593927158779323</c:v>
                </c:pt>
                <c:pt idx="2">
                  <c:v>-1.6392552430599296</c:v>
                </c:pt>
                <c:pt idx="3">
                  <c:v>-1.6362234027523139</c:v>
                </c:pt>
                <c:pt idx="4">
                  <c:v>-3.1102923643272087</c:v>
                </c:pt>
                <c:pt idx="5">
                  <c:v>-4.3576013939464033</c:v>
                </c:pt>
                <c:pt idx="6">
                  <c:v>-5.378140535050405</c:v>
                </c:pt>
                <c:pt idx="7">
                  <c:v>-6.1719016435602798</c:v>
                </c:pt>
                <c:pt idx="8">
                  <c:v>-6.7388783865587838</c:v>
                </c:pt>
                <c:pt idx="9">
                  <c:v>-7.07906624126531</c:v>
                </c:pt>
                <c:pt idx="10">
                  <c:v>-7.1924624943040945</c:v>
                </c:pt>
                <c:pt idx="11">
                  <c:v>-7.0790662412653109</c:v>
                </c:pt>
                <c:pt idx="12">
                  <c:v>-6.7388783865587847</c:v>
                </c:pt>
                <c:pt idx="13">
                  <c:v>-6.1719016435602807</c:v>
                </c:pt>
                <c:pt idx="14">
                  <c:v>-5.3781405350504068</c:v>
                </c:pt>
                <c:pt idx="15">
                  <c:v>-4.3576013939464087</c:v>
                </c:pt>
                <c:pt idx="16">
                  <c:v>-3.1102923643272136</c:v>
                </c:pt>
                <c:pt idx="17">
                  <c:v>-1.6362234027523195</c:v>
                </c:pt>
                <c:pt idx="18">
                  <c:v>-1.6392552430599372</c:v>
                </c:pt>
                <c:pt idx="19">
                  <c:v>-0.94593927158780133</c:v>
                </c:pt>
                <c:pt idx="20">
                  <c:v>0</c:v>
                </c:pt>
              </c:numCache>
            </c:numRef>
          </c:val>
          <c:smooth val="1"/>
          <c:extLst>
            <c:ext xmlns:c16="http://schemas.microsoft.com/office/drawing/2014/chart" uri="{C3380CC4-5D6E-409C-BE32-E72D297353CC}">
              <c16:uniqueId val="{00000001-FCD7-48B7-AAAB-877DB0AC5033}"/>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FCD7-48B7-AAAB-877DB0AC5033}"/>
              </c:ext>
            </c:extLst>
          </c:dPt>
          <c:dPt>
            <c:idx val="2"/>
            <c:bubble3D val="0"/>
            <c:extLst>
              <c:ext xmlns:c16="http://schemas.microsoft.com/office/drawing/2014/chart" uri="{C3380CC4-5D6E-409C-BE32-E72D297353CC}">
                <c16:uniqueId val="{00000003-FCD7-48B7-AAAB-877DB0AC5033}"/>
              </c:ext>
            </c:extLst>
          </c:dPt>
          <c:dPt>
            <c:idx val="3"/>
            <c:bubble3D val="0"/>
            <c:extLst>
              <c:ext xmlns:c16="http://schemas.microsoft.com/office/drawing/2014/chart" uri="{C3380CC4-5D6E-409C-BE32-E72D297353CC}">
                <c16:uniqueId val="{00000004-FCD7-48B7-AAAB-877DB0AC5033}"/>
              </c:ext>
            </c:extLst>
          </c:dPt>
          <c:dPt>
            <c:idx val="4"/>
            <c:bubble3D val="0"/>
            <c:extLst>
              <c:ext xmlns:c16="http://schemas.microsoft.com/office/drawing/2014/chart" uri="{C3380CC4-5D6E-409C-BE32-E72D297353CC}">
                <c16:uniqueId val="{00000005-FCD7-48B7-AAAB-877DB0AC5033}"/>
              </c:ext>
            </c:extLst>
          </c:dPt>
          <c:dPt>
            <c:idx val="5"/>
            <c:bubble3D val="0"/>
            <c:extLst>
              <c:ext xmlns:c16="http://schemas.microsoft.com/office/drawing/2014/chart" uri="{C3380CC4-5D6E-409C-BE32-E72D297353CC}">
                <c16:uniqueId val="{00000006-FCD7-48B7-AAAB-877DB0AC5033}"/>
              </c:ext>
            </c:extLst>
          </c:dPt>
          <c:dPt>
            <c:idx val="6"/>
            <c:bubble3D val="0"/>
            <c:extLst>
              <c:ext xmlns:c16="http://schemas.microsoft.com/office/drawing/2014/chart" uri="{C3380CC4-5D6E-409C-BE32-E72D297353CC}">
                <c16:uniqueId val="{00000007-FCD7-48B7-AAAB-877DB0AC5033}"/>
              </c:ext>
            </c:extLst>
          </c:dPt>
          <c:dPt>
            <c:idx val="7"/>
            <c:bubble3D val="0"/>
            <c:extLst>
              <c:ext xmlns:c16="http://schemas.microsoft.com/office/drawing/2014/chart" uri="{C3380CC4-5D6E-409C-BE32-E72D297353CC}">
                <c16:uniqueId val="{00000008-FCD7-48B7-AAAB-877DB0AC5033}"/>
              </c:ext>
            </c:extLst>
          </c:dPt>
          <c:dPt>
            <c:idx val="8"/>
            <c:bubble3D val="0"/>
            <c:extLst>
              <c:ext xmlns:c16="http://schemas.microsoft.com/office/drawing/2014/chart" uri="{C3380CC4-5D6E-409C-BE32-E72D297353CC}">
                <c16:uniqueId val="{00000009-FCD7-48B7-AAAB-877DB0AC5033}"/>
              </c:ext>
            </c:extLst>
          </c:dPt>
          <c:dPt>
            <c:idx val="9"/>
            <c:bubble3D val="0"/>
            <c:extLst>
              <c:ext xmlns:c16="http://schemas.microsoft.com/office/drawing/2014/chart" uri="{C3380CC4-5D6E-409C-BE32-E72D297353CC}">
                <c16:uniqueId val="{0000000A-FCD7-48B7-AAAB-877DB0AC5033}"/>
              </c:ext>
            </c:extLst>
          </c:dPt>
          <c:dPt>
            <c:idx val="10"/>
            <c:bubble3D val="0"/>
            <c:extLst>
              <c:ext xmlns:c16="http://schemas.microsoft.com/office/drawing/2014/chart" uri="{C3380CC4-5D6E-409C-BE32-E72D297353CC}">
                <c16:uniqueId val="{0000000B-FCD7-48B7-AAAB-877DB0AC5033}"/>
              </c:ext>
            </c:extLst>
          </c:dPt>
          <c:dPt>
            <c:idx val="11"/>
            <c:bubble3D val="0"/>
            <c:extLst>
              <c:ext xmlns:c16="http://schemas.microsoft.com/office/drawing/2014/chart" uri="{C3380CC4-5D6E-409C-BE32-E72D297353CC}">
                <c16:uniqueId val="{0000000C-FCD7-48B7-AAAB-877DB0AC5033}"/>
              </c:ext>
            </c:extLst>
          </c:dPt>
          <c:dPt>
            <c:idx val="12"/>
            <c:bubble3D val="0"/>
            <c:extLst>
              <c:ext xmlns:c16="http://schemas.microsoft.com/office/drawing/2014/chart" uri="{C3380CC4-5D6E-409C-BE32-E72D297353CC}">
                <c16:uniqueId val="{0000000D-FCD7-48B7-AAAB-877DB0AC5033}"/>
              </c:ext>
            </c:extLst>
          </c:dPt>
          <c:dPt>
            <c:idx val="13"/>
            <c:bubble3D val="0"/>
            <c:extLst>
              <c:ext xmlns:c16="http://schemas.microsoft.com/office/drawing/2014/chart" uri="{C3380CC4-5D6E-409C-BE32-E72D297353CC}">
                <c16:uniqueId val="{0000000E-FCD7-48B7-AAAB-877DB0AC5033}"/>
              </c:ext>
            </c:extLst>
          </c:dPt>
          <c:dPt>
            <c:idx val="14"/>
            <c:bubble3D val="0"/>
            <c:extLst>
              <c:ext xmlns:c16="http://schemas.microsoft.com/office/drawing/2014/chart" uri="{C3380CC4-5D6E-409C-BE32-E72D297353CC}">
                <c16:uniqueId val="{0000000F-FCD7-48B7-AAAB-877DB0AC5033}"/>
              </c:ext>
            </c:extLst>
          </c:dPt>
          <c:dPt>
            <c:idx val="15"/>
            <c:bubble3D val="0"/>
            <c:extLst>
              <c:ext xmlns:c16="http://schemas.microsoft.com/office/drawing/2014/chart" uri="{C3380CC4-5D6E-409C-BE32-E72D297353CC}">
                <c16:uniqueId val="{00000010-FCD7-48B7-AAAB-877DB0AC5033}"/>
              </c:ext>
            </c:extLst>
          </c:dPt>
          <c:dPt>
            <c:idx val="16"/>
            <c:bubble3D val="0"/>
            <c:extLst>
              <c:ext xmlns:c16="http://schemas.microsoft.com/office/drawing/2014/chart" uri="{C3380CC4-5D6E-409C-BE32-E72D297353CC}">
                <c16:uniqueId val="{00000011-FCD7-48B7-AAAB-877DB0AC5033}"/>
              </c:ext>
            </c:extLst>
          </c:dPt>
          <c:dPt>
            <c:idx val="17"/>
            <c:bubble3D val="0"/>
            <c:extLst>
              <c:ext xmlns:c16="http://schemas.microsoft.com/office/drawing/2014/chart" uri="{C3380CC4-5D6E-409C-BE32-E72D297353CC}">
                <c16:uniqueId val="{00000012-FCD7-48B7-AAAB-877DB0AC5033}"/>
              </c:ext>
            </c:extLst>
          </c:dPt>
          <c:dPt>
            <c:idx val="18"/>
            <c:bubble3D val="0"/>
            <c:extLst>
              <c:ext xmlns:c16="http://schemas.microsoft.com/office/drawing/2014/chart" uri="{C3380CC4-5D6E-409C-BE32-E72D297353CC}">
                <c16:uniqueId val="{00000013-FCD7-48B7-AAAB-877DB0AC5033}"/>
              </c:ext>
            </c:extLst>
          </c:dPt>
          <c:dPt>
            <c:idx val="19"/>
            <c:bubble3D val="0"/>
            <c:extLst>
              <c:ext xmlns:c16="http://schemas.microsoft.com/office/drawing/2014/chart" uri="{C3380CC4-5D6E-409C-BE32-E72D297353CC}">
                <c16:uniqueId val="{00000014-FCD7-48B7-AAAB-877DB0AC5033}"/>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FCD7-48B7-AAAB-877DB0AC5033}"/>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FCD7-48B7-AAAB-877DB0AC5033}"/>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FCD7-48B7-AAAB-877DB0AC5033}"/>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FCD7-48B7-AAAB-877DB0AC5033}"/>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FCD7-48B7-AAAB-877DB0AC5033}"/>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FCD7-48B7-AAAB-877DB0AC5033}"/>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FCD7-48B7-AAAB-877DB0AC5033}"/>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FCD7-48B7-AAAB-877DB0AC5033}"/>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FCD7-48B7-AAAB-877DB0AC5033}"/>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FCD7-48B7-AAAB-877DB0AC5033}"/>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FCD7-48B7-AAAB-877DB0AC5033}"/>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FCD7-48B7-AAAB-877DB0AC5033}"/>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FCD7-48B7-AAAB-877DB0AC5033}"/>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FCD7-48B7-AAAB-877DB0AC5033}"/>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FCD7-48B7-AAAB-877DB0AC5033}"/>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FCD7-48B7-AAAB-877DB0AC5033}"/>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FCD7-48B7-AAAB-877DB0AC5033}"/>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FCD7-48B7-AAAB-877DB0AC5033}"/>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FCD7-48B7-AAAB-877DB0AC5033}"/>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FCD7-48B7-AAAB-877DB0AC5033}"/>
            </c:ext>
          </c:extLst>
        </c:ser>
        <c:dLbls>
          <c:showLegendKey val="0"/>
          <c:showVal val="0"/>
          <c:showCatName val="0"/>
          <c:showSerName val="0"/>
          <c:showPercent val="0"/>
          <c:showBubbleSize val="0"/>
        </c:dLbls>
        <c:hiLowLines>
          <c:spPr>
            <a:ln w="0">
              <a:noFill/>
            </a:ln>
          </c:spPr>
        </c:hiLowLines>
        <c:smooth val="0"/>
        <c:axId val="34757182"/>
        <c:axId val="72346059"/>
      </c:lineChart>
      <c:catAx>
        <c:axId val="34757182"/>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72346059"/>
        <c:crosses val="autoZero"/>
        <c:auto val="1"/>
        <c:lblAlgn val="ctr"/>
        <c:lblOffset val="100"/>
        <c:noMultiLvlLbl val="0"/>
      </c:catAx>
      <c:valAx>
        <c:axId val="72346059"/>
        <c:scaling>
          <c:orientation val="minMax"/>
        </c:scaling>
        <c:delete val="1"/>
        <c:axPos val="l"/>
        <c:numFmt formatCode="0.0" sourceLinked="1"/>
        <c:majorTickMark val="out"/>
        <c:minorTickMark val="none"/>
        <c:tickLblPos val="nextTo"/>
        <c:crossAx val="34757182"/>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4.5768927261755597E-2"/>
          <c:y val="5.2167782869228102E-2"/>
          <c:w val="0.94239428120503199"/>
          <c:h val="0.84146986253084199"/>
        </c:manualLayout>
      </c:layout>
      <c:scatterChart>
        <c:scatterStyle val="lineMarker"/>
        <c:varyColors val="0"/>
        <c:ser>
          <c:idx val="0"/>
          <c:order val="0"/>
          <c:spPr>
            <a:ln w="12600">
              <a:solidFill>
                <a:srgbClr val="F2F2F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Geometria!$V$39:$V$58</c:f>
              <c:numCache>
                <c:formatCode>0.0</c:formatCode>
                <c:ptCount val="20"/>
                <c:pt idx="0">
                  <c:v>0</c:v>
                </c:pt>
                <c:pt idx="1">
                  <c:v>-15</c:v>
                </c:pt>
                <c:pt idx="2">
                  <c:v>-15</c:v>
                </c:pt>
                <c:pt idx="3">
                  <c:v>-30</c:v>
                </c:pt>
                <c:pt idx="4">
                  <c:v>-30</c:v>
                </c:pt>
                <c:pt idx="5">
                  <c:v>-15</c:v>
                </c:pt>
                <c:pt idx="6">
                  <c:v>-11.618950038622252</c:v>
                </c:pt>
                <c:pt idx="7">
                  <c:v>-11.618950038622252</c:v>
                </c:pt>
                <c:pt idx="8">
                  <c:v>-72.424788574078704</c:v>
                </c:pt>
                <c:pt idx="9">
                  <c:v>-72.424788574078704</c:v>
                </c:pt>
                <c:pt idx="10">
                  <c:v>72.424788574078704</c:v>
                </c:pt>
                <c:pt idx="11">
                  <c:v>72.424788574078704</c:v>
                </c:pt>
                <c:pt idx="12">
                  <c:v>11.618950038622252</c:v>
                </c:pt>
                <c:pt idx="13">
                  <c:v>11.618950038622252</c:v>
                </c:pt>
                <c:pt idx="14">
                  <c:v>15</c:v>
                </c:pt>
                <c:pt idx="15">
                  <c:v>30</c:v>
                </c:pt>
                <c:pt idx="16">
                  <c:v>30</c:v>
                </c:pt>
                <c:pt idx="17">
                  <c:v>15</c:v>
                </c:pt>
                <c:pt idx="18">
                  <c:v>15</c:v>
                </c:pt>
                <c:pt idx="19">
                  <c:v>0</c:v>
                </c:pt>
              </c:numCache>
            </c:numRef>
          </c:xVal>
          <c:yVal>
            <c:numRef>
              <c:f>Geometria!$W$39:$W$58</c:f>
              <c:numCache>
                <c:formatCode>0.0</c:formatCode>
                <c:ptCount val="20"/>
                <c:pt idx="0">
                  <c:v>0</c:v>
                </c:pt>
                <c:pt idx="1">
                  <c:v>0</c:v>
                </c:pt>
                <c:pt idx="2">
                  <c:v>40</c:v>
                </c:pt>
                <c:pt idx="3">
                  <c:v>45</c:v>
                </c:pt>
                <c:pt idx="4">
                  <c:v>60</c:v>
                </c:pt>
                <c:pt idx="5">
                  <c:v>60</c:v>
                </c:pt>
                <c:pt idx="6">
                  <c:v>60</c:v>
                </c:pt>
                <c:pt idx="7">
                  <c:v>85</c:v>
                </c:pt>
                <c:pt idx="8">
                  <c:v>85</c:v>
                </c:pt>
                <c:pt idx="9">
                  <c:v>90</c:v>
                </c:pt>
                <c:pt idx="10">
                  <c:v>90</c:v>
                </c:pt>
                <c:pt idx="11">
                  <c:v>85</c:v>
                </c:pt>
                <c:pt idx="12">
                  <c:v>85</c:v>
                </c:pt>
                <c:pt idx="13">
                  <c:v>60</c:v>
                </c:pt>
                <c:pt idx="14">
                  <c:v>60</c:v>
                </c:pt>
                <c:pt idx="15">
                  <c:v>60</c:v>
                </c:pt>
                <c:pt idx="16">
                  <c:v>45</c:v>
                </c:pt>
                <c:pt idx="17">
                  <c:v>40</c:v>
                </c:pt>
                <c:pt idx="18">
                  <c:v>0</c:v>
                </c:pt>
                <c:pt idx="19">
                  <c:v>0</c:v>
                </c:pt>
              </c:numCache>
            </c:numRef>
          </c:yVal>
          <c:smooth val="0"/>
          <c:extLst>
            <c:ext xmlns:c16="http://schemas.microsoft.com/office/drawing/2014/chart" uri="{C3380CC4-5D6E-409C-BE32-E72D297353CC}">
              <c16:uniqueId val="{00000000-6A59-4EF4-A3BE-C6E780535470}"/>
            </c:ext>
          </c:extLst>
        </c:ser>
        <c:dLbls>
          <c:showLegendKey val="0"/>
          <c:showVal val="0"/>
          <c:showCatName val="0"/>
          <c:showSerName val="0"/>
          <c:showPercent val="0"/>
          <c:showBubbleSize val="0"/>
        </c:dLbls>
        <c:axId val="4472706"/>
        <c:axId val="1495308"/>
      </c:scatterChart>
      <c:valAx>
        <c:axId val="4472706"/>
        <c:scaling>
          <c:orientation val="minMax"/>
        </c:scaling>
        <c:delete val="0"/>
        <c:axPos val="b"/>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1495308"/>
        <c:crosses val="autoZero"/>
        <c:crossBetween val="midCat"/>
      </c:valAx>
      <c:valAx>
        <c:axId val="1495308"/>
        <c:scaling>
          <c:orientation val="minMax"/>
        </c:scaling>
        <c:delete val="0"/>
        <c:axPos val="l"/>
        <c:numFmt formatCode="0.0" sourceLinked="0"/>
        <c:majorTickMark val="none"/>
        <c:minorTickMark val="none"/>
        <c:tickLblPos val="low"/>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472706"/>
        <c:crosses val="autoZero"/>
        <c:crossBetween val="midCat"/>
      </c:valAx>
      <c:spPr>
        <a:solidFill>
          <a:srgbClr val="000000"/>
        </a:solidFill>
        <a:ln w="0">
          <a:solidFill>
            <a:srgbClr val="000000"/>
          </a:solidFill>
        </a:ln>
      </c:spPr>
    </c:plotArea>
    <c:plotVisOnly val="1"/>
    <c:dispBlanksAs val="gap"/>
    <c:showDLblsOverMax val="1"/>
  </c:chart>
  <c:spPr>
    <a:solidFill>
      <a:srgbClr val="000000"/>
    </a:solidFill>
    <a:ln w="9360">
      <a:solidFill>
        <a:srgbClr val="000000"/>
      </a:solidFill>
      <a:round/>
    </a:ln>
  </c:sp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ELU-ATO</a:t>
            </a:r>
          </a:p>
        </c:rich>
      </c:tx>
      <c:overlay val="0"/>
      <c:spPr>
        <a:noFill/>
        <a:ln w="0">
          <a:noFill/>
        </a:ln>
      </c:spPr>
    </c:title>
    <c:autoTitleDeleted val="0"/>
    <c:plotArea>
      <c:layout>
        <c:manualLayout>
          <c:layoutTarget val="inner"/>
          <c:xMode val="edge"/>
          <c:yMode val="edge"/>
          <c:x val="1.8350109291092099E-3"/>
          <c:y val="6.6794369950862006E-2"/>
          <c:w val="0.990663032625415"/>
          <c:h val="0.87565586741067702"/>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Geometria!$O$936:$O$956</c:f>
              <c:numCache>
                <c:formatCode>0.0</c:formatCode>
                <c:ptCount val="21"/>
                <c:pt idx="0">
                  <c:v>0</c:v>
                </c:pt>
                <c:pt idx="1">
                  <c:v>-6.6075787429449955</c:v>
                </c:pt>
                <c:pt idx="2">
                  <c:v>-13.673988323528413</c:v>
                </c:pt>
                <c:pt idx="3">
                  <c:v>-20.74039790411183</c:v>
                </c:pt>
                <c:pt idx="4">
                  <c:v>-21.202497057363637</c:v>
                </c:pt>
                <c:pt idx="5">
                  <c:v>-20.955592931117302</c:v>
                </c:pt>
                <c:pt idx="6">
                  <c:v>-20.753580464188484</c:v>
                </c:pt>
                <c:pt idx="7">
                  <c:v>-20.596459656577185</c:v>
                </c:pt>
                <c:pt idx="8">
                  <c:v>-20.484230508283396</c:v>
                </c:pt>
                <c:pt idx="9">
                  <c:v>-20.416893019307125</c:v>
                </c:pt>
                <c:pt idx="10">
                  <c:v>-20.394447189648368</c:v>
                </c:pt>
                <c:pt idx="11">
                  <c:v>-20.416893019307125</c:v>
                </c:pt>
                <c:pt idx="12">
                  <c:v>-20.484230508283396</c:v>
                </c:pt>
                <c:pt idx="13">
                  <c:v>-20.596459656577185</c:v>
                </c:pt>
                <c:pt idx="14">
                  <c:v>-20.753580464188484</c:v>
                </c:pt>
                <c:pt idx="15">
                  <c:v>-20.955592931117302</c:v>
                </c:pt>
                <c:pt idx="16">
                  <c:v>-21.202497057363637</c:v>
                </c:pt>
                <c:pt idx="17">
                  <c:v>-20.74039790411183</c:v>
                </c:pt>
                <c:pt idx="18">
                  <c:v>-13.673988323528413</c:v>
                </c:pt>
                <c:pt idx="19">
                  <c:v>-6.6075787429449955</c:v>
                </c:pt>
                <c:pt idx="20">
                  <c:v>0</c:v>
                </c:pt>
              </c:numCache>
            </c:numRef>
          </c:val>
          <c:smooth val="1"/>
          <c:extLst>
            <c:ext xmlns:c16="http://schemas.microsoft.com/office/drawing/2014/chart" uri="{C3380CC4-5D6E-409C-BE32-E72D297353CC}">
              <c16:uniqueId val="{00000000-7DC0-4D4E-BA13-FB16ED94E3A2}"/>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Geometria!$O$913:$O$933</c:f>
              <c:numCache>
                <c:formatCode>0.0</c:formatCode>
                <c:ptCount val="21"/>
                <c:pt idx="0">
                  <c:v>0</c:v>
                </c:pt>
                <c:pt idx="1">
                  <c:v>1.3893545587277025</c:v>
                </c:pt>
                <c:pt idx="2">
                  <c:v>3.1113082872427613</c:v>
                </c:pt>
                <c:pt idx="3">
                  <c:v>4.6451145368057061</c:v>
                </c:pt>
                <c:pt idx="4">
                  <c:v>4.4229420624543376</c:v>
                </c:pt>
                <c:pt idx="5">
                  <c:v>4.234949968772411</c:v>
                </c:pt>
                <c:pt idx="6">
                  <c:v>4.0811382557599263</c:v>
                </c:pt>
                <c:pt idx="7">
                  <c:v>3.9615069234168812</c:v>
                </c:pt>
                <c:pt idx="8">
                  <c:v>3.8760559717432774</c:v>
                </c:pt>
                <c:pt idx="9">
                  <c:v>3.8247854007391169</c:v>
                </c:pt>
                <c:pt idx="10">
                  <c:v>3.8076952104043977</c:v>
                </c:pt>
                <c:pt idx="11">
                  <c:v>3.8247854007391169</c:v>
                </c:pt>
                <c:pt idx="12">
                  <c:v>3.8760559717432774</c:v>
                </c:pt>
                <c:pt idx="13">
                  <c:v>3.9615069234168812</c:v>
                </c:pt>
                <c:pt idx="14">
                  <c:v>4.0811382557599263</c:v>
                </c:pt>
                <c:pt idx="15">
                  <c:v>4.234949968772411</c:v>
                </c:pt>
                <c:pt idx="16">
                  <c:v>4.4229420624543376</c:v>
                </c:pt>
                <c:pt idx="17">
                  <c:v>4.6451145368057061</c:v>
                </c:pt>
                <c:pt idx="18">
                  <c:v>3.1113082872427613</c:v>
                </c:pt>
                <c:pt idx="19">
                  <c:v>1.3893545587277025</c:v>
                </c:pt>
                <c:pt idx="20">
                  <c:v>0</c:v>
                </c:pt>
              </c:numCache>
            </c:numRef>
          </c:val>
          <c:smooth val="1"/>
          <c:extLst>
            <c:ext xmlns:c16="http://schemas.microsoft.com/office/drawing/2014/chart" uri="{C3380CC4-5D6E-409C-BE32-E72D297353CC}">
              <c16:uniqueId val="{00000001-7DC0-4D4E-BA13-FB16ED94E3A2}"/>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7DC0-4D4E-BA13-FB16ED94E3A2}"/>
              </c:ext>
            </c:extLst>
          </c:dPt>
          <c:dPt>
            <c:idx val="2"/>
            <c:bubble3D val="0"/>
            <c:extLst>
              <c:ext xmlns:c16="http://schemas.microsoft.com/office/drawing/2014/chart" uri="{C3380CC4-5D6E-409C-BE32-E72D297353CC}">
                <c16:uniqueId val="{00000003-7DC0-4D4E-BA13-FB16ED94E3A2}"/>
              </c:ext>
            </c:extLst>
          </c:dPt>
          <c:dPt>
            <c:idx val="3"/>
            <c:bubble3D val="0"/>
            <c:extLst>
              <c:ext xmlns:c16="http://schemas.microsoft.com/office/drawing/2014/chart" uri="{C3380CC4-5D6E-409C-BE32-E72D297353CC}">
                <c16:uniqueId val="{00000004-7DC0-4D4E-BA13-FB16ED94E3A2}"/>
              </c:ext>
            </c:extLst>
          </c:dPt>
          <c:dPt>
            <c:idx val="4"/>
            <c:bubble3D val="0"/>
            <c:extLst>
              <c:ext xmlns:c16="http://schemas.microsoft.com/office/drawing/2014/chart" uri="{C3380CC4-5D6E-409C-BE32-E72D297353CC}">
                <c16:uniqueId val="{00000005-7DC0-4D4E-BA13-FB16ED94E3A2}"/>
              </c:ext>
            </c:extLst>
          </c:dPt>
          <c:dPt>
            <c:idx val="5"/>
            <c:bubble3D val="0"/>
            <c:extLst>
              <c:ext xmlns:c16="http://schemas.microsoft.com/office/drawing/2014/chart" uri="{C3380CC4-5D6E-409C-BE32-E72D297353CC}">
                <c16:uniqueId val="{00000006-7DC0-4D4E-BA13-FB16ED94E3A2}"/>
              </c:ext>
            </c:extLst>
          </c:dPt>
          <c:dPt>
            <c:idx val="6"/>
            <c:bubble3D val="0"/>
            <c:extLst>
              <c:ext xmlns:c16="http://schemas.microsoft.com/office/drawing/2014/chart" uri="{C3380CC4-5D6E-409C-BE32-E72D297353CC}">
                <c16:uniqueId val="{00000007-7DC0-4D4E-BA13-FB16ED94E3A2}"/>
              </c:ext>
            </c:extLst>
          </c:dPt>
          <c:dPt>
            <c:idx val="7"/>
            <c:bubble3D val="0"/>
            <c:extLst>
              <c:ext xmlns:c16="http://schemas.microsoft.com/office/drawing/2014/chart" uri="{C3380CC4-5D6E-409C-BE32-E72D297353CC}">
                <c16:uniqueId val="{00000008-7DC0-4D4E-BA13-FB16ED94E3A2}"/>
              </c:ext>
            </c:extLst>
          </c:dPt>
          <c:dPt>
            <c:idx val="8"/>
            <c:bubble3D val="0"/>
            <c:extLst>
              <c:ext xmlns:c16="http://schemas.microsoft.com/office/drawing/2014/chart" uri="{C3380CC4-5D6E-409C-BE32-E72D297353CC}">
                <c16:uniqueId val="{00000009-7DC0-4D4E-BA13-FB16ED94E3A2}"/>
              </c:ext>
            </c:extLst>
          </c:dPt>
          <c:dPt>
            <c:idx val="9"/>
            <c:bubble3D val="0"/>
            <c:extLst>
              <c:ext xmlns:c16="http://schemas.microsoft.com/office/drawing/2014/chart" uri="{C3380CC4-5D6E-409C-BE32-E72D297353CC}">
                <c16:uniqueId val="{0000000A-7DC0-4D4E-BA13-FB16ED94E3A2}"/>
              </c:ext>
            </c:extLst>
          </c:dPt>
          <c:dPt>
            <c:idx val="10"/>
            <c:bubble3D val="0"/>
            <c:extLst>
              <c:ext xmlns:c16="http://schemas.microsoft.com/office/drawing/2014/chart" uri="{C3380CC4-5D6E-409C-BE32-E72D297353CC}">
                <c16:uniqueId val="{0000000B-7DC0-4D4E-BA13-FB16ED94E3A2}"/>
              </c:ext>
            </c:extLst>
          </c:dPt>
          <c:dPt>
            <c:idx val="11"/>
            <c:bubble3D val="0"/>
            <c:extLst>
              <c:ext xmlns:c16="http://schemas.microsoft.com/office/drawing/2014/chart" uri="{C3380CC4-5D6E-409C-BE32-E72D297353CC}">
                <c16:uniqueId val="{0000000C-7DC0-4D4E-BA13-FB16ED94E3A2}"/>
              </c:ext>
            </c:extLst>
          </c:dPt>
          <c:dPt>
            <c:idx val="12"/>
            <c:bubble3D val="0"/>
            <c:extLst>
              <c:ext xmlns:c16="http://schemas.microsoft.com/office/drawing/2014/chart" uri="{C3380CC4-5D6E-409C-BE32-E72D297353CC}">
                <c16:uniqueId val="{0000000D-7DC0-4D4E-BA13-FB16ED94E3A2}"/>
              </c:ext>
            </c:extLst>
          </c:dPt>
          <c:dPt>
            <c:idx val="13"/>
            <c:bubble3D val="0"/>
            <c:extLst>
              <c:ext xmlns:c16="http://schemas.microsoft.com/office/drawing/2014/chart" uri="{C3380CC4-5D6E-409C-BE32-E72D297353CC}">
                <c16:uniqueId val="{0000000E-7DC0-4D4E-BA13-FB16ED94E3A2}"/>
              </c:ext>
            </c:extLst>
          </c:dPt>
          <c:dPt>
            <c:idx val="14"/>
            <c:bubble3D val="0"/>
            <c:extLst>
              <c:ext xmlns:c16="http://schemas.microsoft.com/office/drawing/2014/chart" uri="{C3380CC4-5D6E-409C-BE32-E72D297353CC}">
                <c16:uniqueId val="{0000000F-7DC0-4D4E-BA13-FB16ED94E3A2}"/>
              </c:ext>
            </c:extLst>
          </c:dPt>
          <c:dPt>
            <c:idx val="15"/>
            <c:bubble3D val="0"/>
            <c:extLst>
              <c:ext xmlns:c16="http://schemas.microsoft.com/office/drawing/2014/chart" uri="{C3380CC4-5D6E-409C-BE32-E72D297353CC}">
                <c16:uniqueId val="{00000010-7DC0-4D4E-BA13-FB16ED94E3A2}"/>
              </c:ext>
            </c:extLst>
          </c:dPt>
          <c:dPt>
            <c:idx val="16"/>
            <c:bubble3D val="0"/>
            <c:extLst>
              <c:ext xmlns:c16="http://schemas.microsoft.com/office/drawing/2014/chart" uri="{C3380CC4-5D6E-409C-BE32-E72D297353CC}">
                <c16:uniqueId val="{00000011-7DC0-4D4E-BA13-FB16ED94E3A2}"/>
              </c:ext>
            </c:extLst>
          </c:dPt>
          <c:dPt>
            <c:idx val="17"/>
            <c:bubble3D val="0"/>
            <c:extLst>
              <c:ext xmlns:c16="http://schemas.microsoft.com/office/drawing/2014/chart" uri="{C3380CC4-5D6E-409C-BE32-E72D297353CC}">
                <c16:uniqueId val="{00000012-7DC0-4D4E-BA13-FB16ED94E3A2}"/>
              </c:ext>
            </c:extLst>
          </c:dPt>
          <c:dPt>
            <c:idx val="18"/>
            <c:bubble3D val="0"/>
            <c:extLst>
              <c:ext xmlns:c16="http://schemas.microsoft.com/office/drawing/2014/chart" uri="{C3380CC4-5D6E-409C-BE32-E72D297353CC}">
                <c16:uniqueId val="{00000013-7DC0-4D4E-BA13-FB16ED94E3A2}"/>
              </c:ext>
            </c:extLst>
          </c:dPt>
          <c:dPt>
            <c:idx val="19"/>
            <c:bubble3D val="0"/>
            <c:extLst>
              <c:ext xmlns:c16="http://schemas.microsoft.com/office/drawing/2014/chart" uri="{C3380CC4-5D6E-409C-BE32-E72D297353CC}">
                <c16:uniqueId val="{00000014-7DC0-4D4E-BA13-FB16ED94E3A2}"/>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7DC0-4D4E-BA13-FB16ED94E3A2}"/>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7DC0-4D4E-BA13-FB16ED94E3A2}"/>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7DC0-4D4E-BA13-FB16ED94E3A2}"/>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7DC0-4D4E-BA13-FB16ED94E3A2}"/>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7DC0-4D4E-BA13-FB16ED94E3A2}"/>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7DC0-4D4E-BA13-FB16ED94E3A2}"/>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7DC0-4D4E-BA13-FB16ED94E3A2}"/>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7DC0-4D4E-BA13-FB16ED94E3A2}"/>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7DC0-4D4E-BA13-FB16ED94E3A2}"/>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7DC0-4D4E-BA13-FB16ED94E3A2}"/>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7DC0-4D4E-BA13-FB16ED94E3A2}"/>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7DC0-4D4E-BA13-FB16ED94E3A2}"/>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7DC0-4D4E-BA13-FB16ED94E3A2}"/>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7DC0-4D4E-BA13-FB16ED94E3A2}"/>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7DC0-4D4E-BA13-FB16ED94E3A2}"/>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7DC0-4D4E-BA13-FB16ED94E3A2}"/>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7DC0-4D4E-BA13-FB16ED94E3A2}"/>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7DC0-4D4E-BA13-FB16ED94E3A2}"/>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7DC0-4D4E-BA13-FB16ED94E3A2}"/>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7DC0-4D4E-BA13-FB16ED94E3A2}"/>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7DC0-4D4E-BA13-FB16ED94E3A2}"/>
              </c:ext>
            </c:extLst>
          </c:dPt>
          <c:dPt>
            <c:idx val="2"/>
            <c:bubble3D val="0"/>
            <c:extLst>
              <c:ext xmlns:c16="http://schemas.microsoft.com/office/drawing/2014/chart" uri="{C3380CC4-5D6E-409C-BE32-E72D297353CC}">
                <c16:uniqueId val="{00000017-7DC0-4D4E-BA13-FB16ED94E3A2}"/>
              </c:ext>
            </c:extLst>
          </c:dPt>
          <c:dPt>
            <c:idx val="3"/>
            <c:bubble3D val="0"/>
            <c:extLst>
              <c:ext xmlns:c16="http://schemas.microsoft.com/office/drawing/2014/chart" uri="{C3380CC4-5D6E-409C-BE32-E72D297353CC}">
                <c16:uniqueId val="{00000018-7DC0-4D4E-BA13-FB16ED94E3A2}"/>
              </c:ext>
            </c:extLst>
          </c:dPt>
          <c:dPt>
            <c:idx val="4"/>
            <c:bubble3D val="0"/>
            <c:extLst>
              <c:ext xmlns:c16="http://schemas.microsoft.com/office/drawing/2014/chart" uri="{C3380CC4-5D6E-409C-BE32-E72D297353CC}">
                <c16:uniqueId val="{00000019-7DC0-4D4E-BA13-FB16ED94E3A2}"/>
              </c:ext>
            </c:extLst>
          </c:dPt>
          <c:dPt>
            <c:idx val="5"/>
            <c:bubble3D val="0"/>
            <c:extLst>
              <c:ext xmlns:c16="http://schemas.microsoft.com/office/drawing/2014/chart" uri="{C3380CC4-5D6E-409C-BE32-E72D297353CC}">
                <c16:uniqueId val="{0000001A-7DC0-4D4E-BA13-FB16ED94E3A2}"/>
              </c:ext>
            </c:extLst>
          </c:dPt>
          <c:dPt>
            <c:idx val="6"/>
            <c:bubble3D val="0"/>
            <c:extLst>
              <c:ext xmlns:c16="http://schemas.microsoft.com/office/drawing/2014/chart" uri="{C3380CC4-5D6E-409C-BE32-E72D297353CC}">
                <c16:uniqueId val="{0000001B-7DC0-4D4E-BA13-FB16ED94E3A2}"/>
              </c:ext>
            </c:extLst>
          </c:dPt>
          <c:dPt>
            <c:idx val="7"/>
            <c:bubble3D val="0"/>
            <c:extLst>
              <c:ext xmlns:c16="http://schemas.microsoft.com/office/drawing/2014/chart" uri="{C3380CC4-5D6E-409C-BE32-E72D297353CC}">
                <c16:uniqueId val="{0000001C-7DC0-4D4E-BA13-FB16ED94E3A2}"/>
              </c:ext>
            </c:extLst>
          </c:dPt>
          <c:dPt>
            <c:idx val="8"/>
            <c:bubble3D val="0"/>
            <c:extLst>
              <c:ext xmlns:c16="http://schemas.microsoft.com/office/drawing/2014/chart" uri="{C3380CC4-5D6E-409C-BE32-E72D297353CC}">
                <c16:uniqueId val="{0000001D-7DC0-4D4E-BA13-FB16ED94E3A2}"/>
              </c:ext>
            </c:extLst>
          </c:dPt>
          <c:dPt>
            <c:idx val="9"/>
            <c:bubble3D val="0"/>
            <c:extLst>
              <c:ext xmlns:c16="http://schemas.microsoft.com/office/drawing/2014/chart" uri="{C3380CC4-5D6E-409C-BE32-E72D297353CC}">
                <c16:uniqueId val="{0000001E-7DC0-4D4E-BA13-FB16ED94E3A2}"/>
              </c:ext>
            </c:extLst>
          </c:dPt>
          <c:dPt>
            <c:idx val="10"/>
            <c:bubble3D val="0"/>
            <c:extLst>
              <c:ext xmlns:c16="http://schemas.microsoft.com/office/drawing/2014/chart" uri="{C3380CC4-5D6E-409C-BE32-E72D297353CC}">
                <c16:uniqueId val="{0000001F-7DC0-4D4E-BA13-FB16ED94E3A2}"/>
              </c:ext>
            </c:extLst>
          </c:dPt>
          <c:dPt>
            <c:idx val="11"/>
            <c:bubble3D val="0"/>
            <c:extLst>
              <c:ext xmlns:c16="http://schemas.microsoft.com/office/drawing/2014/chart" uri="{C3380CC4-5D6E-409C-BE32-E72D297353CC}">
                <c16:uniqueId val="{00000020-7DC0-4D4E-BA13-FB16ED94E3A2}"/>
              </c:ext>
            </c:extLst>
          </c:dPt>
          <c:dPt>
            <c:idx val="12"/>
            <c:bubble3D val="0"/>
            <c:extLst>
              <c:ext xmlns:c16="http://schemas.microsoft.com/office/drawing/2014/chart" uri="{C3380CC4-5D6E-409C-BE32-E72D297353CC}">
                <c16:uniqueId val="{00000021-7DC0-4D4E-BA13-FB16ED94E3A2}"/>
              </c:ext>
            </c:extLst>
          </c:dPt>
          <c:dPt>
            <c:idx val="13"/>
            <c:bubble3D val="0"/>
            <c:extLst>
              <c:ext xmlns:c16="http://schemas.microsoft.com/office/drawing/2014/chart" uri="{C3380CC4-5D6E-409C-BE32-E72D297353CC}">
                <c16:uniqueId val="{00000022-7DC0-4D4E-BA13-FB16ED94E3A2}"/>
              </c:ext>
            </c:extLst>
          </c:dPt>
          <c:dPt>
            <c:idx val="14"/>
            <c:bubble3D val="0"/>
            <c:extLst>
              <c:ext xmlns:c16="http://schemas.microsoft.com/office/drawing/2014/chart" uri="{C3380CC4-5D6E-409C-BE32-E72D297353CC}">
                <c16:uniqueId val="{00000023-7DC0-4D4E-BA13-FB16ED94E3A2}"/>
              </c:ext>
            </c:extLst>
          </c:dPt>
          <c:dPt>
            <c:idx val="15"/>
            <c:bubble3D val="0"/>
            <c:extLst>
              <c:ext xmlns:c16="http://schemas.microsoft.com/office/drawing/2014/chart" uri="{C3380CC4-5D6E-409C-BE32-E72D297353CC}">
                <c16:uniqueId val="{00000024-7DC0-4D4E-BA13-FB16ED94E3A2}"/>
              </c:ext>
            </c:extLst>
          </c:dPt>
          <c:dPt>
            <c:idx val="16"/>
            <c:bubble3D val="0"/>
            <c:extLst>
              <c:ext xmlns:c16="http://schemas.microsoft.com/office/drawing/2014/chart" uri="{C3380CC4-5D6E-409C-BE32-E72D297353CC}">
                <c16:uniqueId val="{00000025-7DC0-4D4E-BA13-FB16ED94E3A2}"/>
              </c:ext>
            </c:extLst>
          </c:dPt>
          <c:dPt>
            <c:idx val="17"/>
            <c:bubble3D val="0"/>
            <c:extLst>
              <c:ext xmlns:c16="http://schemas.microsoft.com/office/drawing/2014/chart" uri="{C3380CC4-5D6E-409C-BE32-E72D297353CC}">
                <c16:uniqueId val="{00000026-7DC0-4D4E-BA13-FB16ED94E3A2}"/>
              </c:ext>
            </c:extLst>
          </c:dPt>
          <c:dPt>
            <c:idx val="18"/>
            <c:bubble3D val="0"/>
            <c:extLst>
              <c:ext xmlns:c16="http://schemas.microsoft.com/office/drawing/2014/chart" uri="{C3380CC4-5D6E-409C-BE32-E72D297353CC}">
                <c16:uniqueId val="{00000027-7DC0-4D4E-BA13-FB16ED94E3A2}"/>
              </c:ext>
            </c:extLst>
          </c:dPt>
          <c:dPt>
            <c:idx val="19"/>
            <c:bubble3D val="0"/>
            <c:extLst>
              <c:ext xmlns:c16="http://schemas.microsoft.com/office/drawing/2014/chart" uri="{C3380CC4-5D6E-409C-BE32-E72D297353CC}">
                <c16:uniqueId val="{00000028-7DC0-4D4E-BA13-FB16ED94E3A2}"/>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7DC0-4D4E-BA13-FB16ED94E3A2}"/>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7DC0-4D4E-BA13-FB16ED94E3A2}"/>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7DC0-4D4E-BA13-FB16ED94E3A2}"/>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7DC0-4D4E-BA13-FB16ED94E3A2}"/>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7DC0-4D4E-BA13-FB16ED94E3A2}"/>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7DC0-4D4E-BA13-FB16ED94E3A2}"/>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7DC0-4D4E-BA13-FB16ED94E3A2}"/>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7DC0-4D4E-BA13-FB16ED94E3A2}"/>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7DC0-4D4E-BA13-FB16ED94E3A2}"/>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7DC0-4D4E-BA13-FB16ED94E3A2}"/>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7DC0-4D4E-BA13-FB16ED94E3A2}"/>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7DC0-4D4E-BA13-FB16ED94E3A2}"/>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7DC0-4D4E-BA13-FB16ED94E3A2}"/>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7DC0-4D4E-BA13-FB16ED94E3A2}"/>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7DC0-4D4E-BA13-FB16ED94E3A2}"/>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7DC0-4D4E-BA13-FB16ED94E3A2}"/>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7DC0-4D4E-BA13-FB16ED94E3A2}"/>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7DC0-4D4E-BA13-FB16ED94E3A2}"/>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7DC0-4D4E-BA13-FB16ED94E3A2}"/>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7DC0-4D4E-BA13-FB16ED94E3A2}"/>
            </c:ext>
          </c:extLst>
        </c:ser>
        <c:dLbls>
          <c:showLegendKey val="0"/>
          <c:showVal val="0"/>
          <c:showCatName val="0"/>
          <c:showSerName val="0"/>
          <c:showPercent val="0"/>
          <c:showBubbleSize val="0"/>
        </c:dLbls>
        <c:hiLowLines>
          <c:spPr>
            <a:ln w="0">
              <a:noFill/>
            </a:ln>
          </c:spPr>
        </c:hiLowLines>
        <c:smooth val="0"/>
        <c:axId val="84122969"/>
        <c:axId val="92992949"/>
      </c:lineChart>
      <c:catAx>
        <c:axId val="84122969"/>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92992949"/>
        <c:crosses val="autoZero"/>
        <c:auto val="1"/>
        <c:lblAlgn val="ctr"/>
        <c:lblOffset val="100"/>
        <c:noMultiLvlLbl val="0"/>
      </c:catAx>
      <c:valAx>
        <c:axId val="92992949"/>
        <c:scaling>
          <c:orientation val="minMax"/>
        </c:scaling>
        <c:delete val="1"/>
        <c:axPos val="l"/>
        <c:numFmt formatCode="0.0" sourceLinked="1"/>
        <c:majorTickMark val="out"/>
        <c:minorTickMark val="none"/>
        <c:tickLblPos val="nextTo"/>
        <c:crossAx val="84122969"/>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Momento fletor corrigido</a:t>
            </a:r>
          </a:p>
        </c:rich>
      </c:tx>
      <c:overlay val="0"/>
      <c:spPr>
        <a:noFill/>
        <a:ln w="0">
          <a:noFill/>
        </a:ln>
      </c:spPr>
    </c:title>
    <c:autoTitleDeleted val="0"/>
    <c:plotArea>
      <c:layout>
        <c:manualLayout>
          <c:layoutTarget val="inner"/>
          <c:xMode val="edge"/>
          <c:yMode val="edge"/>
          <c:x val="4.3964353227113201E-2"/>
          <c:y val="0.18087318087318099"/>
          <c:w val="0.95584661085606304"/>
          <c:h val="0.77637733887733895"/>
        </c:manualLayout>
      </c:layout>
      <c:scatterChart>
        <c:scatterStyle val="lineMarker"/>
        <c:varyColors val="0"/>
        <c:ser>
          <c:idx val="0"/>
          <c:order val="0"/>
          <c:spPr>
            <a:ln w="12600">
              <a:solidFill>
                <a:srgbClr val="156082"/>
              </a:solidFill>
              <a:round/>
            </a:ln>
          </c:spPr>
          <c:marker>
            <c:symbol val="none"/>
          </c:marker>
          <c:dPt>
            <c:idx val="8"/>
            <c:bubble3D val="0"/>
            <c:extLst>
              <c:ext xmlns:c16="http://schemas.microsoft.com/office/drawing/2014/chart" uri="{C3380CC4-5D6E-409C-BE32-E72D297353CC}">
                <c16:uniqueId val="{00000000-2B3A-4002-8C9A-1EEC4CC1F030}"/>
              </c:ext>
            </c:extLst>
          </c:dPt>
          <c:dLbls>
            <c:dLbl>
              <c:idx val="8"/>
              <c:spPr/>
              <c:txPr>
                <a:bodyPr wrap="square"/>
                <a:lstStyle/>
                <a:p>
                  <a:pPr>
                    <a:defRPr sz="900" b="0" strike="noStrike" spc="-1">
                      <a:solidFill>
                        <a:srgbClr val="404040"/>
                      </a:solidFill>
                      <a:latin typeface="Aptos Narrow"/>
                      <a:ea typeface="Aptos Narrow"/>
                    </a:defRPr>
                  </a:pPr>
                  <a:endParaRPr lang="pt-BR"/>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2B3A-4002-8C9A-1EEC4CC1F030}"/>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(Geometria!$K$1355:$R$1355,Geometria!$K$1358)</c:f>
              <c:numCache>
                <c:formatCode>General</c:formatCode>
                <c:ptCount val="9"/>
                <c:pt idx="0">
                  <c:v>0</c:v>
                </c:pt>
                <c:pt idx="1">
                  <c:v>0.98124999999999996</c:v>
                </c:pt>
                <c:pt idx="2">
                  <c:v>1.9624999999999999</c:v>
                </c:pt>
                <c:pt idx="3">
                  <c:v>2.9437499999999996</c:v>
                </c:pt>
                <c:pt idx="4">
                  <c:v>3.9249999999999998</c:v>
                </c:pt>
                <c:pt idx="5">
                  <c:v>4.90625</c:v>
                </c:pt>
                <c:pt idx="6">
                  <c:v>5.8875000000000002</c:v>
                </c:pt>
                <c:pt idx="7">
                  <c:v>6.8687500000000004</c:v>
                </c:pt>
                <c:pt idx="8">
                  <c:v>7.8500000000000005</c:v>
                </c:pt>
              </c:numCache>
            </c:numRef>
          </c:xVal>
          <c:yVal>
            <c:numRef>
              <c:f>(Geometria!$K$1356:$R$1356,Geometria!$K$1359)</c:f>
              <c:numCache>
                <c:formatCode>0</c:formatCode>
                <c:ptCount val="9"/>
                <c:pt idx="0">
                  <c:v>0</c:v>
                </c:pt>
                <c:pt idx="1">
                  <c:v>-491.80652465820316</c:v>
                </c:pt>
                <c:pt idx="2">
                  <c:v>-843.09689941406259</c:v>
                </c:pt>
                <c:pt idx="3">
                  <c:v>-1053.8711242675781</c:v>
                </c:pt>
                <c:pt idx="4">
                  <c:v>-1124.1291992187503</c:v>
                </c:pt>
                <c:pt idx="5">
                  <c:v>-1053.8711242675781</c:v>
                </c:pt>
                <c:pt idx="6">
                  <c:v>-843.09689941406214</c:v>
                </c:pt>
                <c:pt idx="7">
                  <c:v>-491.80652465820276</c:v>
                </c:pt>
                <c:pt idx="8">
                  <c:v>9.0949470177292824E-13</c:v>
                </c:pt>
              </c:numCache>
            </c:numRef>
          </c:yVal>
          <c:smooth val="0"/>
          <c:extLst>
            <c:ext xmlns:c16="http://schemas.microsoft.com/office/drawing/2014/chart" uri="{C3380CC4-5D6E-409C-BE32-E72D297353CC}">
              <c16:uniqueId val="{00000001-2B3A-4002-8C9A-1EEC4CC1F030}"/>
            </c:ext>
          </c:extLst>
        </c:ser>
        <c:ser>
          <c:idx val="1"/>
          <c:order val="1"/>
          <c:tx>
            <c:v>0</c:v>
          </c:tx>
          <c:spPr>
            <a:ln w="12600">
              <a:solidFill>
                <a:srgbClr val="F0762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(Geometria!$K$1355:$R$1355,Geometria!$K$1358)</c:f>
              <c:numCache>
                <c:formatCode>General</c:formatCode>
                <c:ptCount val="9"/>
                <c:pt idx="0">
                  <c:v>0</c:v>
                </c:pt>
                <c:pt idx="1">
                  <c:v>0.98124999999999996</c:v>
                </c:pt>
                <c:pt idx="2">
                  <c:v>1.9624999999999999</c:v>
                </c:pt>
                <c:pt idx="3">
                  <c:v>2.9437499999999996</c:v>
                </c:pt>
                <c:pt idx="4">
                  <c:v>3.9249999999999998</c:v>
                </c:pt>
                <c:pt idx="5">
                  <c:v>4.90625</c:v>
                </c:pt>
                <c:pt idx="6">
                  <c:v>5.8875000000000002</c:v>
                </c:pt>
                <c:pt idx="7">
                  <c:v>6.8687500000000004</c:v>
                </c:pt>
                <c:pt idx="8">
                  <c:v>7.8500000000000005</c:v>
                </c:pt>
              </c:numCache>
            </c:numRef>
          </c:xVal>
          <c:yVal>
            <c:numRef>
              <c:f>(Geometria!$K$1361:$R$1361,Geometria!$K$1362)</c:f>
              <c:numCache>
                <c:formatCode>General</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2B3A-4002-8C9A-1EEC4CC1F030}"/>
            </c:ext>
          </c:extLst>
        </c:ser>
        <c:dLbls>
          <c:showLegendKey val="0"/>
          <c:showVal val="0"/>
          <c:showCatName val="0"/>
          <c:showSerName val="0"/>
          <c:showPercent val="0"/>
          <c:showBubbleSize val="0"/>
        </c:dLbls>
        <c:axId val="2489542"/>
        <c:axId val="49331511"/>
      </c:scatterChart>
      <c:valAx>
        <c:axId val="2489542"/>
        <c:scaling>
          <c:orientation val="minMax"/>
        </c:scaling>
        <c:delete val="1"/>
        <c:axPos val="b"/>
        <c:numFmt formatCode="General" sourceLinked="1"/>
        <c:majorTickMark val="out"/>
        <c:minorTickMark val="none"/>
        <c:tickLblPos val="nextTo"/>
        <c:crossAx val="49331511"/>
        <c:crosses val="autoZero"/>
        <c:crossBetween val="midCat"/>
      </c:valAx>
      <c:valAx>
        <c:axId val="49331511"/>
        <c:scaling>
          <c:orientation val="minMax"/>
        </c:scaling>
        <c:delete val="0"/>
        <c:axPos val="l"/>
        <c:numFmt formatCode="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48954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4.6199780001047602E-2"/>
          <c:y val="2.9272587212501401E-2"/>
          <c:w val="0.94238122675606295"/>
          <c:h val="0.84158688235941503"/>
        </c:manualLayout>
      </c:layout>
      <c:scatterChart>
        <c:scatterStyle val="lineMarker"/>
        <c:varyColors val="0"/>
        <c:ser>
          <c:idx val="0"/>
          <c:order val="0"/>
          <c:tx>
            <c:v>Viga</c:v>
          </c:tx>
          <c:spPr>
            <a:ln w="12600">
              <a:solidFill>
                <a:srgbClr val="156082"/>
              </a:solidFill>
              <a:round/>
            </a:ln>
          </c:spPr>
          <c:marker>
            <c:symbol val="none"/>
          </c:marker>
          <c:dPt>
            <c:idx val="3"/>
            <c:bubble3D val="0"/>
            <c:extLst>
              <c:ext xmlns:c16="http://schemas.microsoft.com/office/drawing/2014/chart" uri="{C3380CC4-5D6E-409C-BE32-E72D297353CC}">
                <c16:uniqueId val="{00000000-CAAC-4268-B192-EC7B09A34777}"/>
              </c:ext>
            </c:extLst>
          </c:dPt>
          <c:dLbls>
            <c:dLbl>
              <c:idx val="3"/>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CAAC-4268-B192-EC7B09A34777}"/>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Geometria!$V$16:$V$34</c:f>
              <c:numCache>
                <c:formatCode>0.000</c:formatCode>
                <c:ptCount val="19"/>
                <c:pt idx="0">
                  <c:v>0</c:v>
                </c:pt>
                <c:pt idx="1">
                  <c:v>-15</c:v>
                </c:pt>
                <c:pt idx="2">
                  <c:v>-15</c:v>
                </c:pt>
                <c:pt idx="3">
                  <c:v>-30</c:v>
                </c:pt>
                <c:pt idx="4">
                  <c:v>-30</c:v>
                </c:pt>
                <c:pt idx="5">
                  <c:v>30</c:v>
                </c:pt>
                <c:pt idx="6">
                  <c:v>30</c:v>
                </c:pt>
                <c:pt idx="7">
                  <c:v>15</c:v>
                </c:pt>
                <c:pt idx="8">
                  <c:v>15</c:v>
                </c:pt>
                <c:pt idx="9">
                  <c:v>0</c:v>
                </c:pt>
                <c:pt idx="10">
                  <c:v>0</c:v>
                </c:pt>
                <c:pt idx="11">
                  <c:v>0</c:v>
                </c:pt>
                <c:pt idx="12">
                  <c:v>0</c:v>
                </c:pt>
                <c:pt idx="13">
                  <c:v>0</c:v>
                </c:pt>
                <c:pt idx="14">
                  <c:v>0</c:v>
                </c:pt>
                <c:pt idx="15">
                  <c:v>0</c:v>
                </c:pt>
                <c:pt idx="16">
                  <c:v>0</c:v>
                </c:pt>
                <c:pt idx="17">
                  <c:v>0</c:v>
                </c:pt>
                <c:pt idx="18">
                  <c:v>0</c:v>
                </c:pt>
              </c:numCache>
            </c:numRef>
          </c:xVal>
          <c:yVal>
            <c:numRef>
              <c:f>Geometria!$W$16:$W$34</c:f>
              <c:numCache>
                <c:formatCode>0.000</c:formatCode>
                <c:ptCount val="19"/>
                <c:pt idx="0">
                  <c:v>0</c:v>
                </c:pt>
                <c:pt idx="1">
                  <c:v>0</c:v>
                </c:pt>
                <c:pt idx="2">
                  <c:v>40</c:v>
                </c:pt>
                <c:pt idx="3">
                  <c:v>45</c:v>
                </c:pt>
                <c:pt idx="4">
                  <c:v>60</c:v>
                </c:pt>
                <c:pt idx="5">
                  <c:v>60</c:v>
                </c:pt>
                <c:pt idx="6">
                  <c:v>45</c:v>
                </c:pt>
                <c:pt idx="7">
                  <c:v>40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1-CAAC-4268-B192-EC7B09A34777}"/>
            </c:ext>
          </c:extLst>
        </c:ser>
        <c:ser>
          <c:idx val="1"/>
          <c:order val="1"/>
          <c:tx>
            <c:v>Cordoalhas</c:v>
          </c:tx>
          <c:spPr>
            <a:ln w="19080">
              <a:noFill/>
            </a:ln>
          </c:spPr>
          <c:marker>
            <c:symbol val="circle"/>
            <c:size val="5"/>
            <c:spPr>
              <a:solidFill>
                <a:srgbClr val="E97132"/>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Geometria!$W$251:$W$257</c:f>
              <c:numCache>
                <c:formatCode>0.0" cm"</c:formatCode>
                <c:ptCount val="7"/>
                <c:pt idx="0">
                  <c:v>-9</c:v>
                </c:pt>
                <c:pt idx="1">
                  <c:v>-3</c:v>
                </c:pt>
                <c:pt idx="2">
                  <c:v>3</c:v>
                </c:pt>
                <c:pt idx="3" formatCode="General">
                  <c:v>9</c:v>
                </c:pt>
                <c:pt idx="4" formatCode="General">
                  <c:v>#N/A</c:v>
                </c:pt>
                <c:pt idx="5" formatCode="General">
                  <c:v>#N/A</c:v>
                </c:pt>
                <c:pt idx="6" formatCode="General">
                  <c:v>#N/A</c:v>
                </c:pt>
              </c:numCache>
            </c:numRef>
          </c:xVal>
          <c:yVal>
            <c:numRef>
              <c:f>Geometria!$X$251:$X$257</c:f>
              <c:numCache>
                <c:formatCode>General</c:formatCode>
                <c:ptCount val="7"/>
                <c:pt idx="0">
                  <c:v>8</c:v>
                </c:pt>
                <c:pt idx="1">
                  <c:v>8</c:v>
                </c:pt>
                <c:pt idx="2">
                  <c:v>8</c:v>
                </c:pt>
                <c:pt idx="3">
                  <c:v>8</c:v>
                </c:pt>
                <c:pt idx="4">
                  <c:v>0</c:v>
                </c:pt>
                <c:pt idx="5">
                  <c:v>0</c:v>
                </c:pt>
                <c:pt idx="6">
                  <c:v>0</c:v>
                </c:pt>
              </c:numCache>
            </c:numRef>
          </c:yVal>
          <c:smooth val="0"/>
          <c:extLst>
            <c:ext xmlns:c16="http://schemas.microsoft.com/office/drawing/2014/chart" uri="{C3380CC4-5D6E-409C-BE32-E72D297353CC}">
              <c16:uniqueId val="{00000002-CAAC-4268-B192-EC7B09A34777}"/>
            </c:ext>
          </c:extLst>
        </c:ser>
        <c:ser>
          <c:idx val="2"/>
          <c:order val="2"/>
          <c:tx>
            <c:v>Cordoalha superior</c:v>
          </c:tx>
          <c:spPr>
            <a:ln w="19080">
              <a:noFill/>
            </a:ln>
          </c:spPr>
          <c:marker>
            <c:symbol val="circle"/>
            <c:size val="5"/>
            <c:spPr>
              <a:solidFill>
                <a:srgbClr val="196B24"/>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Geometria!$Z$251:$Z$257</c:f>
              <c:numCache>
                <c:formatCode>0.0" cm"</c:formatCode>
                <c:ptCount val="7"/>
                <c:pt idx="0">
                  <c:v>#N/A</c:v>
                </c:pt>
                <c:pt idx="1">
                  <c:v>#N/A</c:v>
                </c:pt>
                <c:pt idx="2">
                  <c:v>#N/A</c:v>
                </c:pt>
                <c:pt idx="3" formatCode="General">
                  <c:v>#N/A</c:v>
                </c:pt>
                <c:pt idx="4" formatCode="General">
                  <c:v>#N/A</c:v>
                </c:pt>
                <c:pt idx="5" formatCode="General">
                  <c:v>#N/A</c:v>
                </c:pt>
                <c:pt idx="6" formatCode="General">
                  <c:v>#N/A</c:v>
                </c:pt>
              </c:numCache>
            </c:numRef>
          </c:xVal>
          <c:yVal>
            <c:numRef>
              <c:f>Geometria!$AA$251:$AA$257</c:f>
              <c:numCache>
                <c:formatCode>General</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3-CAAC-4268-B192-EC7B09A34777}"/>
            </c:ext>
          </c:extLst>
        </c:ser>
        <c:ser>
          <c:idx val="3"/>
          <c:order val="3"/>
          <c:tx>
            <c:v>inf 2 cam</c:v>
          </c:tx>
          <c:spPr>
            <a:ln w="19080">
              <a:noFill/>
            </a:ln>
          </c:spPr>
          <c:marker>
            <c:symbol val="circle"/>
            <c:size val="5"/>
            <c:spPr>
              <a:solidFill>
                <a:srgbClr val="0F9ED5"/>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Geometria!$W$261:$W$267</c:f>
              <c:numCache>
                <c:formatCode>0.0" cm"</c:formatCode>
                <c:ptCount val="7"/>
                <c:pt idx="0">
                  <c:v>-9</c:v>
                </c:pt>
                <c:pt idx="1">
                  <c:v>-3</c:v>
                </c:pt>
                <c:pt idx="2">
                  <c:v>3</c:v>
                </c:pt>
                <c:pt idx="3" formatCode="General">
                  <c:v>9</c:v>
                </c:pt>
                <c:pt idx="4" formatCode="General">
                  <c:v>#N/A</c:v>
                </c:pt>
                <c:pt idx="5" formatCode="General">
                  <c:v>#N/A</c:v>
                </c:pt>
                <c:pt idx="6" formatCode="General">
                  <c:v>#N/A</c:v>
                </c:pt>
              </c:numCache>
            </c:numRef>
          </c:xVal>
          <c:yVal>
            <c:numRef>
              <c:f>Geometria!$X$261:$X$267</c:f>
              <c:numCache>
                <c:formatCode>General</c:formatCode>
                <c:ptCount val="7"/>
                <c:pt idx="0">
                  <c:v>14.5</c:v>
                </c:pt>
                <c:pt idx="1">
                  <c:v>14.5</c:v>
                </c:pt>
                <c:pt idx="2">
                  <c:v>14.5</c:v>
                </c:pt>
                <c:pt idx="3">
                  <c:v>14.5</c:v>
                </c:pt>
                <c:pt idx="4">
                  <c:v>0</c:v>
                </c:pt>
                <c:pt idx="5">
                  <c:v>0</c:v>
                </c:pt>
                <c:pt idx="6">
                  <c:v>0</c:v>
                </c:pt>
              </c:numCache>
            </c:numRef>
          </c:yVal>
          <c:smooth val="0"/>
          <c:extLst>
            <c:ext xmlns:c16="http://schemas.microsoft.com/office/drawing/2014/chart" uri="{C3380CC4-5D6E-409C-BE32-E72D297353CC}">
              <c16:uniqueId val="{00000004-CAAC-4268-B192-EC7B09A34777}"/>
            </c:ext>
          </c:extLst>
        </c:ser>
        <c:ser>
          <c:idx val="4"/>
          <c:order val="4"/>
          <c:tx>
            <c:v>inf 3 camada</c:v>
          </c:tx>
          <c:spPr>
            <a:ln w="19080">
              <a:noFill/>
            </a:ln>
          </c:spPr>
          <c:marker>
            <c:symbol val="circle"/>
            <c:size val="5"/>
            <c:spPr>
              <a:solidFill>
                <a:srgbClr val="A02B93"/>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Geometria!$Z$261:$Z$267</c:f>
              <c:numCache>
                <c:formatCode>0.0" cm"</c:formatCode>
                <c:ptCount val="7"/>
                <c:pt idx="0">
                  <c:v>#N/A</c:v>
                </c:pt>
                <c:pt idx="1">
                  <c:v>#N/A</c:v>
                </c:pt>
                <c:pt idx="2">
                  <c:v>#N/A</c:v>
                </c:pt>
                <c:pt idx="3" formatCode="General">
                  <c:v>#N/A</c:v>
                </c:pt>
                <c:pt idx="4" formatCode="General">
                  <c:v>#N/A</c:v>
                </c:pt>
                <c:pt idx="5" formatCode="General">
                  <c:v>#N/A</c:v>
                </c:pt>
                <c:pt idx="6" formatCode="General">
                  <c:v>#N/A</c:v>
                </c:pt>
              </c:numCache>
            </c:numRef>
          </c:xVal>
          <c:yVal>
            <c:numRef>
              <c:f>Geometria!$AA$261:$AA$267</c:f>
              <c:numCache>
                <c:formatCode>General</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5-CAAC-4268-B192-EC7B09A34777}"/>
            </c:ext>
          </c:extLst>
        </c:ser>
        <c:ser>
          <c:idx val="5"/>
          <c:order val="5"/>
          <c:spPr>
            <a:ln w="12600">
              <a:solidFill>
                <a:srgbClr val="369C5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Geometria!$AB$235:$AB$248</c:f>
              <c:numCache>
                <c:formatCode>0.0</c:formatCode>
                <c:ptCount val="14"/>
                <c:pt idx="0">
                  <c:v>-12</c:v>
                </c:pt>
                <c:pt idx="1">
                  <c:v>-12</c:v>
                </c:pt>
                <c:pt idx="2">
                  <c:v>-27</c:v>
                </c:pt>
                <c:pt idx="3">
                  <c:v>-27</c:v>
                </c:pt>
                <c:pt idx="4" formatCode="General">
                  <c:v>33</c:v>
                </c:pt>
                <c:pt idx="5" formatCode="General">
                  <c:v>33</c:v>
                </c:pt>
                <c:pt idx="6" formatCode="0.000">
                  <c:v>15</c:v>
                </c:pt>
                <c:pt idx="7" formatCode="General">
                  <c:v>-33</c:v>
                </c:pt>
                <c:pt idx="8" formatCode="General">
                  <c:v>-33</c:v>
                </c:pt>
                <c:pt idx="9" formatCode="General">
                  <c:v>27</c:v>
                </c:pt>
                <c:pt idx="10" formatCode="General">
                  <c:v>27</c:v>
                </c:pt>
                <c:pt idx="11" formatCode="General">
                  <c:v>12</c:v>
                </c:pt>
                <c:pt idx="12" formatCode="General">
                  <c:v>12</c:v>
                </c:pt>
                <c:pt idx="13">
                  <c:v>-12</c:v>
                </c:pt>
              </c:numCache>
            </c:numRef>
          </c:xVal>
          <c:yVal>
            <c:numRef>
              <c:f>Geometria!$AC$235:$AC$248</c:f>
              <c:numCache>
                <c:formatCode>0.0</c:formatCode>
                <c:ptCount val="14"/>
                <c:pt idx="0" formatCode="0.0&quot; cm&quot;">
                  <c:v>3</c:v>
                </c:pt>
                <c:pt idx="1">
                  <c:v>37</c:v>
                </c:pt>
                <c:pt idx="2">
                  <c:v>42</c:v>
                </c:pt>
                <c:pt idx="3">
                  <c:v>63</c:v>
                </c:pt>
                <c:pt idx="4">
                  <c:v>63</c:v>
                </c:pt>
                <c:pt idx="5">
                  <c:v>42</c:v>
                </c:pt>
                <c:pt idx="6">
                  <c:v>42</c:v>
                </c:pt>
                <c:pt idx="7">
                  <c:v>42</c:v>
                </c:pt>
                <c:pt idx="8">
                  <c:v>63</c:v>
                </c:pt>
                <c:pt idx="9">
                  <c:v>63</c:v>
                </c:pt>
                <c:pt idx="10">
                  <c:v>42</c:v>
                </c:pt>
                <c:pt idx="11">
                  <c:v>37</c:v>
                </c:pt>
                <c:pt idx="12" formatCode="0.0&quot; cm&quot;">
                  <c:v>3</c:v>
                </c:pt>
                <c:pt idx="13" formatCode="0.0&quot; cm&quot;">
                  <c:v>3</c:v>
                </c:pt>
              </c:numCache>
            </c:numRef>
          </c:yVal>
          <c:smooth val="0"/>
          <c:extLst>
            <c:ext xmlns:c16="http://schemas.microsoft.com/office/drawing/2014/chart" uri="{C3380CC4-5D6E-409C-BE32-E72D297353CC}">
              <c16:uniqueId val="{00000006-CAAC-4268-B192-EC7B09A34777}"/>
            </c:ext>
          </c:extLst>
        </c:ser>
        <c:ser>
          <c:idx val="6"/>
          <c:order val="6"/>
          <c:tx>
            <c:v>Aba R/A</c:v>
          </c:tx>
          <c:spPr>
            <a:ln w="12700" cap="flat">
              <a:solidFill>
                <a:srgbClr val="156082"/>
              </a:solidFill>
              <a:round/>
            </a:ln>
          </c:spPr>
          <c:marker>
            <c:symbol val="none"/>
          </c:marker>
          <c:xVal>
            <c:numRef>
              <c:f>'Seções'!$W$25:$W$28</c:f>
            </c:numRef>
          </c:xVal>
          <c:yVal>
            <c:numRef>
              <c:f>'Seções'!$X$25:$X$28</c:f>
            </c:numRef>
          </c:yVal>
          <c:smooth val="0"/>
        </c:ser>
        <c:ser>
          <c:idx val="7"/>
          <c:order val="7"/>
          <c:tx>
            <c:v>Estribo aba R/A</c:v>
          </c:tx>
          <c:spPr>
            <a:ln w="9525" cap="flat">
              <a:solidFill>
                <a:srgbClr val="C00000"/>
              </a:solidFill>
              <a:round/>
            </a:ln>
          </c:spPr>
          <c:marker>
            <c:symbol val="none"/>
          </c:marker>
          <c:xVal>
            <c:numRef>
              <c:f>'Seções'!$Y$25:$Y$29</c:f>
            </c:numRef>
          </c:xVal>
          <c:yVal>
            <c:numRef>
              <c:f>'Seções'!$Z$25:$Z$29</c:f>
            </c:numRef>
          </c:yVal>
          <c:smooth val="0"/>
        </c:ser>
        <c:ser>
          <c:idx val="8"/>
          <c:order val="8"/>
          <c:tx>
            <c:v>Barra aba R/A</c:v>
          </c:tx>
          <c:spPr>
            <a:ln>
              <a:noFill/>
            </a:ln>
          </c:spPr>
          <c:marker>
            <c:symbol val="circle"/>
            <c:size val="5"/>
            <c:spPr>
              <a:solidFill>
                <a:srgbClr val="000000"/>
              </a:solidFill>
              <a:ln w="6350">
                <a:solidFill>
                  <a:srgbClr val="000000"/>
                </a:solidFill>
              </a:ln>
            </c:spPr>
          </c:marker>
          <c:xVal>
            <c:numRef>
              <c:f>'Seções'!$AA$25:$AA$26</c:f>
            </c:numRef>
          </c:xVal>
          <c:yVal>
            <c:numRef>
              <c:f>'Seções'!$AB$25:$AB$26</c:f>
            </c:numRef>
          </c:yVal>
          <c:smooth val="0"/>
        </c:ser>
        <c:dLbls>
          <c:showLegendKey val="0"/>
          <c:showVal val="0"/>
          <c:showCatName val="0"/>
          <c:showSerName val="0"/>
          <c:showPercent val="0"/>
          <c:showBubbleSize val="0"/>
        </c:dLbls>
        <c:axId val="58036001"/>
        <c:axId val="75189733"/>
      </c:scatterChart>
      <c:valAx>
        <c:axId val="58036001"/>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sz="900" b="0" strike="noStrike" spc="-1">
                <a:solidFill>
                  <a:srgbClr val="333333"/>
                </a:solidFill>
                <a:latin typeface="Aptos Narrow"/>
                <a:ea typeface="Aptos Narrow"/>
              </a:defRPr>
            </a:pPr>
            <a:endParaRPr lang="pt-BR"/>
          </a:p>
        </c:txPr>
        <c:crossAx val="75189733"/>
        <c:crosses val="autoZero"/>
        <c:crossBetween val="midCat"/>
      </c:valAx>
      <c:valAx>
        <c:axId val="75189733"/>
        <c:scaling>
          <c:orientation val="minMax"/>
        </c:scaling>
        <c:delete val="0"/>
        <c:axPos val="l"/>
        <c:numFmt formatCode="General" sourceLinked="0"/>
        <c:majorTickMark val="none"/>
        <c:minorTickMark val="none"/>
        <c:tickLblPos val="low"/>
        <c:spPr>
          <a:ln w="3240">
            <a:solidFill>
              <a:srgbClr val="BFBFBF"/>
            </a:solidFill>
            <a:round/>
          </a:ln>
        </c:spPr>
        <c:txPr>
          <a:bodyPr/>
          <a:lstStyle/>
          <a:p>
            <a:pPr>
              <a:defRPr sz="900" b="0" strike="noStrike" spc="-1">
                <a:solidFill>
                  <a:srgbClr val="000000"/>
                </a:solidFill>
                <a:latin typeface="Aptos Narrow"/>
              </a:defRPr>
            </a:pPr>
            <a:endParaRPr lang="pt-BR"/>
          </a:p>
        </c:txPr>
        <c:crossAx val="58036001"/>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4.6230614940560598E-2"/>
          <c:y val="2.9308386957227098E-2"/>
          <c:w val="0.94237072550266598"/>
          <c:h val="0.84166982101335597"/>
        </c:manualLayout>
      </c:layout>
      <c:scatterChart>
        <c:scatterStyle val="lineMarker"/>
        <c:varyColors val="0"/>
        <c:ser>
          <c:idx val="0"/>
          <c:order val="0"/>
          <c:tx>
            <c:v>Viga</c:v>
          </c:tx>
          <c:spPr>
            <a:ln w="12600">
              <a:solidFill>
                <a:srgbClr val="156082"/>
              </a:solidFill>
              <a:round/>
            </a:ln>
          </c:spPr>
          <c:marker>
            <c:symbol val="none"/>
          </c:marker>
          <c:dPt>
            <c:idx val="3"/>
            <c:bubble3D val="0"/>
            <c:extLst>
              <c:ext xmlns:c16="http://schemas.microsoft.com/office/drawing/2014/chart" uri="{C3380CC4-5D6E-409C-BE32-E72D297353CC}">
                <c16:uniqueId val="{00000000-6E6A-48C6-AC31-815832534EE4}"/>
              </c:ext>
            </c:extLst>
          </c:dPt>
          <c:dLbls>
            <c:dLbl>
              <c:idx val="3"/>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6E6A-48C6-AC31-815832534EE4}"/>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Geometria!$V$16:$V$34</c:f>
              <c:numCache>
                <c:formatCode>0.000</c:formatCode>
                <c:ptCount val="19"/>
                <c:pt idx="0">
                  <c:v>0</c:v>
                </c:pt>
                <c:pt idx="1">
                  <c:v>-15</c:v>
                </c:pt>
                <c:pt idx="2">
                  <c:v>-15</c:v>
                </c:pt>
                <c:pt idx="3">
                  <c:v>-30</c:v>
                </c:pt>
                <c:pt idx="4">
                  <c:v>-30</c:v>
                </c:pt>
                <c:pt idx="5">
                  <c:v>30</c:v>
                </c:pt>
                <c:pt idx="6">
                  <c:v>30</c:v>
                </c:pt>
                <c:pt idx="7">
                  <c:v>15</c:v>
                </c:pt>
                <c:pt idx="8">
                  <c:v>15</c:v>
                </c:pt>
                <c:pt idx="9">
                  <c:v>0</c:v>
                </c:pt>
                <c:pt idx="10">
                  <c:v>0</c:v>
                </c:pt>
                <c:pt idx="11">
                  <c:v>0</c:v>
                </c:pt>
                <c:pt idx="12">
                  <c:v>0</c:v>
                </c:pt>
                <c:pt idx="13">
                  <c:v>0</c:v>
                </c:pt>
                <c:pt idx="14">
                  <c:v>0</c:v>
                </c:pt>
                <c:pt idx="15">
                  <c:v>0</c:v>
                </c:pt>
                <c:pt idx="16">
                  <c:v>0</c:v>
                </c:pt>
                <c:pt idx="17">
                  <c:v>0</c:v>
                </c:pt>
                <c:pt idx="18">
                  <c:v>0</c:v>
                </c:pt>
              </c:numCache>
            </c:numRef>
          </c:xVal>
          <c:yVal>
            <c:numRef>
              <c:f>Geometria!$W$16:$W$34</c:f>
              <c:numCache>
                <c:formatCode>0.000</c:formatCode>
                <c:ptCount val="19"/>
                <c:pt idx="0">
                  <c:v>0</c:v>
                </c:pt>
                <c:pt idx="1">
                  <c:v>0</c:v>
                </c:pt>
                <c:pt idx="2">
                  <c:v>40</c:v>
                </c:pt>
                <c:pt idx="3">
                  <c:v>45</c:v>
                </c:pt>
                <c:pt idx="4">
                  <c:v>60</c:v>
                </c:pt>
                <c:pt idx="5">
                  <c:v>60</c:v>
                </c:pt>
                <c:pt idx="6">
                  <c:v>45</c:v>
                </c:pt>
                <c:pt idx="7">
                  <c:v>40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1-6E6A-48C6-AC31-815832534EE4}"/>
            </c:ext>
          </c:extLst>
        </c:ser>
        <c:ser>
          <c:idx val="1"/>
          <c:order val="1"/>
          <c:tx>
            <c:v>Cordoalhas</c:v>
          </c:tx>
          <c:spPr>
            <a:ln w="19080">
              <a:noFill/>
            </a:ln>
          </c:spPr>
          <c:marker>
            <c:symbol val="circle"/>
            <c:size val="5"/>
            <c:spPr>
              <a:solidFill>
                <a:srgbClr val="E97132"/>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Geometria!$W$251:$W$257</c:f>
              <c:numCache>
                <c:formatCode>0.0" cm"</c:formatCode>
                <c:ptCount val="7"/>
                <c:pt idx="0">
                  <c:v>-9</c:v>
                </c:pt>
                <c:pt idx="1">
                  <c:v>-3</c:v>
                </c:pt>
                <c:pt idx="2">
                  <c:v>3</c:v>
                </c:pt>
                <c:pt idx="3" formatCode="General">
                  <c:v>9</c:v>
                </c:pt>
                <c:pt idx="4" formatCode="General">
                  <c:v>#N/A</c:v>
                </c:pt>
                <c:pt idx="5" formatCode="General">
                  <c:v>#N/A</c:v>
                </c:pt>
                <c:pt idx="6" formatCode="General">
                  <c:v>#N/A</c:v>
                </c:pt>
              </c:numCache>
            </c:numRef>
          </c:xVal>
          <c:yVal>
            <c:numRef>
              <c:f>Geometria!$X$251:$X$257</c:f>
              <c:numCache>
                <c:formatCode>General</c:formatCode>
                <c:ptCount val="7"/>
                <c:pt idx="0">
                  <c:v>8</c:v>
                </c:pt>
                <c:pt idx="1">
                  <c:v>8</c:v>
                </c:pt>
                <c:pt idx="2">
                  <c:v>8</c:v>
                </c:pt>
                <c:pt idx="3">
                  <c:v>8</c:v>
                </c:pt>
                <c:pt idx="4">
                  <c:v>0</c:v>
                </c:pt>
                <c:pt idx="5">
                  <c:v>0</c:v>
                </c:pt>
                <c:pt idx="6">
                  <c:v>0</c:v>
                </c:pt>
              </c:numCache>
            </c:numRef>
          </c:yVal>
          <c:smooth val="0"/>
          <c:extLst>
            <c:ext xmlns:c16="http://schemas.microsoft.com/office/drawing/2014/chart" uri="{C3380CC4-5D6E-409C-BE32-E72D297353CC}">
              <c16:uniqueId val="{00000002-6E6A-48C6-AC31-815832534EE4}"/>
            </c:ext>
          </c:extLst>
        </c:ser>
        <c:ser>
          <c:idx val="2"/>
          <c:order val="2"/>
          <c:tx>
            <c:v>Cordoalha superior</c:v>
          </c:tx>
          <c:spPr>
            <a:ln w="19080">
              <a:noFill/>
            </a:ln>
          </c:spPr>
          <c:marker>
            <c:symbol val="circle"/>
            <c:size val="5"/>
            <c:spPr>
              <a:solidFill>
                <a:srgbClr val="196B24"/>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Geometria!$Z$251:$Z$257</c:f>
              <c:numCache>
                <c:formatCode>0.0" cm"</c:formatCode>
                <c:ptCount val="7"/>
                <c:pt idx="0">
                  <c:v>#N/A</c:v>
                </c:pt>
                <c:pt idx="1">
                  <c:v>#N/A</c:v>
                </c:pt>
                <c:pt idx="2">
                  <c:v>#N/A</c:v>
                </c:pt>
                <c:pt idx="3" formatCode="General">
                  <c:v>#N/A</c:v>
                </c:pt>
                <c:pt idx="4" formatCode="General">
                  <c:v>#N/A</c:v>
                </c:pt>
                <c:pt idx="5" formatCode="General">
                  <c:v>#N/A</c:v>
                </c:pt>
                <c:pt idx="6" formatCode="General">
                  <c:v>#N/A</c:v>
                </c:pt>
              </c:numCache>
            </c:numRef>
          </c:xVal>
          <c:yVal>
            <c:numRef>
              <c:f>Geometria!$AA$251:$AA$257</c:f>
              <c:numCache>
                <c:formatCode>General</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3-6E6A-48C6-AC31-815832534EE4}"/>
            </c:ext>
          </c:extLst>
        </c:ser>
        <c:ser>
          <c:idx val="3"/>
          <c:order val="3"/>
          <c:tx>
            <c:v>inf 2 cam</c:v>
          </c:tx>
          <c:spPr>
            <a:ln w="19080">
              <a:noFill/>
            </a:ln>
          </c:spPr>
          <c:marker>
            <c:symbol val="circle"/>
            <c:size val="5"/>
            <c:spPr>
              <a:solidFill>
                <a:srgbClr val="0F9ED5"/>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Geometria!$W$261:$W$267</c:f>
              <c:numCache>
                <c:formatCode>0.0" cm"</c:formatCode>
                <c:ptCount val="7"/>
                <c:pt idx="0">
                  <c:v>-9</c:v>
                </c:pt>
                <c:pt idx="1">
                  <c:v>-3</c:v>
                </c:pt>
                <c:pt idx="2">
                  <c:v>3</c:v>
                </c:pt>
                <c:pt idx="3" formatCode="General">
                  <c:v>9</c:v>
                </c:pt>
                <c:pt idx="4" formatCode="General">
                  <c:v>#N/A</c:v>
                </c:pt>
                <c:pt idx="5" formatCode="General">
                  <c:v>#N/A</c:v>
                </c:pt>
                <c:pt idx="6" formatCode="General">
                  <c:v>#N/A</c:v>
                </c:pt>
              </c:numCache>
            </c:numRef>
          </c:xVal>
          <c:yVal>
            <c:numRef>
              <c:f>Geometria!$X$261:$X$267</c:f>
              <c:numCache>
                <c:formatCode>General</c:formatCode>
                <c:ptCount val="7"/>
                <c:pt idx="0">
                  <c:v>14.5</c:v>
                </c:pt>
                <c:pt idx="1">
                  <c:v>14.5</c:v>
                </c:pt>
                <c:pt idx="2">
                  <c:v>14.5</c:v>
                </c:pt>
                <c:pt idx="3">
                  <c:v>14.5</c:v>
                </c:pt>
                <c:pt idx="4">
                  <c:v>0</c:v>
                </c:pt>
                <c:pt idx="5">
                  <c:v>0</c:v>
                </c:pt>
                <c:pt idx="6">
                  <c:v>0</c:v>
                </c:pt>
              </c:numCache>
            </c:numRef>
          </c:yVal>
          <c:smooth val="0"/>
          <c:extLst>
            <c:ext xmlns:c16="http://schemas.microsoft.com/office/drawing/2014/chart" uri="{C3380CC4-5D6E-409C-BE32-E72D297353CC}">
              <c16:uniqueId val="{00000004-6E6A-48C6-AC31-815832534EE4}"/>
            </c:ext>
          </c:extLst>
        </c:ser>
        <c:ser>
          <c:idx val="4"/>
          <c:order val="4"/>
          <c:tx>
            <c:v>inf 3 camada</c:v>
          </c:tx>
          <c:spPr>
            <a:ln w="19080">
              <a:noFill/>
            </a:ln>
          </c:spPr>
          <c:marker>
            <c:symbol val="circle"/>
            <c:size val="5"/>
            <c:spPr>
              <a:solidFill>
                <a:srgbClr val="A02B93"/>
              </a:solidFill>
            </c:spPr>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Geometria!$Z$261:$Z$267</c:f>
              <c:numCache>
                <c:formatCode>0.0" cm"</c:formatCode>
                <c:ptCount val="7"/>
                <c:pt idx="0">
                  <c:v>#N/A</c:v>
                </c:pt>
                <c:pt idx="1">
                  <c:v>#N/A</c:v>
                </c:pt>
                <c:pt idx="2">
                  <c:v>#N/A</c:v>
                </c:pt>
                <c:pt idx="3" formatCode="General">
                  <c:v>#N/A</c:v>
                </c:pt>
                <c:pt idx="4" formatCode="General">
                  <c:v>#N/A</c:v>
                </c:pt>
                <c:pt idx="5" formatCode="General">
                  <c:v>#N/A</c:v>
                </c:pt>
                <c:pt idx="6" formatCode="General">
                  <c:v>#N/A</c:v>
                </c:pt>
              </c:numCache>
            </c:numRef>
          </c:xVal>
          <c:yVal>
            <c:numRef>
              <c:f>Geometria!$AA$261:$AA$267</c:f>
              <c:numCache>
                <c:formatCode>General</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5-6E6A-48C6-AC31-815832534EE4}"/>
            </c:ext>
          </c:extLst>
        </c:ser>
        <c:ser>
          <c:idx val="5"/>
          <c:order val="5"/>
          <c:spPr>
            <a:ln w="12600">
              <a:solidFill>
                <a:srgbClr val="369C5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Geometria!$AE$235:$AE$247</c:f>
              <c:numCache>
                <c:formatCode>General</c:formatCode>
                <c:ptCount val="13"/>
                <c:pt idx="0">
                  <c:v>0</c:v>
                </c:pt>
                <c:pt idx="1">
                  <c:v>-12</c:v>
                </c:pt>
                <c:pt idx="2">
                  <c:v>-12</c:v>
                </c:pt>
                <c:pt idx="3">
                  <c:v>-27</c:v>
                </c:pt>
                <c:pt idx="4">
                  <c:v>-27</c:v>
                </c:pt>
                <c:pt idx="5">
                  <c:v>27</c:v>
                </c:pt>
                <c:pt idx="6">
                  <c:v>27</c:v>
                </c:pt>
                <c:pt idx="7">
                  <c:v>12</c:v>
                </c:pt>
                <c:pt idx="8">
                  <c:v>12</c:v>
                </c:pt>
                <c:pt idx="9">
                  <c:v>-12</c:v>
                </c:pt>
                <c:pt idx="10">
                  <c:v>-12</c:v>
                </c:pt>
                <c:pt idx="11">
                  <c:v>12</c:v>
                </c:pt>
                <c:pt idx="12">
                  <c:v>12</c:v>
                </c:pt>
              </c:numCache>
            </c:numRef>
          </c:xVal>
          <c:yVal>
            <c:numRef>
              <c:f>Geometria!$AF$235:$AF$247</c:f>
              <c:numCache>
                <c:formatCode>General</c:formatCode>
                <c:ptCount val="13"/>
                <c:pt idx="0" formatCode="0.0&quot; cm&quot;">
                  <c:v>3</c:v>
                </c:pt>
                <c:pt idx="1">
                  <c:v>3</c:v>
                </c:pt>
                <c:pt idx="2">
                  <c:v>43</c:v>
                </c:pt>
                <c:pt idx="3">
                  <c:v>48</c:v>
                </c:pt>
                <c:pt idx="4">
                  <c:v>57</c:v>
                </c:pt>
                <c:pt idx="5">
                  <c:v>57</c:v>
                </c:pt>
                <c:pt idx="6">
                  <c:v>48</c:v>
                </c:pt>
                <c:pt idx="7">
                  <c:v>43</c:v>
                </c:pt>
                <c:pt idx="8">
                  <c:v>3</c:v>
                </c:pt>
                <c:pt idx="9">
                  <c:v>3</c:v>
                </c:pt>
                <c:pt idx="10" formatCode="0.0">
                  <c:v>88</c:v>
                </c:pt>
                <c:pt idx="11" formatCode="0.0">
                  <c:v>88</c:v>
                </c:pt>
                <c:pt idx="12">
                  <c:v>3</c:v>
                </c:pt>
              </c:numCache>
            </c:numRef>
          </c:yVal>
          <c:smooth val="0"/>
          <c:extLst>
            <c:ext xmlns:c16="http://schemas.microsoft.com/office/drawing/2014/chart" uri="{C3380CC4-5D6E-409C-BE32-E72D297353CC}">
              <c16:uniqueId val="{00000006-6E6A-48C6-AC31-815832534EE4}"/>
            </c:ext>
          </c:extLst>
        </c:ser>
        <c:ser>
          <c:idx val="6"/>
          <c:order val="6"/>
          <c:tx>
            <c:v>Aba R/A</c:v>
          </c:tx>
          <c:spPr>
            <a:ln w="12700" cap="flat">
              <a:solidFill>
                <a:srgbClr val="156082"/>
              </a:solidFill>
              <a:round/>
            </a:ln>
          </c:spPr>
          <c:marker>
            <c:symbol val="none"/>
          </c:marker>
          <c:xVal>
            <c:numRef>
              <c:f>'Seções'!$W$25:$W$28</c:f>
            </c:numRef>
          </c:xVal>
          <c:yVal>
            <c:numRef>
              <c:f>'Seções'!$X$25:$X$28</c:f>
            </c:numRef>
          </c:yVal>
          <c:smooth val="0"/>
        </c:ser>
        <c:ser>
          <c:idx val="7"/>
          <c:order val="7"/>
          <c:tx>
            <c:v>Estribo aba R/A</c:v>
          </c:tx>
          <c:spPr>
            <a:ln w="9525" cap="flat">
              <a:solidFill>
                <a:srgbClr val="C00000"/>
              </a:solidFill>
              <a:round/>
            </a:ln>
          </c:spPr>
          <c:marker>
            <c:symbol val="none"/>
          </c:marker>
          <c:xVal>
            <c:numRef>
              <c:f>'Seções'!$Y$25:$Y$29</c:f>
            </c:numRef>
          </c:xVal>
          <c:yVal>
            <c:numRef>
              <c:f>'Seções'!$Z$25:$Z$29</c:f>
            </c:numRef>
          </c:yVal>
          <c:smooth val="0"/>
        </c:ser>
        <c:ser>
          <c:idx val="8"/>
          <c:order val="8"/>
          <c:tx>
            <c:v>Barra aba R/A</c:v>
          </c:tx>
          <c:spPr>
            <a:ln>
              <a:noFill/>
            </a:ln>
          </c:spPr>
          <c:marker>
            <c:symbol val="circle"/>
            <c:size val="5"/>
            <c:spPr>
              <a:solidFill>
                <a:srgbClr val="000000"/>
              </a:solidFill>
              <a:ln w="6350">
                <a:solidFill>
                  <a:srgbClr val="000000"/>
                </a:solidFill>
              </a:ln>
            </c:spPr>
          </c:marker>
          <c:xVal>
            <c:numRef>
              <c:f>'Seções'!$AA$25:$AA$26</c:f>
            </c:numRef>
          </c:xVal>
          <c:yVal>
            <c:numRef>
              <c:f>'Seções'!$AB$25:$AB$26</c:f>
            </c:numRef>
          </c:yVal>
          <c:smooth val="0"/>
        </c:ser>
        <c:dLbls>
          <c:showLegendKey val="0"/>
          <c:showVal val="0"/>
          <c:showCatName val="0"/>
          <c:showSerName val="0"/>
          <c:showPercent val="0"/>
          <c:showBubbleSize val="0"/>
        </c:dLbls>
        <c:axId val="5078125"/>
        <c:axId val="50868235"/>
      </c:scatterChart>
      <c:valAx>
        <c:axId val="5078125"/>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sz="900" b="0" strike="noStrike" spc="-1">
                <a:solidFill>
                  <a:srgbClr val="333333"/>
                </a:solidFill>
                <a:latin typeface="Aptos Narrow"/>
                <a:ea typeface="Aptos Narrow"/>
              </a:defRPr>
            </a:pPr>
            <a:endParaRPr lang="pt-BR"/>
          </a:p>
        </c:txPr>
        <c:crossAx val="50868235"/>
        <c:crosses val="autoZero"/>
        <c:crossBetween val="midCat"/>
      </c:valAx>
      <c:valAx>
        <c:axId val="50868235"/>
        <c:scaling>
          <c:orientation val="minMax"/>
        </c:scaling>
        <c:delete val="0"/>
        <c:axPos val="l"/>
        <c:numFmt formatCode="General" sourceLinked="0"/>
        <c:majorTickMark val="none"/>
        <c:minorTickMark val="none"/>
        <c:tickLblPos val="low"/>
        <c:spPr>
          <a:ln w="3240">
            <a:solidFill>
              <a:srgbClr val="BFBFBF"/>
            </a:solidFill>
            <a:round/>
          </a:ln>
        </c:spPr>
        <c:txPr>
          <a:bodyPr/>
          <a:lstStyle/>
          <a:p>
            <a:pPr>
              <a:defRPr sz="900" b="0" strike="noStrike" spc="-1">
                <a:solidFill>
                  <a:srgbClr val="000000"/>
                </a:solidFill>
                <a:latin typeface="Aptos Narrow"/>
              </a:defRPr>
            </a:pPr>
            <a:endParaRPr lang="pt-BR"/>
          </a:p>
        </c:txPr>
        <c:crossAx val="5078125"/>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 - IÇAMENTO</a:t>
            </a:r>
          </a:p>
        </c:rich>
      </c:tx>
      <c:overlay val="0"/>
      <c:spPr>
        <a:noFill/>
        <a:ln w="0">
          <a:noFill/>
        </a:ln>
      </c:spPr>
    </c:title>
    <c:autoTitleDeleted val="0"/>
    <c:plotArea>
      <c:layout>
        <c:manualLayout>
          <c:layoutTarget val="inner"/>
          <c:xMode val="edge"/>
          <c:yMode val="edge"/>
          <c:x val="5.5558566859992397E-3"/>
          <c:y val="6.6787784410416107E-2"/>
          <c:w val="0.99064989972356199"/>
          <c:h val="0.87559477463448399"/>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Tensões!$P$99:$P$119</c:f>
              <c:numCache>
                <c:formatCode>0.0</c:formatCode>
                <c:ptCount val="21"/>
                <c:pt idx="0">
                  <c:v>0</c:v>
                </c:pt>
                <c:pt idx="1">
                  <c:v>-6.6075787429449955</c:v>
                </c:pt>
                <c:pt idx="2">
                  <c:v>-13.673988323528413</c:v>
                </c:pt>
                <c:pt idx="3">
                  <c:v>-20.74039790411183</c:v>
                </c:pt>
                <c:pt idx="4">
                  <c:v>-21.202497057363637</c:v>
                </c:pt>
                <c:pt idx="5">
                  <c:v>-20.955592931117302</c:v>
                </c:pt>
                <c:pt idx="6">
                  <c:v>-20.753580464188484</c:v>
                </c:pt>
                <c:pt idx="7">
                  <c:v>-20.596459656577185</c:v>
                </c:pt>
                <c:pt idx="8">
                  <c:v>-20.484230508283396</c:v>
                </c:pt>
                <c:pt idx="9">
                  <c:v>-20.416893019307125</c:v>
                </c:pt>
                <c:pt idx="10">
                  <c:v>-20.394447189648368</c:v>
                </c:pt>
                <c:pt idx="11">
                  <c:v>-20.416893019307125</c:v>
                </c:pt>
                <c:pt idx="12">
                  <c:v>-20.484230508283396</c:v>
                </c:pt>
                <c:pt idx="13">
                  <c:v>-20.596459656577185</c:v>
                </c:pt>
                <c:pt idx="14">
                  <c:v>-20.753580464188484</c:v>
                </c:pt>
                <c:pt idx="15">
                  <c:v>-20.955592931117302</c:v>
                </c:pt>
                <c:pt idx="16">
                  <c:v>-21.202497057363637</c:v>
                </c:pt>
                <c:pt idx="17">
                  <c:v>-20.74039790411183</c:v>
                </c:pt>
                <c:pt idx="18">
                  <c:v>-13.673988323528413</c:v>
                </c:pt>
                <c:pt idx="19">
                  <c:v>-6.6075787429449955</c:v>
                </c:pt>
                <c:pt idx="20">
                  <c:v>0</c:v>
                </c:pt>
              </c:numCache>
            </c:numRef>
          </c:val>
          <c:smooth val="1"/>
          <c:extLst>
            <c:ext xmlns:c16="http://schemas.microsoft.com/office/drawing/2014/chart" uri="{C3380CC4-5D6E-409C-BE32-E72D297353CC}">
              <c16:uniqueId val="{00000000-658F-4FDD-88D1-28D41089FA88}"/>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Tensões!$P$76:$P$96</c:f>
              <c:numCache>
                <c:formatCode>0.0</c:formatCode>
                <c:ptCount val="21"/>
                <c:pt idx="0">
                  <c:v>0</c:v>
                </c:pt>
                <c:pt idx="1">
                  <c:v>1.3893545587277025</c:v>
                </c:pt>
                <c:pt idx="2">
                  <c:v>3.1113082872427613</c:v>
                </c:pt>
                <c:pt idx="3">
                  <c:v>5.3141038156270719</c:v>
                </c:pt>
                <c:pt idx="4">
                  <c:v>5.0919313412757026</c:v>
                </c:pt>
                <c:pt idx="5">
                  <c:v>4.9039392475937769</c:v>
                </c:pt>
                <c:pt idx="6">
                  <c:v>4.7501275345812921</c:v>
                </c:pt>
                <c:pt idx="7">
                  <c:v>4.6304962022382474</c:v>
                </c:pt>
                <c:pt idx="8">
                  <c:v>4.5450452505646437</c:v>
                </c:pt>
                <c:pt idx="9">
                  <c:v>4.4937746795604836</c:v>
                </c:pt>
                <c:pt idx="10">
                  <c:v>4.4766844892257636</c:v>
                </c:pt>
                <c:pt idx="11">
                  <c:v>4.4937746795604836</c:v>
                </c:pt>
                <c:pt idx="12">
                  <c:v>4.5450452505646437</c:v>
                </c:pt>
                <c:pt idx="13">
                  <c:v>4.6304962022382474</c:v>
                </c:pt>
                <c:pt idx="14">
                  <c:v>4.7501275345812921</c:v>
                </c:pt>
                <c:pt idx="15">
                  <c:v>4.9039392475937778</c:v>
                </c:pt>
                <c:pt idx="16">
                  <c:v>5.0919313412757026</c:v>
                </c:pt>
                <c:pt idx="17">
                  <c:v>5.3141038156270728</c:v>
                </c:pt>
                <c:pt idx="18">
                  <c:v>3.1113082872427613</c:v>
                </c:pt>
                <c:pt idx="19">
                  <c:v>1.3893545587277025</c:v>
                </c:pt>
                <c:pt idx="20">
                  <c:v>0</c:v>
                </c:pt>
              </c:numCache>
            </c:numRef>
          </c:val>
          <c:smooth val="1"/>
          <c:extLst>
            <c:ext xmlns:c16="http://schemas.microsoft.com/office/drawing/2014/chart" uri="{C3380CC4-5D6E-409C-BE32-E72D297353CC}">
              <c16:uniqueId val="{00000001-658F-4FDD-88D1-28D41089FA88}"/>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658F-4FDD-88D1-28D41089FA88}"/>
              </c:ext>
            </c:extLst>
          </c:dPt>
          <c:dPt>
            <c:idx val="2"/>
            <c:bubble3D val="0"/>
            <c:extLst>
              <c:ext xmlns:c16="http://schemas.microsoft.com/office/drawing/2014/chart" uri="{C3380CC4-5D6E-409C-BE32-E72D297353CC}">
                <c16:uniqueId val="{00000003-658F-4FDD-88D1-28D41089FA88}"/>
              </c:ext>
            </c:extLst>
          </c:dPt>
          <c:dPt>
            <c:idx val="3"/>
            <c:bubble3D val="0"/>
            <c:extLst>
              <c:ext xmlns:c16="http://schemas.microsoft.com/office/drawing/2014/chart" uri="{C3380CC4-5D6E-409C-BE32-E72D297353CC}">
                <c16:uniqueId val="{00000004-658F-4FDD-88D1-28D41089FA88}"/>
              </c:ext>
            </c:extLst>
          </c:dPt>
          <c:dPt>
            <c:idx val="4"/>
            <c:bubble3D val="0"/>
            <c:extLst>
              <c:ext xmlns:c16="http://schemas.microsoft.com/office/drawing/2014/chart" uri="{C3380CC4-5D6E-409C-BE32-E72D297353CC}">
                <c16:uniqueId val="{00000005-658F-4FDD-88D1-28D41089FA88}"/>
              </c:ext>
            </c:extLst>
          </c:dPt>
          <c:dPt>
            <c:idx val="5"/>
            <c:bubble3D val="0"/>
            <c:extLst>
              <c:ext xmlns:c16="http://schemas.microsoft.com/office/drawing/2014/chart" uri="{C3380CC4-5D6E-409C-BE32-E72D297353CC}">
                <c16:uniqueId val="{00000006-658F-4FDD-88D1-28D41089FA88}"/>
              </c:ext>
            </c:extLst>
          </c:dPt>
          <c:dPt>
            <c:idx val="6"/>
            <c:bubble3D val="0"/>
            <c:extLst>
              <c:ext xmlns:c16="http://schemas.microsoft.com/office/drawing/2014/chart" uri="{C3380CC4-5D6E-409C-BE32-E72D297353CC}">
                <c16:uniqueId val="{00000007-658F-4FDD-88D1-28D41089FA88}"/>
              </c:ext>
            </c:extLst>
          </c:dPt>
          <c:dPt>
            <c:idx val="7"/>
            <c:bubble3D val="0"/>
            <c:extLst>
              <c:ext xmlns:c16="http://schemas.microsoft.com/office/drawing/2014/chart" uri="{C3380CC4-5D6E-409C-BE32-E72D297353CC}">
                <c16:uniqueId val="{00000008-658F-4FDD-88D1-28D41089FA88}"/>
              </c:ext>
            </c:extLst>
          </c:dPt>
          <c:dPt>
            <c:idx val="8"/>
            <c:bubble3D val="0"/>
            <c:extLst>
              <c:ext xmlns:c16="http://schemas.microsoft.com/office/drawing/2014/chart" uri="{C3380CC4-5D6E-409C-BE32-E72D297353CC}">
                <c16:uniqueId val="{00000009-658F-4FDD-88D1-28D41089FA88}"/>
              </c:ext>
            </c:extLst>
          </c:dPt>
          <c:dPt>
            <c:idx val="9"/>
            <c:bubble3D val="0"/>
            <c:extLst>
              <c:ext xmlns:c16="http://schemas.microsoft.com/office/drawing/2014/chart" uri="{C3380CC4-5D6E-409C-BE32-E72D297353CC}">
                <c16:uniqueId val="{0000000A-658F-4FDD-88D1-28D41089FA88}"/>
              </c:ext>
            </c:extLst>
          </c:dPt>
          <c:dPt>
            <c:idx val="10"/>
            <c:bubble3D val="0"/>
            <c:extLst>
              <c:ext xmlns:c16="http://schemas.microsoft.com/office/drawing/2014/chart" uri="{C3380CC4-5D6E-409C-BE32-E72D297353CC}">
                <c16:uniqueId val="{0000000B-658F-4FDD-88D1-28D41089FA88}"/>
              </c:ext>
            </c:extLst>
          </c:dPt>
          <c:dPt>
            <c:idx val="11"/>
            <c:bubble3D val="0"/>
            <c:extLst>
              <c:ext xmlns:c16="http://schemas.microsoft.com/office/drawing/2014/chart" uri="{C3380CC4-5D6E-409C-BE32-E72D297353CC}">
                <c16:uniqueId val="{0000000C-658F-4FDD-88D1-28D41089FA88}"/>
              </c:ext>
            </c:extLst>
          </c:dPt>
          <c:dPt>
            <c:idx val="12"/>
            <c:bubble3D val="0"/>
            <c:extLst>
              <c:ext xmlns:c16="http://schemas.microsoft.com/office/drawing/2014/chart" uri="{C3380CC4-5D6E-409C-BE32-E72D297353CC}">
                <c16:uniqueId val="{0000000D-658F-4FDD-88D1-28D41089FA88}"/>
              </c:ext>
            </c:extLst>
          </c:dPt>
          <c:dPt>
            <c:idx val="13"/>
            <c:bubble3D val="0"/>
            <c:extLst>
              <c:ext xmlns:c16="http://schemas.microsoft.com/office/drawing/2014/chart" uri="{C3380CC4-5D6E-409C-BE32-E72D297353CC}">
                <c16:uniqueId val="{0000000E-658F-4FDD-88D1-28D41089FA88}"/>
              </c:ext>
            </c:extLst>
          </c:dPt>
          <c:dPt>
            <c:idx val="14"/>
            <c:bubble3D val="0"/>
            <c:extLst>
              <c:ext xmlns:c16="http://schemas.microsoft.com/office/drawing/2014/chart" uri="{C3380CC4-5D6E-409C-BE32-E72D297353CC}">
                <c16:uniqueId val="{0000000F-658F-4FDD-88D1-28D41089FA88}"/>
              </c:ext>
            </c:extLst>
          </c:dPt>
          <c:dPt>
            <c:idx val="15"/>
            <c:bubble3D val="0"/>
            <c:extLst>
              <c:ext xmlns:c16="http://schemas.microsoft.com/office/drawing/2014/chart" uri="{C3380CC4-5D6E-409C-BE32-E72D297353CC}">
                <c16:uniqueId val="{00000010-658F-4FDD-88D1-28D41089FA88}"/>
              </c:ext>
            </c:extLst>
          </c:dPt>
          <c:dPt>
            <c:idx val="16"/>
            <c:bubble3D val="0"/>
            <c:extLst>
              <c:ext xmlns:c16="http://schemas.microsoft.com/office/drawing/2014/chart" uri="{C3380CC4-5D6E-409C-BE32-E72D297353CC}">
                <c16:uniqueId val="{00000011-658F-4FDD-88D1-28D41089FA88}"/>
              </c:ext>
            </c:extLst>
          </c:dPt>
          <c:dPt>
            <c:idx val="17"/>
            <c:bubble3D val="0"/>
            <c:extLst>
              <c:ext xmlns:c16="http://schemas.microsoft.com/office/drawing/2014/chart" uri="{C3380CC4-5D6E-409C-BE32-E72D297353CC}">
                <c16:uniqueId val="{00000012-658F-4FDD-88D1-28D41089FA88}"/>
              </c:ext>
            </c:extLst>
          </c:dPt>
          <c:dPt>
            <c:idx val="18"/>
            <c:bubble3D val="0"/>
            <c:extLst>
              <c:ext xmlns:c16="http://schemas.microsoft.com/office/drawing/2014/chart" uri="{C3380CC4-5D6E-409C-BE32-E72D297353CC}">
                <c16:uniqueId val="{00000013-658F-4FDD-88D1-28D41089FA88}"/>
              </c:ext>
            </c:extLst>
          </c:dPt>
          <c:dPt>
            <c:idx val="19"/>
            <c:bubble3D val="0"/>
            <c:extLst>
              <c:ext xmlns:c16="http://schemas.microsoft.com/office/drawing/2014/chart" uri="{C3380CC4-5D6E-409C-BE32-E72D297353CC}">
                <c16:uniqueId val="{00000014-658F-4FDD-88D1-28D41089FA88}"/>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658F-4FDD-88D1-28D41089FA88}"/>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658F-4FDD-88D1-28D41089FA88}"/>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658F-4FDD-88D1-28D41089FA88}"/>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658F-4FDD-88D1-28D41089FA88}"/>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658F-4FDD-88D1-28D41089FA88}"/>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658F-4FDD-88D1-28D41089FA88}"/>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658F-4FDD-88D1-28D41089FA88}"/>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658F-4FDD-88D1-28D41089FA88}"/>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658F-4FDD-88D1-28D41089FA88}"/>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658F-4FDD-88D1-28D41089FA88}"/>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658F-4FDD-88D1-28D41089FA88}"/>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658F-4FDD-88D1-28D41089FA88}"/>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658F-4FDD-88D1-28D41089FA88}"/>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658F-4FDD-88D1-28D41089FA88}"/>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658F-4FDD-88D1-28D41089FA88}"/>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658F-4FDD-88D1-28D41089FA88}"/>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658F-4FDD-88D1-28D41089FA88}"/>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658F-4FDD-88D1-28D41089FA88}"/>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658F-4FDD-88D1-28D41089FA88}"/>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658F-4FDD-88D1-28D41089FA88}"/>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658F-4FDD-88D1-28D41089FA88}"/>
              </c:ext>
            </c:extLst>
          </c:dPt>
          <c:dPt>
            <c:idx val="2"/>
            <c:bubble3D val="0"/>
            <c:extLst>
              <c:ext xmlns:c16="http://schemas.microsoft.com/office/drawing/2014/chart" uri="{C3380CC4-5D6E-409C-BE32-E72D297353CC}">
                <c16:uniqueId val="{00000017-658F-4FDD-88D1-28D41089FA88}"/>
              </c:ext>
            </c:extLst>
          </c:dPt>
          <c:dPt>
            <c:idx val="3"/>
            <c:bubble3D val="0"/>
            <c:extLst>
              <c:ext xmlns:c16="http://schemas.microsoft.com/office/drawing/2014/chart" uri="{C3380CC4-5D6E-409C-BE32-E72D297353CC}">
                <c16:uniqueId val="{00000018-658F-4FDD-88D1-28D41089FA88}"/>
              </c:ext>
            </c:extLst>
          </c:dPt>
          <c:dPt>
            <c:idx val="4"/>
            <c:bubble3D val="0"/>
            <c:extLst>
              <c:ext xmlns:c16="http://schemas.microsoft.com/office/drawing/2014/chart" uri="{C3380CC4-5D6E-409C-BE32-E72D297353CC}">
                <c16:uniqueId val="{00000019-658F-4FDD-88D1-28D41089FA88}"/>
              </c:ext>
            </c:extLst>
          </c:dPt>
          <c:dPt>
            <c:idx val="5"/>
            <c:bubble3D val="0"/>
            <c:extLst>
              <c:ext xmlns:c16="http://schemas.microsoft.com/office/drawing/2014/chart" uri="{C3380CC4-5D6E-409C-BE32-E72D297353CC}">
                <c16:uniqueId val="{0000001A-658F-4FDD-88D1-28D41089FA88}"/>
              </c:ext>
            </c:extLst>
          </c:dPt>
          <c:dPt>
            <c:idx val="6"/>
            <c:bubble3D val="0"/>
            <c:extLst>
              <c:ext xmlns:c16="http://schemas.microsoft.com/office/drawing/2014/chart" uri="{C3380CC4-5D6E-409C-BE32-E72D297353CC}">
                <c16:uniqueId val="{0000001B-658F-4FDD-88D1-28D41089FA88}"/>
              </c:ext>
            </c:extLst>
          </c:dPt>
          <c:dPt>
            <c:idx val="7"/>
            <c:bubble3D val="0"/>
            <c:extLst>
              <c:ext xmlns:c16="http://schemas.microsoft.com/office/drawing/2014/chart" uri="{C3380CC4-5D6E-409C-BE32-E72D297353CC}">
                <c16:uniqueId val="{0000001C-658F-4FDD-88D1-28D41089FA88}"/>
              </c:ext>
            </c:extLst>
          </c:dPt>
          <c:dPt>
            <c:idx val="8"/>
            <c:bubble3D val="0"/>
            <c:extLst>
              <c:ext xmlns:c16="http://schemas.microsoft.com/office/drawing/2014/chart" uri="{C3380CC4-5D6E-409C-BE32-E72D297353CC}">
                <c16:uniqueId val="{0000001D-658F-4FDD-88D1-28D41089FA88}"/>
              </c:ext>
            </c:extLst>
          </c:dPt>
          <c:dPt>
            <c:idx val="9"/>
            <c:bubble3D val="0"/>
            <c:extLst>
              <c:ext xmlns:c16="http://schemas.microsoft.com/office/drawing/2014/chart" uri="{C3380CC4-5D6E-409C-BE32-E72D297353CC}">
                <c16:uniqueId val="{0000001E-658F-4FDD-88D1-28D41089FA88}"/>
              </c:ext>
            </c:extLst>
          </c:dPt>
          <c:dPt>
            <c:idx val="10"/>
            <c:bubble3D val="0"/>
            <c:extLst>
              <c:ext xmlns:c16="http://schemas.microsoft.com/office/drawing/2014/chart" uri="{C3380CC4-5D6E-409C-BE32-E72D297353CC}">
                <c16:uniqueId val="{0000001F-658F-4FDD-88D1-28D41089FA88}"/>
              </c:ext>
            </c:extLst>
          </c:dPt>
          <c:dPt>
            <c:idx val="11"/>
            <c:bubble3D val="0"/>
            <c:extLst>
              <c:ext xmlns:c16="http://schemas.microsoft.com/office/drawing/2014/chart" uri="{C3380CC4-5D6E-409C-BE32-E72D297353CC}">
                <c16:uniqueId val="{00000020-658F-4FDD-88D1-28D41089FA88}"/>
              </c:ext>
            </c:extLst>
          </c:dPt>
          <c:dPt>
            <c:idx val="12"/>
            <c:bubble3D val="0"/>
            <c:extLst>
              <c:ext xmlns:c16="http://schemas.microsoft.com/office/drawing/2014/chart" uri="{C3380CC4-5D6E-409C-BE32-E72D297353CC}">
                <c16:uniqueId val="{00000021-658F-4FDD-88D1-28D41089FA88}"/>
              </c:ext>
            </c:extLst>
          </c:dPt>
          <c:dPt>
            <c:idx val="13"/>
            <c:bubble3D val="0"/>
            <c:extLst>
              <c:ext xmlns:c16="http://schemas.microsoft.com/office/drawing/2014/chart" uri="{C3380CC4-5D6E-409C-BE32-E72D297353CC}">
                <c16:uniqueId val="{00000022-658F-4FDD-88D1-28D41089FA88}"/>
              </c:ext>
            </c:extLst>
          </c:dPt>
          <c:dPt>
            <c:idx val="14"/>
            <c:bubble3D val="0"/>
            <c:extLst>
              <c:ext xmlns:c16="http://schemas.microsoft.com/office/drawing/2014/chart" uri="{C3380CC4-5D6E-409C-BE32-E72D297353CC}">
                <c16:uniqueId val="{00000023-658F-4FDD-88D1-28D41089FA88}"/>
              </c:ext>
            </c:extLst>
          </c:dPt>
          <c:dPt>
            <c:idx val="15"/>
            <c:bubble3D val="0"/>
            <c:extLst>
              <c:ext xmlns:c16="http://schemas.microsoft.com/office/drawing/2014/chart" uri="{C3380CC4-5D6E-409C-BE32-E72D297353CC}">
                <c16:uniqueId val="{00000024-658F-4FDD-88D1-28D41089FA88}"/>
              </c:ext>
            </c:extLst>
          </c:dPt>
          <c:dPt>
            <c:idx val="16"/>
            <c:bubble3D val="0"/>
            <c:extLst>
              <c:ext xmlns:c16="http://schemas.microsoft.com/office/drawing/2014/chart" uri="{C3380CC4-5D6E-409C-BE32-E72D297353CC}">
                <c16:uniqueId val="{00000025-658F-4FDD-88D1-28D41089FA88}"/>
              </c:ext>
            </c:extLst>
          </c:dPt>
          <c:dPt>
            <c:idx val="17"/>
            <c:bubble3D val="0"/>
            <c:extLst>
              <c:ext xmlns:c16="http://schemas.microsoft.com/office/drawing/2014/chart" uri="{C3380CC4-5D6E-409C-BE32-E72D297353CC}">
                <c16:uniqueId val="{00000026-658F-4FDD-88D1-28D41089FA88}"/>
              </c:ext>
            </c:extLst>
          </c:dPt>
          <c:dPt>
            <c:idx val="18"/>
            <c:bubble3D val="0"/>
            <c:extLst>
              <c:ext xmlns:c16="http://schemas.microsoft.com/office/drawing/2014/chart" uri="{C3380CC4-5D6E-409C-BE32-E72D297353CC}">
                <c16:uniqueId val="{00000027-658F-4FDD-88D1-28D41089FA88}"/>
              </c:ext>
            </c:extLst>
          </c:dPt>
          <c:dPt>
            <c:idx val="19"/>
            <c:bubble3D val="0"/>
            <c:extLst>
              <c:ext xmlns:c16="http://schemas.microsoft.com/office/drawing/2014/chart" uri="{C3380CC4-5D6E-409C-BE32-E72D297353CC}">
                <c16:uniqueId val="{00000028-658F-4FDD-88D1-28D41089FA88}"/>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658F-4FDD-88D1-28D41089FA88}"/>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658F-4FDD-88D1-28D41089FA88}"/>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658F-4FDD-88D1-28D41089FA88}"/>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658F-4FDD-88D1-28D41089FA88}"/>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658F-4FDD-88D1-28D41089FA88}"/>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658F-4FDD-88D1-28D41089FA88}"/>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658F-4FDD-88D1-28D41089FA88}"/>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658F-4FDD-88D1-28D41089FA88}"/>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658F-4FDD-88D1-28D41089FA88}"/>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658F-4FDD-88D1-28D41089FA88}"/>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658F-4FDD-88D1-28D41089FA88}"/>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658F-4FDD-88D1-28D41089FA88}"/>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658F-4FDD-88D1-28D41089FA88}"/>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658F-4FDD-88D1-28D41089FA88}"/>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658F-4FDD-88D1-28D41089FA88}"/>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658F-4FDD-88D1-28D41089FA88}"/>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658F-4FDD-88D1-28D41089FA88}"/>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658F-4FDD-88D1-28D41089FA88}"/>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658F-4FDD-88D1-28D41089FA88}"/>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658F-4FDD-88D1-28D41089FA88}"/>
            </c:ext>
          </c:extLst>
        </c:ser>
        <c:dLbls>
          <c:showLegendKey val="0"/>
          <c:showVal val="0"/>
          <c:showCatName val="0"/>
          <c:showSerName val="0"/>
          <c:showPercent val="0"/>
          <c:showBubbleSize val="0"/>
        </c:dLbls>
        <c:hiLowLines>
          <c:spPr>
            <a:ln w="0">
              <a:noFill/>
            </a:ln>
          </c:spPr>
        </c:hiLowLines>
        <c:smooth val="0"/>
        <c:axId val="2437813"/>
        <c:axId val="92201500"/>
      </c:lineChart>
      <c:catAx>
        <c:axId val="2437813"/>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92201500"/>
        <c:crosses val="autoZero"/>
        <c:auto val="1"/>
        <c:lblAlgn val="ctr"/>
        <c:lblOffset val="100"/>
        <c:noMultiLvlLbl val="0"/>
      </c:catAx>
      <c:valAx>
        <c:axId val="92201500"/>
        <c:scaling>
          <c:orientation val="minMax"/>
        </c:scaling>
        <c:delete val="1"/>
        <c:axPos val="l"/>
        <c:numFmt formatCode="0.0" sourceLinked="1"/>
        <c:majorTickMark val="out"/>
        <c:minorTickMark val="none"/>
        <c:tickLblPos val="nextTo"/>
        <c:crossAx val="2437813"/>
        <c:crosses val="autoZero"/>
        <c:crossBetween val="between"/>
      </c:valAx>
      <c:spPr>
        <a:noFill/>
        <a:ln w="25560">
          <a:noFill/>
        </a:ln>
      </c:spPr>
    </c:plotArea>
    <c:plotVisOnly val="1"/>
    <c:dispBlanksAs val="gap"/>
    <c:showDLblsOverMax val="1"/>
  </c:chart>
  <c:spPr>
    <a:solidFill>
      <a:srgbClr val="FFFFFF"/>
    </a:solidFill>
    <a:ln w="9360">
      <a:noFill/>
    </a:ln>
  </c:sp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ELU-ATO - isolado</a:t>
            </a:r>
          </a:p>
        </c:rich>
      </c:tx>
      <c:overlay val="0"/>
      <c:spPr>
        <a:noFill/>
        <a:ln w="0">
          <a:noFill/>
        </a:ln>
      </c:spPr>
    </c:title>
    <c:autoTitleDeleted val="0"/>
    <c:plotArea>
      <c:layout>
        <c:manualLayout>
          <c:layoutTarget val="inner"/>
          <c:xMode val="edge"/>
          <c:yMode val="edge"/>
          <c:x val="1.80729391454467E-3"/>
          <c:y val="6.6771211620997001E-2"/>
          <c:w val="0.99066681053085903"/>
          <c:h val="0.87561901617695603"/>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cabos'!$U$124:$U$144</c:f>
              <c:numCache>
                <c:formatCode>0.0</c:formatCode>
                <c:ptCount val="21"/>
                <c:pt idx="0">
                  <c:v>0</c:v>
                </c:pt>
                <c:pt idx="1">
                  <c:v>-4.1297555030934259</c:v>
                </c:pt>
                <c:pt idx="2">
                  <c:v>-8.7183418438252716</c:v>
                </c:pt>
                <c:pt idx="3">
                  <c:v>-13.306928184557119</c:v>
                </c:pt>
                <c:pt idx="4">
                  <c:v>-13.546977227117871</c:v>
                </c:pt>
                <c:pt idx="5">
                  <c:v>-15.687731076426157</c:v>
                </c:pt>
                <c:pt idx="6">
                  <c:v>-18.075932653910744</c:v>
                </c:pt>
                <c:pt idx="7">
                  <c:v>-20.512432214304638</c:v>
                </c:pt>
                <c:pt idx="8">
                  <c:v>-20.491043155466983</c:v>
                </c:pt>
                <c:pt idx="9">
                  <c:v>-20.41859618110302</c:v>
                </c:pt>
                <c:pt idx="10">
                  <c:v>-20.394447189648368</c:v>
                </c:pt>
                <c:pt idx="11">
                  <c:v>-20.41859618110302</c:v>
                </c:pt>
                <c:pt idx="12">
                  <c:v>-20.491043155466983</c:v>
                </c:pt>
                <c:pt idx="13">
                  <c:v>-20.512432214304635</c:v>
                </c:pt>
                <c:pt idx="14">
                  <c:v>-18.075932653910744</c:v>
                </c:pt>
                <c:pt idx="15">
                  <c:v>-15.687731076426154</c:v>
                </c:pt>
                <c:pt idx="16">
                  <c:v>-13.546977227117871</c:v>
                </c:pt>
                <c:pt idx="17">
                  <c:v>-13.306928184557119</c:v>
                </c:pt>
                <c:pt idx="18">
                  <c:v>-8.7183418438252716</c:v>
                </c:pt>
                <c:pt idx="19">
                  <c:v>-4.1297555030934259</c:v>
                </c:pt>
                <c:pt idx="20">
                  <c:v>0</c:v>
                </c:pt>
              </c:numCache>
            </c:numRef>
          </c:val>
          <c:smooth val="1"/>
          <c:extLst>
            <c:ext xmlns:c16="http://schemas.microsoft.com/office/drawing/2014/chart" uri="{C3380CC4-5D6E-409C-BE32-E72D297353CC}">
              <c16:uniqueId val="{00000000-B2CF-4052-8BB4-CCBBB3CEFD77}"/>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cabos'!$U$101:$U$121</c:f>
              <c:numCache>
                <c:formatCode>0.0</c:formatCode>
                <c:ptCount val="21"/>
                <c:pt idx="0">
                  <c:v>0</c:v>
                </c:pt>
                <c:pt idx="1">
                  <c:v>1.2934069791014329</c:v>
                </c:pt>
                <c:pt idx="2">
                  <c:v>2.9194131279902216</c:v>
                </c:pt>
                <c:pt idx="3">
                  <c:v>4.4553991459120459</c:v>
                </c:pt>
                <c:pt idx="4">
                  <c:v>4.2278312928996451</c:v>
                </c:pt>
                <c:pt idx="5">
                  <c:v>4.1007757667693037</c:v>
                </c:pt>
                <c:pt idx="6">
                  <c:v>4.0141515254638431</c:v>
                </c:pt>
                <c:pt idx="7">
                  <c:v>3.9625377230833685</c:v>
                </c:pt>
                <c:pt idx="8">
                  <c:v>3.8777160882543673</c:v>
                </c:pt>
                <c:pt idx="9">
                  <c:v>3.8252004298668898</c:v>
                </c:pt>
                <c:pt idx="10">
                  <c:v>3.8076952104043977</c:v>
                </c:pt>
                <c:pt idx="11">
                  <c:v>3.8252004298668898</c:v>
                </c:pt>
                <c:pt idx="12">
                  <c:v>3.8777160882543673</c:v>
                </c:pt>
                <c:pt idx="13">
                  <c:v>3.9625377230833676</c:v>
                </c:pt>
                <c:pt idx="14">
                  <c:v>4.014151525463844</c:v>
                </c:pt>
                <c:pt idx="15">
                  <c:v>4.1007757667693019</c:v>
                </c:pt>
                <c:pt idx="16">
                  <c:v>4.2278312928996451</c:v>
                </c:pt>
                <c:pt idx="17">
                  <c:v>4.4553991459120459</c:v>
                </c:pt>
                <c:pt idx="18">
                  <c:v>2.9194131279902216</c:v>
                </c:pt>
                <c:pt idx="19">
                  <c:v>1.2934069791014329</c:v>
                </c:pt>
                <c:pt idx="20">
                  <c:v>0</c:v>
                </c:pt>
              </c:numCache>
            </c:numRef>
          </c:val>
          <c:smooth val="1"/>
          <c:extLst>
            <c:ext xmlns:c16="http://schemas.microsoft.com/office/drawing/2014/chart" uri="{C3380CC4-5D6E-409C-BE32-E72D297353CC}">
              <c16:uniqueId val="{00000001-B2CF-4052-8BB4-CCBBB3CEFD77}"/>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B2CF-4052-8BB4-CCBBB3CEFD77}"/>
              </c:ext>
            </c:extLst>
          </c:dPt>
          <c:dPt>
            <c:idx val="2"/>
            <c:bubble3D val="0"/>
            <c:extLst>
              <c:ext xmlns:c16="http://schemas.microsoft.com/office/drawing/2014/chart" uri="{C3380CC4-5D6E-409C-BE32-E72D297353CC}">
                <c16:uniqueId val="{00000003-B2CF-4052-8BB4-CCBBB3CEFD77}"/>
              </c:ext>
            </c:extLst>
          </c:dPt>
          <c:dPt>
            <c:idx val="3"/>
            <c:bubble3D val="0"/>
            <c:extLst>
              <c:ext xmlns:c16="http://schemas.microsoft.com/office/drawing/2014/chart" uri="{C3380CC4-5D6E-409C-BE32-E72D297353CC}">
                <c16:uniqueId val="{00000004-B2CF-4052-8BB4-CCBBB3CEFD77}"/>
              </c:ext>
            </c:extLst>
          </c:dPt>
          <c:dPt>
            <c:idx val="4"/>
            <c:bubble3D val="0"/>
            <c:extLst>
              <c:ext xmlns:c16="http://schemas.microsoft.com/office/drawing/2014/chart" uri="{C3380CC4-5D6E-409C-BE32-E72D297353CC}">
                <c16:uniqueId val="{00000005-B2CF-4052-8BB4-CCBBB3CEFD77}"/>
              </c:ext>
            </c:extLst>
          </c:dPt>
          <c:dPt>
            <c:idx val="5"/>
            <c:bubble3D val="0"/>
            <c:extLst>
              <c:ext xmlns:c16="http://schemas.microsoft.com/office/drawing/2014/chart" uri="{C3380CC4-5D6E-409C-BE32-E72D297353CC}">
                <c16:uniqueId val="{00000006-B2CF-4052-8BB4-CCBBB3CEFD77}"/>
              </c:ext>
            </c:extLst>
          </c:dPt>
          <c:dPt>
            <c:idx val="6"/>
            <c:bubble3D val="0"/>
            <c:extLst>
              <c:ext xmlns:c16="http://schemas.microsoft.com/office/drawing/2014/chart" uri="{C3380CC4-5D6E-409C-BE32-E72D297353CC}">
                <c16:uniqueId val="{00000007-B2CF-4052-8BB4-CCBBB3CEFD77}"/>
              </c:ext>
            </c:extLst>
          </c:dPt>
          <c:dPt>
            <c:idx val="7"/>
            <c:bubble3D val="0"/>
            <c:extLst>
              <c:ext xmlns:c16="http://schemas.microsoft.com/office/drawing/2014/chart" uri="{C3380CC4-5D6E-409C-BE32-E72D297353CC}">
                <c16:uniqueId val="{00000008-B2CF-4052-8BB4-CCBBB3CEFD77}"/>
              </c:ext>
            </c:extLst>
          </c:dPt>
          <c:dPt>
            <c:idx val="8"/>
            <c:bubble3D val="0"/>
            <c:extLst>
              <c:ext xmlns:c16="http://schemas.microsoft.com/office/drawing/2014/chart" uri="{C3380CC4-5D6E-409C-BE32-E72D297353CC}">
                <c16:uniqueId val="{00000009-B2CF-4052-8BB4-CCBBB3CEFD77}"/>
              </c:ext>
            </c:extLst>
          </c:dPt>
          <c:dPt>
            <c:idx val="9"/>
            <c:bubble3D val="0"/>
            <c:extLst>
              <c:ext xmlns:c16="http://schemas.microsoft.com/office/drawing/2014/chart" uri="{C3380CC4-5D6E-409C-BE32-E72D297353CC}">
                <c16:uniqueId val="{0000000A-B2CF-4052-8BB4-CCBBB3CEFD77}"/>
              </c:ext>
            </c:extLst>
          </c:dPt>
          <c:dPt>
            <c:idx val="10"/>
            <c:bubble3D val="0"/>
            <c:extLst>
              <c:ext xmlns:c16="http://schemas.microsoft.com/office/drawing/2014/chart" uri="{C3380CC4-5D6E-409C-BE32-E72D297353CC}">
                <c16:uniqueId val="{0000000B-B2CF-4052-8BB4-CCBBB3CEFD77}"/>
              </c:ext>
            </c:extLst>
          </c:dPt>
          <c:dPt>
            <c:idx val="11"/>
            <c:bubble3D val="0"/>
            <c:extLst>
              <c:ext xmlns:c16="http://schemas.microsoft.com/office/drawing/2014/chart" uri="{C3380CC4-5D6E-409C-BE32-E72D297353CC}">
                <c16:uniqueId val="{0000000C-B2CF-4052-8BB4-CCBBB3CEFD77}"/>
              </c:ext>
            </c:extLst>
          </c:dPt>
          <c:dPt>
            <c:idx val="12"/>
            <c:bubble3D val="0"/>
            <c:extLst>
              <c:ext xmlns:c16="http://schemas.microsoft.com/office/drawing/2014/chart" uri="{C3380CC4-5D6E-409C-BE32-E72D297353CC}">
                <c16:uniqueId val="{0000000D-B2CF-4052-8BB4-CCBBB3CEFD77}"/>
              </c:ext>
            </c:extLst>
          </c:dPt>
          <c:dPt>
            <c:idx val="13"/>
            <c:bubble3D val="0"/>
            <c:extLst>
              <c:ext xmlns:c16="http://schemas.microsoft.com/office/drawing/2014/chart" uri="{C3380CC4-5D6E-409C-BE32-E72D297353CC}">
                <c16:uniqueId val="{0000000E-B2CF-4052-8BB4-CCBBB3CEFD77}"/>
              </c:ext>
            </c:extLst>
          </c:dPt>
          <c:dPt>
            <c:idx val="14"/>
            <c:bubble3D val="0"/>
            <c:extLst>
              <c:ext xmlns:c16="http://schemas.microsoft.com/office/drawing/2014/chart" uri="{C3380CC4-5D6E-409C-BE32-E72D297353CC}">
                <c16:uniqueId val="{0000000F-B2CF-4052-8BB4-CCBBB3CEFD77}"/>
              </c:ext>
            </c:extLst>
          </c:dPt>
          <c:dPt>
            <c:idx val="15"/>
            <c:bubble3D val="0"/>
            <c:extLst>
              <c:ext xmlns:c16="http://schemas.microsoft.com/office/drawing/2014/chart" uri="{C3380CC4-5D6E-409C-BE32-E72D297353CC}">
                <c16:uniqueId val="{00000010-B2CF-4052-8BB4-CCBBB3CEFD77}"/>
              </c:ext>
            </c:extLst>
          </c:dPt>
          <c:dPt>
            <c:idx val="16"/>
            <c:bubble3D val="0"/>
            <c:extLst>
              <c:ext xmlns:c16="http://schemas.microsoft.com/office/drawing/2014/chart" uri="{C3380CC4-5D6E-409C-BE32-E72D297353CC}">
                <c16:uniqueId val="{00000011-B2CF-4052-8BB4-CCBBB3CEFD77}"/>
              </c:ext>
            </c:extLst>
          </c:dPt>
          <c:dPt>
            <c:idx val="17"/>
            <c:bubble3D val="0"/>
            <c:extLst>
              <c:ext xmlns:c16="http://schemas.microsoft.com/office/drawing/2014/chart" uri="{C3380CC4-5D6E-409C-BE32-E72D297353CC}">
                <c16:uniqueId val="{00000012-B2CF-4052-8BB4-CCBBB3CEFD77}"/>
              </c:ext>
            </c:extLst>
          </c:dPt>
          <c:dPt>
            <c:idx val="18"/>
            <c:bubble3D val="0"/>
            <c:extLst>
              <c:ext xmlns:c16="http://schemas.microsoft.com/office/drawing/2014/chart" uri="{C3380CC4-5D6E-409C-BE32-E72D297353CC}">
                <c16:uniqueId val="{00000013-B2CF-4052-8BB4-CCBBB3CEFD77}"/>
              </c:ext>
            </c:extLst>
          </c:dPt>
          <c:dPt>
            <c:idx val="19"/>
            <c:bubble3D val="0"/>
            <c:extLst>
              <c:ext xmlns:c16="http://schemas.microsoft.com/office/drawing/2014/chart" uri="{C3380CC4-5D6E-409C-BE32-E72D297353CC}">
                <c16:uniqueId val="{00000014-B2CF-4052-8BB4-CCBBB3CEFD77}"/>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B2CF-4052-8BB4-CCBBB3CEFD77}"/>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B2CF-4052-8BB4-CCBBB3CEFD77}"/>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B2CF-4052-8BB4-CCBBB3CEFD77}"/>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B2CF-4052-8BB4-CCBBB3CEFD77}"/>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B2CF-4052-8BB4-CCBBB3CEFD77}"/>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B2CF-4052-8BB4-CCBBB3CEFD77}"/>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B2CF-4052-8BB4-CCBBB3CEFD77}"/>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B2CF-4052-8BB4-CCBBB3CEFD77}"/>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B2CF-4052-8BB4-CCBBB3CEFD77}"/>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B2CF-4052-8BB4-CCBBB3CEFD77}"/>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B2CF-4052-8BB4-CCBBB3CEFD77}"/>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B2CF-4052-8BB4-CCBBB3CEFD77}"/>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B2CF-4052-8BB4-CCBBB3CEFD77}"/>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B2CF-4052-8BB4-CCBBB3CEFD77}"/>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B2CF-4052-8BB4-CCBBB3CEFD77}"/>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B2CF-4052-8BB4-CCBBB3CEFD77}"/>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B2CF-4052-8BB4-CCBBB3CEFD77}"/>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B2CF-4052-8BB4-CCBBB3CEFD77}"/>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B2CF-4052-8BB4-CCBBB3CEFD77}"/>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B2CF-4052-8BB4-CCBBB3CEFD77}"/>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B2CF-4052-8BB4-CCBBB3CEFD77}"/>
              </c:ext>
            </c:extLst>
          </c:dPt>
          <c:dPt>
            <c:idx val="2"/>
            <c:bubble3D val="0"/>
            <c:extLst>
              <c:ext xmlns:c16="http://schemas.microsoft.com/office/drawing/2014/chart" uri="{C3380CC4-5D6E-409C-BE32-E72D297353CC}">
                <c16:uniqueId val="{00000017-B2CF-4052-8BB4-CCBBB3CEFD77}"/>
              </c:ext>
            </c:extLst>
          </c:dPt>
          <c:dPt>
            <c:idx val="3"/>
            <c:bubble3D val="0"/>
            <c:extLst>
              <c:ext xmlns:c16="http://schemas.microsoft.com/office/drawing/2014/chart" uri="{C3380CC4-5D6E-409C-BE32-E72D297353CC}">
                <c16:uniqueId val="{00000018-B2CF-4052-8BB4-CCBBB3CEFD77}"/>
              </c:ext>
            </c:extLst>
          </c:dPt>
          <c:dPt>
            <c:idx val="4"/>
            <c:bubble3D val="0"/>
            <c:extLst>
              <c:ext xmlns:c16="http://schemas.microsoft.com/office/drawing/2014/chart" uri="{C3380CC4-5D6E-409C-BE32-E72D297353CC}">
                <c16:uniqueId val="{00000019-B2CF-4052-8BB4-CCBBB3CEFD77}"/>
              </c:ext>
            </c:extLst>
          </c:dPt>
          <c:dPt>
            <c:idx val="5"/>
            <c:bubble3D val="0"/>
            <c:extLst>
              <c:ext xmlns:c16="http://schemas.microsoft.com/office/drawing/2014/chart" uri="{C3380CC4-5D6E-409C-BE32-E72D297353CC}">
                <c16:uniqueId val="{0000001A-B2CF-4052-8BB4-CCBBB3CEFD77}"/>
              </c:ext>
            </c:extLst>
          </c:dPt>
          <c:dPt>
            <c:idx val="6"/>
            <c:bubble3D val="0"/>
            <c:extLst>
              <c:ext xmlns:c16="http://schemas.microsoft.com/office/drawing/2014/chart" uri="{C3380CC4-5D6E-409C-BE32-E72D297353CC}">
                <c16:uniqueId val="{0000001B-B2CF-4052-8BB4-CCBBB3CEFD77}"/>
              </c:ext>
            </c:extLst>
          </c:dPt>
          <c:dPt>
            <c:idx val="7"/>
            <c:bubble3D val="0"/>
            <c:extLst>
              <c:ext xmlns:c16="http://schemas.microsoft.com/office/drawing/2014/chart" uri="{C3380CC4-5D6E-409C-BE32-E72D297353CC}">
                <c16:uniqueId val="{0000001C-B2CF-4052-8BB4-CCBBB3CEFD77}"/>
              </c:ext>
            </c:extLst>
          </c:dPt>
          <c:dPt>
            <c:idx val="8"/>
            <c:bubble3D val="0"/>
            <c:extLst>
              <c:ext xmlns:c16="http://schemas.microsoft.com/office/drawing/2014/chart" uri="{C3380CC4-5D6E-409C-BE32-E72D297353CC}">
                <c16:uniqueId val="{0000001D-B2CF-4052-8BB4-CCBBB3CEFD77}"/>
              </c:ext>
            </c:extLst>
          </c:dPt>
          <c:dPt>
            <c:idx val="9"/>
            <c:bubble3D val="0"/>
            <c:extLst>
              <c:ext xmlns:c16="http://schemas.microsoft.com/office/drawing/2014/chart" uri="{C3380CC4-5D6E-409C-BE32-E72D297353CC}">
                <c16:uniqueId val="{0000001E-B2CF-4052-8BB4-CCBBB3CEFD77}"/>
              </c:ext>
            </c:extLst>
          </c:dPt>
          <c:dPt>
            <c:idx val="10"/>
            <c:bubble3D val="0"/>
            <c:extLst>
              <c:ext xmlns:c16="http://schemas.microsoft.com/office/drawing/2014/chart" uri="{C3380CC4-5D6E-409C-BE32-E72D297353CC}">
                <c16:uniqueId val="{0000001F-B2CF-4052-8BB4-CCBBB3CEFD77}"/>
              </c:ext>
            </c:extLst>
          </c:dPt>
          <c:dPt>
            <c:idx val="11"/>
            <c:bubble3D val="0"/>
            <c:extLst>
              <c:ext xmlns:c16="http://schemas.microsoft.com/office/drawing/2014/chart" uri="{C3380CC4-5D6E-409C-BE32-E72D297353CC}">
                <c16:uniqueId val="{00000020-B2CF-4052-8BB4-CCBBB3CEFD77}"/>
              </c:ext>
            </c:extLst>
          </c:dPt>
          <c:dPt>
            <c:idx val="12"/>
            <c:bubble3D val="0"/>
            <c:extLst>
              <c:ext xmlns:c16="http://schemas.microsoft.com/office/drawing/2014/chart" uri="{C3380CC4-5D6E-409C-BE32-E72D297353CC}">
                <c16:uniqueId val="{00000021-B2CF-4052-8BB4-CCBBB3CEFD77}"/>
              </c:ext>
            </c:extLst>
          </c:dPt>
          <c:dPt>
            <c:idx val="13"/>
            <c:bubble3D val="0"/>
            <c:extLst>
              <c:ext xmlns:c16="http://schemas.microsoft.com/office/drawing/2014/chart" uri="{C3380CC4-5D6E-409C-BE32-E72D297353CC}">
                <c16:uniqueId val="{00000022-B2CF-4052-8BB4-CCBBB3CEFD77}"/>
              </c:ext>
            </c:extLst>
          </c:dPt>
          <c:dPt>
            <c:idx val="14"/>
            <c:bubble3D val="0"/>
            <c:extLst>
              <c:ext xmlns:c16="http://schemas.microsoft.com/office/drawing/2014/chart" uri="{C3380CC4-5D6E-409C-BE32-E72D297353CC}">
                <c16:uniqueId val="{00000023-B2CF-4052-8BB4-CCBBB3CEFD77}"/>
              </c:ext>
            </c:extLst>
          </c:dPt>
          <c:dPt>
            <c:idx val="15"/>
            <c:bubble3D val="0"/>
            <c:extLst>
              <c:ext xmlns:c16="http://schemas.microsoft.com/office/drawing/2014/chart" uri="{C3380CC4-5D6E-409C-BE32-E72D297353CC}">
                <c16:uniqueId val="{00000024-B2CF-4052-8BB4-CCBBB3CEFD77}"/>
              </c:ext>
            </c:extLst>
          </c:dPt>
          <c:dPt>
            <c:idx val="16"/>
            <c:bubble3D val="0"/>
            <c:extLst>
              <c:ext xmlns:c16="http://schemas.microsoft.com/office/drawing/2014/chart" uri="{C3380CC4-5D6E-409C-BE32-E72D297353CC}">
                <c16:uniqueId val="{00000025-B2CF-4052-8BB4-CCBBB3CEFD77}"/>
              </c:ext>
            </c:extLst>
          </c:dPt>
          <c:dPt>
            <c:idx val="17"/>
            <c:bubble3D val="0"/>
            <c:extLst>
              <c:ext xmlns:c16="http://schemas.microsoft.com/office/drawing/2014/chart" uri="{C3380CC4-5D6E-409C-BE32-E72D297353CC}">
                <c16:uniqueId val="{00000026-B2CF-4052-8BB4-CCBBB3CEFD77}"/>
              </c:ext>
            </c:extLst>
          </c:dPt>
          <c:dPt>
            <c:idx val="18"/>
            <c:bubble3D val="0"/>
            <c:extLst>
              <c:ext xmlns:c16="http://schemas.microsoft.com/office/drawing/2014/chart" uri="{C3380CC4-5D6E-409C-BE32-E72D297353CC}">
                <c16:uniqueId val="{00000027-B2CF-4052-8BB4-CCBBB3CEFD77}"/>
              </c:ext>
            </c:extLst>
          </c:dPt>
          <c:dPt>
            <c:idx val="19"/>
            <c:bubble3D val="0"/>
            <c:extLst>
              <c:ext xmlns:c16="http://schemas.microsoft.com/office/drawing/2014/chart" uri="{C3380CC4-5D6E-409C-BE32-E72D297353CC}">
                <c16:uniqueId val="{00000028-B2CF-4052-8BB4-CCBBB3CEFD77}"/>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B2CF-4052-8BB4-CCBBB3CEFD77}"/>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B2CF-4052-8BB4-CCBBB3CEFD77}"/>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B2CF-4052-8BB4-CCBBB3CEFD77}"/>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B2CF-4052-8BB4-CCBBB3CEFD77}"/>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B2CF-4052-8BB4-CCBBB3CEFD77}"/>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B2CF-4052-8BB4-CCBBB3CEFD77}"/>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B2CF-4052-8BB4-CCBBB3CEFD77}"/>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B2CF-4052-8BB4-CCBBB3CEFD77}"/>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B2CF-4052-8BB4-CCBBB3CEFD77}"/>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B2CF-4052-8BB4-CCBBB3CEFD77}"/>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B2CF-4052-8BB4-CCBBB3CEFD77}"/>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B2CF-4052-8BB4-CCBBB3CEFD77}"/>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B2CF-4052-8BB4-CCBBB3CEFD77}"/>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B2CF-4052-8BB4-CCBBB3CEFD77}"/>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B2CF-4052-8BB4-CCBBB3CEFD77}"/>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B2CF-4052-8BB4-CCBBB3CEFD77}"/>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B2CF-4052-8BB4-CCBBB3CEFD77}"/>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B2CF-4052-8BB4-CCBBB3CEFD77}"/>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B2CF-4052-8BB4-CCBBB3CEFD77}"/>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B2CF-4052-8BB4-CCBBB3CEFD77}"/>
            </c:ext>
          </c:extLst>
        </c:ser>
        <c:dLbls>
          <c:showLegendKey val="0"/>
          <c:showVal val="0"/>
          <c:showCatName val="0"/>
          <c:showSerName val="0"/>
          <c:showPercent val="0"/>
          <c:showBubbleSize val="0"/>
        </c:dLbls>
        <c:hiLowLines>
          <c:spPr>
            <a:ln w="0">
              <a:noFill/>
            </a:ln>
          </c:spPr>
        </c:hiLowLines>
        <c:smooth val="0"/>
        <c:axId val="78593958"/>
        <c:axId val="14207451"/>
      </c:lineChart>
      <c:catAx>
        <c:axId val="78593958"/>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14207451"/>
        <c:crosses val="autoZero"/>
        <c:auto val="1"/>
        <c:lblAlgn val="ctr"/>
        <c:lblOffset val="100"/>
        <c:noMultiLvlLbl val="0"/>
      </c:catAx>
      <c:valAx>
        <c:axId val="14207451"/>
        <c:scaling>
          <c:orientation val="minMax"/>
        </c:scaling>
        <c:delete val="1"/>
        <c:axPos val="l"/>
        <c:numFmt formatCode="0.0" sourceLinked="1"/>
        <c:majorTickMark val="out"/>
        <c:minorTickMark val="none"/>
        <c:tickLblPos val="nextTo"/>
        <c:crossAx val="78593958"/>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ELS-F Momento máximo isolado</a:t>
            </a:r>
          </a:p>
        </c:rich>
      </c:tx>
      <c:overlay val="0"/>
      <c:spPr>
        <a:noFill/>
        <a:ln w="0">
          <a:noFill/>
        </a:ln>
      </c:spPr>
    </c:title>
    <c:autoTitleDeleted val="0"/>
    <c:plotArea>
      <c:layout>
        <c:manualLayout>
          <c:layoutTarget val="inner"/>
          <c:xMode val="edge"/>
          <c:yMode val="edge"/>
          <c:x val="2.2230406987451001E-2"/>
          <c:y val="0.216032608695652"/>
          <c:w val="0.963431638209992"/>
          <c:h val="0.71978900255754497"/>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cabos'!$AR$124:$AR$144</c:f>
              <c:numCache>
                <c:formatCode>0.0</c:formatCode>
                <c:ptCount val="21"/>
                <c:pt idx="0">
                  <c:v>0</c:v>
                </c:pt>
                <c:pt idx="1">
                  <c:v>1.4971030713843581</c:v>
                </c:pt>
                <c:pt idx="2">
                  <c:v>2.4287734709768367</c:v>
                </c:pt>
                <c:pt idx="3">
                  <c:v>2.7950111987774373</c:v>
                </c:pt>
                <c:pt idx="4">
                  <c:v>5.5874972424761555</c:v>
                </c:pt>
                <c:pt idx="5">
                  <c:v>6.5914208813257149</c:v>
                </c:pt>
                <c:pt idx="6">
                  <c:v>6.8556258299553292</c:v>
                </c:pt>
                <c:pt idx="7">
                  <c:v>6.5543981067930615</c:v>
                </c:pt>
                <c:pt idx="8">
                  <c:v>7.8810284124586953</c:v>
                </c:pt>
                <c:pt idx="9">
                  <c:v>8.7291774201465167</c:v>
                </c:pt>
                <c:pt idx="10">
                  <c:v>9.0118937560424577</c:v>
                </c:pt>
                <c:pt idx="11">
                  <c:v>8.7291774201465184</c:v>
                </c:pt>
                <c:pt idx="12">
                  <c:v>7.8810284124587024</c:v>
                </c:pt>
                <c:pt idx="13">
                  <c:v>6.554398106793073</c:v>
                </c:pt>
                <c:pt idx="14">
                  <c:v>6.8556258299553381</c:v>
                </c:pt>
                <c:pt idx="15">
                  <c:v>6.5914208813257273</c:v>
                </c:pt>
                <c:pt idx="16">
                  <c:v>5.5874972424761697</c:v>
                </c:pt>
                <c:pt idx="17">
                  <c:v>2.7950111987774533</c:v>
                </c:pt>
                <c:pt idx="18">
                  <c:v>2.4287734709768545</c:v>
                </c:pt>
                <c:pt idx="19">
                  <c:v>1.4971030713843774</c:v>
                </c:pt>
                <c:pt idx="20">
                  <c:v>0</c:v>
                </c:pt>
              </c:numCache>
            </c:numRef>
          </c:val>
          <c:smooth val="1"/>
          <c:extLst>
            <c:ext xmlns:c16="http://schemas.microsoft.com/office/drawing/2014/chart" uri="{C3380CC4-5D6E-409C-BE32-E72D297353CC}">
              <c16:uniqueId val="{00000000-362C-479B-8BB8-7A158FE7B822}"/>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cabos'!$AR$101:$AR$121</c:f>
              <c:numCache>
                <c:formatCode>0.0</c:formatCode>
                <c:ptCount val="21"/>
                <c:pt idx="0">
                  <c:v>0</c:v>
                </c:pt>
                <c:pt idx="1">
                  <c:v>-0.57371836403524568</c:v>
                </c:pt>
                <c:pt idx="2">
                  <c:v>-0.94252259189468979</c:v>
                </c:pt>
                <c:pt idx="3">
                  <c:v>-0.79357536878865942</c:v>
                </c:pt>
                <c:pt idx="4">
                  <c:v>-2.1255172539313696</c:v>
                </c:pt>
                <c:pt idx="5">
                  <c:v>-3.1709970606870543</c:v>
                </c:pt>
                <c:pt idx="6">
                  <c:v>-4.0048139360494597</c:v>
                </c:pt>
                <c:pt idx="7">
                  <c:v>-4.6337166752360623</c:v>
                </c:pt>
                <c:pt idx="8">
                  <c:v>-5.142635038673955</c:v>
                </c:pt>
                <c:pt idx="9">
                  <c:v>-5.4500062429376568</c:v>
                </c:pt>
                <c:pt idx="10">
                  <c:v>-5.5524633110255586</c:v>
                </c:pt>
                <c:pt idx="11">
                  <c:v>-5.4500062429376568</c:v>
                </c:pt>
                <c:pt idx="12">
                  <c:v>-5.142635038673955</c:v>
                </c:pt>
                <c:pt idx="13">
                  <c:v>-4.6337166752360623</c:v>
                </c:pt>
                <c:pt idx="14">
                  <c:v>-4.0048139360494623</c:v>
                </c:pt>
                <c:pt idx="15">
                  <c:v>-3.1709970606870579</c:v>
                </c:pt>
                <c:pt idx="16">
                  <c:v>-2.1255172539313731</c:v>
                </c:pt>
                <c:pt idx="17">
                  <c:v>-0.79357536878866397</c:v>
                </c:pt>
                <c:pt idx="18">
                  <c:v>-0.94252259189469567</c:v>
                </c:pt>
                <c:pt idx="19">
                  <c:v>-0.57371836403525212</c:v>
                </c:pt>
                <c:pt idx="20">
                  <c:v>0</c:v>
                </c:pt>
              </c:numCache>
            </c:numRef>
          </c:val>
          <c:smooth val="1"/>
          <c:extLst>
            <c:ext xmlns:c16="http://schemas.microsoft.com/office/drawing/2014/chart" uri="{C3380CC4-5D6E-409C-BE32-E72D297353CC}">
              <c16:uniqueId val="{00000001-362C-479B-8BB8-7A158FE7B822}"/>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362C-479B-8BB8-7A158FE7B822}"/>
              </c:ext>
            </c:extLst>
          </c:dPt>
          <c:dPt>
            <c:idx val="2"/>
            <c:bubble3D val="0"/>
            <c:extLst>
              <c:ext xmlns:c16="http://schemas.microsoft.com/office/drawing/2014/chart" uri="{C3380CC4-5D6E-409C-BE32-E72D297353CC}">
                <c16:uniqueId val="{00000003-362C-479B-8BB8-7A158FE7B822}"/>
              </c:ext>
            </c:extLst>
          </c:dPt>
          <c:dPt>
            <c:idx val="3"/>
            <c:bubble3D val="0"/>
            <c:extLst>
              <c:ext xmlns:c16="http://schemas.microsoft.com/office/drawing/2014/chart" uri="{C3380CC4-5D6E-409C-BE32-E72D297353CC}">
                <c16:uniqueId val="{00000004-362C-479B-8BB8-7A158FE7B822}"/>
              </c:ext>
            </c:extLst>
          </c:dPt>
          <c:dPt>
            <c:idx val="4"/>
            <c:bubble3D val="0"/>
            <c:extLst>
              <c:ext xmlns:c16="http://schemas.microsoft.com/office/drawing/2014/chart" uri="{C3380CC4-5D6E-409C-BE32-E72D297353CC}">
                <c16:uniqueId val="{00000005-362C-479B-8BB8-7A158FE7B822}"/>
              </c:ext>
            </c:extLst>
          </c:dPt>
          <c:dPt>
            <c:idx val="5"/>
            <c:bubble3D val="0"/>
            <c:extLst>
              <c:ext xmlns:c16="http://schemas.microsoft.com/office/drawing/2014/chart" uri="{C3380CC4-5D6E-409C-BE32-E72D297353CC}">
                <c16:uniqueId val="{00000006-362C-479B-8BB8-7A158FE7B822}"/>
              </c:ext>
            </c:extLst>
          </c:dPt>
          <c:dPt>
            <c:idx val="6"/>
            <c:bubble3D val="0"/>
            <c:extLst>
              <c:ext xmlns:c16="http://schemas.microsoft.com/office/drawing/2014/chart" uri="{C3380CC4-5D6E-409C-BE32-E72D297353CC}">
                <c16:uniqueId val="{00000007-362C-479B-8BB8-7A158FE7B822}"/>
              </c:ext>
            </c:extLst>
          </c:dPt>
          <c:dPt>
            <c:idx val="7"/>
            <c:bubble3D val="0"/>
            <c:extLst>
              <c:ext xmlns:c16="http://schemas.microsoft.com/office/drawing/2014/chart" uri="{C3380CC4-5D6E-409C-BE32-E72D297353CC}">
                <c16:uniqueId val="{00000008-362C-479B-8BB8-7A158FE7B822}"/>
              </c:ext>
            </c:extLst>
          </c:dPt>
          <c:dPt>
            <c:idx val="8"/>
            <c:bubble3D val="0"/>
            <c:extLst>
              <c:ext xmlns:c16="http://schemas.microsoft.com/office/drawing/2014/chart" uri="{C3380CC4-5D6E-409C-BE32-E72D297353CC}">
                <c16:uniqueId val="{00000009-362C-479B-8BB8-7A158FE7B822}"/>
              </c:ext>
            </c:extLst>
          </c:dPt>
          <c:dPt>
            <c:idx val="9"/>
            <c:bubble3D val="0"/>
            <c:extLst>
              <c:ext xmlns:c16="http://schemas.microsoft.com/office/drawing/2014/chart" uri="{C3380CC4-5D6E-409C-BE32-E72D297353CC}">
                <c16:uniqueId val="{0000000A-362C-479B-8BB8-7A158FE7B822}"/>
              </c:ext>
            </c:extLst>
          </c:dPt>
          <c:dPt>
            <c:idx val="10"/>
            <c:bubble3D val="0"/>
            <c:extLst>
              <c:ext xmlns:c16="http://schemas.microsoft.com/office/drawing/2014/chart" uri="{C3380CC4-5D6E-409C-BE32-E72D297353CC}">
                <c16:uniqueId val="{0000000B-362C-479B-8BB8-7A158FE7B822}"/>
              </c:ext>
            </c:extLst>
          </c:dPt>
          <c:dPt>
            <c:idx val="11"/>
            <c:bubble3D val="0"/>
            <c:extLst>
              <c:ext xmlns:c16="http://schemas.microsoft.com/office/drawing/2014/chart" uri="{C3380CC4-5D6E-409C-BE32-E72D297353CC}">
                <c16:uniqueId val="{0000000C-362C-479B-8BB8-7A158FE7B822}"/>
              </c:ext>
            </c:extLst>
          </c:dPt>
          <c:dPt>
            <c:idx val="12"/>
            <c:bubble3D val="0"/>
            <c:extLst>
              <c:ext xmlns:c16="http://schemas.microsoft.com/office/drawing/2014/chart" uri="{C3380CC4-5D6E-409C-BE32-E72D297353CC}">
                <c16:uniqueId val="{0000000D-362C-479B-8BB8-7A158FE7B822}"/>
              </c:ext>
            </c:extLst>
          </c:dPt>
          <c:dPt>
            <c:idx val="13"/>
            <c:bubble3D val="0"/>
            <c:extLst>
              <c:ext xmlns:c16="http://schemas.microsoft.com/office/drawing/2014/chart" uri="{C3380CC4-5D6E-409C-BE32-E72D297353CC}">
                <c16:uniqueId val="{0000000E-362C-479B-8BB8-7A158FE7B822}"/>
              </c:ext>
            </c:extLst>
          </c:dPt>
          <c:dPt>
            <c:idx val="14"/>
            <c:bubble3D val="0"/>
            <c:extLst>
              <c:ext xmlns:c16="http://schemas.microsoft.com/office/drawing/2014/chart" uri="{C3380CC4-5D6E-409C-BE32-E72D297353CC}">
                <c16:uniqueId val="{0000000F-362C-479B-8BB8-7A158FE7B822}"/>
              </c:ext>
            </c:extLst>
          </c:dPt>
          <c:dPt>
            <c:idx val="15"/>
            <c:bubble3D val="0"/>
            <c:extLst>
              <c:ext xmlns:c16="http://schemas.microsoft.com/office/drawing/2014/chart" uri="{C3380CC4-5D6E-409C-BE32-E72D297353CC}">
                <c16:uniqueId val="{00000010-362C-479B-8BB8-7A158FE7B822}"/>
              </c:ext>
            </c:extLst>
          </c:dPt>
          <c:dPt>
            <c:idx val="16"/>
            <c:bubble3D val="0"/>
            <c:extLst>
              <c:ext xmlns:c16="http://schemas.microsoft.com/office/drawing/2014/chart" uri="{C3380CC4-5D6E-409C-BE32-E72D297353CC}">
                <c16:uniqueId val="{00000011-362C-479B-8BB8-7A158FE7B822}"/>
              </c:ext>
            </c:extLst>
          </c:dPt>
          <c:dPt>
            <c:idx val="17"/>
            <c:bubble3D val="0"/>
            <c:extLst>
              <c:ext xmlns:c16="http://schemas.microsoft.com/office/drawing/2014/chart" uri="{C3380CC4-5D6E-409C-BE32-E72D297353CC}">
                <c16:uniqueId val="{00000012-362C-479B-8BB8-7A158FE7B822}"/>
              </c:ext>
            </c:extLst>
          </c:dPt>
          <c:dPt>
            <c:idx val="18"/>
            <c:bubble3D val="0"/>
            <c:extLst>
              <c:ext xmlns:c16="http://schemas.microsoft.com/office/drawing/2014/chart" uri="{C3380CC4-5D6E-409C-BE32-E72D297353CC}">
                <c16:uniqueId val="{00000013-362C-479B-8BB8-7A158FE7B822}"/>
              </c:ext>
            </c:extLst>
          </c:dPt>
          <c:dPt>
            <c:idx val="19"/>
            <c:bubble3D val="0"/>
            <c:extLst>
              <c:ext xmlns:c16="http://schemas.microsoft.com/office/drawing/2014/chart" uri="{C3380CC4-5D6E-409C-BE32-E72D297353CC}">
                <c16:uniqueId val="{00000014-362C-479B-8BB8-7A158FE7B822}"/>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362C-479B-8BB8-7A158FE7B822}"/>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362C-479B-8BB8-7A158FE7B822}"/>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362C-479B-8BB8-7A158FE7B822}"/>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362C-479B-8BB8-7A158FE7B822}"/>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362C-479B-8BB8-7A158FE7B822}"/>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362C-479B-8BB8-7A158FE7B822}"/>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362C-479B-8BB8-7A158FE7B822}"/>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362C-479B-8BB8-7A158FE7B822}"/>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362C-479B-8BB8-7A158FE7B822}"/>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362C-479B-8BB8-7A158FE7B822}"/>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362C-479B-8BB8-7A158FE7B822}"/>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362C-479B-8BB8-7A158FE7B822}"/>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362C-479B-8BB8-7A158FE7B822}"/>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362C-479B-8BB8-7A158FE7B822}"/>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362C-479B-8BB8-7A158FE7B822}"/>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362C-479B-8BB8-7A158FE7B822}"/>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362C-479B-8BB8-7A158FE7B822}"/>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362C-479B-8BB8-7A158FE7B822}"/>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362C-479B-8BB8-7A158FE7B822}"/>
                </c:ext>
              </c:extLst>
            </c:dLbl>
            <c:spPr>
              <a:solidFill>
                <a:srgbClr val="FFFFFF"/>
              </a:solidFill>
              <a:ln w="12600">
                <a:solidFill>
                  <a:srgbClr val="F07623"/>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Geometria!$Q$447:$Q$467</c:f>
              <c:numCache>
                <c:formatCode>0.0</c:formatCode>
                <c:ptCount val="21"/>
                <c:pt idx="0">
                  <c:v>2.8501384974246515</c:v>
                </c:pt>
                <c:pt idx="1">
                  <c:v>2.8501384974246515</c:v>
                </c:pt>
                <c:pt idx="2">
                  <c:v>2.8501384974246515</c:v>
                </c:pt>
                <c:pt idx="3">
                  <c:v>2.8501384974246515</c:v>
                </c:pt>
                <c:pt idx="4">
                  <c:v>2.8501384974246515</c:v>
                </c:pt>
                <c:pt idx="5">
                  <c:v>2.8501384974246515</c:v>
                </c:pt>
                <c:pt idx="6">
                  <c:v>2.8501384974246515</c:v>
                </c:pt>
                <c:pt idx="7">
                  <c:v>2.8501384974246515</c:v>
                </c:pt>
                <c:pt idx="8">
                  <c:v>2.8501384974246515</c:v>
                </c:pt>
                <c:pt idx="9">
                  <c:v>2.8501384974246515</c:v>
                </c:pt>
                <c:pt idx="10">
                  <c:v>2.8501384974246515</c:v>
                </c:pt>
                <c:pt idx="11">
                  <c:v>2.8501384974246515</c:v>
                </c:pt>
                <c:pt idx="12">
                  <c:v>2.8501384974246515</c:v>
                </c:pt>
                <c:pt idx="13">
                  <c:v>2.8501384974246515</c:v>
                </c:pt>
                <c:pt idx="14">
                  <c:v>2.8501384974246515</c:v>
                </c:pt>
                <c:pt idx="15">
                  <c:v>2.8501384974246515</c:v>
                </c:pt>
                <c:pt idx="16">
                  <c:v>2.8501384974246515</c:v>
                </c:pt>
                <c:pt idx="17">
                  <c:v>2.8501384974246515</c:v>
                </c:pt>
                <c:pt idx="18">
                  <c:v>2.8501384974246515</c:v>
                </c:pt>
                <c:pt idx="19">
                  <c:v>2.8501384974246515</c:v>
                </c:pt>
                <c:pt idx="20">
                  <c:v>2.8501384974246515</c:v>
                </c:pt>
              </c:numCache>
            </c:numRef>
          </c:val>
          <c:smooth val="1"/>
          <c:extLst>
            <c:ext xmlns:c16="http://schemas.microsoft.com/office/drawing/2014/chart" uri="{C3380CC4-5D6E-409C-BE32-E72D297353CC}">
              <c16:uniqueId val="{00000015-362C-479B-8BB8-7A158FE7B822}"/>
            </c:ext>
          </c:extLst>
        </c:ser>
        <c:ser>
          <c:idx val="3"/>
          <c:order val="3"/>
          <c:tx>
            <c:v>Série4</c:v>
          </c:tx>
          <c:spPr>
            <a:ln w="12600">
              <a:solidFill>
                <a:srgbClr val="369C54"/>
              </a:solidFill>
              <a:round/>
            </a:ln>
          </c:spPr>
          <c:marker>
            <c:symbol val="none"/>
          </c:marker>
          <c:dPt>
            <c:idx val="1"/>
            <c:bubble3D val="0"/>
            <c:extLst>
              <c:ext xmlns:c16="http://schemas.microsoft.com/office/drawing/2014/chart" uri="{C3380CC4-5D6E-409C-BE32-E72D297353CC}">
                <c16:uniqueId val="{00000016-362C-479B-8BB8-7A158FE7B822}"/>
              </c:ext>
            </c:extLst>
          </c:dPt>
          <c:dPt>
            <c:idx val="2"/>
            <c:bubble3D val="0"/>
            <c:extLst>
              <c:ext xmlns:c16="http://schemas.microsoft.com/office/drawing/2014/chart" uri="{C3380CC4-5D6E-409C-BE32-E72D297353CC}">
                <c16:uniqueId val="{00000017-362C-479B-8BB8-7A158FE7B822}"/>
              </c:ext>
            </c:extLst>
          </c:dPt>
          <c:dPt>
            <c:idx val="3"/>
            <c:bubble3D val="0"/>
            <c:extLst>
              <c:ext xmlns:c16="http://schemas.microsoft.com/office/drawing/2014/chart" uri="{C3380CC4-5D6E-409C-BE32-E72D297353CC}">
                <c16:uniqueId val="{00000018-362C-479B-8BB8-7A158FE7B822}"/>
              </c:ext>
            </c:extLst>
          </c:dPt>
          <c:dPt>
            <c:idx val="4"/>
            <c:bubble3D val="0"/>
            <c:extLst>
              <c:ext xmlns:c16="http://schemas.microsoft.com/office/drawing/2014/chart" uri="{C3380CC4-5D6E-409C-BE32-E72D297353CC}">
                <c16:uniqueId val="{00000019-362C-479B-8BB8-7A158FE7B822}"/>
              </c:ext>
            </c:extLst>
          </c:dPt>
          <c:dPt>
            <c:idx val="5"/>
            <c:bubble3D val="0"/>
            <c:extLst>
              <c:ext xmlns:c16="http://schemas.microsoft.com/office/drawing/2014/chart" uri="{C3380CC4-5D6E-409C-BE32-E72D297353CC}">
                <c16:uniqueId val="{0000001A-362C-479B-8BB8-7A158FE7B822}"/>
              </c:ext>
            </c:extLst>
          </c:dPt>
          <c:dPt>
            <c:idx val="6"/>
            <c:bubble3D val="0"/>
            <c:extLst>
              <c:ext xmlns:c16="http://schemas.microsoft.com/office/drawing/2014/chart" uri="{C3380CC4-5D6E-409C-BE32-E72D297353CC}">
                <c16:uniqueId val="{0000001B-362C-479B-8BB8-7A158FE7B822}"/>
              </c:ext>
            </c:extLst>
          </c:dPt>
          <c:dPt>
            <c:idx val="7"/>
            <c:bubble3D val="0"/>
            <c:extLst>
              <c:ext xmlns:c16="http://schemas.microsoft.com/office/drawing/2014/chart" uri="{C3380CC4-5D6E-409C-BE32-E72D297353CC}">
                <c16:uniqueId val="{0000001C-362C-479B-8BB8-7A158FE7B822}"/>
              </c:ext>
            </c:extLst>
          </c:dPt>
          <c:dPt>
            <c:idx val="8"/>
            <c:bubble3D val="0"/>
            <c:extLst>
              <c:ext xmlns:c16="http://schemas.microsoft.com/office/drawing/2014/chart" uri="{C3380CC4-5D6E-409C-BE32-E72D297353CC}">
                <c16:uniqueId val="{0000001D-362C-479B-8BB8-7A158FE7B822}"/>
              </c:ext>
            </c:extLst>
          </c:dPt>
          <c:dPt>
            <c:idx val="9"/>
            <c:bubble3D val="0"/>
            <c:extLst>
              <c:ext xmlns:c16="http://schemas.microsoft.com/office/drawing/2014/chart" uri="{C3380CC4-5D6E-409C-BE32-E72D297353CC}">
                <c16:uniqueId val="{0000001E-362C-479B-8BB8-7A158FE7B822}"/>
              </c:ext>
            </c:extLst>
          </c:dPt>
          <c:dPt>
            <c:idx val="10"/>
            <c:bubble3D val="0"/>
            <c:extLst>
              <c:ext xmlns:c16="http://schemas.microsoft.com/office/drawing/2014/chart" uri="{C3380CC4-5D6E-409C-BE32-E72D297353CC}">
                <c16:uniqueId val="{0000001F-362C-479B-8BB8-7A158FE7B822}"/>
              </c:ext>
            </c:extLst>
          </c:dPt>
          <c:dPt>
            <c:idx val="11"/>
            <c:bubble3D val="0"/>
            <c:extLst>
              <c:ext xmlns:c16="http://schemas.microsoft.com/office/drawing/2014/chart" uri="{C3380CC4-5D6E-409C-BE32-E72D297353CC}">
                <c16:uniqueId val="{00000020-362C-479B-8BB8-7A158FE7B822}"/>
              </c:ext>
            </c:extLst>
          </c:dPt>
          <c:dPt>
            <c:idx val="12"/>
            <c:bubble3D val="0"/>
            <c:extLst>
              <c:ext xmlns:c16="http://schemas.microsoft.com/office/drawing/2014/chart" uri="{C3380CC4-5D6E-409C-BE32-E72D297353CC}">
                <c16:uniqueId val="{00000021-362C-479B-8BB8-7A158FE7B822}"/>
              </c:ext>
            </c:extLst>
          </c:dPt>
          <c:dPt>
            <c:idx val="13"/>
            <c:bubble3D val="0"/>
            <c:extLst>
              <c:ext xmlns:c16="http://schemas.microsoft.com/office/drawing/2014/chart" uri="{C3380CC4-5D6E-409C-BE32-E72D297353CC}">
                <c16:uniqueId val="{00000022-362C-479B-8BB8-7A158FE7B822}"/>
              </c:ext>
            </c:extLst>
          </c:dPt>
          <c:dPt>
            <c:idx val="14"/>
            <c:bubble3D val="0"/>
            <c:extLst>
              <c:ext xmlns:c16="http://schemas.microsoft.com/office/drawing/2014/chart" uri="{C3380CC4-5D6E-409C-BE32-E72D297353CC}">
                <c16:uniqueId val="{00000023-362C-479B-8BB8-7A158FE7B822}"/>
              </c:ext>
            </c:extLst>
          </c:dPt>
          <c:dPt>
            <c:idx val="15"/>
            <c:bubble3D val="0"/>
            <c:extLst>
              <c:ext xmlns:c16="http://schemas.microsoft.com/office/drawing/2014/chart" uri="{C3380CC4-5D6E-409C-BE32-E72D297353CC}">
                <c16:uniqueId val="{00000024-362C-479B-8BB8-7A158FE7B822}"/>
              </c:ext>
            </c:extLst>
          </c:dPt>
          <c:dPt>
            <c:idx val="16"/>
            <c:bubble3D val="0"/>
            <c:extLst>
              <c:ext xmlns:c16="http://schemas.microsoft.com/office/drawing/2014/chart" uri="{C3380CC4-5D6E-409C-BE32-E72D297353CC}">
                <c16:uniqueId val="{00000025-362C-479B-8BB8-7A158FE7B822}"/>
              </c:ext>
            </c:extLst>
          </c:dPt>
          <c:dPt>
            <c:idx val="17"/>
            <c:bubble3D val="0"/>
            <c:extLst>
              <c:ext xmlns:c16="http://schemas.microsoft.com/office/drawing/2014/chart" uri="{C3380CC4-5D6E-409C-BE32-E72D297353CC}">
                <c16:uniqueId val="{00000026-362C-479B-8BB8-7A158FE7B822}"/>
              </c:ext>
            </c:extLst>
          </c:dPt>
          <c:dPt>
            <c:idx val="18"/>
            <c:bubble3D val="0"/>
            <c:extLst>
              <c:ext xmlns:c16="http://schemas.microsoft.com/office/drawing/2014/chart" uri="{C3380CC4-5D6E-409C-BE32-E72D297353CC}">
                <c16:uniqueId val="{00000027-362C-479B-8BB8-7A158FE7B822}"/>
              </c:ext>
            </c:extLst>
          </c:dPt>
          <c:dPt>
            <c:idx val="19"/>
            <c:bubble3D val="0"/>
            <c:extLst>
              <c:ext xmlns:c16="http://schemas.microsoft.com/office/drawing/2014/chart" uri="{C3380CC4-5D6E-409C-BE32-E72D297353CC}">
                <c16:uniqueId val="{00000028-362C-479B-8BB8-7A158FE7B822}"/>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362C-479B-8BB8-7A158FE7B822}"/>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362C-479B-8BB8-7A158FE7B822}"/>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362C-479B-8BB8-7A158FE7B822}"/>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362C-479B-8BB8-7A158FE7B822}"/>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362C-479B-8BB8-7A158FE7B822}"/>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362C-479B-8BB8-7A158FE7B822}"/>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362C-479B-8BB8-7A158FE7B822}"/>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362C-479B-8BB8-7A158FE7B822}"/>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362C-479B-8BB8-7A158FE7B822}"/>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362C-479B-8BB8-7A158FE7B822}"/>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362C-479B-8BB8-7A158FE7B822}"/>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362C-479B-8BB8-7A158FE7B822}"/>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362C-479B-8BB8-7A158FE7B822}"/>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362C-479B-8BB8-7A158FE7B822}"/>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362C-479B-8BB8-7A158FE7B822}"/>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362C-479B-8BB8-7A158FE7B822}"/>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362C-479B-8BB8-7A158FE7B822}"/>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362C-479B-8BB8-7A158FE7B822}"/>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362C-479B-8BB8-7A158FE7B822}"/>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Geometria!$Q$552:$Q$572</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29-362C-479B-8BB8-7A158FE7B822}"/>
            </c:ext>
          </c:extLst>
        </c:ser>
        <c:dLbls>
          <c:showLegendKey val="0"/>
          <c:showVal val="0"/>
          <c:showCatName val="0"/>
          <c:showSerName val="0"/>
          <c:showPercent val="0"/>
          <c:showBubbleSize val="0"/>
        </c:dLbls>
        <c:hiLowLines>
          <c:spPr>
            <a:ln w="0">
              <a:noFill/>
            </a:ln>
          </c:spPr>
        </c:hiLowLines>
        <c:smooth val="0"/>
        <c:axId val="22079098"/>
        <c:axId val="86452842"/>
      </c:lineChart>
      <c:catAx>
        <c:axId val="22079098"/>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86452842"/>
        <c:crosses val="autoZero"/>
        <c:auto val="1"/>
        <c:lblAlgn val="ctr"/>
        <c:lblOffset val="100"/>
        <c:noMultiLvlLbl val="0"/>
      </c:catAx>
      <c:valAx>
        <c:axId val="86452842"/>
        <c:scaling>
          <c:orientation val="minMax"/>
        </c:scaling>
        <c:delete val="1"/>
        <c:axPos val="l"/>
        <c:numFmt formatCode="0.0" sourceLinked="1"/>
        <c:majorTickMark val="out"/>
        <c:minorTickMark val="none"/>
        <c:tickLblPos val="nextTo"/>
        <c:crossAx val="22079098"/>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ELS-D Momento mínimo isolado</a:t>
            </a:r>
          </a:p>
        </c:rich>
      </c:tx>
      <c:overlay val="0"/>
      <c:spPr>
        <a:noFill/>
        <a:ln w="0">
          <a:noFill/>
        </a:ln>
      </c:spPr>
    </c:title>
    <c:autoTitleDeleted val="0"/>
    <c:plotArea>
      <c:layout>
        <c:manualLayout>
          <c:layoutTarget val="inner"/>
          <c:xMode val="edge"/>
          <c:yMode val="edge"/>
          <c:x val="1.76824173158306E-2"/>
          <c:y val="0.107078176878962"/>
          <c:w val="0.96835494218173002"/>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cabos'!$DI$124:$DI$144</c:f>
              <c:numCache>
                <c:formatCode>0.0</c:formatCode>
                <c:ptCount val="21"/>
                <c:pt idx="0">
                  <c:v>0</c:v>
                </c:pt>
                <c:pt idx="1">
                  <c:v>1.4971030713843581</c:v>
                </c:pt>
                <c:pt idx="2">
                  <c:v>2.4287734709768367</c:v>
                </c:pt>
                <c:pt idx="3">
                  <c:v>2.7950111987774373</c:v>
                </c:pt>
                <c:pt idx="4">
                  <c:v>-2.8949301393217146</c:v>
                </c:pt>
                <c:pt idx="5">
                  <c:v>-3.348923706718665</c:v>
                </c:pt>
                <c:pt idx="6">
                  <c:v>-4.2775601086543746</c:v>
                </c:pt>
                <c:pt idx="7">
                  <c:v>-5.5065533267007867</c:v>
                </c:pt>
                <c:pt idx="8">
                  <c:v>-4.8426126602381112</c:v>
                </c:pt>
                <c:pt idx="9">
                  <c:v>-4.392077436072066</c:v>
                </c:pt>
                <c:pt idx="10">
                  <c:v>-4.2418990280167179</c:v>
                </c:pt>
                <c:pt idx="11">
                  <c:v>-4.392077436072066</c:v>
                </c:pt>
                <c:pt idx="12">
                  <c:v>-4.8426126602381112</c:v>
                </c:pt>
                <c:pt idx="13">
                  <c:v>-5.5065533267007831</c:v>
                </c:pt>
                <c:pt idx="14">
                  <c:v>-4.2775601086543729</c:v>
                </c:pt>
                <c:pt idx="15">
                  <c:v>-3.3489237067186597</c:v>
                </c:pt>
                <c:pt idx="16">
                  <c:v>-2.8949301393217093</c:v>
                </c:pt>
                <c:pt idx="17">
                  <c:v>2.7950111987774533</c:v>
                </c:pt>
                <c:pt idx="18">
                  <c:v>2.4287734709768545</c:v>
                </c:pt>
                <c:pt idx="19">
                  <c:v>1.4971030713843774</c:v>
                </c:pt>
                <c:pt idx="20">
                  <c:v>0</c:v>
                </c:pt>
              </c:numCache>
            </c:numRef>
          </c:val>
          <c:smooth val="1"/>
          <c:extLst>
            <c:ext xmlns:c16="http://schemas.microsoft.com/office/drawing/2014/chart" uri="{C3380CC4-5D6E-409C-BE32-E72D297353CC}">
              <c16:uniqueId val="{00000000-92AC-4D38-82BB-27462B8057E7}"/>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cabos'!$DI$101:$DI$121</c:f>
              <c:numCache>
                <c:formatCode>0.0</c:formatCode>
                <c:ptCount val="21"/>
                <c:pt idx="0">
                  <c:v>0</c:v>
                </c:pt>
                <c:pt idx="1">
                  <c:v>-0.57371836403524568</c:v>
                </c:pt>
                <c:pt idx="2">
                  <c:v>-0.94252259189468979</c:v>
                </c:pt>
                <c:pt idx="3">
                  <c:v>-0.79357027824306292</c:v>
                </c:pt>
                <c:pt idx="4">
                  <c:v>-2.1255108657957189</c:v>
                </c:pt>
                <c:pt idx="5">
                  <c:v>-3.1709895745905889</c:v>
                </c:pt>
                <c:pt idx="6">
                  <c:v>-4.004805551621418</c:v>
                </c:pt>
                <c:pt idx="7">
                  <c:v>-4.6337075921056847</c:v>
                </c:pt>
                <c:pt idx="8">
                  <c:v>-5.1426254564704799</c:v>
                </c:pt>
                <c:pt idx="9">
                  <c:v>-5.4499963612903217</c:v>
                </c:pt>
                <c:pt idx="10">
                  <c:v>-5.5524533295636047</c:v>
                </c:pt>
                <c:pt idx="11">
                  <c:v>-5.4499963612903217</c:v>
                </c:pt>
                <c:pt idx="12">
                  <c:v>-5.1426254564704799</c:v>
                </c:pt>
                <c:pt idx="13">
                  <c:v>-4.6337075921056847</c:v>
                </c:pt>
                <c:pt idx="14">
                  <c:v>-4.0048055516214207</c:v>
                </c:pt>
                <c:pt idx="15">
                  <c:v>-3.1709895745905925</c:v>
                </c:pt>
                <c:pt idx="16">
                  <c:v>-2.1255108657957225</c:v>
                </c:pt>
                <c:pt idx="17">
                  <c:v>-0.79357027824306747</c:v>
                </c:pt>
                <c:pt idx="18">
                  <c:v>-0.94252259189469567</c:v>
                </c:pt>
                <c:pt idx="19">
                  <c:v>-0.57371836403525212</c:v>
                </c:pt>
                <c:pt idx="20">
                  <c:v>0</c:v>
                </c:pt>
              </c:numCache>
            </c:numRef>
          </c:val>
          <c:smooth val="1"/>
          <c:extLst>
            <c:ext xmlns:c16="http://schemas.microsoft.com/office/drawing/2014/chart" uri="{C3380CC4-5D6E-409C-BE32-E72D297353CC}">
              <c16:uniqueId val="{00000001-92AC-4D38-82BB-27462B8057E7}"/>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92AC-4D38-82BB-27462B8057E7}"/>
              </c:ext>
            </c:extLst>
          </c:dPt>
          <c:dPt>
            <c:idx val="2"/>
            <c:bubble3D val="0"/>
            <c:extLst>
              <c:ext xmlns:c16="http://schemas.microsoft.com/office/drawing/2014/chart" uri="{C3380CC4-5D6E-409C-BE32-E72D297353CC}">
                <c16:uniqueId val="{00000003-92AC-4D38-82BB-27462B8057E7}"/>
              </c:ext>
            </c:extLst>
          </c:dPt>
          <c:dPt>
            <c:idx val="3"/>
            <c:bubble3D val="0"/>
            <c:extLst>
              <c:ext xmlns:c16="http://schemas.microsoft.com/office/drawing/2014/chart" uri="{C3380CC4-5D6E-409C-BE32-E72D297353CC}">
                <c16:uniqueId val="{00000004-92AC-4D38-82BB-27462B8057E7}"/>
              </c:ext>
            </c:extLst>
          </c:dPt>
          <c:dPt>
            <c:idx val="4"/>
            <c:bubble3D val="0"/>
            <c:extLst>
              <c:ext xmlns:c16="http://schemas.microsoft.com/office/drawing/2014/chart" uri="{C3380CC4-5D6E-409C-BE32-E72D297353CC}">
                <c16:uniqueId val="{00000005-92AC-4D38-82BB-27462B8057E7}"/>
              </c:ext>
            </c:extLst>
          </c:dPt>
          <c:dPt>
            <c:idx val="5"/>
            <c:bubble3D val="0"/>
            <c:extLst>
              <c:ext xmlns:c16="http://schemas.microsoft.com/office/drawing/2014/chart" uri="{C3380CC4-5D6E-409C-BE32-E72D297353CC}">
                <c16:uniqueId val="{00000006-92AC-4D38-82BB-27462B8057E7}"/>
              </c:ext>
            </c:extLst>
          </c:dPt>
          <c:dPt>
            <c:idx val="6"/>
            <c:bubble3D val="0"/>
            <c:extLst>
              <c:ext xmlns:c16="http://schemas.microsoft.com/office/drawing/2014/chart" uri="{C3380CC4-5D6E-409C-BE32-E72D297353CC}">
                <c16:uniqueId val="{00000007-92AC-4D38-82BB-27462B8057E7}"/>
              </c:ext>
            </c:extLst>
          </c:dPt>
          <c:dPt>
            <c:idx val="7"/>
            <c:bubble3D val="0"/>
            <c:extLst>
              <c:ext xmlns:c16="http://schemas.microsoft.com/office/drawing/2014/chart" uri="{C3380CC4-5D6E-409C-BE32-E72D297353CC}">
                <c16:uniqueId val="{00000008-92AC-4D38-82BB-27462B8057E7}"/>
              </c:ext>
            </c:extLst>
          </c:dPt>
          <c:dPt>
            <c:idx val="8"/>
            <c:bubble3D val="0"/>
            <c:extLst>
              <c:ext xmlns:c16="http://schemas.microsoft.com/office/drawing/2014/chart" uri="{C3380CC4-5D6E-409C-BE32-E72D297353CC}">
                <c16:uniqueId val="{00000009-92AC-4D38-82BB-27462B8057E7}"/>
              </c:ext>
            </c:extLst>
          </c:dPt>
          <c:dPt>
            <c:idx val="9"/>
            <c:bubble3D val="0"/>
            <c:extLst>
              <c:ext xmlns:c16="http://schemas.microsoft.com/office/drawing/2014/chart" uri="{C3380CC4-5D6E-409C-BE32-E72D297353CC}">
                <c16:uniqueId val="{0000000A-92AC-4D38-82BB-27462B8057E7}"/>
              </c:ext>
            </c:extLst>
          </c:dPt>
          <c:dPt>
            <c:idx val="10"/>
            <c:bubble3D val="0"/>
            <c:extLst>
              <c:ext xmlns:c16="http://schemas.microsoft.com/office/drawing/2014/chart" uri="{C3380CC4-5D6E-409C-BE32-E72D297353CC}">
                <c16:uniqueId val="{0000000B-92AC-4D38-82BB-27462B8057E7}"/>
              </c:ext>
            </c:extLst>
          </c:dPt>
          <c:dPt>
            <c:idx val="11"/>
            <c:bubble3D val="0"/>
            <c:extLst>
              <c:ext xmlns:c16="http://schemas.microsoft.com/office/drawing/2014/chart" uri="{C3380CC4-5D6E-409C-BE32-E72D297353CC}">
                <c16:uniqueId val="{0000000C-92AC-4D38-82BB-27462B8057E7}"/>
              </c:ext>
            </c:extLst>
          </c:dPt>
          <c:dPt>
            <c:idx val="12"/>
            <c:bubble3D val="0"/>
            <c:extLst>
              <c:ext xmlns:c16="http://schemas.microsoft.com/office/drawing/2014/chart" uri="{C3380CC4-5D6E-409C-BE32-E72D297353CC}">
                <c16:uniqueId val="{0000000D-92AC-4D38-82BB-27462B8057E7}"/>
              </c:ext>
            </c:extLst>
          </c:dPt>
          <c:dPt>
            <c:idx val="13"/>
            <c:bubble3D val="0"/>
            <c:extLst>
              <c:ext xmlns:c16="http://schemas.microsoft.com/office/drawing/2014/chart" uri="{C3380CC4-5D6E-409C-BE32-E72D297353CC}">
                <c16:uniqueId val="{0000000E-92AC-4D38-82BB-27462B8057E7}"/>
              </c:ext>
            </c:extLst>
          </c:dPt>
          <c:dPt>
            <c:idx val="14"/>
            <c:bubble3D val="0"/>
            <c:extLst>
              <c:ext xmlns:c16="http://schemas.microsoft.com/office/drawing/2014/chart" uri="{C3380CC4-5D6E-409C-BE32-E72D297353CC}">
                <c16:uniqueId val="{0000000F-92AC-4D38-82BB-27462B8057E7}"/>
              </c:ext>
            </c:extLst>
          </c:dPt>
          <c:dPt>
            <c:idx val="15"/>
            <c:bubble3D val="0"/>
            <c:extLst>
              <c:ext xmlns:c16="http://schemas.microsoft.com/office/drawing/2014/chart" uri="{C3380CC4-5D6E-409C-BE32-E72D297353CC}">
                <c16:uniqueId val="{00000010-92AC-4D38-82BB-27462B8057E7}"/>
              </c:ext>
            </c:extLst>
          </c:dPt>
          <c:dPt>
            <c:idx val="16"/>
            <c:bubble3D val="0"/>
            <c:extLst>
              <c:ext xmlns:c16="http://schemas.microsoft.com/office/drawing/2014/chart" uri="{C3380CC4-5D6E-409C-BE32-E72D297353CC}">
                <c16:uniqueId val="{00000011-92AC-4D38-82BB-27462B8057E7}"/>
              </c:ext>
            </c:extLst>
          </c:dPt>
          <c:dPt>
            <c:idx val="17"/>
            <c:bubble3D val="0"/>
            <c:extLst>
              <c:ext xmlns:c16="http://schemas.microsoft.com/office/drawing/2014/chart" uri="{C3380CC4-5D6E-409C-BE32-E72D297353CC}">
                <c16:uniqueId val="{00000012-92AC-4D38-82BB-27462B8057E7}"/>
              </c:ext>
            </c:extLst>
          </c:dPt>
          <c:dPt>
            <c:idx val="18"/>
            <c:bubble3D val="0"/>
            <c:extLst>
              <c:ext xmlns:c16="http://schemas.microsoft.com/office/drawing/2014/chart" uri="{C3380CC4-5D6E-409C-BE32-E72D297353CC}">
                <c16:uniqueId val="{00000013-92AC-4D38-82BB-27462B8057E7}"/>
              </c:ext>
            </c:extLst>
          </c:dPt>
          <c:dPt>
            <c:idx val="19"/>
            <c:bubble3D val="0"/>
            <c:extLst>
              <c:ext xmlns:c16="http://schemas.microsoft.com/office/drawing/2014/chart" uri="{C3380CC4-5D6E-409C-BE32-E72D297353CC}">
                <c16:uniqueId val="{00000014-92AC-4D38-82BB-27462B8057E7}"/>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92AC-4D38-82BB-27462B8057E7}"/>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92AC-4D38-82BB-27462B8057E7}"/>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92AC-4D38-82BB-27462B8057E7}"/>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92AC-4D38-82BB-27462B8057E7}"/>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92AC-4D38-82BB-27462B8057E7}"/>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92AC-4D38-82BB-27462B8057E7}"/>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92AC-4D38-82BB-27462B8057E7}"/>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92AC-4D38-82BB-27462B8057E7}"/>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92AC-4D38-82BB-27462B8057E7}"/>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92AC-4D38-82BB-27462B8057E7}"/>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92AC-4D38-82BB-27462B8057E7}"/>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92AC-4D38-82BB-27462B8057E7}"/>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92AC-4D38-82BB-27462B8057E7}"/>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92AC-4D38-82BB-27462B8057E7}"/>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92AC-4D38-82BB-27462B8057E7}"/>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92AC-4D38-82BB-27462B8057E7}"/>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92AC-4D38-82BB-27462B8057E7}"/>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92AC-4D38-82BB-27462B8057E7}"/>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92AC-4D38-82BB-27462B8057E7}"/>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92AC-4D38-82BB-27462B8057E7}"/>
            </c:ext>
          </c:extLst>
        </c:ser>
        <c:dLbls>
          <c:showLegendKey val="0"/>
          <c:showVal val="0"/>
          <c:showCatName val="0"/>
          <c:showSerName val="0"/>
          <c:showPercent val="0"/>
          <c:showBubbleSize val="0"/>
        </c:dLbls>
        <c:hiLowLines>
          <c:spPr>
            <a:ln w="0">
              <a:noFill/>
            </a:ln>
          </c:spPr>
        </c:hiLowLines>
        <c:smooth val="0"/>
        <c:axId val="66277867"/>
        <c:axId val="68641912"/>
      </c:lineChart>
      <c:catAx>
        <c:axId val="66277867"/>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68641912"/>
        <c:crosses val="autoZero"/>
        <c:auto val="1"/>
        <c:lblAlgn val="ctr"/>
        <c:lblOffset val="100"/>
        <c:noMultiLvlLbl val="0"/>
      </c:catAx>
      <c:valAx>
        <c:axId val="68641912"/>
        <c:scaling>
          <c:orientation val="minMax"/>
        </c:scaling>
        <c:delete val="1"/>
        <c:axPos val="l"/>
        <c:numFmt formatCode="0.0" sourceLinked="1"/>
        <c:majorTickMark val="out"/>
        <c:minorTickMark val="none"/>
        <c:tickLblPos val="nextTo"/>
        <c:crossAx val="66277867"/>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ELS-D Momento máximo isolado</a:t>
            </a:r>
          </a:p>
        </c:rich>
      </c:tx>
      <c:overlay val="0"/>
      <c:spPr>
        <a:noFill/>
        <a:ln w="0">
          <a:noFill/>
        </a:ln>
      </c:spPr>
    </c:title>
    <c:autoTitleDeleted val="0"/>
    <c:plotArea>
      <c:layout>
        <c:manualLayout>
          <c:layoutTarget val="inner"/>
          <c:xMode val="edge"/>
          <c:yMode val="edge"/>
          <c:x val="1.76824173158306E-2"/>
          <c:y val="0.107002716571084"/>
          <c:w val="0.96835494218173002"/>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cabos'!$CL$124:$CL$144</c:f>
              <c:numCache>
                <c:formatCode>0.0</c:formatCode>
                <c:ptCount val="21"/>
                <c:pt idx="0">
                  <c:v>0</c:v>
                </c:pt>
                <c:pt idx="1">
                  <c:v>1.4971030713843581</c:v>
                </c:pt>
                <c:pt idx="2">
                  <c:v>2.4287734709768367</c:v>
                </c:pt>
                <c:pt idx="3">
                  <c:v>2.7950111987774373</c:v>
                </c:pt>
                <c:pt idx="4">
                  <c:v>2.7600214485435326</c:v>
                </c:pt>
                <c:pt idx="5">
                  <c:v>3.2779726853109215</c:v>
                </c:pt>
                <c:pt idx="6">
                  <c:v>3.1445638504187627</c:v>
                </c:pt>
                <c:pt idx="7">
                  <c:v>2.5340809622951128</c:v>
                </c:pt>
                <c:pt idx="8">
                  <c:v>3.6398147215597612</c:v>
                </c:pt>
                <c:pt idx="9">
                  <c:v>4.3554258014069891</c:v>
                </c:pt>
                <c:pt idx="10">
                  <c:v>4.5939628280227334</c:v>
                </c:pt>
                <c:pt idx="11">
                  <c:v>4.3554258014069909</c:v>
                </c:pt>
                <c:pt idx="12">
                  <c:v>3.6398147215597647</c:v>
                </c:pt>
                <c:pt idx="13">
                  <c:v>2.5340809622951199</c:v>
                </c:pt>
                <c:pt idx="14">
                  <c:v>3.144563850418769</c:v>
                </c:pt>
                <c:pt idx="15">
                  <c:v>3.2779726853109334</c:v>
                </c:pt>
                <c:pt idx="16">
                  <c:v>2.7600214485435437</c:v>
                </c:pt>
                <c:pt idx="17">
                  <c:v>2.7950111987774533</c:v>
                </c:pt>
                <c:pt idx="18">
                  <c:v>2.4287734709768545</c:v>
                </c:pt>
                <c:pt idx="19">
                  <c:v>1.4971030713843774</c:v>
                </c:pt>
                <c:pt idx="20">
                  <c:v>0</c:v>
                </c:pt>
              </c:numCache>
            </c:numRef>
          </c:val>
          <c:smooth val="1"/>
          <c:extLst>
            <c:ext xmlns:c16="http://schemas.microsoft.com/office/drawing/2014/chart" uri="{C3380CC4-5D6E-409C-BE32-E72D297353CC}">
              <c16:uniqueId val="{00000000-F419-4C8C-B68A-AF4CED782E9B}"/>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cabos'!$CL$101:$CL$121</c:f>
              <c:numCache>
                <c:formatCode>0.0</c:formatCode>
                <c:ptCount val="21"/>
                <c:pt idx="0">
                  <c:v>0</c:v>
                </c:pt>
                <c:pt idx="1">
                  <c:v>-0.57371836403524568</c:v>
                </c:pt>
                <c:pt idx="2">
                  <c:v>-0.94252259189468979</c:v>
                </c:pt>
                <c:pt idx="3">
                  <c:v>-0.79357367194012729</c:v>
                </c:pt>
                <c:pt idx="4">
                  <c:v>-2.1255151245528192</c:v>
                </c:pt>
                <c:pt idx="5">
                  <c:v>-3.1709945653215654</c:v>
                </c:pt>
                <c:pt idx="6">
                  <c:v>-4.0048111412401122</c:v>
                </c:pt>
                <c:pt idx="7">
                  <c:v>-4.6337136475259371</c:v>
                </c:pt>
                <c:pt idx="8">
                  <c:v>-5.1426318446061297</c:v>
                </c:pt>
                <c:pt idx="9">
                  <c:v>-5.4500029490552118</c:v>
                </c:pt>
                <c:pt idx="10">
                  <c:v>-5.5524599838715742</c:v>
                </c:pt>
                <c:pt idx="11">
                  <c:v>-5.4500029490552118</c:v>
                </c:pt>
                <c:pt idx="12">
                  <c:v>-5.1426318446061297</c:v>
                </c:pt>
                <c:pt idx="13">
                  <c:v>-4.6337136475259371</c:v>
                </c:pt>
                <c:pt idx="14">
                  <c:v>-4.0048111412401148</c:v>
                </c:pt>
                <c:pt idx="15">
                  <c:v>-3.170994565321569</c:v>
                </c:pt>
                <c:pt idx="16">
                  <c:v>-2.1255151245528228</c:v>
                </c:pt>
                <c:pt idx="17">
                  <c:v>-0.79357367194013184</c:v>
                </c:pt>
                <c:pt idx="18">
                  <c:v>-0.94252259189469567</c:v>
                </c:pt>
                <c:pt idx="19">
                  <c:v>-0.57371836403525212</c:v>
                </c:pt>
                <c:pt idx="20">
                  <c:v>0</c:v>
                </c:pt>
              </c:numCache>
            </c:numRef>
          </c:val>
          <c:smooth val="1"/>
          <c:extLst>
            <c:ext xmlns:c16="http://schemas.microsoft.com/office/drawing/2014/chart" uri="{C3380CC4-5D6E-409C-BE32-E72D297353CC}">
              <c16:uniqueId val="{00000001-F419-4C8C-B68A-AF4CED782E9B}"/>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F419-4C8C-B68A-AF4CED782E9B}"/>
              </c:ext>
            </c:extLst>
          </c:dPt>
          <c:dPt>
            <c:idx val="2"/>
            <c:bubble3D val="0"/>
            <c:extLst>
              <c:ext xmlns:c16="http://schemas.microsoft.com/office/drawing/2014/chart" uri="{C3380CC4-5D6E-409C-BE32-E72D297353CC}">
                <c16:uniqueId val="{00000003-F419-4C8C-B68A-AF4CED782E9B}"/>
              </c:ext>
            </c:extLst>
          </c:dPt>
          <c:dPt>
            <c:idx val="3"/>
            <c:bubble3D val="0"/>
            <c:extLst>
              <c:ext xmlns:c16="http://schemas.microsoft.com/office/drawing/2014/chart" uri="{C3380CC4-5D6E-409C-BE32-E72D297353CC}">
                <c16:uniqueId val="{00000004-F419-4C8C-B68A-AF4CED782E9B}"/>
              </c:ext>
            </c:extLst>
          </c:dPt>
          <c:dPt>
            <c:idx val="4"/>
            <c:bubble3D val="0"/>
            <c:extLst>
              <c:ext xmlns:c16="http://schemas.microsoft.com/office/drawing/2014/chart" uri="{C3380CC4-5D6E-409C-BE32-E72D297353CC}">
                <c16:uniqueId val="{00000005-F419-4C8C-B68A-AF4CED782E9B}"/>
              </c:ext>
            </c:extLst>
          </c:dPt>
          <c:dPt>
            <c:idx val="5"/>
            <c:bubble3D val="0"/>
            <c:extLst>
              <c:ext xmlns:c16="http://schemas.microsoft.com/office/drawing/2014/chart" uri="{C3380CC4-5D6E-409C-BE32-E72D297353CC}">
                <c16:uniqueId val="{00000006-F419-4C8C-B68A-AF4CED782E9B}"/>
              </c:ext>
            </c:extLst>
          </c:dPt>
          <c:dPt>
            <c:idx val="6"/>
            <c:bubble3D val="0"/>
            <c:extLst>
              <c:ext xmlns:c16="http://schemas.microsoft.com/office/drawing/2014/chart" uri="{C3380CC4-5D6E-409C-BE32-E72D297353CC}">
                <c16:uniqueId val="{00000007-F419-4C8C-B68A-AF4CED782E9B}"/>
              </c:ext>
            </c:extLst>
          </c:dPt>
          <c:dPt>
            <c:idx val="7"/>
            <c:bubble3D val="0"/>
            <c:extLst>
              <c:ext xmlns:c16="http://schemas.microsoft.com/office/drawing/2014/chart" uri="{C3380CC4-5D6E-409C-BE32-E72D297353CC}">
                <c16:uniqueId val="{00000008-F419-4C8C-B68A-AF4CED782E9B}"/>
              </c:ext>
            </c:extLst>
          </c:dPt>
          <c:dPt>
            <c:idx val="8"/>
            <c:bubble3D val="0"/>
            <c:extLst>
              <c:ext xmlns:c16="http://schemas.microsoft.com/office/drawing/2014/chart" uri="{C3380CC4-5D6E-409C-BE32-E72D297353CC}">
                <c16:uniqueId val="{00000009-F419-4C8C-B68A-AF4CED782E9B}"/>
              </c:ext>
            </c:extLst>
          </c:dPt>
          <c:dPt>
            <c:idx val="9"/>
            <c:bubble3D val="0"/>
            <c:extLst>
              <c:ext xmlns:c16="http://schemas.microsoft.com/office/drawing/2014/chart" uri="{C3380CC4-5D6E-409C-BE32-E72D297353CC}">
                <c16:uniqueId val="{0000000A-F419-4C8C-B68A-AF4CED782E9B}"/>
              </c:ext>
            </c:extLst>
          </c:dPt>
          <c:dPt>
            <c:idx val="10"/>
            <c:bubble3D val="0"/>
            <c:extLst>
              <c:ext xmlns:c16="http://schemas.microsoft.com/office/drawing/2014/chart" uri="{C3380CC4-5D6E-409C-BE32-E72D297353CC}">
                <c16:uniqueId val="{0000000B-F419-4C8C-B68A-AF4CED782E9B}"/>
              </c:ext>
            </c:extLst>
          </c:dPt>
          <c:dPt>
            <c:idx val="11"/>
            <c:bubble3D val="0"/>
            <c:extLst>
              <c:ext xmlns:c16="http://schemas.microsoft.com/office/drawing/2014/chart" uri="{C3380CC4-5D6E-409C-BE32-E72D297353CC}">
                <c16:uniqueId val="{0000000C-F419-4C8C-B68A-AF4CED782E9B}"/>
              </c:ext>
            </c:extLst>
          </c:dPt>
          <c:dPt>
            <c:idx val="12"/>
            <c:bubble3D val="0"/>
            <c:extLst>
              <c:ext xmlns:c16="http://schemas.microsoft.com/office/drawing/2014/chart" uri="{C3380CC4-5D6E-409C-BE32-E72D297353CC}">
                <c16:uniqueId val="{0000000D-F419-4C8C-B68A-AF4CED782E9B}"/>
              </c:ext>
            </c:extLst>
          </c:dPt>
          <c:dPt>
            <c:idx val="13"/>
            <c:bubble3D val="0"/>
            <c:extLst>
              <c:ext xmlns:c16="http://schemas.microsoft.com/office/drawing/2014/chart" uri="{C3380CC4-5D6E-409C-BE32-E72D297353CC}">
                <c16:uniqueId val="{0000000E-F419-4C8C-B68A-AF4CED782E9B}"/>
              </c:ext>
            </c:extLst>
          </c:dPt>
          <c:dPt>
            <c:idx val="14"/>
            <c:bubble3D val="0"/>
            <c:extLst>
              <c:ext xmlns:c16="http://schemas.microsoft.com/office/drawing/2014/chart" uri="{C3380CC4-5D6E-409C-BE32-E72D297353CC}">
                <c16:uniqueId val="{0000000F-F419-4C8C-B68A-AF4CED782E9B}"/>
              </c:ext>
            </c:extLst>
          </c:dPt>
          <c:dPt>
            <c:idx val="15"/>
            <c:bubble3D val="0"/>
            <c:extLst>
              <c:ext xmlns:c16="http://schemas.microsoft.com/office/drawing/2014/chart" uri="{C3380CC4-5D6E-409C-BE32-E72D297353CC}">
                <c16:uniqueId val="{00000010-F419-4C8C-B68A-AF4CED782E9B}"/>
              </c:ext>
            </c:extLst>
          </c:dPt>
          <c:dPt>
            <c:idx val="16"/>
            <c:bubble3D val="0"/>
            <c:extLst>
              <c:ext xmlns:c16="http://schemas.microsoft.com/office/drawing/2014/chart" uri="{C3380CC4-5D6E-409C-BE32-E72D297353CC}">
                <c16:uniqueId val="{00000011-F419-4C8C-B68A-AF4CED782E9B}"/>
              </c:ext>
            </c:extLst>
          </c:dPt>
          <c:dPt>
            <c:idx val="17"/>
            <c:bubble3D val="0"/>
            <c:extLst>
              <c:ext xmlns:c16="http://schemas.microsoft.com/office/drawing/2014/chart" uri="{C3380CC4-5D6E-409C-BE32-E72D297353CC}">
                <c16:uniqueId val="{00000012-F419-4C8C-B68A-AF4CED782E9B}"/>
              </c:ext>
            </c:extLst>
          </c:dPt>
          <c:dPt>
            <c:idx val="18"/>
            <c:bubble3D val="0"/>
            <c:extLst>
              <c:ext xmlns:c16="http://schemas.microsoft.com/office/drawing/2014/chart" uri="{C3380CC4-5D6E-409C-BE32-E72D297353CC}">
                <c16:uniqueId val="{00000013-F419-4C8C-B68A-AF4CED782E9B}"/>
              </c:ext>
            </c:extLst>
          </c:dPt>
          <c:dPt>
            <c:idx val="19"/>
            <c:bubble3D val="0"/>
            <c:extLst>
              <c:ext xmlns:c16="http://schemas.microsoft.com/office/drawing/2014/chart" uri="{C3380CC4-5D6E-409C-BE32-E72D297353CC}">
                <c16:uniqueId val="{00000014-F419-4C8C-B68A-AF4CED782E9B}"/>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F419-4C8C-B68A-AF4CED782E9B}"/>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F419-4C8C-B68A-AF4CED782E9B}"/>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F419-4C8C-B68A-AF4CED782E9B}"/>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F419-4C8C-B68A-AF4CED782E9B}"/>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F419-4C8C-B68A-AF4CED782E9B}"/>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F419-4C8C-B68A-AF4CED782E9B}"/>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F419-4C8C-B68A-AF4CED782E9B}"/>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F419-4C8C-B68A-AF4CED782E9B}"/>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F419-4C8C-B68A-AF4CED782E9B}"/>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F419-4C8C-B68A-AF4CED782E9B}"/>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F419-4C8C-B68A-AF4CED782E9B}"/>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F419-4C8C-B68A-AF4CED782E9B}"/>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F419-4C8C-B68A-AF4CED782E9B}"/>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F419-4C8C-B68A-AF4CED782E9B}"/>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F419-4C8C-B68A-AF4CED782E9B}"/>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F419-4C8C-B68A-AF4CED782E9B}"/>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F419-4C8C-B68A-AF4CED782E9B}"/>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F419-4C8C-B68A-AF4CED782E9B}"/>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F419-4C8C-B68A-AF4CED782E9B}"/>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F419-4C8C-B68A-AF4CED782E9B}"/>
            </c:ext>
          </c:extLst>
        </c:ser>
        <c:dLbls>
          <c:showLegendKey val="0"/>
          <c:showVal val="0"/>
          <c:showCatName val="0"/>
          <c:showSerName val="0"/>
          <c:showPercent val="0"/>
          <c:showBubbleSize val="0"/>
        </c:dLbls>
        <c:hiLowLines>
          <c:spPr>
            <a:ln w="0">
              <a:noFill/>
            </a:ln>
          </c:spPr>
        </c:hiLowLines>
        <c:smooth val="0"/>
        <c:axId val="19917261"/>
        <c:axId val="35066169"/>
      </c:lineChart>
      <c:catAx>
        <c:axId val="19917261"/>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35066169"/>
        <c:crosses val="autoZero"/>
        <c:auto val="1"/>
        <c:lblAlgn val="ctr"/>
        <c:lblOffset val="100"/>
        <c:noMultiLvlLbl val="0"/>
      </c:catAx>
      <c:valAx>
        <c:axId val="35066169"/>
        <c:scaling>
          <c:orientation val="minMax"/>
        </c:scaling>
        <c:delete val="1"/>
        <c:axPos val="l"/>
        <c:numFmt formatCode="0.0" sourceLinked="1"/>
        <c:majorTickMark val="out"/>
        <c:minorTickMark val="none"/>
        <c:tickLblPos val="nextTo"/>
        <c:crossAx val="19917261"/>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ELS-F Momento mínimo isolado</a:t>
            </a:r>
          </a:p>
        </c:rich>
      </c:tx>
      <c:overlay val="0"/>
      <c:spPr>
        <a:noFill/>
        <a:ln w="0">
          <a:noFill/>
        </a:ln>
      </c:spPr>
    </c:title>
    <c:autoTitleDeleted val="0"/>
    <c:plotArea>
      <c:layout>
        <c:manualLayout>
          <c:layoutTarget val="inner"/>
          <c:xMode val="edge"/>
          <c:yMode val="edge"/>
          <c:x val="1.76824173158306E-2"/>
          <c:y val="0.107078176878962"/>
          <c:w val="0.96835494218173002"/>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cabos'!$BO$124:$BO$144</c:f>
              <c:numCache>
                <c:formatCode>0.0</c:formatCode>
                <c:ptCount val="21"/>
                <c:pt idx="0">
                  <c:v>0</c:v>
                </c:pt>
                <c:pt idx="1">
                  <c:v>1.4971030713843581</c:v>
                </c:pt>
                <c:pt idx="2">
                  <c:v>2.4287734709768367</c:v>
                </c:pt>
                <c:pt idx="3">
                  <c:v>2.7950111987774373</c:v>
                </c:pt>
                <c:pt idx="4">
                  <c:v>-2.8949301393217146</c:v>
                </c:pt>
                <c:pt idx="5">
                  <c:v>-3.348923706718665</c:v>
                </c:pt>
                <c:pt idx="6">
                  <c:v>-4.2775601086543746</c:v>
                </c:pt>
                <c:pt idx="7">
                  <c:v>-5.5065533267007867</c:v>
                </c:pt>
                <c:pt idx="8">
                  <c:v>-4.8426126602381112</c:v>
                </c:pt>
                <c:pt idx="9">
                  <c:v>-4.392077436072066</c:v>
                </c:pt>
                <c:pt idx="10">
                  <c:v>-4.2418990280167179</c:v>
                </c:pt>
                <c:pt idx="11">
                  <c:v>-4.392077436072066</c:v>
                </c:pt>
                <c:pt idx="12">
                  <c:v>-4.8426126602381112</c:v>
                </c:pt>
                <c:pt idx="13">
                  <c:v>-5.5065533267007831</c:v>
                </c:pt>
                <c:pt idx="14">
                  <c:v>-4.2775601086543729</c:v>
                </c:pt>
                <c:pt idx="15">
                  <c:v>-3.3489237067186597</c:v>
                </c:pt>
                <c:pt idx="16">
                  <c:v>-2.8949301393217093</c:v>
                </c:pt>
                <c:pt idx="17">
                  <c:v>2.7950111987774533</c:v>
                </c:pt>
                <c:pt idx="18">
                  <c:v>2.4287734709768545</c:v>
                </c:pt>
                <c:pt idx="19">
                  <c:v>1.4971030713843774</c:v>
                </c:pt>
                <c:pt idx="20">
                  <c:v>0</c:v>
                </c:pt>
              </c:numCache>
            </c:numRef>
          </c:val>
          <c:smooth val="1"/>
          <c:extLst>
            <c:ext xmlns:c16="http://schemas.microsoft.com/office/drawing/2014/chart" uri="{C3380CC4-5D6E-409C-BE32-E72D297353CC}">
              <c16:uniqueId val="{00000000-C7A3-4303-831A-387511A26668}"/>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cabos'!$BO$101:$BO$121</c:f>
              <c:numCache>
                <c:formatCode>0.0</c:formatCode>
                <c:ptCount val="21"/>
                <c:pt idx="0">
                  <c:v>0</c:v>
                </c:pt>
                <c:pt idx="1">
                  <c:v>-0.57371836403524568</c:v>
                </c:pt>
                <c:pt idx="2">
                  <c:v>-0.94252259189468979</c:v>
                </c:pt>
                <c:pt idx="3">
                  <c:v>-0.79357027824306292</c:v>
                </c:pt>
                <c:pt idx="4">
                  <c:v>-2.1255108657957189</c:v>
                </c:pt>
                <c:pt idx="5">
                  <c:v>-3.1709895745905889</c:v>
                </c:pt>
                <c:pt idx="6">
                  <c:v>-4.004805551621418</c:v>
                </c:pt>
                <c:pt idx="7">
                  <c:v>-4.6337075921056847</c:v>
                </c:pt>
                <c:pt idx="8">
                  <c:v>-5.1426254564704799</c:v>
                </c:pt>
                <c:pt idx="9">
                  <c:v>-5.4499963612903217</c:v>
                </c:pt>
                <c:pt idx="10">
                  <c:v>-5.5524533295636047</c:v>
                </c:pt>
                <c:pt idx="11">
                  <c:v>-5.4499963612903217</c:v>
                </c:pt>
                <c:pt idx="12">
                  <c:v>-5.1426254564704799</c:v>
                </c:pt>
                <c:pt idx="13">
                  <c:v>-4.6337075921056847</c:v>
                </c:pt>
                <c:pt idx="14">
                  <c:v>-4.0048055516214207</c:v>
                </c:pt>
                <c:pt idx="15">
                  <c:v>-3.1709895745905925</c:v>
                </c:pt>
                <c:pt idx="16">
                  <c:v>-2.1255108657957225</c:v>
                </c:pt>
                <c:pt idx="17">
                  <c:v>-0.79357027824306747</c:v>
                </c:pt>
                <c:pt idx="18">
                  <c:v>-0.94252259189469567</c:v>
                </c:pt>
                <c:pt idx="19">
                  <c:v>-0.57371836403525212</c:v>
                </c:pt>
                <c:pt idx="20">
                  <c:v>0</c:v>
                </c:pt>
              </c:numCache>
            </c:numRef>
          </c:val>
          <c:smooth val="1"/>
          <c:extLst>
            <c:ext xmlns:c16="http://schemas.microsoft.com/office/drawing/2014/chart" uri="{C3380CC4-5D6E-409C-BE32-E72D297353CC}">
              <c16:uniqueId val="{00000001-C7A3-4303-831A-387511A26668}"/>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C7A3-4303-831A-387511A26668}"/>
              </c:ext>
            </c:extLst>
          </c:dPt>
          <c:dPt>
            <c:idx val="2"/>
            <c:bubble3D val="0"/>
            <c:extLst>
              <c:ext xmlns:c16="http://schemas.microsoft.com/office/drawing/2014/chart" uri="{C3380CC4-5D6E-409C-BE32-E72D297353CC}">
                <c16:uniqueId val="{00000003-C7A3-4303-831A-387511A26668}"/>
              </c:ext>
            </c:extLst>
          </c:dPt>
          <c:dPt>
            <c:idx val="3"/>
            <c:bubble3D val="0"/>
            <c:extLst>
              <c:ext xmlns:c16="http://schemas.microsoft.com/office/drawing/2014/chart" uri="{C3380CC4-5D6E-409C-BE32-E72D297353CC}">
                <c16:uniqueId val="{00000004-C7A3-4303-831A-387511A26668}"/>
              </c:ext>
            </c:extLst>
          </c:dPt>
          <c:dPt>
            <c:idx val="4"/>
            <c:bubble3D val="0"/>
            <c:extLst>
              <c:ext xmlns:c16="http://schemas.microsoft.com/office/drawing/2014/chart" uri="{C3380CC4-5D6E-409C-BE32-E72D297353CC}">
                <c16:uniqueId val="{00000005-C7A3-4303-831A-387511A26668}"/>
              </c:ext>
            </c:extLst>
          </c:dPt>
          <c:dPt>
            <c:idx val="5"/>
            <c:bubble3D val="0"/>
            <c:extLst>
              <c:ext xmlns:c16="http://schemas.microsoft.com/office/drawing/2014/chart" uri="{C3380CC4-5D6E-409C-BE32-E72D297353CC}">
                <c16:uniqueId val="{00000006-C7A3-4303-831A-387511A26668}"/>
              </c:ext>
            </c:extLst>
          </c:dPt>
          <c:dPt>
            <c:idx val="6"/>
            <c:bubble3D val="0"/>
            <c:extLst>
              <c:ext xmlns:c16="http://schemas.microsoft.com/office/drawing/2014/chart" uri="{C3380CC4-5D6E-409C-BE32-E72D297353CC}">
                <c16:uniqueId val="{00000007-C7A3-4303-831A-387511A26668}"/>
              </c:ext>
            </c:extLst>
          </c:dPt>
          <c:dPt>
            <c:idx val="7"/>
            <c:bubble3D val="0"/>
            <c:extLst>
              <c:ext xmlns:c16="http://schemas.microsoft.com/office/drawing/2014/chart" uri="{C3380CC4-5D6E-409C-BE32-E72D297353CC}">
                <c16:uniqueId val="{00000008-C7A3-4303-831A-387511A26668}"/>
              </c:ext>
            </c:extLst>
          </c:dPt>
          <c:dPt>
            <c:idx val="8"/>
            <c:bubble3D val="0"/>
            <c:extLst>
              <c:ext xmlns:c16="http://schemas.microsoft.com/office/drawing/2014/chart" uri="{C3380CC4-5D6E-409C-BE32-E72D297353CC}">
                <c16:uniqueId val="{00000009-C7A3-4303-831A-387511A26668}"/>
              </c:ext>
            </c:extLst>
          </c:dPt>
          <c:dPt>
            <c:idx val="9"/>
            <c:bubble3D val="0"/>
            <c:extLst>
              <c:ext xmlns:c16="http://schemas.microsoft.com/office/drawing/2014/chart" uri="{C3380CC4-5D6E-409C-BE32-E72D297353CC}">
                <c16:uniqueId val="{0000000A-C7A3-4303-831A-387511A26668}"/>
              </c:ext>
            </c:extLst>
          </c:dPt>
          <c:dPt>
            <c:idx val="10"/>
            <c:bubble3D val="0"/>
            <c:extLst>
              <c:ext xmlns:c16="http://schemas.microsoft.com/office/drawing/2014/chart" uri="{C3380CC4-5D6E-409C-BE32-E72D297353CC}">
                <c16:uniqueId val="{0000000B-C7A3-4303-831A-387511A26668}"/>
              </c:ext>
            </c:extLst>
          </c:dPt>
          <c:dPt>
            <c:idx val="11"/>
            <c:bubble3D val="0"/>
            <c:extLst>
              <c:ext xmlns:c16="http://schemas.microsoft.com/office/drawing/2014/chart" uri="{C3380CC4-5D6E-409C-BE32-E72D297353CC}">
                <c16:uniqueId val="{0000000C-C7A3-4303-831A-387511A26668}"/>
              </c:ext>
            </c:extLst>
          </c:dPt>
          <c:dPt>
            <c:idx val="12"/>
            <c:bubble3D val="0"/>
            <c:extLst>
              <c:ext xmlns:c16="http://schemas.microsoft.com/office/drawing/2014/chart" uri="{C3380CC4-5D6E-409C-BE32-E72D297353CC}">
                <c16:uniqueId val="{0000000D-C7A3-4303-831A-387511A26668}"/>
              </c:ext>
            </c:extLst>
          </c:dPt>
          <c:dPt>
            <c:idx val="13"/>
            <c:bubble3D val="0"/>
            <c:extLst>
              <c:ext xmlns:c16="http://schemas.microsoft.com/office/drawing/2014/chart" uri="{C3380CC4-5D6E-409C-BE32-E72D297353CC}">
                <c16:uniqueId val="{0000000E-C7A3-4303-831A-387511A26668}"/>
              </c:ext>
            </c:extLst>
          </c:dPt>
          <c:dPt>
            <c:idx val="14"/>
            <c:bubble3D val="0"/>
            <c:extLst>
              <c:ext xmlns:c16="http://schemas.microsoft.com/office/drawing/2014/chart" uri="{C3380CC4-5D6E-409C-BE32-E72D297353CC}">
                <c16:uniqueId val="{0000000F-C7A3-4303-831A-387511A26668}"/>
              </c:ext>
            </c:extLst>
          </c:dPt>
          <c:dPt>
            <c:idx val="15"/>
            <c:bubble3D val="0"/>
            <c:extLst>
              <c:ext xmlns:c16="http://schemas.microsoft.com/office/drawing/2014/chart" uri="{C3380CC4-5D6E-409C-BE32-E72D297353CC}">
                <c16:uniqueId val="{00000010-C7A3-4303-831A-387511A26668}"/>
              </c:ext>
            </c:extLst>
          </c:dPt>
          <c:dPt>
            <c:idx val="16"/>
            <c:bubble3D val="0"/>
            <c:extLst>
              <c:ext xmlns:c16="http://schemas.microsoft.com/office/drawing/2014/chart" uri="{C3380CC4-5D6E-409C-BE32-E72D297353CC}">
                <c16:uniqueId val="{00000011-C7A3-4303-831A-387511A26668}"/>
              </c:ext>
            </c:extLst>
          </c:dPt>
          <c:dPt>
            <c:idx val="17"/>
            <c:bubble3D val="0"/>
            <c:extLst>
              <c:ext xmlns:c16="http://schemas.microsoft.com/office/drawing/2014/chart" uri="{C3380CC4-5D6E-409C-BE32-E72D297353CC}">
                <c16:uniqueId val="{00000012-C7A3-4303-831A-387511A26668}"/>
              </c:ext>
            </c:extLst>
          </c:dPt>
          <c:dPt>
            <c:idx val="18"/>
            <c:bubble3D val="0"/>
            <c:extLst>
              <c:ext xmlns:c16="http://schemas.microsoft.com/office/drawing/2014/chart" uri="{C3380CC4-5D6E-409C-BE32-E72D297353CC}">
                <c16:uniqueId val="{00000013-C7A3-4303-831A-387511A26668}"/>
              </c:ext>
            </c:extLst>
          </c:dPt>
          <c:dPt>
            <c:idx val="19"/>
            <c:bubble3D val="0"/>
            <c:extLst>
              <c:ext xmlns:c16="http://schemas.microsoft.com/office/drawing/2014/chart" uri="{C3380CC4-5D6E-409C-BE32-E72D297353CC}">
                <c16:uniqueId val="{00000014-C7A3-4303-831A-387511A26668}"/>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C7A3-4303-831A-387511A26668}"/>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C7A3-4303-831A-387511A26668}"/>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C7A3-4303-831A-387511A26668}"/>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C7A3-4303-831A-387511A26668}"/>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C7A3-4303-831A-387511A26668}"/>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C7A3-4303-831A-387511A26668}"/>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C7A3-4303-831A-387511A26668}"/>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C7A3-4303-831A-387511A26668}"/>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C7A3-4303-831A-387511A26668}"/>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C7A3-4303-831A-387511A26668}"/>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C7A3-4303-831A-387511A26668}"/>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C7A3-4303-831A-387511A26668}"/>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C7A3-4303-831A-387511A26668}"/>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C7A3-4303-831A-387511A26668}"/>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C7A3-4303-831A-387511A26668}"/>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C7A3-4303-831A-387511A26668}"/>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C7A3-4303-831A-387511A26668}"/>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C7A3-4303-831A-387511A26668}"/>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C7A3-4303-831A-387511A26668}"/>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C7A3-4303-831A-387511A26668}"/>
            </c:ext>
          </c:extLst>
        </c:ser>
        <c:dLbls>
          <c:showLegendKey val="0"/>
          <c:showVal val="0"/>
          <c:showCatName val="0"/>
          <c:showSerName val="0"/>
          <c:showPercent val="0"/>
          <c:showBubbleSize val="0"/>
        </c:dLbls>
        <c:hiLowLines>
          <c:spPr>
            <a:ln w="0">
              <a:noFill/>
            </a:ln>
          </c:spPr>
        </c:hiLowLines>
        <c:smooth val="0"/>
        <c:axId val="35211445"/>
        <c:axId val="90782493"/>
      </c:lineChart>
      <c:catAx>
        <c:axId val="35211445"/>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90782493"/>
        <c:crosses val="autoZero"/>
        <c:auto val="1"/>
        <c:lblAlgn val="ctr"/>
        <c:lblOffset val="100"/>
        <c:noMultiLvlLbl val="0"/>
      </c:catAx>
      <c:valAx>
        <c:axId val="90782493"/>
        <c:scaling>
          <c:orientation val="minMax"/>
        </c:scaling>
        <c:delete val="1"/>
        <c:axPos val="l"/>
        <c:numFmt formatCode="0.0" sourceLinked="1"/>
        <c:majorTickMark val="out"/>
        <c:minorTickMark val="none"/>
        <c:tickLblPos val="nextTo"/>
        <c:crossAx val="35211445"/>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 - IÇAMENTO - isolado</a:t>
            </a:r>
          </a:p>
        </c:rich>
      </c:tx>
      <c:overlay val="0"/>
      <c:spPr>
        <a:noFill/>
        <a:ln w="0">
          <a:noFill/>
        </a:ln>
      </c:spPr>
    </c:title>
    <c:autoTitleDeleted val="0"/>
    <c:plotArea>
      <c:layout>
        <c:manualLayout>
          <c:layoutTarget val="inner"/>
          <c:xMode val="edge"/>
          <c:yMode val="edge"/>
          <c:x val="5.5526315789473698E-3"/>
          <c:y val="6.6780968709815702E-2"/>
          <c:w val="0.99068421052631594"/>
          <c:h val="0.87561080154307802"/>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cabos'!$U$175:$U$195</c:f>
              <c:numCache>
                <c:formatCode>0.0</c:formatCode>
                <c:ptCount val="21"/>
                <c:pt idx="0">
                  <c:v>0</c:v>
                </c:pt>
                <c:pt idx="1">
                  <c:v>-4.2168786119730894</c:v>
                </c:pt>
                <c:pt idx="2">
                  <c:v>-8.8925880615846005</c:v>
                </c:pt>
                <c:pt idx="3">
                  <c:v>-13.568297511196109</c:v>
                </c:pt>
                <c:pt idx="4">
                  <c:v>-13.546977227117871</c:v>
                </c:pt>
                <c:pt idx="5">
                  <c:v>-15.687731076426157</c:v>
                </c:pt>
                <c:pt idx="6">
                  <c:v>-18.075932653910744</c:v>
                </c:pt>
                <c:pt idx="7">
                  <c:v>-20.512432214304638</c:v>
                </c:pt>
                <c:pt idx="8">
                  <c:v>-20.491043155466983</c:v>
                </c:pt>
                <c:pt idx="9">
                  <c:v>-20.41859618110302</c:v>
                </c:pt>
                <c:pt idx="10">
                  <c:v>-20.394447189648368</c:v>
                </c:pt>
                <c:pt idx="11">
                  <c:v>-20.41859618110302</c:v>
                </c:pt>
                <c:pt idx="12">
                  <c:v>-20.491043155466983</c:v>
                </c:pt>
                <c:pt idx="13">
                  <c:v>-20.512432214304635</c:v>
                </c:pt>
                <c:pt idx="14">
                  <c:v>-18.075932653910744</c:v>
                </c:pt>
                <c:pt idx="15">
                  <c:v>-15.687731076426157</c:v>
                </c:pt>
                <c:pt idx="16">
                  <c:v>-13.546977227117871</c:v>
                </c:pt>
                <c:pt idx="17">
                  <c:v>-13.568297511196109</c:v>
                </c:pt>
                <c:pt idx="18">
                  <c:v>-8.8925880615846005</c:v>
                </c:pt>
                <c:pt idx="19">
                  <c:v>-4.2168786119730903</c:v>
                </c:pt>
                <c:pt idx="20">
                  <c:v>0</c:v>
                </c:pt>
              </c:numCache>
            </c:numRef>
          </c:val>
          <c:smooth val="1"/>
          <c:extLst>
            <c:ext xmlns:c16="http://schemas.microsoft.com/office/drawing/2014/chart" uri="{C3380CC4-5D6E-409C-BE32-E72D297353CC}">
              <c16:uniqueId val="{00000000-ED5E-454A-85DA-4C36BAE3431F}"/>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cabos'!$U$152:$U$172</c:f>
              <c:numCache>
                <c:formatCode>0.0</c:formatCode>
                <c:ptCount val="21"/>
                <c:pt idx="0">
                  <c:v>0</c:v>
                </c:pt>
                <c:pt idx="1">
                  <c:v>1.3242798232040121</c:v>
                </c:pt>
                <c:pt idx="2">
                  <c:v>2.9811588161953799</c:v>
                </c:pt>
                <c:pt idx="3">
                  <c:v>5.1243884247334117</c:v>
                </c:pt>
                <c:pt idx="4">
                  <c:v>4.89682057172101</c:v>
                </c:pt>
                <c:pt idx="5">
                  <c:v>4.7697650455906695</c:v>
                </c:pt>
                <c:pt idx="6">
                  <c:v>4.683140804285209</c:v>
                </c:pt>
                <c:pt idx="7">
                  <c:v>4.6315270019047325</c:v>
                </c:pt>
                <c:pt idx="8">
                  <c:v>4.5467053670757336</c:v>
                </c:pt>
                <c:pt idx="9">
                  <c:v>4.4941897086882561</c:v>
                </c:pt>
                <c:pt idx="10">
                  <c:v>4.4766844892257636</c:v>
                </c:pt>
                <c:pt idx="11">
                  <c:v>4.4941897086882561</c:v>
                </c:pt>
                <c:pt idx="12">
                  <c:v>4.5467053670757336</c:v>
                </c:pt>
                <c:pt idx="13">
                  <c:v>4.6315270019047325</c:v>
                </c:pt>
                <c:pt idx="14">
                  <c:v>4.6831408042852107</c:v>
                </c:pt>
                <c:pt idx="15">
                  <c:v>4.7697650455906713</c:v>
                </c:pt>
                <c:pt idx="16">
                  <c:v>4.89682057172101</c:v>
                </c:pt>
                <c:pt idx="17">
                  <c:v>5.1243884247334126</c:v>
                </c:pt>
                <c:pt idx="18">
                  <c:v>2.9811588161953799</c:v>
                </c:pt>
                <c:pt idx="19">
                  <c:v>1.3242798232040121</c:v>
                </c:pt>
                <c:pt idx="20">
                  <c:v>0</c:v>
                </c:pt>
              </c:numCache>
            </c:numRef>
          </c:val>
          <c:smooth val="1"/>
          <c:extLst>
            <c:ext xmlns:c16="http://schemas.microsoft.com/office/drawing/2014/chart" uri="{C3380CC4-5D6E-409C-BE32-E72D297353CC}">
              <c16:uniqueId val="{00000001-ED5E-454A-85DA-4C36BAE3431F}"/>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ED5E-454A-85DA-4C36BAE3431F}"/>
              </c:ext>
            </c:extLst>
          </c:dPt>
          <c:dPt>
            <c:idx val="2"/>
            <c:bubble3D val="0"/>
            <c:extLst>
              <c:ext xmlns:c16="http://schemas.microsoft.com/office/drawing/2014/chart" uri="{C3380CC4-5D6E-409C-BE32-E72D297353CC}">
                <c16:uniqueId val="{00000003-ED5E-454A-85DA-4C36BAE3431F}"/>
              </c:ext>
            </c:extLst>
          </c:dPt>
          <c:dPt>
            <c:idx val="3"/>
            <c:bubble3D val="0"/>
            <c:extLst>
              <c:ext xmlns:c16="http://schemas.microsoft.com/office/drawing/2014/chart" uri="{C3380CC4-5D6E-409C-BE32-E72D297353CC}">
                <c16:uniqueId val="{00000004-ED5E-454A-85DA-4C36BAE3431F}"/>
              </c:ext>
            </c:extLst>
          </c:dPt>
          <c:dPt>
            <c:idx val="4"/>
            <c:bubble3D val="0"/>
            <c:extLst>
              <c:ext xmlns:c16="http://schemas.microsoft.com/office/drawing/2014/chart" uri="{C3380CC4-5D6E-409C-BE32-E72D297353CC}">
                <c16:uniqueId val="{00000005-ED5E-454A-85DA-4C36BAE3431F}"/>
              </c:ext>
            </c:extLst>
          </c:dPt>
          <c:dPt>
            <c:idx val="5"/>
            <c:bubble3D val="0"/>
            <c:extLst>
              <c:ext xmlns:c16="http://schemas.microsoft.com/office/drawing/2014/chart" uri="{C3380CC4-5D6E-409C-BE32-E72D297353CC}">
                <c16:uniqueId val="{00000006-ED5E-454A-85DA-4C36BAE3431F}"/>
              </c:ext>
            </c:extLst>
          </c:dPt>
          <c:dPt>
            <c:idx val="6"/>
            <c:bubble3D val="0"/>
            <c:extLst>
              <c:ext xmlns:c16="http://schemas.microsoft.com/office/drawing/2014/chart" uri="{C3380CC4-5D6E-409C-BE32-E72D297353CC}">
                <c16:uniqueId val="{00000007-ED5E-454A-85DA-4C36BAE3431F}"/>
              </c:ext>
            </c:extLst>
          </c:dPt>
          <c:dPt>
            <c:idx val="7"/>
            <c:bubble3D val="0"/>
            <c:extLst>
              <c:ext xmlns:c16="http://schemas.microsoft.com/office/drawing/2014/chart" uri="{C3380CC4-5D6E-409C-BE32-E72D297353CC}">
                <c16:uniqueId val="{00000008-ED5E-454A-85DA-4C36BAE3431F}"/>
              </c:ext>
            </c:extLst>
          </c:dPt>
          <c:dPt>
            <c:idx val="8"/>
            <c:bubble3D val="0"/>
            <c:extLst>
              <c:ext xmlns:c16="http://schemas.microsoft.com/office/drawing/2014/chart" uri="{C3380CC4-5D6E-409C-BE32-E72D297353CC}">
                <c16:uniqueId val="{00000009-ED5E-454A-85DA-4C36BAE3431F}"/>
              </c:ext>
            </c:extLst>
          </c:dPt>
          <c:dPt>
            <c:idx val="9"/>
            <c:bubble3D val="0"/>
            <c:extLst>
              <c:ext xmlns:c16="http://schemas.microsoft.com/office/drawing/2014/chart" uri="{C3380CC4-5D6E-409C-BE32-E72D297353CC}">
                <c16:uniqueId val="{0000000A-ED5E-454A-85DA-4C36BAE3431F}"/>
              </c:ext>
            </c:extLst>
          </c:dPt>
          <c:dPt>
            <c:idx val="10"/>
            <c:bubble3D val="0"/>
            <c:extLst>
              <c:ext xmlns:c16="http://schemas.microsoft.com/office/drawing/2014/chart" uri="{C3380CC4-5D6E-409C-BE32-E72D297353CC}">
                <c16:uniqueId val="{0000000B-ED5E-454A-85DA-4C36BAE3431F}"/>
              </c:ext>
            </c:extLst>
          </c:dPt>
          <c:dPt>
            <c:idx val="11"/>
            <c:bubble3D val="0"/>
            <c:extLst>
              <c:ext xmlns:c16="http://schemas.microsoft.com/office/drawing/2014/chart" uri="{C3380CC4-5D6E-409C-BE32-E72D297353CC}">
                <c16:uniqueId val="{0000000C-ED5E-454A-85DA-4C36BAE3431F}"/>
              </c:ext>
            </c:extLst>
          </c:dPt>
          <c:dPt>
            <c:idx val="12"/>
            <c:bubble3D val="0"/>
            <c:extLst>
              <c:ext xmlns:c16="http://schemas.microsoft.com/office/drawing/2014/chart" uri="{C3380CC4-5D6E-409C-BE32-E72D297353CC}">
                <c16:uniqueId val="{0000000D-ED5E-454A-85DA-4C36BAE3431F}"/>
              </c:ext>
            </c:extLst>
          </c:dPt>
          <c:dPt>
            <c:idx val="13"/>
            <c:bubble3D val="0"/>
            <c:extLst>
              <c:ext xmlns:c16="http://schemas.microsoft.com/office/drawing/2014/chart" uri="{C3380CC4-5D6E-409C-BE32-E72D297353CC}">
                <c16:uniqueId val="{0000000E-ED5E-454A-85DA-4C36BAE3431F}"/>
              </c:ext>
            </c:extLst>
          </c:dPt>
          <c:dPt>
            <c:idx val="14"/>
            <c:bubble3D val="0"/>
            <c:extLst>
              <c:ext xmlns:c16="http://schemas.microsoft.com/office/drawing/2014/chart" uri="{C3380CC4-5D6E-409C-BE32-E72D297353CC}">
                <c16:uniqueId val="{0000000F-ED5E-454A-85DA-4C36BAE3431F}"/>
              </c:ext>
            </c:extLst>
          </c:dPt>
          <c:dPt>
            <c:idx val="15"/>
            <c:bubble3D val="0"/>
            <c:extLst>
              <c:ext xmlns:c16="http://schemas.microsoft.com/office/drawing/2014/chart" uri="{C3380CC4-5D6E-409C-BE32-E72D297353CC}">
                <c16:uniqueId val="{00000010-ED5E-454A-85DA-4C36BAE3431F}"/>
              </c:ext>
            </c:extLst>
          </c:dPt>
          <c:dPt>
            <c:idx val="16"/>
            <c:bubble3D val="0"/>
            <c:extLst>
              <c:ext xmlns:c16="http://schemas.microsoft.com/office/drawing/2014/chart" uri="{C3380CC4-5D6E-409C-BE32-E72D297353CC}">
                <c16:uniqueId val="{00000011-ED5E-454A-85DA-4C36BAE3431F}"/>
              </c:ext>
            </c:extLst>
          </c:dPt>
          <c:dPt>
            <c:idx val="17"/>
            <c:bubble3D val="0"/>
            <c:extLst>
              <c:ext xmlns:c16="http://schemas.microsoft.com/office/drawing/2014/chart" uri="{C3380CC4-5D6E-409C-BE32-E72D297353CC}">
                <c16:uniqueId val="{00000012-ED5E-454A-85DA-4C36BAE3431F}"/>
              </c:ext>
            </c:extLst>
          </c:dPt>
          <c:dPt>
            <c:idx val="18"/>
            <c:bubble3D val="0"/>
            <c:extLst>
              <c:ext xmlns:c16="http://schemas.microsoft.com/office/drawing/2014/chart" uri="{C3380CC4-5D6E-409C-BE32-E72D297353CC}">
                <c16:uniqueId val="{00000013-ED5E-454A-85DA-4C36BAE3431F}"/>
              </c:ext>
            </c:extLst>
          </c:dPt>
          <c:dPt>
            <c:idx val="19"/>
            <c:bubble3D val="0"/>
            <c:extLst>
              <c:ext xmlns:c16="http://schemas.microsoft.com/office/drawing/2014/chart" uri="{C3380CC4-5D6E-409C-BE32-E72D297353CC}">
                <c16:uniqueId val="{00000014-ED5E-454A-85DA-4C36BAE3431F}"/>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ED5E-454A-85DA-4C36BAE3431F}"/>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ED5E-454A-85DA-4C36BAE3431F}"/>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ED5E-454A-85DA-4C36BAE3431F}"/>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ED5E-454A-85DA-4C36BAE3431F}"/>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ED5E-454A-85DA-4C36BAE3431F}"/>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ED5E-454A-85DA-4C36BAE3431F}"/>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ED5E-454A-85DA-4C36BAE3431F}"/>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ED5E-454A-85DA-4C36BAE3431F}"/>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ED5E-454A-85DA-4C36BAE3431F}"/>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ED5E-454A-85DA-4C36BAE3431F}"/>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ED5E-454A-85DA-4C36BAE3431F}"/>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ED5E-454A-85DA-4C36BAE3431F}"/>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ED5E-454A-85DA-4C36BAE3431F}"/>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ED5E-454A-85DA-4C36BAE3431F}"/>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ED5E-454A-85DA-4C36BAE3431F}"/>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ED5E-454A-85DA-4C36BAE3431F}"/>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ED5E-454A-85DA-4C36BAE3431F}"/>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ED5E-454A-85DA-4C36BAE3431F}"/>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ED5E-454A-85DA-4C36BAE3431F}"/>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ED5E-454A-85DA-4C36BAE3431F}"/>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ED5E-454A-85DA-4C36BAE3431F}"/>
              </c:ext>
            </c:extLst>
          </c:dPt>
          <c:dPt>
            <c:idx val="2"/>
            <c:bubble3D val="0"/>
            <c:extLst>
              <c:ext xmlns:c16="http://schemas.microsoft.com/office/drawing/2014/chart" uri="{C3380CC4-5D6E-409C-BE32-E72D297353CC}">
                <c16:uniqueId val="{00000017-ED5E-454A-85DA-4C36BAE3431F}"/>
              </c:ext>
            </c:extLst>
          </c:dPt>
          <c:dPt>
            <c:idx val="3"/>
            <c:bubble3D val="0"/>
            <c:extLst>
              <c:ext xmlns:c16="http://schemas.microsoft.com/office/drawing/2014/chart" uri="{C3380CC4-5D6E-409C-BE32-E72D297353CC}">
                <c16:uniqueId val="{00000018-ED5E-454A-85DA-4C36BAE3431F}"/>
              </c:ext>
            </c:extLst>
          </c:dPt>
          <c:dPt>
            <c:idx val="4"/>
            <c:bubble3D val="0"/>
            <c:extLst>
              <c:ext xmlns:c16="http://schemas.microsoft.com/office/drawing/2014/chart" uri="{C3380CC4-5D6E-409C-BE32-E72D297353CC}">
                <c16:uniqueId val="{00000019-ED5E-454A-85DA-4C36BAE3431F}"/>
              </c:ext>
            </c:extLst>
          </c:dPt>
          <c:dPt>
            <c:idx val="5"/>
            <c:bubble3D val="0"/>
            <c:extLst>
              <c:ext xmlns:c16="http://schemas.microsoft.com/office/drawing/2014/chart" uri="{C3380CC4-5D6E-409C-BE32-E72D297353CC}">
                <c16:uniqueId val="{0000001A-ED5E-454A-85DA-4C36BAE3431F}"/>
              </c:ext>
            </c:extLst>
          </c:dPt>
          <c:dPt>
            <c:idx val="6"/>
            <c:bubble3D val="0"/>
            <c:extLst>
              <c:ext xmlns:c16="http://schemas.microsoft.com/office/drawing/2014/chart" uri="{C3380CC4-5D6E-409C-BE32-E72D297353CC}">
                <c16:uniqueId val="{0000001B-ED5E-454A-85DA-4C36BAE3431F}"/>
              </c:ext>
            </c:extLst>
          </c:dPt>
          <c:dPt>
            <c:idx val="7"/>
            <c:bubble3D val="0"/>
            <c:extLst>
              <c:ext xmlns:c16="http://schemas.microsoft.com/office/drawing/2014/chart" uri="{C3380CC4-5D6E-409C-BE32-E72D297353CC}">
                <c16:uniqueId val="{0000001C-ED5E-454A-85DA-4C36BAE3431F}"/>
              </c:ext>
            </c:extLst>
          </c:dPt>
          <c:dPt>
            <c:idx val="8"/>
            <c:bubble3D val="0"/>
            <c:extLst>
              <c:ext xmlns:c16="http://schemas.microsoft.com/office/drawing/2014/chart" uri="{C3380CC4-5D6E-409C-BE32-E72D297353CC}">
                <c16:uniqueId val="{0000001D-ED5E-454A-85DA-4C36BAE3431F}"/>
              </c:ext>
            </c:extLst>
          </c:dPt>
          <c:dPt>
            <c:idx val="9"/>
            <c:bubble3D val="0"/>
            <c:extLst>
              <c:ext xmlns:c16="http://schemas.microsoft.com/office/drawing/2014/chart" uri="{C3380CC4-5D6E-409C-BE32-E72D297353CC}">
                <c16:uniqueId val="{0000001E-ED5E-454A-85DA-4C36BAE3431F}"/>
              </c:ext>
            </c:extLst>
          </c:dPt>
          <c:dPt>
            <c:idx val="10"/>
            <c:bubble3D val="0"/>
            <c:extLst>
              <c:ext xmlns:c16="http://schemas.microsoft.com/office/drawing/2014/chart" uri="{C3380CC4-5D6E-409C-BE32-E72D297353CC}">
                <c16:uniqueId val="{0000001F-ED5E-454A-85DA-4C36BAE3431F}"/>
              </c:ext>
            </c:extLst>
          </c:dPt>
          <c:dPt>
            <c:idx val="11"/>
            <c:bubble3D val="0"/>
            <c:extLst>
              <c:ext xmlns:c16="http://schemas.microsoft.com/office/drawing/2014/chart" uri="{C3380CC4-5D6E-409C-BE32-E72D297353CC}">
                <c16:uniqueId val="{00000020-ED5E-454A-85DA-4C36BAE3431F}"/>
              </c:ext>
            </c:extLst>
          </c:dPt>
          <c:dPt>
            <c:idx val="12"/>
            <c:bubble3D val="0"/>
            <c:extLst>
              <c:ext xmlns:c16="http://schemas.microsoft.com/office/drawing/2014/chart" uri="{C3380CC4-5D6E-409C-BE32-E72D297353CC}">
                <c16:uniqueId val="{00000021-ED5E-454A-85DA-4C36BAE3431F}"/>
              </c:ext>
            </c:extLst>
          </c:dPt>
          <c:dPt>
            <c:idx val="13"/>
            <c:bubble3D val="0"/>
            <c:extLst>
              <c:ext xmlns:c16="http://schemas.microsoft.com/office/drawing/2014/chart" uri="{C3380CC4-5D6E-409C-BE32-E72D297353CC}">
                <c16:uniqueId val="{00000022-ED5E-454A-85DA-4C36BAE3431F}"/>
              </c:ext>
            </c:extLst>
          </c:dPt>
          <c:dPt>
            <c:idx val="14"/>
            <c:bubble3D val="0"/>
            <c:extLst>
              <c:ext xmlns:c16="http://schemas.microsoft.com/office/drawing/2014/chart" uri="{C3380CC4-5D6E-409C-BE32-E72D297353CC}">
                <c16:uniqueId val="{00000023-ED5E-454A-85DA-4C36BAE3431F}"/>
              </c:ext>
            </c:extLst>
          </c:dPt>
          <c:dPt>
            <c:idx val="15"/>
            <c:bubble3D val="0"/>
            <c:extLst>
              <c:ext xmlns:c16="http://schemas.microsoft.com/office/drawing/2014/chart" uri="{C3380CC4-5D6E-409C-BE32-E72D297353CC}">
                <c16:uniqueId val="{00000024-ED5E-454A-85DA-4C36BAE3431F}"/>
              </c:ext>
            </c:extLst>
          </c:dPt>
          <c:dPt>
            <c:idx val="16"/>
            <c:bubble3D val="0"/>
            <c:extLst>
              <c:ext xmlns:c16="http://schemas.microsoft.com/office/drawing/2014/chart" uri="{C3380CC4-5D6E-409C-BE32-E72D297353CC}">
                <c16:uniqueId val="{00000025-ED5E-454A-85DA-4C36BAE3431F}"/>
              </c:ext>
            </c:extLst>
          </c:dPt>
          <c:dPt>
            <c:idx val="17"/>
            <c:bubble3D val="0"/>
            <c:extLst>
              <c:ext xmlns:c16="http://schemas.microsoft.com/office/drawing/2014/chart" uri="{C3380CC4-5D6E-409C-BE32-E72D297353CC}">
                <c16:uniqueId val="{00000026-ED5E-454A-85DA-4C36BAE3431F}"/>
              </c:ext>
            </c:extLst>
          </c:dPt>
          <c:dPt>
            <c:idx val="18"/>
            <c:bubble3D val="0"/>
            <c:extLst>
              <c:ext xmlns:c16="http://schemas.microsoft.com/office/drawing/2014/chart" uri="{C3380CC4-5D6E-409C-BE32-E72D297353CC}">
                <c16:uniqueId val="{00000027-ED5E-454A-85DA-4C36BAE3431F}"/>
              </c:ext>
            </c:extLst>
          </c:dPt>
          <c:dPt>
            <c:idx val="19"/>
            <c:bubble3D val="0"/>
            <c:extLst>
              <c:ext xmlns:c16="http://schemas.microsoft.com/office/drawing/2014/chart" uri="{C3380CC4-5D6E-409C-BE32-E72D297353CC}">
                <c16:uniqueId val="{00000028-ED5E-454A-85DA-4C36BAE3431F}"/>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ED5E-454A-85DA-4C36BAE3431F}"/>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ED5E-454A-85DA-4C36BAE3431F}"/>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ED5E-454A-85DA-4C36BAE3431F}"/>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ED5E-454A-85DA-4C36BAE3431F}"/>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ED5E-454A-85DA-4C36BAE3431F}"/>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ED5E-454A-85DA-4C36BAE3431F}"/>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ED5E-454A-85DA-4C36BAE3431F}"/>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ED5E-454A-85DA-4C36BAE3431F}"/>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ED5E-454A-85DA-4C36BAE3431F}"/>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ED5E-454A-85DA-4C36BAE3431F}"/>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ED5E-454A-85DA-4C36BAE3431F}"/>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ED5E-454A-85DA-4C36BAE3431F}"/>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ED5E-454A-85DA-4C36BAE3431F}"/>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ED5E-454A-85DA-4C36BAE3431F}"/>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ED5E-454A-85DA-4C36BAE3431F}"/>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ED5E-454A-85DA-4C36BAE3431F}"/>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ED5E-454A-85DA-4C36BAE3431F}"/>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ED5E-454A-85DA-4C36BAE3431F}"/>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ED5E-454A-85DA-4C36BAE3431F}"/>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ED5E-454A-85DA-4C36BAE3431F}"/>
            </c:ext>
          </c:extLst>
        </c:ser>
        <c:dLbls>
          <c:showLegendKey val="0"/>
          <c:showVal val="0"/>
          <c:showCatName val="0"/>
          <c:showSerName val="0"/>
          <c:showPercent val="0"/>
          <c:showBubbleSize val="0"/>
        </c:dLbls>
        <c:hiLowLines>
          <c:spPr>
            <a:ln w="0">
              <a:noFill/>
            </a:ln>
          </c:spPr>
        </c:hiLowLines>
        <c:smooth val="0"/>
        <c:axId val="94552952"/>
        <c:axId val="77863793"/>
      </c:lineChart>
      <c:catAx>
        <c:axId val="94552952"/>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77863793"/>
        <c:crosses val="autoZero"/>
        <c:auto val="1"/>
        <c:lblAlgn val="ctr"/>
        <c:lblOffset val="100"/>
        <c:noMultiLvlLbl val="0"/>
      </c:catAx>
      <c:valAx>
        <c:axId val="77863793"/>
        <c:scaling>
          <c:orientation val="minMax"/>
        </c:scaling>
        <c:delete val="1"/>
        <c:axPos val="l"/>
        <c:numFmt formatCode="0.0" sourceLinked="1"/>
        <c:majorTickMark val="out"/>
        <c:minorTickMark val="none"/>
        <c:tickLblPos val="nextTo"/>
        <c:crossAx val="94552952"/>
        <c:crosses val="autoZero"/>
        <c:crossBetween val="between"/>
      </c:valAx>
      <c:spPr>
        <a:noFill/>
        <a:ln w="25560">
          <a:noFill/>
        </a:ln>
      </c:spPr>
    </c:plotArea>
    <c:plotVisOnly val="1"/>
    <c:dispBlanksAs val="gap"/>
    <c:showDLblsOverMax val="1"/>
  </c:chart>
  <c:spPr>
    <a:solidFill>
      <a:srgbClr val="FFFFFF"/>
    </a:solidFill>
    <a:ln w="9360">
      <a:noFill/>
    </a:ln>
  </c:sp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Cargas permanentes distribuídas (kN/m)</a:t>
            </a:r>
          </a:p>
        </c:rich>
      </c:tx>
      <c:layout>
        <c:manualLayout>
          <c:xMode val="edge"/>
          <c:yMode val="edge"/>
          <c:x val="0.32789997559057299"/>
          <c:y val="0"/>
        </c:manualLayout>
      </c:layout>
      <c:overlay val="0"/>
      <c:spPr>
        <a:noFill/>
        <a:ln w="0">
          <a:noFill/>
        </a:ln>
      </c:spPr>
    </c:title>
    <c:autoTitleDeleted val="0"/>
    <c:plotArea>
      <c:layout>
        <c:manualLayout>
          <c:layoutTarget val="inner"/>
          <c:xMode val="edge"/>
          <c:yMode val="edge"/>
          <c:x val="1.6788261777548798E-2"/>
          <c:y val="0.46979865771812102"/>
          <c:w val="0.96620650375633998"/>
          <c:h val="0.49725442342892001"/>
        </c:manualLayout>
      </c:layout>
      <c:scatterChart>
        <c:scatterStyle val="lineMarker"/>
        <c:varyColors val="0"/>
        <c:ser>
          <c:idx val="0"/>
          <c:order val="0"/>
          <c:spPr>
            <a:ln w="12600">
              <a:solidFill>
                <a:srgbClr val="156082"/>
              </a:solidFill>
              <a:round/>
            </a:ln>
          </c:spPr>
          <c:marker>
            <c:symbol val="none"/>
          </c:marker>
          <c:dPt>
            <c:idx val="0"/>
            <c:bubble3D val="0"/>
            <c:extLst>
              <c:ext xmlns:c16="http://schemas.microsoft.com/office/drawing/2014/chart" uri="{C3380CC4-5D6E-409C-BE32-E72D297353CC}">
                <c16:uniqueId val="{00000000-430B-4B23-A0A0-44ED9CC1DDF4}"/>
              </c:ext>
            </c:extLst>
          </c:dPt>
          <c:dPt>
            <c:idx val="3"/>
            <c:bubble3D val="0"/>
            <c:extLst>
              <c:ext xmlns:c16="http://schemas.microsoft.com/office/drawing/2014/chart" uri="{C3380CC4-5D6E-409C-BE32-E72D297353CC}">
                <c16:uniqueId val="{00000001-430B-4B23-A0A0-44ED9CC1DDF4}"/>
              </c:ext>
            </c:extLst>
          </c:dPt>
          <c:dPt>
            <c:idx val="6"/>
            <c:bubble3D val="0"/>
            <c:extLst>
              <c:ext xmlns:c16="http://schemas.microsoft.com/office/drawing/2014/chart" uri="{C3380CC4-5D6E-409C-BE32-E72D297353CC}">
                <c16:uniqueId val="{00000002-430B-4B23-A0A0-44ED9CC1DDF4}"/>
              </c:ext>
            </c:extLst>
          </c:dPt>
          <c:dPt>
            <c:idx val="9"/>
            <c:bubble3D val="0"/>
            <c:extLst>
              <c:ext xmlns:c16="http://schemas.microsoft.com/office/drawing/2014/chart" uri="{C3380CC4-5D6E-409C-BE32-E72D297353CC}">
                <c16:uniqueId val="{00000003-430B-4B23-A0A0-44ED9CC1DDF4}"/>
              </c:ext>
            </c:extLst>
          </c:dPt>
          <c:dPt>
            <c:idx val="12"/>
            <c:bubble3D val="0"/>
            <c:extLst>
              <c:ext xmlns:c16="http://schemas.microsoft.com/office/drawing/2014/chart" uri="{C3380CC4-5D6E-409C-BE32-E72D297353CC}">
                <c16:uniqueId val="{00000004-430B-4B23-A0A0-44ED9CC1DDF4}"/>
              </c:ext>
            </c:extLst>
          </c:dPt>
          <c:dPt>
            <c:idx val="15"/>
            <c:bubble3D val="0"/>
            <c:extLst>
              <c:ext xmlns:c16="http://schemas.microsoft.com/office/drawing/2014/chart" uri="{C3380CC4-5D6E-409C-BE32-E72D297353CC}">
                <c16:uniqueId val="{00000005-430B-4B23-A0A0-44ED9CC1DDF4}"/>
              </c:ext>
            </c:extLst>
          </c:dPt>
          <c:dPt>
            <c:idx val="18"/>
            <c:bubble3D val="0"/>
            <c:extLst>
              <c:ext xmlns:c16="http://schemas.microsoft.com/office/drawing/2014/chart" uri="{C3380CC4-5D6E-409C-BE32-E72D297353CC}">
                <c16:uniqueId val="{00000006-430B-4B23-A0A0-44ED9CC1DDF4}"/>
              </c:ext>
            </c:extLst>
          </c:dPt>
          <c:dPt>
            <c:idx val="21"/>
            <c:bubble3D val="0"/>
            <c:extLst>
              <c:ext xmlns:c16="http://schemas.microsoft.com/office/drawing/2014/chart" uri="{C3380CC4-5D6E-409C-BE32-E72D297353CC}">
                <c16:uniqueId val="{00000007-430B-4B23-A0A0-44ED9CC1DDF4}"/>
              </c:ext>
            </c:extLst>
          </c:dPt>
          <c:dPt>
            <c:idx val="24"/>
            <c:bubble3D val="0"/>
            <c:extLst>
              <c:ext xmlns:c16="http://schemas.microsoft.com/office/drawing/2014/chart" uri="{C3380CC4-5D6E-409C-BE32-E72D297353CC}">
                <c16:uniqueId val="{00000008-430B-4B23-A0A0-44ED9CC1DDF4}"/>
              </c:ext>
            </c:extLst>
          </c:dPt>
          <c:dPt>
            <c:idx val="27"/>
            <c:bubble3D val="0"/>
            <c:extLst>
              <c:ext xmlns:c16="http://schemas.microsoft.com/office/drawing/2014/chart" uri="{C3380CC4-5D6E-409C-BE32-E72D297353CC}">
                <c16:uniqueId val="{00000009-430B-4B23-A0A0-44ED9CC1DDF4}"/>
              </c:ext>
            </c:extLst>
          </c:dPt>
          <c:dPt>
            <c:idx val="30"/>
            <c:bubble3D val="0"/>
            <c:extLst>
              <c:ext xmlns:c16="http://schemas.microsoft.com/office/drawing/2014/chart" uri="{C3380CC4-5D6E-409C-BE32-E72D297353CC}">
                <c16:uniqueId val="{0000000A-430B-4B23-A0A0-44ED9CC1DDF4}"/>
              </c:ext>
            </c:extLst>
          </c:dPt>
          <c:dPt>
            <c:idx val="33"/>
            <c:bubble3D val="0"/>
            <c:extLst>
              <c:ext xmlns:c16="http://schemas.microsoft.com/office/drawing/2014/chart" uri="{C3380CC4-5D6E-409C-BE32-E72D297353CC}">
                <c16:uniqueId val="{0000000B-430B-4B23-A0A0-44ED9CC1DDF4}"/>
              </c:ext>
            </c:extLst>
          </c:dPt>
          <c:dPt>
            <c:idx val="36"/>
            <c:bubble3D val="0"/>
            <c:extLst>
              <c:ext xmlns:c16="http://schemas.microsoft.com/office/drawing/2014/chart" uri="{C3380CC4-5D6E-409C-BE32-E72D297353CC}">
                <c16:uniqueId val="{0000000C-430B-4B23-A0A0-44ED9CC1DDF4}"/>
              </c:ext>
            </c:extLst>
          </c:dPt>
          <c:dPt>
            <c:idx val="39"/>
            <c:bubble3D val="0"/>
            <c:extLst>
              <c:ext xmlns:c16="http://schemas.microsoft.com/office/drawing/2014/chart" uri="{C3380CC4-5D6E-409C-BE32-E72D297353CC}">
                <c16:uniqueId val="{0000000D-430B-4B23-A0A0-44ED9CC1DDF4}"/>
              </c:ext>
            </c:extLst>
          </c:dPt>
          <c:dPt>
            <c:idx val="42"/>
            <c:bubble3D val="0"/>
            <c:extLst>
              <c:ext xmlns:c16="http://schemas.microsoft.com/office/drawing/2014/chart" uri="{C3380CC4-5D6E-409C-BE32-E72D297353CC}">
                <c16:uniqueId val="{0000000E-430B-4B23-A0A0-44ED9CC1DDF4}"/>
              </c:ext>
            </c:extLst>
          </c:dPt>
          <c:dPt>
            <c:idx val="45"/>
            <c:bubble3D val="0"/>
            <c:extLst>
              <c:ext xmlns:c16="http://schemas.microsoft.com/office/drawing/2014/chart" uri="{C3380CC4-5D6E-409C-BE32-E72D297353CC}">
                <c16:uniqueId val="{0000000F-430B-4B23-A0A0-44ED9CC1DDF4}"/>
              </c:ext>
            </c:extLst>
          </c:dPt>
          <c:dPt>
            <c:idx val="48"/>
            <c:bubble3D val="0"/>
            <c:extLst>
              <c:ext xmlns:c16="http://schemas.microsoft.com/office/drawing/2014/chart" uri="{C3380CC4-5D6E-409C-BE32-E72D297353CC}">
                <c16:uniqueId val="{00000010-430B-4B23-A0A0-44ED9CC1DDF4}"/>
              </c:ext>
            </c:extLst>
          </c:dPt>
          <c:dPt>
            <c:idx val="51"/>
            <c:bubble3D val="0"/>
            <c:extLst>
              <c:ext xmlns:c16="http://schemas.microsoft.com/office/drawing/2014/chart" uri="{C3380CC4-5D6E-409C-BE32-E72D297353CC}">
                <c16:uniqueId val="{00000011-430B-4B23-A0A0-44ED9CC1DDF4}"/>
              </c:ext>
            </c:extLst>
          </c:dPt>
          <c:dPt>
            <c:idx val="54"/>
            <c:bubble3D val="0"/>
            <c:extLst>
              <c:ext xmlns:c16="http://schemas.microsoft.com/office/drawing/2014/chart" uri="{C3380CC4-5D6E-409C-BE32-E72D297353CC}">
                <c16:uniqueId val="{00000012-430B-4B23-A0A0-44ED9CC1DDF4}"/>
              </c:ext>
            </c:extLst>
          </c:dPt>
          <c:dPt>
            <c:idx val="57"/>
            <c:bubble3D val="0"/>
            <c:extLst>
              <c:ext xmlns:c16="http://schemas.microsoft.com/office/drawing/2014/chart" uri="{C3380CC4-5D6E-409C-BE32-E72D297353CC}">
                <c16:uniqueId val="{00000013-430B-4B23-A0A0-44ED9CC1DDF4}"/>
              </c:ext>
            </c:extLst>
          </c:dPt>
          <c:dPt>
            <c:idx val="60"/>
            <c:bubble3D val="0"/>
            <c:extLst>
              <c:ext xmlns:c16="http://schemas.microsoft.com/office/drawing/2014/chart" uri="{C3380CC4-5D6E-409C-BE32-E72D297353CC}">
                <c16:uniqueId val="{00000014-430B-4B23-A0A0-44ED9CC1DDF4}"/>
              </c:ext>
            </c:extLst>
          </c:dPt>
          <c:dPt>
            <c:idx val="63"/>
            <c:bubble3D val="0"/>
            <c:extLst>
              <c:ext xmlns:c16="http://schemas.microsoft.com/office/drawing/2014/chart" uri="{C3380CC4-5D6E-409C-BE32-E72D297353CC}">
                <c16:uniqueId val="{00000015-430B-4B23-A0A0-44ED9CC1DDF4}"/>
              </c:ext>
            </c:extLst>
          </c:dPt>
          <c:dPt>
            <c:idx val="66"/>
            <c:bubble3D val="0"/>
            <c:extLst>
              <c:ext xmlns:c16="http://schemas.microsoft.com/office/drawing/2014/chart" uri="{C3380CC4-5D6E-409C-BE32-E72D297353CC}">
                <c16:uniqueId val="{00000016-430B-4B23-A0A0-44ED9CC1DDF4}"/>
              </c:ext>
            </c:extLst>
          </c:dPt>
          <c:dPt>
            <c:idx val="69"/>
            <c:bubble3D val="0"/>
            <c:extLst>
              <c:ext xmlns:c16="http://schemas.microsoft.com/office/drawing/2014/chart" uri="{C3380CC4-5D6E-409C-BE32-E72D297353CC}">
                <c16:uniqueId val="{00000017-430B-4B23-A0A0-44ED9CC1DDF4}"/>
              </c:ext>
            </c:extLst>
          </c:dPt>
          <c:dPt>
            <c:idx val="72"/>
            <c:bubble3D val="0"/>
            <c:extLst>
              <c:ext xmlns:c16="http://schemas.microsoft.com/office/drawing/2014/chart" uri="{C3380CC4-5D6E-409C-BE32-E72D297353CC}">
                <c16:uniqueId val="{00000018-430B-4B23-A0A0-44ED9CC1DDF4}"/>
              </c:ext>
            </c:extLst>
          </c:dPt>
          <c:dPt>
            <c:idx val="75"/>
            <c:bubble3D val="0"/>
            <c:extLst>
              <c:ext xmlns:c16="http://schemas.microsoft.com/office/drawing/2014/chart" uri="{C3380CC4-5D6E-409C-BE32-E72D297353CC}">
                <c16:uniqueId val="{00000019-430B-4B23-A0A0-44ED9CC1DDF4}"/>
              </c:ext>
            </c:extLst>
          </c:dPt>
          <c:dPt>
            <c:idx val="77"/>
            <c:bubble3D val="0"/>
            <c:extLst>
              <c:ext xmlns:c16="http://schemas.microsoft.com/office/drawing/2014/chart" uri="{C3380CC4-5D6E-409C-BE32-E72D297353CC}">
                <c16:uniqueId val="{0000001A-430B-4B23-A0A0-44ED9CC1DDF4}"/>
              </c:ext>
            </c:extLst>
          </c:dPt>
          <c:dLbls>
            <c:dLbl>
              <c:idx val="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430B-4B23-A0A0-44ED9CC1DDF4}"/>
                </c:ext>
              </c:extLst>
            </c:dLbl>
            <c:dLbl>
              <c:idx val="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430B-4B23-A0A0-44ED9CC1DDF4}"/>
                </c:ext>
              </c:extLst>
            </c:dLbl>
            <c:dLbl>
              <c:idx val="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430B-4B23-A0A0-44ED9CC1DDF4}"/>
                </c:ext>
              </c:extLst>
            </c:dLbl>
            <c:dLbl>
              <c:idx val="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430B-4B23-A0A0-44ED9CC1DDF4}"/>
                </c:ext>
              </c:extLst>
            </c:dLbl>
            <c:dLbl>
              <c:idx val="1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430B-4B23-A0A0-44ED9CC1DDF4}"/>
                </c:ext>
              </c:extLst>
            </c:dLbl>
            <c:dLbl>
              <c:idx val="1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430B-4B23-A0A0-44ED9CC1DDF4}"/>
                </c:ext>
              </c:extLst>
            </c:dLbl>
            <c:dLbl>
              <c:idx val="1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430B-4B23-A0A0-44ED9CC1DDF4}"/>
                </c:ext>
              </c:extLst>
            </c:dLbl>
            <c:dLbl>
              <c:idx val="2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430B-4B23-A0A0-44ED9CC1DDF4}"/>
                </c:ext>
              </c:extLst>
            </c:dLbl>
            <c:dLbl>
              <c:idx val="2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430B-4B23-A0A0-44ED9CC1DDF4}"/>
                </c:ext>
              </c:extLst>
            </c:dLbl>
            <c:dLbl>
              <c:idx val="2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430B-4B23-A0A0-44ED9CC1DDF4}"/>
                </c:ext>
              </c:extLst>
            </c:dLbl>
            <c:dLbl>
              <c:idx val="3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430B-4B23-A0A0-44ED9CC1DDF4}"/>
                </c:ext>
              </c:extLst>
            </c:dLbl>
            <c:dLbl>
              <c:idx val="3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430B-4B23-A0A0-44ED9CC1DDF4}"/>
                </c:ext>
              </c:extLst>
            </c:dLbl>
            <c:dLbl>
              <c:idx val="3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430B-4B23-A0A0-44ED9CC1DDF4}"/>
                </c:ext>
              </c:extLst>
            </c:dLbl>
            <c:dLbl>
              <c:idx val="3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430B-4B23-A0A0-44ED9CC1DDF4}"/>
                </c:ext>
              </c:extLst>
            </c:dLbl>
            <c:dLbl>
              <c:idx val="4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430B-4B23-A0A0-44ED9CC1DDF4}"/>
                </c:ext>
              </c:extLst>
            </c:dLbl>
            <c:dLbl>
              <c:idx val="4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430B-4B23-A0A0-44ED9CC1DDF4}"/>
                </c:ext>
              </c:extLst>
            </c:dLbl>
            <c:dLbl>
              <c:idx val="4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430B-4B23-A0A0-44ED9CC1DDF4}"/>
                </c:ext>
              </c:extLst>
            </c:dLbl>
            <c:dLbl>
              <c:idx val="5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430B-4B23-A0A0-44ED9CC1DDF4}"/>
                </c:ext>
              </c:extLst>
            </c:dLbl>
            <c:dLbl>
              <c:idx val="5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430B-4B23-A0A0-44ED9CC1DDF4}"/>
                </c:ext>
              </c:extLst>
            </c:dLbl>
            <c:dLbl>
              <c:idx val="5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430B-4B23-A0A0-44ED9CC1DDF4}"/>
                </c:ext>
              </c:extLst>
            </c:dLbl>
            <c:dLbl>
              <c:idx val="6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430B-4B23-A0A0-44ED9CC1DDF4}"/>
                </c:ext>
              </c:extLst>
            </c:dLbl>
            <c:dLbl>
              <c:idx val="6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430B-4B23-A0A0-44ED9CC1DDF4}"/>
                </c:ext>
              </c:extLst>
            </c:dLbl>
            <c:dLbl>
              <c:idx val="6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430B-4B23-A0A0-44ED9CC1DDF4}"/>
                </c:ext>
              </c:extLst>
            </c:dLbl>
            <c:dLbl>
              <c:idx val="6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430B-4B23-A0A0-44ED9CC1DDF4}"/>
                </c:ext>
              </c:extLst>
            </c:dLbl>
            <c:dLbl>
              <c:idx val="7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8-430B-4B23-A0A0-44ED9CC1DDF4}"/>
                </c:ext>
              </c:extLst>
            </c:dLbl>
            <c:dLbl>
              <c:idx val="7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430B-4B23-A0A0-44ED9CC1DDF4}"/>
                </c:ext>
              </c:extLst>
            </c:dLbl>
            <c:dLbl>
              <c:idx val="7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A-430B-4B23-A0A0-44ED9CC1DDF4}"/>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adicionais'!$O$29:$O$106</c:f>
              <c:numCache>
                <c:formatCode>0.00" m"</c:formatCode>
                <c:ptCount val="78"/>
                <c:pt idx="0" formatCode="General">
                  <c:v>0</c:v>
                </c:pt>
                <c:pt idx="1">
                  <c:v>0</c:v>
                </c:pt>
                <c:pt idx="2" formatCode="General">
                  <c:v>31.4</c:v>
                </c:pt>
                <c:pt idx="3" formatCode="General">
                  <c:v>31.4</c:v>
                </c:pt>
                <c:pt idx="4" formatCode="General">
                  <c:v>31.4</c:v>
                </c:pt>
                <c:pt idx="5" formatCode="General">
                  <c:v>62.8</c:v>
                </c:pt>
                <c:pt idx="6" formatCode="General">
                  <c:v>62.8</c:v>
                </c:pt>
                <c:pt idx="7" formatCode="General">
                  <c:v>62.8</c:v>
                </c:pt>
                <c:pt idx="8" formatCode="General">
                  <c:v>94.199999999999989</c:v>
                </c:pt>
                <c:pt idx="9" formatCode="General">
                  <c:v>94.199999999999989</c:v>
                </c:pt>
                <c:pt idx="10" formatCode="General">
                  <c:v>94.199999999999989</c:v>
                </c:pt>
                <c:pt idx="11" formatCode="General">
                  <c:v>125.6</c:v>
                </c:pt>
                <c:pt idx="12" formatCode="General">
                  <c:v>125.6</c:v>
                </c:pt>
                <c:pt idx="13" formatCode="General">
                  <c:v>125.6</c:v>
                </c:pt>
                <c:pt idx="14" formatCode="General">
                  <c:v>157</c:v>
                </c:pt>
                <c:pt idx="15" formatCode="General">
                  <c:v>157</c:v>
                </c:pt>
                <c:pt idx="16" formatCode="General">
                  <c:v>157</c:v>
                </c:pt>
                <c:pt idx="17" formatCode="General">
                  <c:v>188.39999999999998</c:v>
                </c:pt>
                <c:pt idx="18" formatCode="General">
                  <c:v>188.39999999999998</c:v>
                </c:pt>
                <c:pt idx="19" formatCode="General">
                  <c:v>188.39999999999998</c:v>
                </c:pt>
                <c:pt idx="20" formatCode="General">
                  <c:v>219.79999999999998</c:v>
                </c:pt>
                <c:pt idx="21" formatCode="General">
                  <c:v>219.79999999999998</c:v>
                </c:pt>
                <c:pt idx="22" formatCode="General">
                  <c:v>219.79999999999998</c:v>
                </c:pt>
                <c:pt idx="23" formatCode="General">
                  <c:v>251.2</c:v>
                </c:pt>
                <c:pt idx="24" formatCode="General">
                  <c:v>251.2</c:v>
                </c:pt>
                <c:pt idx="25" formatCode="General">
                  <c:v>251.2</c:v>
                </c:pt>
                <c:pt idx="26" formatCode="General">
                  <c:v>282.59999999999997</c:v>
                </c:pt>
                <c:pt idx="27" formatCode="General">
                  <c:v>282.59999999999997</c:v>
                </c:pt>
                <c:pt idx="28" formatCode="General">
                  <c:v>282.59999999999997</c:v>
                </c:pt>
                <c:pt idx="29" formatCode="General">
                  <c:v>314</c:v>
                </c:pt>
                <c:pt idx="30" formatCode="General">
                  <c:v>314</c:v>
                </c:pt>
                <c:pt idx="31" formatCode="General">
                  <c:v>314</c:v>
                </c:pt>
                <c:pt idx="32" formatCode="General">
                  <c:v>345.4</c:v>
                </c:pt>
                <c:pt idx="33" formatCode="General">
                  <c:v>345.4</c:v>
                </c:pt>
                <c:pt idx="34" formatCode="General">
                  <c:v>345.4</c:v>
                </c:pt>
                <c:pt idx="35" formatCode="General">
                  <c:v>376.79999999999995</c:v>
                </c:pt>
                <c:pt idx="36" formatCode="General">
                  <c:v>376.79999999999995</c:v>
                </c:pt>
                <c:pt idx="37" formatCode="General">
                  <c:v>376.79999999999995</c:v>
                </c:pt>
                <c:pt idx="38" formatCode="General">
                  <c:v>408.2</c:v>
                </c:pt>
                <c:pt idx="39" formatCode="General">
                  <c:v>408.2</c:v>
                </c:pt>
                <c:pt idx="40" formatCode="General">
                  <c:v>408.2</c:v>
                </c:pt>
                <c:pt idx="41" formatCode="General">
                  <c:v>439.59999999999997</c:v>
                </c:pt>
                <c:pt idx="42" formatCode="General">
                  <c:v>439.59999999999997</c:v>
                </c:pt>
                <c:pt idx="43" formatCode="General">
                  <c:v>439.59999999999997</c:v>
                </c:pt>
                <c:pt idx="44" formatCode="General">
                  <c:v>471</c:v>
                </c:pt>
                <c:pt idx="45" formatCode="General">
                  <c:v>471</c:v>
                </c:pt>
                <c:pt idx="46" formatCode="General">
                  <c:v>471</c:v>
                </c:pt>
                <c:pt idx="47" formatCode="General">
                  <c:v>502.4</c:v>
                </c:pt>
                <c:pt idx="48" formatCode="General">
                  <c:v>502.4</c:v>
                </c:pt>
                <c:pt idx="49" formatCode="General">
                  <c:v>502.4</c:v>
                </c:pt>
                <c:pt idx="50" formatCode="General">
                  <c:v>533.79999999999995</c:v>
                </c:pt>
                <c:pt idx="51" formatCode="General">
                  <c:v>533.79999999999995</c:v>
                </c:pt>
                <c:pt idx="52" formatCode="General">
                  <c:v>533.79999999999995</c:v>
                </c:pt>
                <c:pt idx="53" formatCode="General">
                  <c:v>565.19999999999993</c:v>
                </c:pt>
                <c:pt idx="54" formatCode="General">
                  <c:v>565.19999999999993</c:v>
                </c:pt>
                <c:pt idx="55" formatCode="General">
                  <c:v>565.19999999999993</c:v>
                </c:pt>
                <c:pt idx="56" formatCode="General">
                  <c:v>596.6</c:v>
                </c:pt>
                <c:pt idx="57" formatCode="General">
                  <c:v>596.6</c:v>
                </c:pt>
                <c:pt idx="58" formatCode="General">
                  <c:v>596.6</c:v>
                </c:pt>
                <c:pt idx="59" formatCode="General">
                  <c:v>628</c:v>
                </c:pt>
                <c:pt idx="60" formatCode="General">
                  <c:v>628</c:v>
                </c:pt>
                <c:pt idx="61" formatCode="General">
                  <c:v>628</c:v>
                </c:pt>
                <c:pt idx="62" formatCode="General">
                  <c:v>659.4</c:v>
                </c:pt>
                <c:pt idx="63" formatCode="General">
                  <c:v>659.4</c:v>
                </c:pt>
                <c:pt idx="64" formatCode="General">
                  <c:v>659.4</c:v>
                </c:pt>
                <c:pt idx="65" formatCode="General">
                  <c:v>690.8</c:v>
                </c:pt>
                <c:pt idx="66" formatCode="General">
                  <c:v>690.8</c:v>
                </c:pt>
                <c:pt idx="67" formatCode="General">
                  <c:v>690.8</c:v>
                </c:pt>
                <c:pt idx="68" formatCode="General">
                  <c:v>722.19999999999993</c:v>
                </c:pt>
                <c:pt idx="69" formatCode="General">
                  <c:v>722.19999999999993</c:v>
                </c:pt>
                <c:pt idx="70" formatCode="General">
                  <c:v>722.19999999999993</c:v>
                </c:pt>
                <c:pt idx="71" formatCode="General">
                  <c:v>753.59999999999991</c:v>
                </c:pt>
                <c:pt idx="72" formatCode="General">
                  <c:v>753.59999999999991</c:v>
                </c:pt>
                <c:pt idx="73" formatCode="General">
                  <c:v>753.59999999999991</c:v>
                </c:pt>
                <c:pt idx="74" formatCode="0.0&quot; cm&quot;">
                  <c:v>785</c:v>
                </c:pt>
                <c:pt idx="75" formatCode="0.0&quot; cm&quot;">
                  <c:v>785</c:v>
                </c:pt>
                <c:pt idx="76" formatCode="0.0&quot; cm&quot;">
                  <c:v>785</c:v>
                </c:pt>
                <c:pt idx="77" formatCode="0.0&quot; cm&quot;">
                  <c:v>785</c:v>
                </c:pt>
              </c:numCache>
            </c:numRef>
          </c:xVal>
          <c:yVal>
            <c:numRef>
              <c:f>'Cargas adicionais'!$P$29:$P$106</c:f>
              <c:numCache>
                <c:formatCode>0.0</c:formatCode>
                <c:ptCount val="78"/>
                <c:pt idx="0">
                  <c:v>0</c:v>
                </c:pt>
                <c:pt idx="1">
                  <c:v>44.686374999999998</c:v>
                </c:pt>
                <c:pt idx="2">
                  <c:v>44.686374999999998</c:v>
                </c:pt>
                <c:pt idx="3">
                  <c:v>0</c:v>
                </c:pt>
                <c:pt idx="4">
                  <c:v>44.686374999999998</c:v>
                </c:pt>
                <c:pt idx="5">
                  <c:v>44.686374999999998</c:v>
                </c:pt>
                <c:pt idx="6">
                  <c:v>0</c:v>
                </c:pt>
                <c:pt idx="7">
                  <c:v>44.686374999999998</c:v>
                </c:pt>
                <c:pt idx="8">
                  <c:v>44.686374999999998</c:v>
                </c:pt>
                <c:pt idx="9">
                  <c:v>0</c:v>
                </c:pt>
                <c:pt idx="10">
                  <c:v>44.686374999999998</c:v>
                </c:pt>
                <c:pt idx="11">
                  <c:v>44.686374999999998</c:v>
                </c:pt>
                <c:pt idx="12">
                  <c:v>0</c:v>
                </c:pt>
                <c:pt idx="13">
                  <c:v>44.686374999999998</c:v>
                </c:pt>
                <c:pt idx="14">
                  <c:v>44.686374999999998</c:v>
                </c:pt>
                <c:pt idx="15">
                  <c:v>0</c:v>
                </c:pt>
                <c:pt idx="16">
                  <c:v>44.686374999999998</c:v>
                </c:pt>
                <c:pt idx="17">
                  <c:v>44.686374999999998</c:v>
                </c:pt>
                <c:pt idx="18">
                  <c:v>0</c:v>
                </c:pt>
                <c:pt idx="19">
                  <c:v>44.686374999999998</c:v>
                </c:pt>
                <c:pt idx="20">
                  <c:v>44.686374999999998</c:v>
                </c:pt>
                <c:pt idx="21">
                  <c:v>0</c:v>
                </c:pt>
                <c:pt idx="22">
                  <c:v>44.686374999999998</c:v>
                </c:pt>
                <c:pt idx="23">
                  <c:v>44.686374999999998</c:v>
                </c:pt>
                <c:pt idx="24">
                  <c:v>0</c:v>
                </c:pt>
                <c:pt idx="25">
                  <c:v>44.686374999999998</c:v>
                </c:pt>
                <c:pt idx="26">
                  <c:v>44.686374999999998</c:v>
                </c:pt>
                <c:pt idx="27">
                  <c:v>0</c:v>
                </c:pt>
                <c:pt idx="28">
                  <c:v>44.686374999999998</c:v>
                </c:pt>
                <c:pt idx="29">
                  <c:v>44.686374999999998</c:v>
                </c:pt>
                <c:pt idx="30">
                  <c:v>0</c:v>
                </c:pt>
                <c:pt idx="31">
                  <c:v>44.686374999999998</c:v>
                </c:pt>
                <c:pt idx="32">
                  <c:v>44.686374999999998</c:v>
                </c:pt>
                <c:pt idx="33">
                  <c:v>0</c:v>
                </c:pt>
                <c:pt idx="34">
                  <c:v>44.686374999999998</c:v>
                </c:pt>
                <c:pt idx="35">
                  <c:v>44.686374999999998</c:v>
                </c:pt>
                <c:pt idx="36">
                  <c:v>0</c:v>
                </c:pt>
                <c:pt idx="37">
                  <c:v>44.686374999999998</c:v>
                </c:pt>
                <c:pt idx="38">
                  <c:v>44.686374999999998</c:v>
                </c:pt>
                <c:pt idx="39">
                  <c:v>0</c:v>
                </c:pt>
                <c:pt idx="40">
                  <c:v>44.686374999999998</c:v>
                </c:pt>
                <c:pt idx="41">
                  <c:v>44.686374999999998</c:v>
                </c:pt>
                <c:pt idx="42">
                  <c:v>0</c:v>
                </c:pt>
                <c:pt idx="43">
                  <c:v>44.686374999999998</c:v>
                </c:pt>
                <c:pt idx="44">
                  <c:v>44.686374999999998</c:v>
                </c:pt>
                <c:pt idx="45">
                  <c:v>0</c:v>
                </c:pt>
                <c:pt idx="46">
                  <c:v>44.686374999999998</c:v>
                </c:pt>
                <c:pt idx="47">
                  <c:v>44.686374999999998</c:v>
                </c:pt>
                <c:pt idx="48">
                  <c:v>0</c:v>
                </c:pt>
                <c:pt idx="49">
                  <c:v>44.686374999999998</c:v>
                </c:pt>
                <c:pt idx="50">
                  <c:v>44.686374999999998</c:v>
                </c:pt>
                <c:pt idx="51">
                  <c:v>0</c:v>
                </c:pt>
                <c:pt idx="52">
                  <c:v>44.686374999999998</c:v>
                </c:pt>
                <c:pt idx="53">
                  <c:v>44.686374999999998</c:v>
                </c:pt>
                <c:pt idx="54">
                  <c:v>0</c:v>
                </c:pt>
                <c:pt idx="55">
                  <c:v>44.686374999999998</c:v>
                </c:pt>
                <c:pt idx="56">
                  <c:v>44.686374999999998</c:v>
                </c:pt>
                <c:pt idx="57">
                  <c:v>0</c:v>
                </c:pt>
                <c:pt idx="58">
                  <c:v>44.686374999999998</c:v>
                </c:pt>
                <c:pt idx="59">
                  <c:v>44.686374999999998</c:v>
                </c:pt>
                <c:pt idx="60">
                  <c:v>0</c:v>
                </c:pt>
                <c:pt idx="61">
                  <c:v>44.686374999999998</c:v>
                </c:pt>
                <c:pt idx="62">
                  <c:v>44.686374999999998</c:v>
                </c:pt>
                <c:pt idx="63">
                  <c:v>0</c:v>
                </c:pt>
                <c:pt idx="64">
                  <c:v>44.686374999999998</c:v>
                </c:pt>
                <c:pt idx="65">
                  <c:v>44.686374999999998</c:v>
                </c:pt>
                <c:pt idx="66">
                  <c:v>0</c:v>
                </c:pt>
                <c:pt idx="67">
                  <c:v>44.686374999999998</c:v>
                </c:pt>
                <c:pt idx="68">
                  <c:v>44.686374999999998</c:v>
                </c:pt>
                <c:pt idx="69">
                  <c:v>0</c:v>
                </c:pt>
                <c:pt idx="70">
                  <c:v>44.686374999999998</c:v>
                </c:pt>
                <c:pt idx="71">
                  <c:v>44.686374999999998</c:v>
                </c:pt>
                <c:pt idx="72">
                  <c:v>0</c:v>
                </c:pt>
                <c:pt idx="73">
                  <c:v>44.686374999999998</c:v>
                </c:pt>
                <c:pt idx="74">
                  <c:v>44.686374999999998</c:v>
                </c:pt>
                <c:pt idx="75">
                  <c:v>0</c:v>
                </c:pt>
                <c:pt idx="76">
                  <c:v>44.686374999999998</c:v>
                </c:pt>
                <c:pt idx="77">
                  <c:v>0</c:v>
                </c:pt>
              </c:numCache>
            </c:numRef>
          </c:yVal>
          <c:smooth val="0"/>
          <c:extLst>
            <c:ext xmlns:c16="http://schemas.microsoft.com/office/drawing/2014/chart" uri="{C3380CC4-5D6E-409C-BE32-E72D297353CC}">
              <c16:uniqueId val="{0000001B-430B-4B23-A0A0-44ED9CC1DDF4}"/>
            </c:ext>
          </c:extLst>
        </c:ser>
        <c:ser>
          <c:idx val="1"/>
          <c:order val="1"/>
          <c:tx>
            <c:v>Carga pontual (permanente)</c:v>
          </c:tx>
          <c:spPr>
            <a:ln w="1260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adicionais'!$K$201:$K$230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xVal>
          <c:yVal>
            <c:numRef>
              <c:f>'Cargas adicionais'!$L$201:$L$230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yVal>
          <c:smooth val="0"/>
          <c:extLst>
            <c:ext xmlns:c16="http://schemas.microsoft.com/office/drawing/2014/chart" uri="{C3380CC4-5D6E-409C-BE32-E72D297353CC}">
              <c16:uniqueId val="{0000001C-430B-4B23-A0A0-44ED9CC1DDF4}"/>
            </c:ext>
          </c:extLst>
        </c:ser>
        <c:dLbls>
          <c:showLegendKey val="0"/>
          <c:showVal val="0"/>
          <c:showCatName val="0"/>
          <c:showSerName val="0"/>
          <c:showPercent val="0"/>
          <c:showBubbleSize val="0"/>
        </c:dLbls>
        <c:axId val="60062142"/>
        <c:axId val="19479347"/>
      </c:scatterChart>
      <c:valAx>
        <c:axId val="60062142"/>
        <c:scaling>
          <c:orientation val="minMax"/>
        </c:scaling>
        <c:delete val="1"/>
        <c:axPos val="b"/>
        <c:numFmt formatCode="General" sourceLinked="1"/>
        <c:majorTickMark val="out"/>
        <c:minorTickMark val="none"/>
        <c:tickLblPos val="nextTo"/>
        <c:crossAx val="19479347"/>
        <c:crosses val="autoZero"/>
        <c:crossBetween val="midCat"/>
      </c:valAx>
      <c:valAx>
        <c:axId val="19479347"/>
        <c:scaling>
          <c:orientation val="minMax"/>
        </c:scaling>
        <c:delete val="1"/>
        <c:axPos val="l"/>
        <c:numFmt formatCode="0.0" sourceLinked="1"/>
        <c:majorTickMark val="out"/>
        <c:minorTickMark val="none"/>
        <c:tickLblPos val="nextTo"/>
        <c:crossAx val="6006214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Carga variável q0 (tabela de trechos) (kN/m)</a:t>
            </a:r>
          </a:p>
        </c:rich>
      </c:tx>
      <c:layout>
        <c:manualLayout>
          <c:xMode val="edge"/>
          <c:yMode val="edge"/>
          <c:x val="0.327923305428031"/>
          <c:y val="0"/>
        </c:manualLayout>
      </c:layout>
      <c:overlay val="0"/>
      <c:spPr>
        <a:noFill/>
        <a:ln w="0">
          <a:noFill/>
        </a:ln>
      </c:spPr>
    </c:title>
    <c:autoTitleDeleted val="0"/>
    <c:plotArea>
      <c:layout>
        <c:manualLayout>
          <c:layoutTarget val="inner"/>
          <c:xMode val="edge"/>
          <c:yMode val="edge"/>
          <c:x val="1.6797191466378598E-2"/>
          <c:y val="0.46970163026761003"/>
          <c:w val="0.96621658115041897"/>
          <c:h val="0.49738541987080898"/>
        </c:manualLayout>
      </c:layout>
      <c:scatterChart>
        <c:scatterStyle val="lineMarker"/>
        <c:varyColors val="0"/>
        <c:ser>
          <c:idx val="0"/>
          <c:order val="0"/>
          <c:spPr>
            <a:ln w="12600">
              <a:solidFill>
                <a:srgbClr val="156082"/>
              </a:solidFill>
              <a:round/>
            </a:ln>
          </c:spPr>
          <c:marker>
            <c:symbol val="none"/>
          </c:marker>
          <c:dPt>
            <c:idx val="0"/>
            <c:bubble3D val="0"/>
            <c:extLst>
              <c:ext xmlns:c16="http://schemas.microsoft.com/office/drawing/2014/chart" uri="{C3380CC4-5D6E-409C-BE32-E72D297353CC}">
                <c16:uniqueId val="{00000000-1EF7-46B0-839E-6E3A6478F3A4}"/>
              </c:ext>
            </c:extLst>
          </c:dPt>
          <c:dPt>
            <c:idx val="3"/>
            <c:bubble3D val="0"/>
            <c:extLst>
              <c:ext xmlns:c16="http://schemas.microsoft.com/office/drawing/2014/chart" uri="{C3380CC4-5D6E-409C-BE32-E72D297353CC}">
                <c16:uniqueId val="{00000001-1EF7-46B0-839E-6E3A6478F3A4}"/>
              </c:ext>
            </c:extLst>
          </c:dPt>
          <c:dPt>
            <c:idx val="6"/>
            <c:bubble3D val="0"/>
            <c:extLst>
              <c:ext xmlns:c16="http://schemas.microsoft.com/office/drawing/2014/chart" uri="{C3380CC4-5D6E-409C-BE32-E72D297353CC}">
                <c16:uniqueId val="{00000002-1EF7-46B0-839E-6E3A6478F3A4}"/>
              </c:ext>
            </c:extLst>
          </c:dPt>
          <c:dPt>
            <c:idx val="9"/>
            <c:bubble3D val="0"/>
            <c:extLst>
              <c:ext xmlns:c16="http://schemas.microsoft.com/office/drawing/2014/chart" uri="{C3380CC4-5D6E-409C-BE32-E72D297353CC}">
                <c16:uniqueId val="{00000003-1EF7-46B0-839E-6E3A6478F3A4}"/>
              </c:ext>
            </c:extLst>
          </c:dPt>
          <c:dPt>
            <c:idx val="12"/>
            <c:bubble3D val="0"/>
            <c:extLst>
              <c:ext xmlns:c16="http://schemas.microsoft.com/office/drawing/2014/chart" uri="{C3380CC4-5D6E-409C-BE32-E72D297353CC}">
                <c16:uniqueId val="{00000004-1EF7-46B0-839E-6E3A6478F3A4}"/>
              </c:ext>
            </c:extLst>
          </c:dPt>
          <c:dPt>
            <c:idx val="15"/>
            <c:bubble3D val="0"/>
            <c:extLst>
              <c:ext xmlns:c16="http://schemas.microsoft.com/office/drawing/2014/chart" uri="{C3380CC4-5D6E-409C-BE32-E72D297353CC}">
                <c16:uniqueId val="{00000005-1EF7-46B0-839E-6E3A6478F3A4}"/>
              </c:ext>
            </c:extLst>
          </c:dPt>
          <c:dPt>
            <c:idx val="18"/>
            <c:bubble3D val="0"/>
            <c:extLst>
              <c:ext xmlns:c16="http://schemas.microsoft.com/office/drawing/2014/chart" uri="{C3380CC4-5D6E-409C-BE32-E72D297353CC}">
                <c16:uniqueId val="{00000006-1EF7-46B0-839E-6E3A6478F3A4}"/>
              </c:ext>
            </c:extLst>
          </c:dPt>
          <c:dPt>
            <c:idx val="21"/>
            <c:bubble3D val="0"/>
            <c:extLst>
              <c:ext xmlns:c16="http://schemas.microsoft.com/office/drawing/2014/chart" uri="{C3380CC4-5D6E-409C-BE32-E72D297353CC}">
                <c16:uniqueId val="{00000007-1EF7-46B0-839E-6E3A6478F3A4}"/>
              </c:ext>
            </c:extLst>
          </c:dPt>
          <c:dPt>
            <c:idx val="24"/>
            <c:bubble3D val="0"/>
            <c:extLst>
              <c:ext xmlns:c16="http://schemas.microsoft.com/office/drawing/2014/chart" uri="{C3380CC4-5D6E-409C-BE32-E72D297353CC}">
                <c16:uniqueId val="{00000008-1EF7-46B0-839E-6E3A6478F3A4}"/>
              </c:ext>
            </c:extLst>
          </c:dPt>
          <c:dPt>
            <c:idx val="27"/>
            <c:bubble3D val="0"/>
            <c:extLst>
              <c:ext xmlns:c16="http://schemas.microsoft.com/office/drawing/2014/chart" uri="{C3380CC4-5D6E-409C-BE32-E72D297353CC}">
                <c16:uniqueId val="{00000009-1EF7-46B0-839E-6E3A6478F3A4}"/>
              </c:ext>
            </c:extLst>
          </c:dPt>
          <c:dPt>
            <c:idx val="30"/>
            <c:bubble3D val="0"/>
            <c:extLst>
              <c:ext xmlns:c16="http://schemas.microsoft.com/office/drawing/2014/chart" uri="{C3380CC4-5D6E-409C-BE32-E72D297353CC}">
                <c16:uniqueId val="{0000000A-1EF7-46B0-839E-6E3A6478F3A4}"/>
              </c:ext>
            </c:extLst>
          </c:dPt>
          <c:dPt>
            <c:idx val="33"/>
            <c:bubble3D val="0"/>
            <c:extLst>
              <c:ext xmlns:c16="http://schemas.microsoft.com/office/drawing/2014/chart" uri="{C3380CC4-5D6E-409C-BE32-E72D297353CC}">
                <c16:uniqueId val="{0000000B-1EF7-46B0-839E-6E3A6478F3A4}"/>
              </c:ext>
            </c:extLst>
          </c:dPt>
          <c:dPt>
            <c:idx val="36"/>
            <c:bubble3D val="0"/>
            <c:extLst>
              <c:ext xmlns:c16="http://schemas.microsoft.com/office/drawing/2014/chart" uri="{C3380CC4-5D6E-409C-BE32-E72D297353CC}">
                <c16:uniqueId val="{0000000C-1EF7-46B0-839E-6E3A6478F3A4}"/>
              </c:ext>
            </c:extLst>
          </c:dPt>
          <c:dPt>
            <c:idx val="39"/>
            <c:bubble3D val="0"/>
            <c:extLst>
              <c:ext xmlns:c16="http://schemas.microsoft.com/office/drawing/2014/chart" uri="{C3380CC4-5D6E-409C-BE32-E72D297353CC}">
                <c16:uniqueId val="{0000000D-1EF7-46B0-839E-6E3A6478F3A4}"/>
              </c:ext>
            </c:extLst>
          </c:dPt>
          <c:dPt>
            <c:idx val="42"/>
            <c:bubble3D val="0"/>
            <c:extLst>
              <c:ext xmlns:c16="http://schemas.microsoft.com/office/drawing/2014/chart" uri="{C3380CC4-5D6E-409C-BE32-E72D297353CC}">
                <c16:uniqueId val="{0000000E-1EF7-46B0-839E-6E3A6478F3A4}"/>
              </c:ext>
            </c:extLst>
          </c:dPt>
          <c:dPt>
            <c:idx val="45"/>
            <c:bubble3D val="0"/>
            <c:extLst>
              <c:ext xmlns:c16="http://schemas.microsoft.com/office/drawing/2014/chart" uri="{C3380CC4-5D6E-409C-BE32-E72D297353CC}">
                <c16:uniqueId val="{0000000F-1EF7-46B0-839E-6E3A6478F3A4}"/>
              </c:ext>
            </c:extLst>
          </c:dPt>
          <c:dPt>
            <c:idx val="48"/>
            <c:bubble3D val="0"/>
            <c:extLst>
              <c:ext xmlns:c16="http://schemas.microsoft.com/office/drawing/2014/chart" uri="{C3380CC4-5D6E-409C-BE32-E72D297353CC}">
                <c16:uniqueId val="{00000010-1EF7-46B0-839E-6E3A6478F3A4}"/>
              </c:ext>
            </c:extLst>
          </c:dPt>
          <c:dPt>
            <c:idx val="51"/>
            <c:bubble3D val="0"/>
            <c:extLst>
              <c:ext xmlns:c16="http://schemas.microsoft.com/office/drawing/2014/chart" uri="{C3380CC4-5D6E-409C-BE32-E72D297353CC}">
                <c16:uniqueId val="{00000011-1EF7-46B0-839E-6E3A6478F3A4}"/>
              </c:ext>
            </c:extLst>
          </c:dPt>
          <c:dPt>
            <c:idx val="54"/>
            <c:bubble3D val="0"/>
            <c:extLst>
              <c:ext xmlns:c16="http://schemas.microsoft.com/office/drawing/2014/chart" uri="{C3380CC4-5D6E-409C-BE32-E72D297353CC}">
                <c16:uniqueId val="{00000012-1EF7-46B0-839E-6E3A6478F3A4}"/>
              </c:ext>
            </c:extLst>
          </c:dPt>
          <c:dPt>
            <c:idx val="57"/>
            <c:bubble3D val="0"/>
            <c:extLst>
              <c:ext xmlns:c16="http://schemas.microsoft.com/office/drawing/2014/chart" uri="{C3380CC4-5D6E-409C-BE32-E72D297353CC}">
                <c16:uniqueId val="{00000013-1EF7-46B0-839E-6E3A6478F3A4}"/>
              </c:ext>
            </c:extLst>
          </c:dPt>
          <c:dPt>
            <c:idx val="60"/>
            <c:bubble3D val="0"/>
            <c:extLst>
              <c:ext xmlns:c16="http://schemas.microsoft.com/office/drawing/2014/chart" uri="{C3380CC4-5D6E-409C-BE32-E72D297353CC}">
                <c16:uniqueId val="{00000014-1EF7-46B0-839E-6E3A6478F3A4}"/>
              </c:ext>
            </c:extLst>
          </c:dPt>
          <c:dPt>
            <c:idx val="63"/>
            <c:bubble3D val="0"/>
            <c:extLst>
              <c:ext xmlns:c16="http://schemas.microsoft.com/office/drawing/2014/chart" uri="{C3380CC4-5D6E-409C-BE32-E72D297353CC}">
                <c16:uniqueId val="{00000015-1EF7-46B0-839E-6E3A6478F3A4}"/>
              </c:ext>
            </c:extLst>
          </c:dPt>
          <c:dPt>
            <c:idx val="66"/>
            <c:bubble3D val="0"/>
            <c:extLst>
              <c:ext xmlns:c16="http://schemas.microsoft.com/office/drawing/2014/chart" uri="{C3380CC4-5D6E-409C-BE32-E72D297353CC}">
                <c16:uniqueId val="{00000016-1EF7-46B0-839E-6E3A6478F3A4}"/>
              </c:ext>
            </c:extLst>
          </c:dPt>
          <c:dPt>
            <c:idx val="69"/>
            <c:bubble3D val="0"/>
            <c:extLst>
              <c:ext xmlns:c16="http://schemas.microsoft.com/office/drawing/2014/chart" uri="{C3380CC4-5D6E-409C-BE32-E72D297353CC}">
                <c16:uniqueId val="{00000017-1EF7-46B0-839E-6E3A6478F3A4}"/>
              </c:ext>
            </c:extLst>
          </c:dPt>
          <c:dPt>
            <c:idx val="72"/>
            <c:bubble3D val="0"/>
            <c:extLst>
              <c:ext xmlns:c16="http://schemas.microsoft.com/office/drawing/2014/chart" uri="{C3380CC4-5D6E-409C-BE32-E72D297353CC}">
                <c16:uniqueId val="{00000018-1EF7-46B0-839E-6E3A6478F3A4}"/>
              </c:ext>
            </c:extLst>
          </c:dPt>
          <c:dPt>
            <c:idx val="75"/>
            <c:bubble3D val="0"/>
            <c:extLst>
              <c:ext xmlns:c16="http://schemas.microsoft.com/office/drawing/2014/chart" uri="{C3380CC4-5D6E-409C-BE32-E72D297353CC}">
                <c16:uniqueId val="{00000019-1EF7-46B0-839E-6E3A6478F3A4}"/>
              </c:ext>
            </c:extLst>
          </c:dPt>
          <c:dPt>
            <c:idx val="77"/>
            <c:bubble3D val="0"/>
            <c:extLst>
              <c:ext xmlns:c16="http://schemas.microsoft.com/office/drawing/2014/chart" uri="{C3380CC4-5D6E-409C-BE32-E72D297353CC}">
                <c16:uniqueId val="{0000001A-1EF7-46B0-839E-6E3A6478F3A4}"/>
              </c:ext>
            </c:extLst>
          </c:dPt>
          <c:dLbls>
            <c:dLbl>
              <c:idx val="0"/>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1EF7-46B0-839E-6E3A6478F3A4}"/>
                </c:ext>
              </c:extLst>
            </c:dLbl>
            <c:dLbl>
              <c:idx val="3"/>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EF7-46B0-839E-6E3A6478F3A4}"/>
                </c:ext>
              </c:extLst>
            </c:dLbl>
            <c:dLbl>
              <c:idx val="6"/>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1EF7-46B0-839E-6E3A6478F3A4}"/>
                </c:ext>
              </c:extLst>
            </c:dLbl>
            <c:dLbl>
              <c:idx val="9"/>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1EF7-46B0-839E-6E3A6478F3A4}"/>
                </c:ext>
              </c:extLst>
            </c:dLbl>
            <c:dLbl>
              <c:idx val="12"/>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1EF7-46B0-839E-6E3A6478F3A4}"/>
                </c:ext>
              </c:extLst>
            </c:dLbl>
            <c:dLbl>
              <c:idx val="15"/>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1EF7-46B0-839E-6E3A6478F3A4}"/>
                </c:ext>
              </c:extLst>
            </c:dLbl>
            <c:dLbl>
              <c:idx val="18"/>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1EF7-46B0-839E-6E3A6478F3A4}"/>
                </c:ext>
              </c:extLst>
            </c:dLbl>
            <c:dLbl>
              <c:idx val="21"/>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1EF7-46B0-839E-6E3A6478F3A4}"/>
                </c:ext>
              </c:extLst>
            </c:dLbl>
            <c:dLbl>
              <c:idx val="24"/>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1EF7-46B0-839E-6E3A6478F3A4}"/>
                </c:ext>
              </c:extLst>
            </c:dLbl>
            <c:dLbl>
              <c:idx val="27"/>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1EF7-46B0-839E-6E3A6478F3A4}"/>
                </c:ext>
              </c:extLst>
            </c:dLbl>
            <c:dLbl>
              <c:idx val="30"/>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1EF7-46B0-839E-6E3A6478F3A4}"/>
                </c:ext>
              </c:extLst>
            </c:dLbl>
            <c:dLbl>
              <c:idx val="33"/>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1EF7-46B0-839E-6E3A6478F3A4}"/>
                </c:ext>
              </c:extLst>
            </c:dLbl>
            <c:dLbl>
              <c:idx val="36"/>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1EF7-46B0-839E-6E3A6478F3A4}"/>
                </c:ext>
              </c:extLst>
            </c:dLbl>
            <c:dLbl>
              <c:idx val="39"/>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1EF7-46B0-839E-6E3A6478F3A4}"/>
                </c:ext>
              </c:extLst>
            </c:dLbl>
            <c:dLbl>
              <c:idx val="42"/>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1EF7-46B0-839E-6E3A6478F3A4}"/>
                </c:ext>
              </c:extLst>
            </c:dLbl>
            <c:dLbl>
              <c:idx val="45"/>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1EF7-46B0-839E-6E3A6478F3A4}"/>
                </c:ext>
              </c:extLst>
            </c:dLbl>
            <c:dLbl>
              <c:idx val="48"/>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1EF7-46B0-839E-6E3A6478F3A4}"/>
                </c:ext>
              </c:extLst>
            </c:dLbl>
            <c:dLbl>
              <c:idx val="51"/>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1EF7-46B0-839E-6E3A6478F3A4}"/>
                </c:ext>
              </c:extLst>
            </c:dLbl>
            <c:dLbl>
              <c:idx val="54"/>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1EF7-46B0-839E-6E3A6478F3A4}"/>
                </c:ext>
              </c:extLst>
            </c:dLbl>
            <c:dLbl>
              <c:idx val="57"/>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1EF7-46B0-839E-6E3A6478F3A4}"/>
                </c:ext>
              </c:extLst>
            </c:dLbl>
            <c:dLbl>
              <c:idx val="60"/>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1EF7-46B0-839E-6E3A6478F3A4}"/>
                </c:ext>
              </c:extLst>
            </c:dLbl>
            <c:dLbl>
              <c:idx val="63"/>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1EF7-46B0-839E-6E3A6478F3A4}"/>
                </c:ext>
              </c:extLst>
            </c:dLbl>
            <c:dLbl>
              <c:idx val="66"/>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1EF7-46B0-839E-6E3A6478F3A4}"/>
                </c:ext>
              </c:extLst>
            </c:dLbl>
            <c:dLbl>
              <c:idx val="69"/>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1EF7-46B0-839E-6E3A6478F3A4}"/>
                </c:ext>
              </c:extLst>
            </c:dLbl>
            <c:dLbl>
              <c:idx val="72"/>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8-1EF7-46B0-839E-6E3A6478F3A4}"/>
                </c:ext>
              </c:extLst>
            </c:dLbl>
            <c:dLbl>
              <c:idx val="75"/>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1EF7-46B0-839E-6E3A6478F3A4}"/>
                </c:ext>
              </c:extLst>
            </c:dLbl>
            <c:dLbl>
              <c:idx val="77"/>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A-1EF7-46B0-839E-6E3A6478F3A4}"/>
                </c:ext>
              </c:extLst>
            </c:dLbl>
            <c:spPr>
              <a:noFill/>
              <a:ln>
                <a:noFill/>
              </a:ln>
              <a:effectLst/>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adicionais'!$Q$29:$Q$106</c:f>
              <c:numCache>
                <c:formatCode>0.00" m"</c:formatCode>
                <c:ptCount val="78"/>
                <c:pt idx="0" formatCode="General">
                  <c:v>0</c:v>
                </c:pt>
                <c:pt idx="1">
                  <c:v>0</c:v>
                </c:pt>
                <c:pt idx="2" formatCode="General">
                  <c:v>31.4</c:v>
                </c:pt>
                <c:pt idx="3" formatCode="General">
                  <c:v>31.4</c:v>
                </c:pt>
                <c:pt idx="4" formatCode="General">
                  <c:v>31.4</c:v>
                </c:pt>
                <c:pt idx="5" formatCode="General">
                  <c:v>62.8</c:v>
                </c:pt>
                <c:pt idx="6" formatCode="General">
                  <c:v>62.8</c:v>
                </c:pt>
                <c:pt idx="7" formatCode="General">
                  <c:v>62.8</c:v>
                </c:pt>
                <c:pt idx="8" formatCode="General">
                  <c:v>94.199999999999989</c:v>
                </c:pt>
                <c:pt idx="9" formatCode="General">
                  <c:v>94.199999999999989</c:v>
                </c:pt>
                <c:pt idx="10" formatCode="General">
                  <c:v>94.199999999999989</c:v>
                </c:pt>
                <c:pt idx="11" formatCode="General">
                  <c:v>125.6</c:v>
                </c:pt>
                <c:pt idx="12" formatCode="General">
                  <c:v>125.6</c:v>
                </c:pt>
                <c:pt idx="13" formatCode="General">
                  <c:v>125.6</c:v>
                </c:pt>
                <c:pt idx="14" formatCode="General">
                  <c:v>157</c:v>
                </c:pt>
                <c:pt idx="15" formatCode="General">
                  <c:v>157</c:v>
                </c:pt>
                <c:pt idx="16" formatCode="General">
                  <c:v>157</c:v>
                </c:pt>
                <c:pt idx="17" formatCode="General">
                  <c:v>188.39999999999998</c:v>
                </c:pt>
                <c:pt idx="18" formatCode="General">
                  <c:v>188.39999999999998</c:v>
                </c:pt>
                <c:pt idx="19" formatCode="General">
                  <c:v>188.39999999999998</c:v>
                </c:pt>
                <c:pt idx="20" formatCode="General">
                  <c:v>219.79999999999998</c:v>
                </c:pt>
                <c:pt idx="21" formatCode="General">
                  <c:v>219.79999999999998</c:v>
                </c:pt>
                <c:pt idx="22" formatCode="General">
                  <c:v>219.79999999999998</c:v>
                </c:pt>
                <c:pt idx="23" formatCode="General">
                  <c:v>251.2</c:v>
                </c:pt>
                <c:pt idx="24" formatCode="General">
                  <c:v>251.2</c:v>
                </c:pt>
                <c:pt idx="25" formatCode="General">
                  <c:v>251.2</c:v>
                </c:pt>
                <c:pt idx="26" formatCode="General">
                  <c:v>282.59999999999997</c:v>
                </c:pt>
                <c:pt idx="27" formatCode="General">
                  <c:v>282.59999999999997</c:v>
                </c:pt>
                <c:pt idx="28" formatCode="General">
                  <c:v>282.59999999999997</c:v>
                </c:pt>
                <c:pt idx="29" formatCode="General">
                  <c:v>314</c:v>
                </c:pt>
                <c:pt idx="30" formatCode="General">
                  <c:v>314</c:v>
                </c:pt>
                <c:pt idx="31" formatCode="General">
                  <c:v>314</c:v>
                </c:pt>
                <c:pt idx="32" formatCode="General">
                  <c:v>345.4</c:v>
                </c:pt>
                <c:pt idx="33" formatCode="General">
                  <c:v>345.4</c:v>
                </c:pt>
                <c:pt idx="34" formatCode="General">
                  <c:v>345.4</c:v>
                </c:pt>
                <c:pt idx="35" formatCode="General">
                  <c:v>376.79999999999995</c:v>
                </c:pt>
                <c:pt idx="36" formatCode="General">
                  <c:v>376.79999999999995</c:v>
                </c:pt>
                <c:pt idx="37" formatCode="General">
                  <c:v>376.79999999999995</c:v>
                </c:pt>
                <c:pt idx="38" formatCode="General">
                  <c:v>408.2</c:v>
                </c:pt>
                <c:pt idx="39" formatCode="General">
                  <c:v>408.2</c:v>
                </c:pt>
                <c:pt idx="40" formatCode="General">
                  <c:v>408.2</c:v>
                </c:pt>
                <c:pt idx="41" formatCode="General">
                  <c:v>439.59999999999997</c:v>
                </c:pt>
                <c:pt idx="42" formatCode="General">
                  <c:v>439.59999999999997</c:v>
                </c:pt>
                <c:pt idx="43" formatCode="General">
                  <c:v>439.59999999999997</c:v>
                </c:pt>
                <c:pt idx="44" formatCode="General">
                  <c:v>471</c:v>
                </c:pt>
                <c:pt idx="45" formatCode="General">
                  <c:v>471</c:v>
                </c:pt>
                <c:pt idx="46" formatCode="General">
                  <c:v>471</c:v>
                </c:pt>
                <c:pt idx="47" formatCode="General">
                  <c:v>502.4</c:v>
                </c:pt>
                <c:pt idx="48" formatCode="General">
                  <c:v>502.4</c:v>
                </c:pt>
                <c:pt idx="49" formatCode="General">
                  <c:v>502.4</c:v>
                </c:pt>
                <c:pt idx="50" formatCode="General">
                  <c:v>533.79999999999995</c:v>
                </c:pt>
                <c:pt idx="51" formatCode="General">
                  <c:v>533.79999999999995</c:v>
                </c:pt>
                <c:pt idx="52" formatCode="General">
                  <c:v>533.79999999999995</c:v>
                </c:pt>
                <c:pt idx="53" formatCode="General">
                  <c:v>565.19999999999993</c:v>
                </c:pt>
                <c:pt idx="54" formatCode="General">
                  <c:v>565.19999999999993</c:v>
                </c:pt>
                <c:pt idx="55" formatCode="General">
                  <c:v>565.19999999999993</c:v>
                </c:pt>
                <c:pt idx="56" formatCode="General">
                  <c:v>596.6</c:v>
                </c:pt>
                <c:pt idx="57" formatCode="General">
                  <c:v>596.6</c:v>
                </c:pt>
                <c:pt idx="58" formatCode="General">
                  <c:v>596.6</c:v>
                </c:pt>
                <c:pt idx="59" formatCode="General">
                  <c:v>628</c:v>
                </c:pt>
                <c:pt idx="60" formatCode="General">
                  <c:v>628</c:v>
                </c:pt>
                <c:pt idx="61" formatCode="General">
                  <c:v>628</c:v>
                </c:pt>
                <c:pt idx="62" formatCode="General">
                  <c:v>659.4</c:v>
                </c:pt>
                <c:pt idx="63" formatCode="General">
                  <c:v>659.4</c:v>
                </c:pt>
                <c:pt idx="64" formatCode="General">
                  <c:v>659.4</c:v>
                </c:pt>
                <c:pt idx="65" formatCode="General">
                  <c:v>690.8</c:v>
                </c:pt>
                <c:pt idx="66" formatCode="General">
                  <c:v>690.8</c:v>
                </c:pt>
                <c:pt idx="67" formatCode="General">
                  <c:v>690.8</c:v>
                </c:pt>
                <c:pt idx="68" formatCode="General">
                  <c:v>722.19999999999993</c:v>
                </c:pt>
                <c:pt idx="69" formatCode="General">
                  <c:v>722.19999999999993</c:v>
                </c:pt>
                <c:pt idx="70" formatCode="General">
                  <c:v>722.19999999999993</c:v>
                </c:pt>
                <c:pt idx="71" formatCode="General">
                  <c:v>753.59999999999991</c:v>
                </c:pt>
                <c:pt idx="72" formatCode="General">
                  <c:v>753.59999999999991</c:v>
                </c:pt>
                <c:pt idx="73" formatCode="General">
                  <c:v>753.59999999999991</c:v>
                </c:pt>
                <c:pt idx="74" formatCode="0.0&quot; cm&quot;">
                  <c:v>785</c:v>
                </c:pt>
                <c:pt idx="75" formatCode="0.0&quot; cm&quot;">
                  <c:v>785</c:v>
                </c:pt>
                <c:pt idx="76" formatCode="0.0&quot; cm&quot;">
                  <c:v>785</c:v>
                </c:pt>
                <c:pt idx="77" formatCode="0.0&quot; cm&quot;">
                  <c:v>785</c:v>
                </c:pt>
              </c:numCache>
            </c:numRef>
          </c:xVal>
          <c:yVal>
            <c:numRef>
              <c:f>'Cargas adicionais'!$R$29:$R$106</c:f>
              <c:numCache>
                <c:formatCode>0.0</c:formatCode>
                <c:ptCount val="78"/>
                <c:pt idx="0">
                  <c:v>0</c:v>
                </c:pt>
                <c:pt idx="1">
                  <c:v>145.9375</c:v>
                </c:pt>
                <c:pt idx="2">
                  <c:v>145.9375</c:v>
                </c:pt>
                <c:pt idx="3">
                  <c:v>0</c:v>
                </c:pt>
                <c:pt idx="4">
                  <c:v>145.9375</c:v>
                </c:pt>
                <c:pt idx="5">
                  <c:v>145.9375</c:v>
                </c:pt>
                <c:pt idx="6">
                  <c:v>0</c:v>
                </c:pt>
                <c:pt idx="7">
                  <c:v>145.9375</c:v>
                </c:pt>
                <c:pt idx="8">
                  <c:v>145.9375</c:v>
                </c:pt>
                <c:pt idx="9">
                  <c:v>0</c:v>
                </c:pt>
                <c:pt idx="10">
                  <c:v>145.9375</c:v>
                </c:pt>
                <c:pt idx="11">
                  <c:v>145.9375</c:v>
                </c:pt>
                <c:pt idx="12">
                  <c:v>0</c:v>
                </c:pt>
                <c:pt idx="13">
                  <c:v>145.9375</c:v>
                </c:pt>
                <c:pt idx="14">
                  <c:v>145.9375</c:v>
                </c:pt>
                <c:pt idx="15">
                  <c:v>0</c:v>
                </c:pt>
                <c:pt idx="16">
                  <c:v>145.9375</c:v>
                </c:pt>
                <c:pt idx="17">
                  <c:v>145.9375</c:v>
                </c:pt>
                <c:pt idx="18">
                  <c:v>0</c:v>
                </c:pt>
                <c:pt idx="19">
                  <c:v>145.9375</c:v>
                </c:pt>
                <c:pt idx="20">
                  <c:v>145.9375</c:v>
                </c:pt>
                <c:pt idx="21">
                  <c:v>0</c:v>
                </c:pt>
                <c:pt idx="22">
                  <c:v>145.9375</c:v>
                </c:pt>
                <c:pt idx="23">
                  <c:v>145.9375</c:v>
                </c:pt>
                <c:pt idx="24">
                  <c:v>0</c:v>
                </c:pt>
                <c:pt idx="25">
                  <c:v>145.9375</c:v>
                </c:pt>
                <c:pt idx="26">
                  <c:v>145.9375</c:v>
                </c:pt>
                <c:pt idx="27">
                  <c:v>0</c:v>
                </c:pt>
                <c:pt idx="28">
                  <c:v>145.9375</c:v>
                </c:pt>
                <c:pt idx="29">
                  <c:v>145.9375</c:v>
                </c:pt>
                <c:pt idx="30">
                  <c:v>0</c:v>
                </c:pt>
                <c:pt idx="31">
                  <c:v>145.9375</c:v>
                </c:pt>
                <c:pt idx="32">
                  <c:v>145.9375</c:v>
                </c:pt>
                <c:pt idx="33">
                  <c:v>0</c:v>
                </c:pt>
                <c:pt idx="34">
                  <c:v>145.9375</c:v>
                </c:pt>
                <c:pt idx="35">
                  <c:v>145.9375</c:v>
                </c:pt>
                <c:pt idx="36">
                  <c:v>0</c:v>
                </c:pt>
                <c:pt idx="37">
                  <c:v>145.9375</c:v>
                </c:pt>
                <c:pt idx="38">
                  <c:v>145.9375</c:v>
                </c:pt>
                <c:pt idx="39">
                  <c:v>0</c:v>
                </c:pt>
                <c:pt idx="40">
                  <c:v>145.9375</c:v>
                </c:pt>
                <c:pt idx="41">
                  <c:v>145.9375</c:v>
                </c:pt>
                <c:pt idx="42">
                  <c:v>0</c:v>
                </c:pt>
                <c:pt idx="43">
                  <c:v>145.9375</c:v>
                </c:pt>
                <c:pt idx="44">
                  <c:v>145.9375</c:v>
                </c:pt>
                <c:pt idx="45">
                  <c:v>0</c:v>
                </c:pt>
                <c:pt idx="46">
                  <c:v>145.9375</c:v>
                </c:pt>
                <c:pt idx="47">
                  <c:v>145.9375</c:v>
                </c:pt>
                <c:pt idx="48">
                  <c:v>0</c:v>
                </c:pt>
                <c:pt idx="49">
                  <c:v>145.9375</c:v>
                </c:pt>
                <c:pt idx="50">
                  <c:v>145.9375</c:v>
                </c:pt>
                <c:pt idx="51">
                  <c:v>0</c:v>
                </c:pt>
                <c:pt idx="52">
                  <c:v>145.9375</c:v>
                </c:pt>
                <c:pt idx="53">
                  <c:v>145.9375</c:v>
                </c:pt>
                <c:pt idx="54">
                  <c:v>0</c:v>
                </c:pt>
                <c:pt idx="55">
                  <c:v>145.9375</c:v>
                </c:pt>
                <c:pt idx="56">
                  <c:v>145.9375</c:v>
                </c:pt>
                <c:pt idx="57">
                  <c:v>0</c:v>
                </c:pt>
                <c:pt idx="58">
                  <c:v>145.9375</c:v>
                </c:pt>
                <c:pt idx="59">
                  <c:v>145.9375</c:v>
                </c:pt>
                <c:pt idx="60">
                  <c:v>0</c:v>
                </c:pt>
                <c:pt idx="61">
                  <c:v>145.9375</c:v>
                </c:pt>
                <c:pt idx="62">
                  <c:v>145.9375</c:v>
                </c:pt>
                <c:pt idx="63">
                  <c:v>0</c:v>
                </c:pt>
                <c:pt idx="64">
                  <c:v>145.9375</c:v>
                </c:pt>
                <c:pt idx="65">
                  <c:v>145.9375</c:v>
                </c:pt>
                <c:pt idx="66">
                  <c:v>0</c:v>
                </c:pt>
                <c:pt idx="67">
                  <c:v>145.9375</c:v>
                </c:pt>
                <c:pt idx="68">
                  <c:v>145.9375</c:v>
                </c:pt>
                <c:pt idx="69">
                  <c:v>0</c:v>
                </c:pt>
                <c:pt idx="70">
                  <c:v>145.9375</c:v>
                </c:pt>
                <c:pt idx="71">
                  <c:v>145.9375</c:v>
                </c:pt>
                <c:pt idx="72">
                  <c:v>0</c:v>
                </c:pt>
                <c:pt idx="73">
                  <c:v>145.9375</c:v>
                </c:pt>
                <c:pt idx="74">
                  <c:v>145.9375</c:v>
                </c:pt>
                <c:pt idx="75">
                  <c:v>0</c:v>
                </c:pt>
                <c:pt idx="76">
                  <c:v>0</c:v>
                </c:pt>
                <c:pt idx="77">
                  <c:v>0</c:v>
                </c:pt>
              </c:numCache>
            </c:numRef>
          </c:yVal>
          <c:smooth val="0"/>
          <c:extLst>
            <c:ext xmlns:c16="http://schemas.microsoft.com/office/drawing/2014/chart" uri="{C3380CC4-5D6E-409C-BE32-E72D297353CC}">
              <c16:uniqueId val="{0000001B-1EF7-46B0-839E-6E3A6478F3A4}"/>
            </c:ext>
          </c:extLst>
        </c:ser>
        <c:ser>
          <c:idx val="1"/>
          <c:order val="1"/>
          <c:tx>
            <c:v>Carga pontual (variável)</c:v>
          </c:tx>
          <c:spPr>
            <a:ln w="12600">
              <a:solidFill>
                <a:srgbClr val="F0762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adicionais'!$M$201:$M$230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xVal>
          <c:yVal>
            <c:numRef>
              <c:f>'Cargas adicionais'!$N$201:$N$230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yVal>
          <c:smooth val="0"/>
          <c:extLst>
            <c:ext xmlns:c16="http://schemas.microsoft.com/office/drawing/2014/chart" uri="{C3380CC4-5D6E-409C-BE32-E72D297353CC}">
              <c16:uniqueId val="{0000001C-1EF7-46B0-839E-6E3A6478F3A4}"/>
            </c:ext>
          </c:extLst>
        </c:ser>
        <c:dLbls>
          <c:showLegendKey val="0"/>
          <c:showVal val="0"/>
          <c:showCatName val="0"/>
          <c:showSerName val="0"/>
          <c:showPercent val="0"/>
          <c:showBubbleSize val="0"/>
        </c:dLbls>
        <c:axId val="50584911"/>
        <c:axId val="62874314"/>
      </c:scatterChart>
      <c:valAx>
        <c:axId val="50584911"/>
        <c:scaling>
          <c:orientation val="minMax"/>
          <c:min val="0"/>
        </c:scaling>
        <c:delete val="1"/>
        <c:axPos val="b"/>
        <c:numFmt formatCode="General" sourceLinked="1"/>
        <c:majorTickMark val="out"/>
        <c:minorTickMark val="none"/>
        <c:tickLblPos val="nextTo"/>
        <c:crossAx val="62874314"/>
        <c:crosses val="autoZero"/>
        <c:crossBetween val="midCat"/>
      </c:valAx>
      <c:valAx>
        <c:axId val="62874314"/>
        <c:scaling>
          <c:orientation val="minMax"/>
        </c:scaling>
        <c:delete val="1"/>
        <c:axPos val="l"/>
        <c:numFmt formatCode="0.0" sourceLinked="1"/>
        <c:majorTickMark val="out"/>
        <c:minorTickMark val="none"/>
        <c:tickLblPos val="nextTo"/>
        <c:crossAx val="50584911"/>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Diagrama de Momento Fletor PERMANENTE M(x) (kN.m)</a:t>
            </a:r>
          </a:p>
        </c:rich>
      </c:tx>
      <c:overlay val="0"/>
      <c:spPr>
        <a:noFill/>
        <a:ln w="0">
          <a:noFill/>
        </a:ln>
      </c:spPr>
    </c:title>
    <c:autoTitleDeleted val="0"/>
    <c:plotArea>
      <c:layout>
        <c:manualLayout>
          <c:layoutTarget val="inner"/>
          <c:xMode val="edge"/>
          <c:yMode val="edge"/>
          <c:x val="6.1796691583236599E-2"/>
          <c:y val="0.159460394327222"/>
          <c:w val="0.91040828993172696"/>
          <c:h val="0.80295168915023596"/>
        </c:manualLayout>
      </c:layout>
      <c:scatterChart>
        <c:scatterStyle val="lineMarker"/>
        <c:varyColors val="0"/>
        <c:ser>
          <c:idx val="0"/>
          <c:order val="0"/>
          <c:spPr>
            <a:ln w="19080" cap="rnd">
              <a:solidFill>
                <a:srgbClr val="000000"/>
              </a:solidFill>
              <a:round/>
            </a:ln>
          </c:spPr>
          <c:marker>
            <c:symbol val="none"/>
          </c:marker>
          <c:dLbls>
            <c:numFmt formatCode="0" sourceLinked="0"/>
            <c:spPr>
              <a:solidFill>
                <a:srgbClr val="FFFFFF"/>
              </a:solidFill>
            </c:spPr>
            <c:txPr>
              <a:bodyPr rot="-5400000" wrap="square"/>
              <a:lstStyle/>
              <a:p>
                <a:pPr>
                  <a:defRPr sz="900" b="0" strike="noStrike" spc="-1">
                    <a:solidFill>
                      <a:srgbClr val="595959"/>
                    </a:solidFill>
                    <a:latin typeface="Aptos Narrow"/>
                    <a:ea typeface="Aptos Narrow"/>
                  </a:defRPr>
                </a:pPr>
                <a:endParaRPr lang="pt-BR"/>
              </a:p>
            </c:txPr>
            <c:dLblPos val="b"/>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adicionais'!$K$117:$K$146</c:f>
              <c:numCache>
                <c:formatCode>General</c:formatCode>
                <c:ptCount val="30"/>
                <c:pt idx="0" formatCode="0.0&quot; cm&quot;">
                  <c:v>0</c:v>
                </c:pt>
                <c:pt idx="1">
                  <c:v>0</c:v>
                </c:pt>
                <c:pt idx="2" formatCode="0.0&quot; cm&quot;">
                  <c:v>0</c:v>
                </c:pt>
                <c:pt idx="3">
                  <c:v>31.4</c:v>
                </c:pt>
                <c:pt idx="4">
                  <c:v>62.8</c:v>
                </c:pt>
                <c:pt idx="5">
                  <c:v>94.199999999999989</c:v>
                </c:pt>
                <c:pt idx="6">
                  <c:v>125.6</c:v>
                </c:pt>
                <c:pt idx="7">
                  <c:v>157</c:v>
                </c:pt>
                <c:pt idx="8">
                  <c:v>188.39999999999998</c:v>
                </c:pt>
                <c:pt idx="9">
                  <c:v>219.79999999999998</c:v>
                </c:pt>
                <c:pt idx="10">
                  <c:v>251.2</c:v>
                </c:pt>
                <c:pt idx="11">
                  <c:v>282.59999999999997</c:v>
                </c:pt>
                <c:pt idx="12">
                  <c:v>314</c:v>
                </c:pt>
                <c:pt idx="13">
                  <c:v>345.4</c:v>
                </c:pt>
                <c:pt idx="14">
                  <c:v>376.79999999999995</c:v>
                </c:pt>
                <c:pt idx="15">
                  <c:v>408.2</c:v>
                </c:pt>
                <c:pt idx="16">
                  <c:v>439.59999999999997</c:v>
                </c:pt>
                <c:pt idx="17">
                  <c:v>471</c:v>
                </c:pt>
                <c:pt idx="18">
                  <c:v>502.4</c:v>
                </c:pt>
                <c:pt idx="19">
                  <c:v>533.79999999999995</c:v>
                </c:pt>
                <c:pt idx="20">
                  <c:v>565.19999999999993</c:v>
                </c:pt>
                <c:pt idx="21">
                  <c:v>596.6</c:v>
                </c:pt>
                <c:pt idx="22">
                  <c:v>628</c:v>
                </c:pt>
                <c:pt idx="23">
                  <c:v>659.4</c:v>
                </c:pt>
                <c:pt idx="24">
                  <c:v>690.8</c:v>
                </c:pt>
                <c:pt idx="25">
                  <c:v>722.19999999999993</c:v>
                </c:pt>
                <c:pt idx="26">
                  <c:v>753.59999999999991</c:v>
                </c:pt>
                <c:pt idx="27">
                  <c:v>785</c:v>
                </c:pt>
                <c:pt idx="28">
                  <c:v>785</c:v>
                </c:pt>
                <c:pt idx="29">
                  <c:v>785</c:v>
                </c:pt>
              </c:numCache>
            </c:numRef>
          </c:xVal>
          <c:yVal>
            <c:numRef>
              <c:f>'Cargas adicionais'!$O$117:$O$146</c:f>
              <c:numCache>
                <c:formatCode>0.0</c:formatCode>
                <c:ptCount val="30"/>
                <c:pt idx="0">
                  <c:v>0</c:v>
                </c:pt>
                <c:pt idx="1">
                  <c:v>0</c:v>
                </c:pt>
                <c:pt idx="2">
                  <c:v>0</c:v>
                </c:pt>
                <c:pt idx="3">
                  <c:v>-52.870773953999993</c:v>
                </c:pt>
                <c:pt idx="4">
                  <c:v>-101.33565007849998</c:v>
                </c:pt>
                <c:pt idx="5">
                  <c:v>-145.39462837349998</c:v>
                </c:pt>
                <c:pt idx="6">
                  <c:v>-185.04770883899999</c:v>
                </c:pt>
                <c:pt idx="7">
                  <c:v>-220.29489147499999</c:v>
                </c:pt>
                <c:pt idx="8">
                  <c:v>-251.13617628149996</c:v>
                </c:pt>
                <c:pt idx="9">
                  <c:v>-277.57156325849996</c:v>
                </c:pt>
                <c:pt idx="10">
                  <c:v>-299.60105240599995</c:v>
                </c:pt>
                <c:pt idx="11">
                  <c:v>-317.22464372399992</c:v>
                </c:pt>
                <c:pt idx="12">
                  <c:v>-330.44233721249992</c:v>
                </c:pt>
                <c:pt idx="13">
                  <c:v>-339.25413287149991</c:v>
                </c:pt>
                <c:pt idx="14">
                  <c:v>-343.66003070099993</c:v>
                </c:pt>
                <c:pt idx="15">
                  <c:v>-343.66003070099993</c:v>
                </c:pt>
                <c:pt idx="16">
                  <c:v>-339.25413287149991</c:v>
                </c:pt>
                <c:pt idx="17">
                  <c:v>-330.44233721249987</c:v>
                </c:pt>
                <c:pt idx="18">
                  <c:v>-317.22464372399986</c:v>
                </c:pt>
                <c:pt idx="19">
                  <c:v>-299.60105240599989</c:v>
                </c:pt>
                <c:pt idx="20">
                  <c:v>-277.57156325849991</c:v>
                </c:pt>
                <c:pt idx="21">
                  <c:v>-251.13617628149984</c:v>
                </c:pt>
                <c:pt idx="22">
                  <c:v>-220.29489147499987</c:v>
                </c:pt>
                <c:pt idx="23">
                  <c:v>-185.04770883899991</c:v>
                </c:pt>
                <c:pt idx="24">
                  <c:v>-145.39462837349996</c:v>
                </c:pt>
                <c:pt idx="25">
                  <c:v>-101.3356500785</c:v>
                </c:pt>
                <c:pt idx="26">
                  <c:v>-52.870773954000043</c:v>
                </c:pt>
                <c:pt idx="27">
                  <c:v>9.9475983006414026E-14</c:v>
                </c:pt>
                <c:pt idx="28" formatCode="General">
                  <c:v>9.9475983006414026E-14</c:v>
                </c:pt>
                <c:pt idx="29" formatCode="General">
                  <c:v>9.9475983006414026E-14</c:v>
                </c:pt>
              </c:numCache>
            </c:numRef>
          </c:yVal>
          <c:smooth val="0"/>
          <c:extLst>
            <c:ext xmlns:c16="http://schemas.microsoft.com/office/drawing/2014/chart" uri="{C3380CC4-5D6E-409C-BE32-E72D297353CC}">
              <c16:uniqueId val="{00000000-5CF9-4C36-B1DD-7783DF659C68}"/>
            </c:ext>
          </c:extLst>
        </c:ser>
        <c:dLbls>
          <c:showLegendKey val="0"/>
          <c:showVal val="0"/>
          <c:showCatName val="0"/>
          <c:showSerName val="0"/>
          <c:showPercent val="0"/>
          <c:showBubbleSize val="0"/>
        </c:dLbls>
        <c:axId val="55146127"/>
        <c:axId val="67805233"/>
      </c:scatterChart>
      <c:valAx>
        <c:axId val="55146127"/>
        <c:scaling>
          <c:orientation val="minMax"/>
          <c:min val="0"/>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67805233"/>
        <c:crosses val="autoZero"/>
        <c:crossBetween val="midCat"/>
      </c:valAx>
      <c:valAx>
        <c:axId val="67805233"/>
        <c:scaling>
          <c:orientation val="minMax"/>
        </c:scaling>
        <c:delete val="1"/>
        <c:axPos val="l"/>
        <c:numFmt formatCode="0.0" sourceLinked="1"/>
        <c:majorTickMark val="out"/>
        <c:minorTickMark val="none"/>
        <c:tickLblPos val="nextTo"/>
        <c:crossAx val="55146127"/>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Diagrama de Momento Fletor VARIÁVEL M,q0(x) (kN.m) </a:t>
            </a:r>
          </a:p>
        </c:rich>
      </c:tx>
      <c:overlay val="0"/>
      <c:spPr>
        <a:noFill/>
        <a:ln w="0">
          <a:noFill/>
        </a:ln>
      </c:spPr>
    </c:title>
    <c:autoTitleDeleted val="0"/>
    <c:plotArea>
      <c:layout>
        <c:manualLayout>
          <c:layoutTarget val="inner"/>
          <c:xMode val="edge"/>
          <c:yMode val="edge"/>
          <c:x val="6.18311533888228E-2"/>
          <c:y val="0.159405255878285"/>
          <c:w val="0.91041509026051204"/>
          <c:h val="0.80278930382664804"/>
        </c:manualLayout>
      </c:layout>
      <c:scatterChart>
        <c:scatterStyle val="lineMarker"/>
        <c:varyColors val="0"/>
        <c:ser>
          <c:idx val="0"/>
          <c:order val="0"/>
          <c:spPr>
            <a:ln w="19080" cap="rnd">
              <a:solidFill>
                <a:srgbClr val="000000"/>
              </a:solidFill>
              <a:round/>
            </a:ln>
          </c:spPr>
          <c:marker>
            <c:symbol val="none"/>
          </c:marker>
          <c:dLbls>
            <c:numFmt formatCode="0" sourceLinked="0"/>
            <c:spPr>
              <a:solidFill>
                <a:srgbClr val="FFFFFF"/>
              </a:solidFill>
            </c:spPr>
            <c:txPr>
              <a:bodyPr rot="-5400000" wrap="square"/>
              <a:lstStyle/>
              <a:p>
                <a:pPr>
                  <a:defRPr sz="900" b="0" strike="noStrike" spc="-1">
                    <a:solidFill>
                      <a:srgbClr val="595959"/>
                    </a:solidFill>
                    <a:latin typeface="Aptos Narrow"/>
                    <a:ea typeface="Aptos Narrow"/>
                  </a:defRPr>
                </a:pPr>
                <a:endParaRPr lang="pt-BR"/>
              </a:p>
            </c:txPr>
            <c:dLblPos val="b"/>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adicionais'!$K$153:$K$182</c:f>
              <c:numCache>
                <c:formatCode>General</c:formatCode>
                <c:ptCount val="30"/>
                <c:pt idx="0" formatCode="0.0&quot; cm&quot;">
                  <c:v>0</c:v>
                </c:pt>
                <c:pt idx="1">
                  <c:v>0</c:v>
                </c:pt>
                <c:pt idx="2" formatCode="0.0&quot; cm&quot;">
                  <c:v>0</c:v>
                </c:pt>
                <c:pt idx="3">
                  <c:v>31.4</c:v>
                </c:pt>
                <c:pt idx="4">
                  <c:v>62.8</c:v>
                </c:pt>
                <c:pt idx="5">
                  <c:v>94.199999999999989</c:v>
                </c:pt>
                <c:pt idx="6">
                  <c:v>125.6</c:v>
                </c:pt>
                <c:pt idx="7">
                  <c:v>157</c:v>
                </c:pt>
                <c:pt idx="8">
                  <c:v>188.39999999999998</c:v>
                </c:pt>
                <c:pt idx="9">
                  <c:v>219.79999999999998</c:v>
                </c:pt>
                <c:pt idx="10">
                  <c:v>251.2</c:v>
                </c:pt>
                <c:pt idx="11">
                  <c:v>282.59999999999997</c:v>
                </c:pt>
                <c:pt idx="12">
                  <c:v>314</c:v>
                </c:pt>
                <c:pt idx="13">
                  <c:v>345.4</c:v>
                </c:pt>
                <c:pt idx="14">
                  <c:v>376.79999999999995</c:v>
                </c:pt>
                <c:pt idx="15">
                  <c:v>408.2</c:v>
                </c:pt>
                <c:pt idx="16">
                  <c:v>439.59999999999997</c:v>
                </c:pt>
                <c:pt idx="17">
                  <c:v>471</c:v>
                </c:pt>
                <c:pt idx="18">
                  <c:v>502.4</c:v>
                </c:pt>
                <c:pt idx="19">
                  <c:v>533.79999999999995</c:v>
                </c:pt>
                <c:pt idx="20">
                  <c:v>565.19999999999993</c:v>
                </c:pt>
                <c:pt idx="21">
                  <c:v>596.6</c:v>
                </c:pt>
                <c:pt idx="22">
                  <c:v>628</c:v>
                </c:pt>
                <c:pt idx="23">
                  <c:v>659.4</c:v>
                </c:pt>
                <c:pt idx="24">
                  <c:v>690.8</c:v>
                </c:pt>
                <c:pt idx="25">
                  <c:v>722.19999999999993</c:v>
                </c:pt>
                <c:pt idx="26">
                  <c:v>753.59999999999991</c:v>
                </c:pt>
                <c:pt idx="27">
                  <c:v>785</c:v>
                </c:pt>
                <c:pt idx="28">
                  <c:v>785</c:v>
                </c:pt>
                <c:pt idx="29">
                  <c:v>785</c:v>
                </c:pt>
              </c:numCache>
            </c:numRef>
          </c:xVal>
          <c:yVal>
            <c:numRef>
              <c:f>'Cargas adicionais'!$O$153:$O$182</c:f>
              <c:numCache>
                <c:formatCode>0.0</c:formatCode>
                <c:ptCount val="30"/>
                <c:pt idx="0">
                  <c:v>0</c:v>
                </c:pt>
                <c:pt idx="1">
                  <c:v>0</c:v>
                </c:pt>
                <c:pt idx="2">
                  <c:v>0</c:v>
                </c:pt>
                <c:pt idx="3">
                  <c:v>-172.66624500000006</c:v>
                </c:pt>
                <c:pt idx="4">
                  <c:v>-330.94363625000011</c:v>
                </c:pt>
                <c:pt idx="5">
                  <c:v>-474.83217375000009</c:v>
                </c:pt>
                <c:pt idx="6">
                  <c:v>-604.33185750000018</c:v>
                </c:pt>
                <c:pt idx="7">
                  <c:v>-719.44268750000026</c:v>
                </c:pt>
                <c:pt idx="8">
                  <c:v>-820.16466375000027</c:v>
                </c:pt>
                <c:pt idx="9">
                  <c:v>-906.49778625000033</c:v>
                </c:pt>
                <c:pt idx="10">
                  <c:v>-978.44205500000044</c:v>
                </c:pt>
                <c:pt idx="11">
                  <c:v>-1035.9974700000005</c:v>
                </c:pt>
                <c:pt idx="12">
                  <c:v>-1079.1640312500006</c:v>
                </c:pt>
                <c:pt idx="13">
                  <c:v>-1107.9417387500005</c:v>
                </c:pt>
                <c:pt idx="14">
                  <c:v>-1122.3305925000004</c:v>
                </c:pt>
                <c:pt idx="15">
                  <c:v>-1122.3305925000004</c:v>
                </c:pt>
                <c:pt idx="16">
                  <c:v>-1107.9417387500005</c:v>
                </c:pt>
                <c:pt idx="17">
                  <c:v>-1079.1640312500006</c:v>
                </c:pt>
                <c:pt idx="18">
                  <c:v>-1035.9974700000007</c:v>
                </c:pt>
                <c:pt idx="19">
                  <c:v>-978.44205500000078</c:v>
                </c:pt>
                <c:pt idx="20">
                  <c:v>-906.4977862500009</c:v>
                </c:pt>
                <c:pt idx="21">
                  <c:v>-820.16466375000073</c:v>
                </c:pt>
                <c:pt idx="22">
                  <c:v>-719.44268750000083</c:v>
                </c:pt>
                <c:pt idx="23">
                  <c:v>-604.33185750000098</c:v>
                </c:pt>
                <c:pt idx="24">
                  <c:v>-474.83217375000117</c:v>
                </c:pt>
                <c:pt idx="25">
                  <c:v>-330.9436362500013</c:v>
                </c:pt>
                <c:pt idx="26">
                  <c:v>-172.66624500000148</c:v>
                </c:pt>
                <c:pt idx="27">
                  <c:v>-1.0231815394945443E-12</c:v>
                </c:pt>
                <c:pt idx="28" formatCode="General">
                  <c:v>-1.0231815394945443E-12</c:v>
                </c:pt>
                <c:pt idx="29" formatCode="General">
                  <c:v>-1.0231815394945443E-12</c:v>
                </c:pt>
              </c:numCache>
            </c:numRef>
          </c:yVal>
          <c:smooth val="0"/>
          <c:extLst>
            <c:ext xmlns:c16="http://schemas.microsoft.com/office/drawing/2014/chart" uri="{C3380CC4-5D6E-409C-BE32-E72D297353CC}">
              <c16:uniqueId val="{00000000-B290-4A2A-B5A3-CE34C8CB29E5}"/>
            </c:ext>
          </c:extLst>
        </c:ser>
        <c:dLbls>
          <c:showLegendKey val="0"/>
          <c:showVal val="0"/>
          <c:showCatName val="0"/>
          <c:showSerName val="0"/>
          <c:showPercent val="0"/>
          <c:showBubbleSize val="0"/>
        </c:dLbls>
        <c:axId val="354602"/>
        <c:axId val="87240907"/>
      </c:scatterChart>
      <c:valAx>
        <c:axId val="354602"/>
        <c:scaling>
          <c:orientation val="minMax"/>
          <c:min val="0"/>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87240907"/>
        <c:crosses val="autoZero"/>
        <c:crossBetween val="midCat"/>
      </c:valAx>
      <c:valAx>
        <c:axId val="87240907"/>
        <c:scaling>
          <c:orientation val="minMax"/>
        </c:scaling>
        <c:delete val="1"/>
        <c:axPos val="l"/>
        <c:numFmt formatCode="0.0" sourceLinked="1"/>
        <c:majorTickMark val="out"/>
        <c:minorTickMark val="none"/>
        <c:tickLblPos val="nextTo"/>
        <c:crossAx val="35460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600" b="1" strike="noStrike" spc="-1">
                <a:solidFill>
                  <a:srgbClr val="595959"/>
                </a:solidFill>
                <a:latin typeface="Aptos Narrow"/>
                <a:ea typeface="Aptos Narrow"/>
              </a:defRPr>
            </a:pPr>
            <a:r>
              <a:rPr lang="pt-BR" sz="1600" b="1" strike="noStrike" spc="-1">
                <a:solidFill>
                  <a:srgbClr val="595959"/>
                </a:solidFill>
                <a:latin typeface="Aptos Narrow"/>
                <a:ea typeface="Aptos Narrow"/>
              </a:rPr>
              <a:t>Diagrama de Esforço Cortante PERMANENTE V(x) (kN)</a:t>
            </a:r>
          </a:p>
        </c:rich>
      </c:tx>
      <c:overlay val="0"/>
      <c:spPr>
        <a:noFill/>
        <a:ln w="0">
          <a:noFill/>
        </a:ln>
      </c:spPr>
    </c:title>
    <c:autoTitleDeleted val="0"/>
    <c:plotArea>
      <c:layout/>
      <c:scatterChart>
        <c:scatterStyle val="lineMarker"/>
        <c:varyColors val="0"/>
        <c:ser>
          <c:idx val="0"/>
          <c:order val="0"/>
          <c:spPr>
            <a:ln w="22320" cap="rnd">
              <a:solidFill>
                <a:srgbClr val="000000"/>
              </a:solidFill>
              <a:round/>
            </a:ln>
          </c:spPr>
          <c:marker>
            <c:symbol val="none"/>
          </c:marker>
          <c:dLbls>
            <c:numFmt formatCode="0" sourceLinked="0"/>
            <c:spPr>
              <a:solidFill>
                <a:srgbClr val="FFFFFF"/>
              </a:solidFill>
            </c:spPr>
            <c:txPr>
              <a:bodyPr rot="-5400000" wrap="square"/>
              <a:lstStyle/>
              <a:p>
                <a:pPr>
                  <a:defRPr sz="900" b="0" strike="noStrike" spc="-1">
                    <a:solidFill>
                      <a:srgbClr val="595959"/>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adicionais'!$K$117:$K$146</c:f>
              <c:numCache>
                <c:formatCode>General</c:formatCode>
                <c:ptCount val="30"/>
                <c:pt idx="0" formatCode="0.0&quot; cm&quot;">
                  <c:v>0</c:v>
                </c:pt>
                <c:pt idx="1">
                  <c:v>0</c:v>
                </c:pt>
                <c:pt idx="2" formatCode="0.0&quot; cm&quot;">
                  <c:v>0</c:v>
                </c:pt>
                <c:pt idx="3">
                  <c:v>31.4</c:v>
                </c:pt>
                <c:pt idx="4">
                  <c:v>62.8</c:v>
                </c:pt>
                <c:pt idx="5">
                  <c:v>94.199999999999989</c:v>
                </c:pt>
                <c:pt idx="6">
                  <c:v>125.6</c:v>
                </c:pt>
                <c:pt idx="7">
                  <c:v>157</c:v>
                </c:pt>
                <c:pt idx="8">
                  <c:v>188.39999999999998</c:v>
                </c:pt>
                <c:pt idx="9">
                  <c:v>219.79999999999998</c:v>
                </c:pt>
                <c:pt idx="10">
                  <c:v>251.2</c:v>
                </c:pt>
                <c:pt idx="11">
                  <c:v>282.59999999999997</c:v>
                </c:pt>
                <c:pt idx="12">
                  <c:v>314</c:v>
                </c:pt>
                <c:pt idx="13">
                  <c:v>345.4</c:v>
                </c:pt>
                <c:pt idx="14">
                  <c:v>376.79999999999995</c:v>
                </c:pt>
                <c:pt idx="15">
                  <c:v>408.2</c:v>
                </c:pt>
                <c:pt idx="16">
                  <c:v>439.59999999999997</c:v>
                </c:pt>
                <c:pt idx="17">
                  <c:v>471</c:v>
                </c:pt>
                <c:pt idx="18">
                  <c:v>502.4</c:v>
                </c:pt>
                <c:pt idx="19">
                  <c:v>533.79999999999995</c:v>
                </c:pt>
                <c:pt idx="20">
                  <c:v>565.19999999999993</c:v>
                </c:pt>
                <c:pt idx="21">
                  <c:v>596.6</c:v>
                </c:pt>
                <c:pt idx="22">
                  <c:v>628</c:v>
                </c:pt>
                <c:pt idx="23">
                  <c:v>659.4</c:v>
                </c:pt>
                <c:pt idx="24">
                  <c:v>690.8</c:v>
                </c:pt>
                <c:pt idx="25">
                  <c:v>722.19999999999993</c:v>
                </c:pt>
                <c:pt idx="26">
                  <c:v>753.59999999999991</c:v>
                </c:pt>
                <c:pt idx="27">
                  <c:v>785</c:v>
                </c:pt>
                <c:pt idx="28">
                  <c:v>785</c:v>
                </c:pt>
                <c:pt idx="29">
                  <c:v>785</c:v>
                </c:pt>
              </c:numCache>
            </c:numRef>
          </c:xVal>
          <c:yVal>
            <c:numRef>
              <c:f>'Cargas adicionais'!$M$117:$M$146</c:f>
              <c:numCache>
                <c:formatCode>General</c:formatCode>
                <c:ptCount val="30"/>
                <c:pt idx="0">
                  <c:v>0</c:v>
                </c:pt>
                <c:pt idx="1">
                  <c:v>175.39402187499999</c:v>
                </c:pt>
                <c:pt idx="2">
                  <c:v>175.39402187499999</c:v>
                </c:pt>
                <c:pt idx="3">
                  <c:v>161.362500125</c:v>
                </c:pt>
                <c:pt idx="4">
                  <c:v>147.330978375</c:v>
                </c:pt>
                <c:pt idx="5">
                  <c:v>133.299456625</c:v>
                </c:pt>
                <c:pt idx="6">
                  <c:v>119.26793487499999</c:v>
                </c:pt>
                <c:pt idx="7">
                  <c:v>105.236413125</c:v>
                </c:pt>
                <c:pt idx="8">
                  <c:v>91.204891375000017</c:v>
                </c:pt>
                <c:pt idx="9">
                  <c:v>77.173369624999992</c:v>
                </c:pt>
                <c:pt idx="10">
                  <c:v>63.141847874999996</c:v>
                </c:pt>
                <c:pt idx="11">
                  <c:v>49.110326125000014</c:v>
                </c:pt>
                <c:pt idx="12">
                  <c:v>35.078804375000004</c:v>
                </c:pt>
                <c:pt idx="13">
                  <c:v>21.047282625000008</c:v>
                </c:pt>
                <c:pt idx="14">
                  <c:v>7.0157608750000406</c:v>
                </c:pt>
                <c:pt idx="15">
                  <c:v>-7.0157608749999838</c:v>
                </c:pt>
                <c:pt idx="16">
                  <c:v>-21.047282625000008</c:v>
                </c:pt>
                <c:pt idx="17">
                  <c:v>-35.078804375000004</c:v>
                </c:pt>
                <c:pt idx="18">
                  <c:v>-49.110326125</c:v>
                </c:pt>
                <c:pt idx="19">
                  <c:v>-63.141847874999968</c:v>
                </c:pt>
                <c:pt idx="20">
                  <c:v>-77.173369624999964</c:v>
                </c:pt>
                <c:pt idx="21">
                  <c:v>-91.204891375000017</c:v>
                </c:pt>
                <c:pt idx="22">
                  <c:v>-105.23641312499998</c:v>
                </c:pt>
                <c:pt idx="23">
                  <c:v>-119.26793487499995</c:v>
                </c:pt>
                <c:pt idx="24">
                  <c:v>-133.29945662499998</c:v>
                </c:pt>
                <c:pt idx="25">
                  <c:v>-147.330978375</c:v>
                </c:pt>
                <c:pt idx="26">
                  <c:v>-161.36250012499991</c:v>
                </c:pt>
                <c:pt idx="27">
                  <c:v>-175.39402187499999</c:v>
                </c:pt>
                <c:pt idx="28">
                  <c:v>-175.39402187499999</c:v>
                </c:pt>
                <c:pt idx="29">
                  <c:v>0</c:v>
                </c:pt>
              </c:numCache>
            </c:numRef>
          </c:yVal>
          <c:smooth val="0"/>
          <c:extLst>
            <c:ext xmlns:c16="http://schemas.microsoft.com/office/drawing/2014/chart" uri="{C3380CC4-5D6E-409C-BE32-E72D297353CC}">
              <c16:uniqueId val="{00000000-138B-45B0-A1AC-8DB4C3B24B85}"/>
            </c:ext>
          </c:extLst>
        </c:ser>
        <c:dLbls>
          <c:showLegendKey val="0"/>
          <c:showVal val="0"/>
          <c:showCatName val="0"/>
          <c:showSerName val="0"/>
          <c:showPercent val="0"/>
          <c:showBubbleSize val="0"/>
        </c:dLbls>
        <c:axId val="93154170"/>
        <c:axId val="5133755"/>
      </c:scatterChart>
      <c:valAx>
        <c:axId val="93154170"/>
        <c:scaling>
          <c:orientation val="minMax"/>
          <c:min val="0"/>
        </c:scaling>
        <c:delete val="1"/>
        <c:axPos val="b"/>
        <c:numFmt formatCode="0.0&quot; cm&quot;" sourceLinked="1"/>
        <c:majorTickMark val="out"/>
        <c:minorTickMark val="none"/>
        <c:tickLblPos val="nextTo"/>
        <c:crossAx val="5133755"/>
        <c:crosses val="autoZero"/>
        <c:crossBetween val="midCat"/>
      </c:valAx>
      <c:valAx>
        <c:axId val="5133755"/>
        <c:scaling>
          <c:orientation val="minMax"/>
        </c:scaling>
        <c:delete val="1"/>
        <c:axPos val="l"/>
        <c:numFmt formatCode="General" sourceLinked="1"/>
        <c:majorTickMark val="out"/>
        <c:minorTickMark val="none"/>
        <c:tickLblPos val="nextTo"/>
        <c:crossAx val="93154170"/>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600" b="1" strike="noStrike" spc="-1">
                <a:solidFill>
                  <a:srgbClr val="595959"/>
                </a:solidFill>
                <a:latin typeface="Aptos Narrow"/>
                <a:ea typeface="Aptos Narrow"/>
              </a:defRPr>
            </a:pPr>
            <a:r>
              <a:rPr lang="pt-BR" sz="1600" b="1" strike="noStrike" spc="-1">
                <a:solidFill>
                  <a:srgbClr val="595959"/>
                </a:solidFill>
                <a:latin typeface="Aptos Narrow"/>
                <a:ea typeface="Aptos Narrow"/>
              </a:rPr>
              <a:t>Diagrama de Esforço Cortante VARIÁVEL V,q0(x) (kN) </a:t>
            </a:r>
          </a:p>
        </c:rich>
      </c:tx>
      <c:overlay val="0"/>
      <c:spPr>
        <a:noFill/>
        <a:ln w="0">
          <a:noFill/>
        </a:ln>
      </c:spPr>
    </c:title>
    <c:autoTitleDeleted val="0"/>
    <c:plotArea>
      <c:layout/>
      <c:scatterChart>
        <c:scatterStyle val="lineMarker"/>
        <c:varyColors val="0"/>
        <c:ser>
          <c:idx val="0"/>
          <c:order val="0"/>
          <c:spPr>
            <a:ln w="22320" cap="rnd">
              <a:solidFill>
                <a:srgbClr val="000000"/>
              </a:solidFill>
              <a:round/>
            </a:ln>
          </c:spPr>
          <c:marker>
            <c:symbol val="none"/>
          </c:marker>
          <c:dLbls>
            <c:numFmt formatCode="0" sourceLinked="0"/>
            <c:spPr>
              <a:solidFill>
                <a:srgbClr val="FFFFFF"/>
              </a:solidFill>
            </c:spPr>
            <c:txPr>
              <a:bodyPr rot="-5400000" wrap="square"/>
              <a:lstStyle/>
              <a:p>
                <a:pPr>
                  <a:defRPr sz="900" b="0" strike="noStrike" spc="-1">
                    <a:solidFill>
                      <a:srgbClr val="595959"/>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adicionais'!$K$153:$K$182</c:f>
              <c:numCache>
                <c:formatCode>General</c:formatCode>
                <c:ptCount val="30"/>
                <c:pt idx="0" formatCode="0.0&quot; cm&quot;">
                  <c:v>0</c:v>
                </c:pt>
                <c:pt idx="1">
                  <c:v>0</c:v>
                </c:pt>
                <c:pt idx="2" formatCode="0.0&quot; cm&quot;">
                  <c:v>0</c:v>
                </c:pt>
                <c:pt idx="3">
                  <c:v>31.4</c:v>
                </c:pt>
                <c:pt idx="4">
                  <c:v>62.8</c:v>
                </c:pt>
                <c:pt idx="5">
                  <c:v>94.199999999999989</c:v>
                </c:pt>
                <c:pt idx="6">
                  <c:v>125.6</c:v>
                </c:pt>
                <c:pt idx="7">
                  <c:v>157</c:v>
                </c:pt>
                <c:pt idx="8">
                  <c:v>188.39999999999998</c:v>
                </c:pt>
                <c:pt idx="9">
                  <c:v>219.79999999999998</c:v>
                </c:pt>
                <c:pt idx="10">
                  <c:v>251.2</c:v>
                </c:pt>
                <c:pt idx="11">
                  <c:v>282.59999999999997</c:v>
                </c:pt>
                <c:pt idx="12">
                  <c:v>314</c:v>
                </c:pt>
                <c:pt idx="13">
                  <c:v>345.4</c:v>
                </c:pt>
                <c:pt idx="14">
                  <c:v>376.79999999999995</c:v>
                </c:pt>
                <c:pt idx="15">
                  <c:v>408.2</c:v>
                </c:pt>
                <c:pt idx="16">
                  <c:v>439.59999999999997</c:v>
                </c:pt>
                <c:pt idx="17">
                  <c:v>471</c:v>
                </c:pt>
                <c:pt idx="18">
                  <c:v>502.4</c:v>
                </c:pt>
                <c:pt idx="19">
                  <c:v>533.79999999999995</c:v>
                </c:pt>
                <c:pt idx="20">
                  <c:v>565.19999999999993</c:v>
                </c:pt>
                <c:pt idx="21">
                  <c:v>596.6</c:v>
                </c:pt>
                <c:pt idx="22">
                  <c:v>628</c:v>
                </c:pt>
                <c:pt idx="23">
                  <c:v>659.4</c:v>
                </c:pt>
                <c:pt idx="24">
                  <c:v>690.8</c:v>
                </c:pt>
                <c:pt idx="25">
                  <c:v>722.19999999999993</c:v>
                </c:pt>
                <c:pt idx="26">
                  <c:v>753.59999999999991</c:v>
                </c:pt>
                <c:pt idx="27">
                  <c:v>785</c:v>
                </c:pt>
                <c:pt idx="28">
                  <c:v>785</c:v>
                </c:pt>
                <c:pt idx="29">
                  <c:v>785</c:v>
                </c:pt>
              </c:numCache>
            </c:numRef>
          </c:xVal>
          <c:yVal>
            <c:numRef>
              <c:f>'Cargas adicionais'!$M$153:$M$182</c:f>
              <c:numCache>
                <c:formatCode>General</c:formatCode>
                <c:ptCount val="30"/>
                <c:pt idx="0">
                  <c:v>0</c:v>
                </c:pt>
                <c:pt idx="1">
                  <c:v>572.80468750000011</c:v>
                </c:pt>
                <c:pt idx="2">
                  <c:v>572.80468750000011</c:v>
                </c:pt>
                <c:pt idx="3">
                  <c:v>526.98031250000008</c:v>
                </c:pt>
                <c:pt idx="4">
                  <c:v>481.15593750000011</c:v>
                </c:pt>
                <c:pt idx="5">
                  <c:v>435.33156250000013</c:v>
                </c:pt>
                <c:pt idx="6">
                  <c:v>389.5071875000001</c:v>
                </c:pt>
                <c:pt idx="7">
                  <c:v>343.68281250000007</c:v>
                </c:pt>
                <c:pt idx="8">
                  <c:v>297.85843750000015</c:v>
                </c:pt>
                <c:pt idx="9">
                  <c:v>252.03406250000012</c:v>
                </c:pt>
                <c:pt idx="10">
                  <c:v>206.20968750000009</c:v>
                </c:pt>
                <c:pt idx="11">
                  <c:v>160.38531250000017</c:v>
                </c:pt>
                <c:pt idx="12">
                  <c:v>114.56093750000008</c:v>
                </c:pt>
                <c:pt idx="13">
                  <c:v>68.736562500000161</c:v>
                </c:pt>
                <c:pt idx="14">
                  <c:v>22.912187500000186</c:v>
                </c:pt>
                <c:pt idx="15">
                  <c:v>-22.912187499999845</c:v>
                </c:pt>
                <c:pt idx="16">
                  <c:v>-68.736562499999877</c:v>
                </c:pt>
                <c:pt idx="17">
                  <c:v>-114.56093749999991</c:v>
                </c:pt>
                <c:pt idx="18">
                  <c:v>-160.38531249999994</c:v>
                </c:pt>
                <c:pt idx="19">
                  <c:v>-206.20968749999975</c:v>
                </c:pt>
                <c:pt idx="20">
                  <c:v>-252.03406249999978</c:v>
                </c:pt>
                <c:pt idx="21">
                  <c:v>-297.85843749999992</c:v>
                </c:pt>
                <c:pt idx="22">
                  <c:v>-343.68281249999995</c:v>
                </c:pt>
                <c:pt idx="23">
                  <c:v>-389.50718749999976</c:v>
                </c:pt>
                <c:pt idx="24">
                  <c:v>-435.33156249999979</c:v>
                </c:pt>
                <c:pt idx="25">
                  <c:v>-481.15593749999982</c:v>
                </c:pt>
                <c:pt idx="26">
                  <c:v>-526.98031249999974</c:v>
                </c:pt>
                <c:pt idx="27">
                  <c:v>-572.80468749999989</c:v>
                </c:pt>
                <c:pt idx="28">
                  <c:v>-572.80468749999989</c:v>
                </c:pt>
                <c:pt idx="29">
                  <c:v>0</c:v>
                </c:pt>
              </c:numCache>
            </c:numRef>
          </c:yVal>
          <c:smooth val="0"/>
          <c:extLst>
            <c:ext xmlns:c16="http://schemas.microsoft.com/office/drawing/2014/chart" uri="{C3380CC4-5D6E-409C-BE32-E72D297353CC}">
              <c16:uniqueId val="{00000000-F705-491A-9E46-FAFE9D6FBA8C}"/>
            </c:ext>
          </c:extLst>
        </c:ser>
        <c:dLbls>
          <c:showLegendKey val="0"/>
          <c:showVal val="0"/>
          <c:showCatName val="0"/>
          <c:showSerName val="0"/>
          <c:showPercent val="0"/>
          <c:showBubbleSize val="0"/>
        </c:dLbls>
        <c:axId val="11334579"/>
        <c:axId val="6218345"/>
      </c:scatterChart>
      <c:valAx>
        <c:axId val="11334579"/>
        <c:scaling>
          <c:orientation val="minMax"/>
          <c:min val="0"/>
        </c:scaling>
        <c:delete val="1"/>
        <c:axPos val="b"/>
        <c:numFmt formatCode="0.0&quot; cm&quot;" sourceLinked="1"/>
        <c:majorTickMark val="out"/>
        <c:minorTickMark val="none"/>
        <c:tickLblPos val="nextTo"/>
        <c:crossAx val="6218345"/>
        <c:crosses val="autoZero"/>
        <c:crossBetween val="midCat"/>
      </c:valAx>
      <c:valAx>
        <c:axId val="6218345"/>
        <c:scaling>
          <c:orientation val="minMax"/>
        </c:scaling>
        <c:delete val="1"/>
        <c:axPos val="l"/>
        <c:numFmt formatCode="General" sourceLinked="1"/>
        <c:majorTickMark val="out"/>
        <c:minorTickMark val="none"/>
        <c:tickLblPos val="nextTo"/>
        <c:crossAx val="11334579"/>
        <c:crosses val="autoZero"/>
        <c:crossBetween val="midCat"/>
      </c:valAx>
      <c:spPr>
        <a:noFill/>
        <a:ln w="25560">
          <a:noFill/>
        </a:ln>
      </c:spPr>
    </c:plotArea>
    <c:plotVisOnly val="1"/>
    <c:dispBlanksAs val="gap"/>
    <c:showDLblsOverMax val="1"/>
  </c:chart>
  <c:spPr>
    <a:no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Abertura de fissuras (Inferior)</a:t>
            </a:r>
          </a:p>
        </c:rich>
      </c:tx>
      <c:overlay val="0"/>
      <c:spPr>
        <a:noFill/>
        <a:ln w="0">
          <a:noFill/>
        </a:ln>
      </c:spPr>
    </c:title>
    <c:autoTitleDeleted val="0"/>
    <c:plotArea>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Seção'!$L$54:$L$74</c:f>
              <c:numCache>
                <c:formatCode>0.00" m"</c:formatCode>
                <c:ptCount val="21"/>
                <c:pt idx="0">
                  <c:v>0</c:v>
                </c:pt>
                <c:pt idx="1">
                  <c:v>0.39249999999999996</c:v>
                </c:pt>
                <c:pt idx="2">
                  <c:v>0.78499999999999992</c:v>
                </c:pt>
                <c:pt idx="3">
                  <c:v>1.1774999999999998</c:v>
                </c:pt>
                <c:pt idx="4">
                  <c:v>1.5699999999999998</c:v>
                </c:pt>
                <c:pt idx="5">
                  <c:v>1.9624999999999999</c:v>
                </c:pt>
                <c:pt idx="6">
                  <c:v>2.355</c:v>
                </c:pt>
                <c:pt idx="7">
                  <c:v>2.7475000000000001</c:v>
                </c:pt>
                <c:pt idx="8">
                  <c:v>3.14</c:v>
                </c:pt>
                <c:pt idx="9">
                  <c:v>3.5325000000000002</c:v>
                </c:pt>
                <c:pt idx="10">
                  <c:v>3.9250000000000003</c:v>
                </c:pt>
                <c:pt idx="11">
                  <c:v>4.3174999999999999</c:v>
                </c:pt>
                <c:pt idx="12">
                  <c:v>4.71</c:v>
                </c:pt>
                <c:pt idx="13">
                  <c:v>5.1025</c:v>
                </c:pt>
                <c:pt idx="14">
                  <c:v>5.4950000000000001</c:v>
                </c:pt>
                <c:pt idx="15">
                  <c:v>5.8875000000000002</c:v>
                </c:pt>
                <c:pt idx="16">
                  <c:v>6.28</c:v>
                </c:pt>
                <c:pt idx="17">
                  <c:v>6.6725000000000003</c:v>
                </c:pt>
                <c:pt idx="18">
                  <c:v>7.0650000000000004</c:v>
                </c:pt>
                <c:pt idx="19">
                  <c:v>7.4575000000000005</c:v>
                </c:pt>
                <c:pt idx="20">
                  <c:v>7.8500000000000005</c:v>
                </c:pt>
              </c:numCache>
            </c:numRef>
          </c:xVal>
          <c:yVal>
            <c:numRef>
              <c:f>'Fissuração - wk por Seção'!$U$54:$U$74</c:f>
              <c:numCache>
                <c:formatCode>0.000</c:formatCode>
                <c:ptCount val="21"/>
                <c:pt idx="0">
                  <c:v>0</c:v>
                </c:pt>
                <c:pt idx="1">
                  <c:v>0</c:v>
                </c:pt>
                <c:pt idx="2">
                  <c:v>0</c:v>
                </c:pt>
                <c:pt idx="3">
                  <c:v>0</c:v>
                </c:pt>
                <c:pt idx="4">
                  <c:v>5.1175555913432784E-3</c:v>
                </c:pt>
                <c:pt idx="5">
                  <c:v>7.1217383268292614E-3</c:v>
                </c:pt>
                <c:pt idx="6">
                  <c:v>7.7041040249771486E-3</c:v>
                </c:pt>
                <c:pt idx="7">
                  <c:v>7.0419600712996319E-3</c:v>
                </c:pt>
                <c:pt idx="8">
                  <c:v>1.0181076761065165E-2</c:v>
                </c:pt>
                <c:pt idx="9">
                  <c:v>1.2490348804740687E-2</c:v>
                </c:pt>
                <c:pt idx="10">
                  <c:v>1.3312513203843855E-2</c:v>
                </c:pt>
                <c:pt idx="11">
                  <c:v>1.24903488047407E-2</c:v>
                </c:pt>
                <c:pt idx="12">
                  <c:v>1.018107676106518E-2</c:v>
                </c:pt>
                <c:pt idx="13">
                  <c:v>7.0419600712996536E-3</c:v>
                </c:pt>
                <c:pt idx="14">
                  <c:v>7.7041040249771695E-3</c:v>
                </c:pt>
                <c:pt idx="15">
                  <c:v>7.1217383268292909E-3</c:v>
                </c:pt>
                <c:pt idx="16">
                  <c:v>5.1175555913433052E-3</c:v>
                </c:pt>
                <c:pt idx="17">
                  <c:v>0</c:v>
                </c:pt>
                <c:pt idx="18">
                  <c:v>0</c:v>
                </c:pt>
                <c:pt idx="19">
                  <c:v>0</c:v>
                </c:pt>
                <c:pt idx="20">
                  <c:v>0</c:v>
                </c:pt>
              </c:numCache>
            </c:numRef>
          </c:yVal>
          <c:smooth val="1"/>
          <c:extLst>
            <c:ext xmlns:c16="http://schemas.microsoft.com/office/drawing/2014/chart" uri="{C3380CC4-5D6E-409C-BE32-E72D297353CC}">
              <c16:uniqueId val="{00000000-1775-4714-B3B1-1FD144017F4E}"/>
            </c:ext>
          </c:extLst>
        </c:ser>
        <c:ser>
          <c:idx val="1"/>
          <c:order val="1"/>
          <c:tx>
            <c:v>Fissura limie</c:v>
          </c:tx>
          <c:spPr>
            <a:ln w="1260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Seção'!$L$54,'Fissuração - wk por Seção'!$L$74)</c:f>
              <c:numCache>
                <c:formatCode>0.00" m"</c:formatCode>
                <c:ptCount val="2"/>
                <c:pt idx="0">
                  <c:v>0</c:v>
                </c:pt>
                <c:pt idx="1">
                  <c:v>7.8500000000000005</c:v>
                </c:pt>
              </c:numCache>
            </c:numRef>
          </c:xVal>
          <c:yVal>
            <c:numRef>
              <c:f>('Fissuração - wk por Seção'!$L$109,'Fissuração - wk por Seção'!$L$109)</c:f>
              <c:numCache>
                <c:formatCode>General</c:formatCode>
                <c:ptCount val="2"/>
                <c:pt idx="0">
                  <c:v>0.3</c:v>
                </c:pt>
                <c:pt idx="1">
                  <c:v>0.3</c:v>
                </c:pt>
              </c:numCache>
            </c:numRef>
          </c:yVal>
          <c:smooth val="1"/>
          <c:extLst>
            <c:ext xmlns:c16="http://schemas.microsoft.com/office/drawing/2014/chart" uri="{C3380CC4-5D6E-409C-BE32-E72D297353CC}">
              <c16:uniqueId val="{00000001-1775-4714-B3B1-1FD144017F4E}"/>
            </c:ext>
          </c:extLst>
        </c:ser>
        <c:dLbls>
          <c:showLegendKey val="0"/>
          <c:showVal val="0"/>
          <c:showCatName val="0"/>
          <c:showSerName val="0"/>
          <c:showPercent val="0"/>
          <c:showBubbleSize val="0"/>
        </c:dLbls>
        <c:axId val="78383711"/>
        <c:axId val="75999170"/>
      </c:scatterChart>
      <c:valAx>
        <c:axId val="78383711"/>
        <c:scaling>
          <c:orientation val="minMax"/>
        </c:scaling>
        <c:delete val="0"/>
        <c:axPos val="b"/>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Comprimento da viga (m)</a:t>
                </a:r>
              </a:p>
            </c:rich>
          </c:tx>
          <c:overlay val="0"/>
          <c:spPr>
            <a:noFill/>
            <a:ln w="0">
              <a:noFill/>
            </a:ln>
          </c:spPr>
        </c:title>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75999170"/>
        <c:crosses val="autoZero"/>
        <c:crossBetween val="midCat"/>
      </c:valAx>
      <c:valAx>
        <c:axId val="75999170"/>
        <c:scaling>
          <c:orientation val="minMax"/>
        </c:scaling>
        <c:delete val="0"/>
        <c:axPos val="l"/>
        <c:title>
          <c:tx>
            <c:rich>
              <a:bodyPr rot="-540000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Fissura (mm)</a:t>
                </a:r>
              </a:p>
            </c:rich>
          </c:tx>
          <c:overlay val="0"/>
          <c:spPr>
            <a:noFill/>
            <a:ln w="0">
              <a:noFill/>
            </a:ln>
          </c:spPr>
        </c:title>
        <c:numFmt formatCode="0.0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78383711"/>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Abertura de fissuras (Superior)</a:t>
            </a:r>
          </a:p>
        </c:rich>
      </c:tx>
      <c:overlay val="0"/>
      <c:spPr>
        <a:noFill/>
        <a:ln w="0">
          <a:noFill/>
        </a:ln>
      </c:spPr>
    </c:title>
    <c:autoTitleDeleted val="0"/>
    <c:plotArea>
      <c:layout>
        <c:manualLayout>
          <c:layoutTarget val="inner"/>
          <c:xMode val="edge"/>
          <c:yMode val="edge"/>
          <c:x val="7.3108692801888003E-2"/>
          <c:y val="0.17172115005907801"/>
          <c:w val="0.91663825881735905"/>
          <c:h val="0.70670867795720105"/>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Seção'!$L$82:$L$102</c:f>
              <c:numCache>
                <c:formatCode>0.00" m"</c:formatCode>
                <c:ptCount val="21"/>
                <c:pt idx="0">
                  <c:v>0</c:v>
                </c:pt>
                <c:pt idx="1">
                  <c:v>0.39249999999999996</c:v>
                </c:pt>
                <c:pt idx="2">
                  <c:v>0.78499999999999992</c:v>
                </c:pt>
                <c:pt idx="3">
                  <c:v>1.1774999999999998</c:v>
                </c:pt>
                <c:pt idx="4">
                  <c:v>1.5699999999999998</c:v>
                </c:pt>
                <c:pt idx="5">
                  <c:v>1.9624999999999999</c:v>
                </c:pt>
                <c:pt idx="6">
                  <c:v>2.355</c:v>
                </c:pt>
                <c:pt idx="7">
                  <c:v>2.7475000000000001</c:v>
                </c:pt>
                <c:pt idx="8">
                  <c:v>3.14</c:v>
                </c:pt>
                <c:pt idx="9">
                  <c:v>3.5325000000000002</c:v>
                </c:pt>
                <c:pt idx="10">
                  <c:v>3.9250000000000003</c:v>
                </c:pt>
                <c:pt idx="11">
                  <c:v>4.3174999999999999</c:v>
                </c:pt>
                <c:pt idx="12">
                  <c:v>4.71</c:v>
                </c:pt>
                <c:pt idx="13">
                  <c:v>5.1025</c:v>
                </c:pt>
                <c:pt idx="14">
                  <c:v>5.4950000000000001</c:v>
                </c:pt>
                <c:pt idx="15">
                  <c:v>5.8875000000000002</c:v>
                </c:pt>
                <c:pt idx="16">
                  <c:v>6.28</c:v>
                </c:pt>
                <c:pt idx="17">
                  <c:v>6.6725000000000003</c:v>
                </c:pt>
                <c:pt idx="18">
                  <c:v>7.0650000000000004</c:v>
                </c:pt>
                <c:pt idx="19">
                  <c:v>7.4575000000000005</c:v>
                </c:pt>
                <c:pt idx="20">
                  <c:v>7.8500000000000005</c:v>
                </c:pt>
              </c:numCache>
            </c:numRef>
          </c:xVal>
          <c:yVal>
            <c:numRef>
              <c:f>'Fissuração - wk por Seção'!$U$82:$U$102</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1"/>
          <c:extLst>
            <c:ext xmlns:c16="http://schemas.microsoft.com/office/drawing/2014/chart" uri="{C3380CC4-5D6E-409C-BE32-E72D297353CC}">
              <c16:uniqueId val="{00000000-CBF4-4A86-82A0-6FDFC142D7B4}"/>
            </c:ext>
          </c:extLst>
        </c:ser>
        <c:ser>
          <c:idx val="1"/>
          <c:order val="1"/>
          <c:tx>
            <c:v>Fissura limie</c:v>
          </c:tx>
          <c:spPr>
            <a:ln w="1260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Seção'!$L$54,'Fissuração - wk por Seção'!$L$74)</c:f>
              <c:numCache>
                <c:formatCode>0.00" m"</c:formatCode>
                <c:ptCount val="2"/>
                <c:pt idx="0">
                  <c:v>0</c:v>
                </c:pt>
                <c:pt idx="1">
                  <c:v>7.8500000000000005</c:v>
                </c:pt>
              </c:numCache>
            </c:numRef>
          </c:xVal>
          <c:yVal>
            <c:numRef>
              <c:f>('Fissuração - wk por Seção'!$L$109,'Fissuração - wk por Seção'!$L$109)</c:f>
              <c:numCache>
                <c:formatCode>General</c:formatCode>
                <c:ptCount val="2"/>
                <c:pt idx="0">
                  <c:v>0.3</c:v>
                </c:pt>
                <c:pt idx="1">
                  <c:v>0.3</c:v>
                </c:pt>
              </c:numCache>
            </c:numRef>
          </c:yVal>
          <c:smooth val="1"/>
          <c:extLst>
            <c:ext xmlns:c16="http://schemas.microsoft.com/office/drawing/2014/chart" uri="{C3380CC4-5D6E-409C-BE32-E72D297353CC}">
              <c16:uniqueId val="{00000001-CBF4-4A86-82A0-6FDFC142D7B4}"/>
            </c:ext>
          </c:extLst>
        </c:ser>
        <c:dLbls>
          <c:showLegendKey val="0"/>
          <c:showVal val="0"/>
          <c:showCatName val="0"/>
          <c:showSerName val="0"/>
          <c:showPercent val="0"/>
          <c:showBubbleSize val="0"/>
        </c:dLbls>
        <c:axId val="50727305"/>
        <c:axId val="49297907"/>
      </c:scatterChart>
      <c:valAx>
        <c:axId val="50727305"/>
        <c:scaling>
          <c:orientation val="minMax"/>
        </c:scaling>
        <c:delete val="0"/>
        <c:axPos val="b"/>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Comprimento da viga (m)</a:t>
                </a:r>
              </a:p>
            </c:rich>
          </c:tx>
          <c:overlay val="0"/>
          <c:spPr>
            <a:noFill/>
            <a:ln w="0">
              <a:noFill/>
            </a:ln>
          </c:spPr>
        </c:title>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9297907"/>
        <c:crosses val="autoZero"/>
        <c:crossBetween val="midCat"/>
      </c:valAx>
      <c:valAx>
        <c:axId val="49297907"/>
        <c:scaling>
          <c:orientation val="minMax"/>
        </c:scaling>
        <c:delete val="0"/>
        <c:axPos val="l"/>
        <c:title>
          <c:tx>
            <c:rich>
              <a:bodyPr rot="-540000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Fissura (mm)</a:t>
                </a:r>
              </a:p>
            </c:rich>
          </c:tx>
          <c:overlay val="0"/>
          <c:spPr>
            <a:noFill/>
            <a:ln w="0">
              <a:noFill/>
            </a:ln>
          </c:spPr>
        </c:title>
        <c:numFmt formatCode="0.0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50727305"/>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03636068939435E-2"/>
          <c:y val="6.7284003058363795E-2"/>
          <c:w val="0.94229834134745305"/>
          <c:h val="0.84138985642681197"/>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Seções!$K$25:$K$40</c:f>
              <c:numCache>
                <c:formatCode>General</c:formatCode>
                <c:ptCount val="16"/>
                <c:pt idx="0">
                  <c:v>0</c:v>
                </c:pt>
                <c:pt idx="1">
                  <c:v>-20</c:v>
                </c:pt>
                <c:pt idx="2">
                  <c:v>-20</c:v>
                </c:pt>
                <c:pt idx="3">
                  <c:v>-6</c:v>
                </c:pt>
                <c:pt idx="4">
                  <c:v>-6</c:v>
                </c:pt>
                <c:pt idx="5">
                  <c:v>-15</c:v>
                </c:pt>
                <c:pt idx="6">
                  <c:v>-15</c:v>
                </c:pt>
                <c:pt idx="7">
                  <c:v>0</c:v>
                </c:pt>
                <c:pt idx="8">
                  <c:v>15</c:v>
                </c:pt>
                <c:pt idx="9">
                  <c:v>15</c:v>
                </c:pt>
                <c:pt idx="10">
                  <c:v>6</c:v>
                </c:pt>
                <c:pt idx="11">
                  <c:v>6</c:v>
                </c:pt>
                <c:pt idx="12">
                  <c:v>20</c:v>
                </c:pt>
                <c:pt idx="13">
                  <c:v>20</c:v>
                </c:pt>
                <c:pt idx="14">
                  <c:v>0</c:v>
                </c:pt>
              </c:numCache>
            </c:numRef>
          </c:xVal>
          <c:yVal>
            <c:numRef>
              <c:f>Seções!$L$25:$L$40</c:f>
              <c:numCache>
                <c:formatCode>General</c:formatCode>
                <c:ptCount val="16"/>
                <c:pt idx="0">
                  <c:v>0</c:v>
                </c:pt>
                <c:pt idx="1">
                  <c:v>0</c:v>
                </c:pt>
                <c:pt idx="2">
                  <c:v>15</c:v>
                </c:pt>
                <c:pt idx="3">
                  <c:v>20</c:v>
                </c:pt>
                <c:pt idx="4">
                  <c:v>50</c:v>
                </c:pt>
                <c:pt idx="5">
                  <c:v>55</c:v>
                </c:pt>
                <c:pt idx="6">
                  <c:v>75</c:v>
                </c:pt>
                <c:pt idx="7">
                  <c:v>75</c:v>
                </c:pt>
                <c:pt idx="8">
                  <c:v>75</c:v>
                </c:pt>
                <c:pt idx="9">
                  <c:v>55</c:v>
                </c:pt>
                <c:pt idx="10">
                  <c:v>50</c:v>
                </c:pt>
                <c:pt idx="11">
                  <c:v>20</c:v>
                </c:pt>
                <c:pt idx="12">
                  <c:v>15</c:v>
                </c:pt>
                <c:pt idx="13" formatCode="0.0">
                  <c:v>0</c:v>
                </c:pt>
                <c:pt idx="14">
                  <c:v>0</c:v>
                </c:pt>
              </c:numCache>
            </c:numRef>
          </c:yVal>
          <c:smooth val="0"/>
          <c:extLst>
            <c:ext xmlns:c16="http://schemas.microsoft.com/office/drawing/2014/chart" uri="{C3380CC4-5D6E-409C-BE32-E72D297353CC}">
              <c16:uniqueId val="{00000000-A974-482F-B8C0-7654B6FAE9BD}"/>
            </c:ext>
          </c:extLst>
        </c:ser>
        <c:dLbls>
          <c:showLegendKey val="0"/>
          <c:showVal val="0"/>
          <c:showCatName val="0"/>
          <c:showSerName val="0"/>
          <c:showPercent val="0"/>
          <c:showBubbleSize val="0"/>
        </c:dLbls>
        <c:axId val="84663813"/>
        <c:axId val="61609430"/>
      </c:scatterChart>
      <c:valAx>
        <c:axId val="84663813"/>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61609430"/>
        <c:crosses val="autoZero"/>
        <c:crossBetween val="midCat"/>
      </c:valAx>
      <c:valAx>
        <c:axId val="61609430"/>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84663813"/>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16047867444001E-2"/>
          <c:y val="6.7295327903986304E-2"/>
          <c:w val="0.942252224608776"/>
          <c:h val="0.84140591513073304"/>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'ELU i'!$T$8:$T$14</c:f>
              <c:numCache>
                <c:formatCode>General</c:formatCode>
                <c:ptCount val="7"/>
                <c:pt idx="0">
                  <c:v>0</c:v>
                </c:pt>
                <c:pt idx="1">
                  <c:v>-15</c:v>
                </c:pt>
                <c:pt idx="2">
                  <c:v>-15</c:v>
                </c:pt>
                <c:pt idx="3">
                  <c:v>0</c:v>
                </c:pt>
                <c:pt idx="4">
                  <c:v>15</c:v>
                </c:pt>
                <c:pt idx="5">
                  <c:v>15</c:v>
                </c:pt>
                <c:pt idx="6">
                  <c:v>0</c:v>
                </c:pt>
              </c:numCache>
            </c:numRef>
          </c:xVal>
          <c:yVal>
            <c:numRef>
              <c:f>'ELU i'!$U$8:$U$14</c:f>
              <c:numCache>
                <c:formatCode>General</c:formatCode>
                <c:ptCount val="7"/>
                <c:pt idx="0">
                  <c:v>55</c:v>
                </c:pt>
                <c:pt idx="1">
                  <c:v>55</c:v>
                </c:pt>
                <c:pt idx="2">
                  <c:v>75</c:v>
                </c:pt>
                <c:pt idx="3">
                  <c:v>75</c:v>
                </c:pt>
                <c:pt idx="4">
                  <c:v>75</c:v>
                </c:pt>
                <c:pt idx="5">
                  <c:v>55</c:v>
                </c:pt>
                <c:pt idx="6">
                  <c:v>55</c:v>
                </c:pt>
              </c:numCache>
            </c:numRef>
          </c:yVal>
          <c:smooth val="0"/>
          <c:extLst>
            <c:ext xmlns:c16="http://schemas.microsoft.com/office/drawing/2014/chart" uri="{C3380CC4-5D6E-409C-BE32-E72D297353CC}">
              <c16:uniqueId val="{00000000-AC0C-4A0A-8407-034027B538B5}"/>
            </c:ext>
          </c:extLst>
        </c:ser>
        <c:dLbls>
          <c:showLegendKey val="0"/>
          <c:showVal val="0"/>
          <c:showCatName val="0"/>
          <c:showSerName val="0"/>
          <c:showPercent val="0"/>
          <c:showBubbleSize val="0"/>
        </c:dLbls>
        <c:axId val="32349997"/>
        <c:axId val="86429238"/>
      </c:scatterChart>
      <c:valAx>
        <c:axId val="32349997"/>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86429238"/>
        <c:crosses val="autoZero"/>
        <c:crossBetween val="midCat"/>
      </c:valAx>
      <c:valAx>
        <c:axId val="86429238"/>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32349997"/>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16047867444001E-2"/>
          <c:y val="6.7365526722804603E-2"/>
          <c:w val="0.942252224608776"/>
          <c:h val="0.84146760611788995"/>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'ELU i'!$T$27:$T$38</c:f>
              <c:numCache>
                <c:formatCode>General</c:formatCode>
                <c:ptCount val="12"/>
                <c:pt idx="3">
                  <c:v>0</c:v>
                </c:pt>
                <c:pt idx="4">
                  <c:v>-6</c:v>
                </c:pt>
                <c:pt idx="5">
                  <c:v>-15</c:v>
                </c:pt>
                <c:pt idx="6">
                  <c:v>-15</c:v>
                </c:pt>
                <c:pt idx="7">
                  <c:v>0</c:v>
                </c:pt>
                <c:pt idx="8">
                  <c:v>15</c:v>
                </c:pt>
                <c:pt idx="9">
                  <c:v>15</c:v>
                </c:pt>
                <c:pt idx="10">
                  <c:v>6</c:v>
                </c:pt>
                <c:pt idx="11">
                  <c:v>0</c:v>
                </c:pt>
              </c:numCache>
            </c:numRef>
          </c:xVal>
          <c:yVal>
            <c:numRef>
              <c:f>'ELU i'!$U$27:$U$38</c:f>
              <c:numCache>
                <c:formatCode>General</c:formatCode>
                <c:ptCount val="12"/>
                <c:pt idx="3">
                  <c:v>50</c:v>
                </c:pt>
                <c:pt idx="4">
                  <c:v>50</c:v>
                </c:pt>
                <c:pt idx="5">
                  <c:v>55</c:v>
                </c:pt>
                <c:pt idx="6">
                  <c:v>55</c:v>
                </c:pt>
                <c:pt idx="7">
                  <c:v>55</c:v>
                </c:pt>
                <c:pt idx="8">
                  <c:v>55</c:v>
                </c:pt>
                <c:pt idx="9">
                  <c:v>55</c:v>
                </c:pt>
                <c:pt idx="10">
                  <c:v>50</c:v>
                </c:pt>
                <c:pt idx="11">
                  <c:v>50</c:v>
                </c:pt>
              </c:numCache>
            </c:numRef>
          </c:yVal>
          <c:smooth val="0"/>
          <c:extLst>
            <c:ext xmlns:c16="http://schemas.microsoft.com/office/drawing/2014/chart" uri="{C3380CC4-5D6E-409C-BE32-E72D297353CC}">
              <c16:uniqueId val="{00000000-40EF-4E7D-BA2A-A763A66611B1}"/>
            </c:ext>
          </c:extLst>
        </c:ser>
        <c:dLbls>
          <c:showLegendKey val="0"/>
          <c:showVal val="0"/>
          <c:showCatName val="0"/>
          <c:showSerName val="0"/>
          <c:showPercent val="0"/>
          <c:showBubbleSize val="0"/>
        </c:dLbls>
        <c:axId val="48997485"/>
        <c:axId val="52420333"/>
      </c:scatterChart>
      <c:valAx>
        <c:axId val="48997485"/>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52420333"/>
        <c:crosses val="autoZero"/>
        <c:crossBetween val="midCat"/>
      </c:valAx>
      <c:valAx>
        <c:axId val="52420333"/>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8997485"/>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16047867444001E-2"/>
          <c:y val="6.7262664963814403E-2"/>
          <c:w val="0.942252224608776"/>
          <c:h val="0.84137931034482805"/>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'ELU i'!$T$52:$T$66</c:f>
              <c:numCache>
                <c:formatCode>General</c:formatCode>
                <c:ptCount val="15"/>
                <c:pt idx="2">
                  <c:v>0</c:v>
                </c:pt>
                <c:pt idx="3">
                  <c:v>-6</c:v>
                </c:pt>
                <c:pt idx="4">
                  <c:v>-6</c:v>
                </c:pt>
                <c:pt idx="5">
                  <c:v>-6</c:v>
                </c:pt>
                <c:pt idx="6">
                  <c:v>-6</c:v>
                </c:pt>
                <c:pt idx="7">
                  <c:v>0</c:v>
                </c:pt>
                <c:pt idx="8">
                  <c:v>6</c:v>
                </c:pt>
                <c:pt idx="9">
                  <c:v>6</c:v>
                </c:pt>
                <c:pt idx="10">
                  <c:v>6</c:v>
                </c:pt>
                <c:pt idx="11">
                  <c:v>6</c:v>
                </c:pt>
                <c:pt idx="12">
                  <c:v>0</c:v>
                </c:pt>
              </c:numCache>
            </c:numRef>
          </c:xVal>
          <c:yVal>
            <c:numRef>
              <c:f>'ELU i'!$U$52:$U$66</c:f>
              <c:numCache>
                <c:formatCode>General</c:formatCode>
                <c:ptCount val="15"/>
                <c:pt idx="2">
                  <c:v>20</c:v>
                </c:pt>
                <c:pt idx="3">
                  <c:v>20</c:v>
                </c:pt>
                <c:pt idx="4">
                  <c:v>50</c:v>
                </c:pt>
                <c:pt idx="5">
                  <c:v>50</c:v>
                </c:pt>
                <c:pt idx="6">
                  <c:v>50</c:v>
                </c:pt>
                <c:pt idx="7">
                  <c:v>50</c:v>
                </c:pt>
                <c:pt idx="8">
                  <c:v>50</c:v>
                </c:pt>
                <c:pt idx="9">
                  <c:v>50</c:v>
                </c:pt>
                <c:pt idx="10">
                  <c:v>50</c:v>
                </c:pt>
                <c:pt idx="11">
                  <c:v>20</c:v>
                </c:pt>
                <c:pt idx="12">
                  <c:v>20</c:v>
                </c:pt>
              </c:numCache>
            </c:numRef>
          </c:yVal>
          <c:smooth val="0"/>
          <c:extLst>
            <c:ext xmlns:c16="http://schemas.microsoft.com/office/drawing/2014/chart" uri="{C3380CC4-5D6E-409C-BE32-E72D297353CC}">
              <c16:uniqueId val="{00000000-AE92-4494-9269-300D8C5CCA4D}"/>
            </c:ext>
          </c:extLst>
        </c:ser>
        <c:dLbls>
          <c:showLegendKey val="0"/>
          <c:showVal val="0"/>
          <c:showCatName val="0"/>
          <c:showSerName val="0"/>
          <c:showPercent val="0"/>
          <c:showBubbleSize val="0"/>
        </c:dLbls>
        <c:axId val="43899956"/>
        <c:axId val="92986440"/>
      </c:scatterChart>
      <c:valAx>
        <c:axId val="43899956"/>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92986440"/>
        <c:crosses val="autoZero"/>
        <c:crossBetween val="midCat"/>
      </c:valAx>
      <c:valAx>
        <c:axId val="92986440"/>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3899956"/>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16047867444001E-2"/>
          <c:y val="6.7268392370572194E-2"/>
          <c:w val="0.942252224608776"/>
          <c:h val="0.84136580381471404"/>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'ELU i'!$T$85:$T$99</c:f>
              <c:numCache>
                <c:formatCode>General</c:formatCode>
                <c:ptCount val="15"/>
                <c:pt idx="0">
                  <c:v>0</c:v>
                </c:pt>
                <c:pt idx="1">
                  <c:v>-20</c:v>
                </c:pt>
                <c:pt idx="2">
                  <c:v>-20</c:v>
                </c:pt>
                <c:pt idx="3">
                  <c:v>-6</c:v>
                </c:pt>
                <c:pt idx="4">
                  <c:v>-6</c:v>
                </c:pt>
                <c:pt idx="5">
                  <c:v>-15</c:v>
                </c:pt>
                <c:pt idx="6">
                  <c:v>-15</c:v>
                </c:pt>
                <c:pt idx="7">
                  <c:v>0</c:v>
                </c:pt>
                <c:pt idx="8">
                  <c:v>15</c:v>
                </c:pt>
                <c:pt idx="9">
                  <c:v>15</c:v>
                </c:pt>
                <c:pt idx="10">
                  <c:v>6</c:v>
                </c:pt>
                <c:pt idx="11">
                  <c:v>6</c:v>
                </c:pt>
                <c:pt idx="12">
                  <c:v>20</c:v>
                </c:pt>
                <c:pt idx="13">
                  <c:v>20</c:v>
                </c:pt>
                <c:pt idx="14">
                  <c:v>0</c:v>
                </c:pt>
              </c:numCache>
            </c:numRef>
          </c:xVal>
          <c:yVal>
            <c:numRef>
              <c:f>'ELU i'!$U$85:$U$99</c:f>
              <c:numCache>
                <c:formatCode>General</c:formatCode>
                <c:ptCount val="15"/>
                <c:pt idx="0">
                  <c:v>0</c:v>
                </c:pt>
                <c:pt idx="1">
                  <c:v>0</c:v>
                </c:pt>
                <c:pt idx="2">
                  <c:v>15</c:v>
                </c:pt>
                <c:pt idx="3">
                  <c:v>20</c:v>
                </c:pt>
                <c:pt idx="4">
                  <c:v>50</c:v>
                </c:pt>
                <c:pt idx="5">
                  <c:v>55</c:v>
                </c:pt>
                <c:pt idx="6">
                  <c:v>75</c:v>
                </c:pt>
                <c:pt idx="7">
                  <c:v>75</c:v>
                </c:pt>
                <c:pt idx="8">
                  <c:v>75</c:v>
                </c:pt>
                <c:pt idx="9">
                  <c:v>55</c:v>
                </c:pt>
                <c:pt idx="10">
                  <c:v>50</c:v>
                </c:pt>
                <c:pt idx="11">
                  <c:v>20</c:v>
                </c:pt>
                <c:pt idx="12">
                  <c:v>15</c:v>
                </c:pt>
                <c:pt idx="13" formatCode="0.0">
                  <c:v>0</c:v>
                </c:pt>
                <c:pt idx="14">
                  <c:v>0</c:v>
                </c:pt>
              </c:numCache>
            </c:numRef>
          </c:yVal>
          <c:smooth val="0"/>
          <c:extLst>
            <c:ext xmlns:c16="http://schemas.microsoft.com/office/drawing/2014/chart" uri="{C3380CC4-5D6E-409C-BE32-E72D297353CC}">
              <c16:uniqueId val="{00000000-5942-4BFA-82FE-9D91C3C5EAE7}"/>
            </c:ext>
          </c:extLst>
        </c:ser>
        <c:dLbls>
          <c:showLegendKey val="0"/>
          <c:showVal val="0"/>
          <c:showCatName val="0"/>
          <c:showSerName val="0"/>
          <c:showPercent val="0"/>
          <c:showBubbleSize val="0"/>
        </c:dLbls>
        <c:axId val="50947250"/>
        <c:axId val="8497964"/>
      </c:scatterChart>
      <c:valAx>
        <c:axId val="50947250"/>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8497964"/>
        <c:crosses val="autoZero"/>
        <c:crossBetween val="midCat"/>
      </c:valAx>
      <c:valAx>
        <c:axId val="8497964"/>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50947250"/>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 - IÇAMENTO</a:t>
            </a:r>
          </a:p>
        </c:rich>
      </c:tx>
      <c:overlay val="0"/>
      <c:spPr>
        <a:noFill/>
        <a:ln w="0">
          <a:noFill/>
        </a:ln>
      </c:spPr>
    </c:title>
    <c:autoTitleDeleted val="0"/>
    <c:plotArea>
      <c:layout>
        <c:manualLayout>
          <c:layoutTarget val="inner"/>
          <c:xMode val="edge"/>
          <c:yMode val="edge"/>
          <c:x val="5.5736699830003103E-3"/>
          <c:y val="6.6780968709815702E-2"/>
          <c:w val="0.99066410277847505"/>
          <c:h val="0.87561080154307802"/>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cabos'!$U$175:$U$195</c:f>
              <c:numCache>
                <c:formatCode>0.0</c:formatCode>
                <c:ptCount val="21"/>
                <c:pt idx="0">
                  <c:v>0</c:v>
                </c:pt>
                <c:pt idx="1">
                  <c:v>-4.2168786119730894</c:v>
                </c:pt>
                <c:pt idx="2">
                  <c:v>-8.8925880615846005</c:v>
                </c:pt>
                <c:pt idx="3">
                  <c:v>-13.568297511196109</c:v>
                </c:pt>
                <c:pt idx="4">
                  <c:v>-13.546977227117871</c:v>
                </c:pt>
                <c:pt idx="5">
                  <c:v>-15.687731076426157</c:v>
                </c:pt>
                <c:pt idx="6">
                  <c:v>-18.075932653910744</c:v>
                </c:pt>
                <c:pt idx="7">
                  <c:v>-20.512432214304638</c:v>
                </c:pt>
                <c:pt idx="8">
                  <c:v>-20.491043155466983</c:v>
                </c:pt>
                <c:pt idx="9">
                  <c:v>-20.41859618110302</c:v>
                </c:pt>
                <c:pt idx="10">
                  <c:v>-20.394447189648368</c:v>
                </c:pt>
                <c:pt idx="11">
                  <c:v>-20.41859618110302</c:v>
                </c:pt>
                <c:pt idx="12">
                  <c:v>-20.491043155466983</c:v>
                </c:pt>
                <c:pt idx="13">
                  <c:v>-20.512432214304635</c:v>
                </c:pt>
                <c:pt idx="14">
                  <c:v>-18.075932653910744</c:v>
                </c:pt>
                <c:pt idx="15">
                  <c:v>-15.687731076426157</c:v>
                </c:pt>
                <c:pt idx="16">
                  <c:v>-13.546977227117871</c:v>
                </c:pt>
                <c:pt idx="17">
                  <c:v>-13.568297511196109</c:v>
                </c:pt>
                <c:pt idx="18">
                  <c:v>-8.8925880615846005</c:v>
                </c:pt>
                <c:pt idx="19">
                  <c:v>-4.2168786119730903</c:v>
                </c:pt>
                <c:pt idx="20">
                  <c:v>0</c:v>
                </c:pt>
              </c:numCache>
            </c:numRef>
          </c:val>
          <c:smooth val="1"/>
          <c:extLst>
            <c:ext xmlns:c16="http://schemas.microsoft.com/office/drawing/2014/chart" uri="{C3380CC4-5D6E-409C-BE32-E72D297353CC}">
              <c16:uniqueId val="{00000000-F04C-43AD-AE41-D47D1980273A}"/>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cabos'!$U$152:$U$172</c:f>
              <c:numCache>
                <c:formatCode>0.0</c:formatCode>
                <c:ptCount val="21"/>
                <c:pt idx="0">
                  <c:v>0</c:v>
                </c:pt>
                <c:pt idx="1">
                  <c:v>1.3242798232040121</c:v>
                </c:pt>
                <c:pt idx="2">
                  <c:v>2.9811588161953799</c:v>
                </c:pt>
                <c:pt idx="3">
                  <c:v>5.1243884247334117</c:v>
                </c:pt>
                <c:pt idx="4">
                  <c:v>4.89682057172101</c:v>
                </c:pt>
                <c:pt idx="5">
                  <c:v>4.7697650455906695</c:v>
                </c:pt>
                <c:pt idx="6">
                  <c:v>4.683140804285209</c:v>
                </c:pt>
                <c:pt idx="7">
                  <c:v>4.6315270019047325</c:v>
                </c:pt>
                <c:pt idx="8">
                  <c:v>4.5467053670757336</c:v>
                </c:pt>
                <c:pt idx="9">
                  <c:v>4.4941897086882561</c:v>
                </c:pt>
                <c:pt idx="10">
                  <c:v>4.4766844892257636</c:v>
                </c:pt>
                <c:pt idx="11">
                  <c:v>4.4941897086882561</c:v>
                </c:pt>
                <c:pt idx="12">
                  <c:v>4.5467053670757336</c:v>
                </c:pt>
                <c:pt idx="13">
                  <c:v>4.6315270019047325</c:v>
                </c:pt>
                <c:pt idx="14">
                  <c:v>4.6831408042852107</c:v>
                </c:pt>
                <c:pt idx="15">
                  <c:v>4.7697650455906713</c:v>
                </c:pt>
                <c:pt idx="16">
                  <c:v>4.89682057172101</c:v>
                </c:pt>
                <c:pt idx="17">
                  <c:v>5.1243884247334126</c:v>
                </c:pt>
                <c:pt idx="18">
                  <c:v>2.9811588161953799</c:v>
                </c:pt>
                <c:pt idx="19">
                  <c:v>1.3242798232040121</c:v>
                </c:pt>
                <c:pt idx="20">
                  <c:v>0</c:v>
                </c:pt>
              </c:numCache>
            </c:numRef>
          </c:val>
          <c:smooth val="1"/>
          <c:extLst>
            <c:ext xmlns:c16="http://schemas.microsoft.com/office/drawing/2014/chart" uri="{C3380CC4-5D6E-409C-BE32-E72D297353CC}">
              <c16:uniqueId val="{00000001-F04C-43AD-AE41-D47D1980273A}"/>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F04C-43AD-AE41-D47D1980273A}"/>
              </c:ext>
            </c:extLst>
          </c:dPt>
          <c:dPt>
            <c:idx val="2"/>
            <c:bubble3D val="0"/>
            <c:extLst>
              <c:ext xmlns:c16="http://schemas.microsoft.com/office/drawing/2014/chart" uri="{C3380CC4-5D6E-409C-BE32-E72D297353CC}">
                <c16:uniqueId val="{00000003-F04C-43AD-AE41-D47D1980273A}"/>
              </c:ext>
            </c:extLst>
          </c:dPt>
          <c:dPt>
            <c:idx val="3"/>
            <c:bubble3D val="0"/>
            <c:extLst>
              <c:ext xmlns:c16="http://schemas.microsoft.com/office/drawing/2014/chart" uri="{C3380CC4-5D6E-409C-BE32-E72D297353CC}">
                <c16:uniqueId val="{00000004-F04C-43AD-AE41-D47D1980273A}"/>
              </c:ext>
            </c:extLst>
          </c:dPt>
          <c:dPt>
            <c:idx val="4"/>
            <c:bubble3D val="0"/>
            <c:extLst>
              <c:ext xmlns:c16="http://schemas.microsoft.com/office/drawing/2014/chart" uri="{C3380CC4-5D6E-409C-BE32-E72D297353CC}">
                <c16:uniqueId val="{00000005-F04C-43AD-AE41-D47D1980273A}"/>
              </c:ext>
            </c:extLst>
          </c:dPt>
          <c:dPt>
            <c:idx val="5"/>
            <c:bubble3D val="0"/>
            <c:extLst>
              <c:ext xmlns:c16="http://schemas.microsoft.com/office/drawing/2014/chart" uri="{C3380CC4-5D6E-409C-BE32-E72D297353CC}">
                <c16:uniqueId val="{00000006-F04C-43AD-AE41-D47D1980273A}"/>
              </c:ext>
            </c:extLst>
          </c:dPt>
          <c:dPt>
            <c:idx val="6"/>
            <c:bubble3D val="0"/>
            <c:extLst>
              <c:ext xmlns:c16="http://schemas.microsoft.com/office/drawing/2014/chart" uri="{C3380CC4-5D6E-409C-BE32-E72D297353CC}">
                <c16:uniqueId val="{00000007-F04C-43AD-AE41-D47D1980273A}"/>
              </c:ext>
            </c:extLst>
          </c:dPt>
          <c:dPt>
            <c:idx val="7"/>
            <c:bubble3D val="0"/>
            <c:extLst>
              <c:ext xmlns:c16="http://schemas.microsoft.com/office/drawing/2014/chart" uri="{C3380CC4-5D6E-409C-BE32-E72D297353CC}">
                <c16:uniqueId val="{00000008-F04C-43AD-AE41-D47D1980273A}"/>
              </c:ext>
            </c:extLst>
          </c:dPt>
          <c:dPt>
            <c:idx val="8"/>
            <c:bubble3D val="0"/>
            <c:extLst>
              <c:ext xmlns:c16="http://schemas.microsoft.com/office/drawing/2014/chart" uri="{C3380CC4-5D6E-409C-BE32-E72D297353CC}">
                <c16:uniqueId val="{00000009-F04C-43AD-AE41-D47D1980273A}"/>
              </c:ext>
            </c:extLst>
          </c:dPt>
          <c:dPt>
            <c:idx val="9"/>
            <c:bubble3D val="0"/>
            <c:extLst>
              <c:ext xmlns:c16="http://schemas.microsoft.com/office/drawing/2014/chart" uri="{C3380CC4-5D6E-409C-BE32-E72D297353CC}">
                <c16:uniqueId val="{0000000A-F04C-43AD-AE41-D47D1980273A}"/>
              </c:ext>
            </c:extLst>
          </c:dPt>
          <c:dPt>
            <c:idx val="10"/>
            <c:bubble3D val="0"/>
            <c:extLst>
              <c:ext xmlns:c16="http://schemas.microsoft.com/office/drawing/2014/chart" uri="{C3380CC4-5D6E-409C-BE32-E72D297353CC}">
                <c16:uniqueId val="{0000000B-F04C-43AD-AE41-D47D1980273A}"/>
              </c:ext>
            </c:extLst>
          </c:dPt>
          <c:dPt>
            <c:idx val="11"/>
            <c:bubble3D val="0"/>
            <c:extLst>
              <c:ext xmlns:c16="http://schemas.microsoft.com/office/drawing/2014/chart" uri="{C3380CC4-5D6E-409C-BE32-E72D297353CC}">
                <c16:uniqueId val="{0000000C-F04C-43AD-AE41-D47D1980273A}"/>
              </c:ext>
            </c:extLst>
          </c:dPt>
          <c:dPt>
            <c:idx val="12"/>
            <c:bubble3D val="0"/>
            <c:extLst>
              <c:ext xmlns:c16="http://schemas.microsoft.com/office/drawing/2014/chart" uri="{C3380CC4-5D6E-409C-BE32-E72D297353CC}">
                <c16:uniqueId val="{0000000D-F04C-43AD-AE41-D47D1980273A}"/>
              </c:ext>
            </c:extLst>
          </c:dPt>
          <c:dPt>
            <c:idx val="13"/>
            <c:bubble3D val="0"/>
            <c:extLst>
              <c:ext xmlns:c16="http://schemas.microsoft.com/office/drawing/2014/chart" uri="{C3380CC4-5D6E-409C-BE32-E72D297353CC}">
                <c16:uniqueId val="{0000000E-F04C-43AD-AE41-D47D1980273A}"/>
              </c:ext>
            </c:extLst>
          </c:dPt>
          <c:dPt>
            <c:idx val="14"/>
            <c:bubble3D val="0"/>
            <c:extLst>
              <c:ext xmlns:c16="http://schemas.microsoft.com/office/drawing/2014/chart" uri="{C3380CC4-5D6E-409C-BE32-E72D297353CC}">
                <c16:uniqueId val="{0000000F-F04C-43AD-AE41-D47D1980273A}"/>
              </c:ext>
            </c:extLst>
          </c:dPt>
          <c:dPt>
            <c:idx val="15"/>
            <c:bubble3D val="0"/>
            <c:extLst>
              <c:ext xmlns:c16="http://schemas.microsoft.com/office/drawing/2014/chart" uri="{C3380CC4-5D6E-409C-BE32-E72D297353CC}">
                <c16:uniqueId val="{00000010-F04C-43AD-AE41-D47D1980273A}"/>
              </c:ext>
            </c:extLst>
          </c:dPt>
          <c:dPt>
            <c:idx val="16"/>
            <c:bubble3D val="0"/>
            <c:extLst>
              <c:ext xmlns:c16="http://schemas.microsoft.com/office/drawing/2014/chart" uri="{C3380CC4-5D6E-409C-BE32-E72D297353CC}">
                <c16:uniqueId val="{00000011-F04C-43AD-AE41-D47D1980273A}"/>
              </c:ext>
            </c:extLst>
          </c:dPt>
          <c:dPt>
            <c:idx val="17"/>
            <c:bubble3D val="0"/>
            <c:extLst>
              <c:ext xmlns:c16="http://schemas.microsoft.com/office/drawing/2014/chart" uri="{C3380CC4-5D6E-409C-BE32-E72D297353CC}">
                <c16:uniqueId val="{00000012-F04C-43AD-AE41-D47D1980273A}"/>
              </c:ext>
            </c:extLst>
          </c:dPt>
          <c:dPt>
            <c:idx val="18"/>
            <c:bubble3D val="0"/>
            <c:extLst>
              <c:ext xmlns:c16="http://schemas.microsoft.com/office/drawing/2014/chart" uri="{C3380CC4-5D6E-409C-BE32-E72D297353CC}">
                <c16:uniqueId val="{00000013-F04C-43AD-AE41-D47D1980273A}"/>
              </c:ext>
            </c:extLst>
          </c:dPt>
          <c:dPt>
            <c:idx val="19"/>
            <c:bubble3D val="0"/>
            <c:extLst>
              <c:ext xmlns:c16="http://schemas.microsoft.com/office/drawing/2014/chart" uri="{C3380CC4-5D6E-409C-BE32-E72D297353CC}">
                <c16:uniqueId val="{00000014-F04C-43AD-AE41-D47D1980273A}"/>
              </c:ext>
            </c:extLst>
          </c:dPt>
          <c:dLbls>
            <c:dLbl>
              <c:idx val="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F04C-43AD-AE41-D47D1980273A}"/>
                </c:ext>
              </c:extLst>
            </c:dLbl>
            <c:dLbl>
              <c:idx val="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04C-43AD-AE41-D47D1980273A}"/>
                </c:ext>
              </c:extLst>
            </c:dLbl>
            <c:dLbl>
              <c:idx val="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F04C-43AD-AE41-D47D1980273A}"/>
                </c:ext>
              </c:extLst>
            </c:dLbl>
            <c:dLbl>
              <c:idx val="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04C-43AD-AE41-D47D1980273A}"/>
                </c:ext>
              </c:extLst>
            </c:dLbl>
            <c:dLbl>
              <c:idx val="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F04C-43AD-AE41-D47D1980273A}"/>
                </c:ext>
              </c:extLst>
            </c:dLbl>
            <c:dLbl>
              <c:idx val="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04C-43AD-AE41-D47D1980273A}"/>
                </c:ext>
              </c:extLst>
            </c:dLbl>
            <c:dLbl>
              <c:idx val="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F04C-43AD-AE41-D47D1980273A}"/>
                </c:ext>
              </c:extLst>
            </c:dLbl>
            <c:dLbl>
              <c:idx val="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04C-43AD-AE41-D47D1980273A}"/>
                </c:ext>
              </c:extLst>
            </c:dLbl>
            <c:dLbl>
              <c:idx val="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F04C-43AD-AE41-D47D1980273A}"/>
                </c:ext>
              </c:extLst>
            </c:dLbl>
            <c:dLbl>
              <c:idx val="1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04C-43AD-AE41-D47D1980273A}"/>
                </c:ext>
              </c:extLst>
            </c:dLbl>
            <c:dLbl>
              <c:idx val="1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F04C-43AD-AE41-D47D1980273A}"/>
                </c:ext>
              </c:extLst>
            </c:dLbl>
            <c:dLbl>
              <c:idx val="1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F04C-43AD-AE41-D47D1980273A}"/>
                </c:ext>
              </c:extLst>
            </c:dLbl>
            <c:dLbl>
              <c:idx val="1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F04C-43AD-AE41-D47D1980273A}"/>
                </c:ext>
              </c:extLst>
            </c:dLbl>
            <c:dLbl>
              <c:idx val="1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F04C-43AD-AE41-D47D1980273A}"/>
                </c:ext>
              </c:extLst>
            </c:dLbl>
            <c:dLbl>
              <c:idx val="1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F04C-43AD-AE41-D47D1980273A}"/>
                </c:ext>
              </c:extLst>
            </c:dLbl>
            <c:dLbl>
              <c:idx val="1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F04C-43AD-AE41-D47D1980273A}"/>
                </c:ext>
              </c:extLst>
            </c:dLbl>
            <c:dLbl>
              <c:idx val="1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F04C-43AD-AE41-D47D1980273A}"/>
                </c:ext>
              </c:extLst>
            </c:dLbl>
            <c:dLbl>
              <c:idx val="1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F04C-43AD-AE41-D47D1980273A}"/>
                </c:ext>
              </c:extLst>
            </c:dLbl>
            <c:dLbl>
              <c:idx val="1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F04C-43AD-AE41-D47D1980273A}"/>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F04C-43AD-AE41-D47D1980273A}"/>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F04C-43AD-AE41-D47D1980273A}"/>
              </c:ext>
            </c:extLst>
          </c:dPt>
          <c:dPt>
            <c:idx val="2"/>
            <c:bubble3D val="0"/>
            <c:extLst>
              <c:ext xmlns:c16="http://schemas.microsoft.com/office/drawing/2014/chart" uri="{C3380CC4-5D6E-409C-BE32-E72D297353CC}">
                <c16:uniqueId val="{00000017-F04C-43AD-AE41-D47D1980273A}"/>
              </c:ext>
            </c:extLst>
          </c:dPt>
          <c:dPt>
            <c:idx val="3"/>
            <c:bubble3D val="0"/>
            <c:extLst>
              <c:ext xmlns:c16="http://schemas.microsoft.com/office/drawing/2014/chart" uri="{C3380CC4-5D6E-409C-BE32-E72D297353CC}">
                <c16:uniqueId val="{00000018-F04C-43AD-AE41-D47D1980273A}"/>
              </c:ext>
            </c:extLst>
          </c:dPt>
          <c:dPt>
            <c:idx val="4"/>
            <c:bubble3D val="0"/>
            <c:extLst>
              <c:ext xmlns:c16="http://schemas.microsoft.com/office/drawing/2014/chart" uri="{C3380CC4-5D6E-409C-BE32-E72D297353CC}">
                <c16:uniqueId val="{00000019-F04C-43AD-AE41-D47D1980273A}"/>
              </c:ext>
            </c:extLst>
          </c:dPt>
          <c:dPt>
            <c:idx val="5"/>
            <c:bubble3D val="0"/>
            <c:extLst>
              <c:ext xmlns:c16="http://schemas.microsoft.com/office/drawing/2014/chart" uri="{C3380CC4-5D6E-409C-BE32-E72D297353CC}">
                <c16:uniqueId val="{0000001A-F04C-43AD-AE41-D47D1980273A}"/>
              </c:ext>
            </c:extLst>
          </c:dPt>
          <c:dPt>
            <c:idx val="6"/>
            <c:bubble3D val="0"/>
            <c:extLst>
              <c:ext xmlns:c16="http://schemas.microsoft.com/office/drawing/2014/chart" uri="{C3380CC4-5D6E-409C-BE32-E72D297353CC}">
                <c16:uniqueId val="{0000001B-F04C-43AD-AE41-D47D1980273A}"/>
              </c:ext>
            </c:extLst>
          </c:dPt>
          <c:dPt>
            <c:idx val="7"/>
            <c:bubble3D val="0"/>
            <c:extLst>
              <c:ext xmlns:c16="http://schemas.microsoft.com/office/drawing/2014/chart" uri="{C3380CC4-5D6E-409C-BE32-E72D297353CC}">
                <c16:uniqueId val="{0000001C-F04C-43AD-AE41-D47D1980273A}"/>
              </c:ext>
            </c:extLst>
          </c:dPt>
          <c:dPt>
            <c:idx val="8"/>
            <c:bubble3D val="0"/>
            <c:extLst>
              <c:ext xmlns:c16="http://schemas.microsoft.com/office/drawing/2014/chart" uri="{C3380CC4-5D6E-409C-BE32-E72D297353CC}">
                <c16:uniqueId val="{0000001D-F04C-43AD-AE41-D47D1980273A}"/>
              </c:ext>
            </c:extLst>
          </c:dPt>
          <c:dPt>
            <c:idx val="9"/>
            <c:bubble3D val="0"/>
            <c:extLst>
              <c:ext xmlns:c16="http://schemas.microsoft.com/office/drawing/2014/chart" uri="{C3380CC4-5D6E-409C-BE32-E72D297353CC}">
                <c16:uniqueId val="{0000001E-F04C-43AD-AE41-D47D1980273A}"/>
              </c:ext>
            </c:extLst>
          </c:dPt>
          <c:dPt>
            <c:idx val="10"/>
            <c:bubble3D val="0"/>
            <c:extLst>
              <c:ext xmlns:c16="http://schemas.microsoft.com/office/drawing/2014/chart" uri="{C3380CC4-5D6E-409C-BE32-E72D297353CC}">
                <c16:uniqueId val="{0000001F-F04C-43AD-AE41-D47D1980273A}"/>
              </c:ext>
            </c:extLst>
          </c:dPt>
          <c:dPt>
            <c:idx val="11"/>
            <c:bubble3D val="0"/>
            <c:extLst>
              <c:ext xmlns:c16="http://schemas.microsoft.com/office/drawing/2014/chart" uri="{C3380CC4-5D6E-409C-BE32-E72D297353CC}">
                <c16:uniqueId val="{00000020-F04C-43AD-AE41-D47D1980273A}"/>
              </c:ext>
            </c:extLst>
          </c:dPt>
          <c:dPt>
            <c:idx val="12"/>
            <c:bubble3D val="0"/>
            <c:extLst>
              <c:ext xmlns:c16="http://schemas.microsoft.com/office/drawing/2014/chart" uri="{C3380CC4-5D6E-409C-BE32-E72D297353CC}">
                <c16:uniqueId val="{00000021-F04C-43AD-AE41-D47D1980273A}"/>
              </c:ext>
            </c:extLst>
          </c:dPt>
          <c:dPt>
            <c:idx val="13"/>
            <c:bubble3D val="0"/>
            <c:extLst>
              <c:ext xmlns:c16="http://schemas.microsoft.com/office/drawing/2014/chart" uri="{C3380CC4-5D6E-409C-BE32-E72D297353CC}">
                <c16:uniqueId val="{00000022-F04C-43AD-AE41-D47D1980273A}"/>
              </c:ext>
            </c:extLst>
          </c:dPt>
          <c:dPt>
            <c:idx val="14"/>
            <c:bubble3D val="0"/>
            <c:extLst>
              <c:ext xmlns:c16="http://schemas.microsoft.com/office/drawing/2014/chart" uri="{C3380CC4-5D6E-409C-BE32-E72D297353CC}">
                <c16:uniqueId val="{00000023-F04C-43AD-AE41-D47D1980273A}"/>
              </c:ext>
            </c:extLst>
          </c:dPt>
          <c:dPt>
            <c:idx val="15"/>
            <c:bubble3D val="0"/>
            <c:extLst>
              <c:ext xmlns:c16="http://schemas.microsoft.com/office/drawing/2014/chart" uri="{C3380CC4-5D6E-409C-BE32-E72D297353CC}">
                <c16:uniqueId val="{00000024-F04C-43AD-AE41-D47D1980273A}"/>
              </c:ext>
            </c:extLst>
          </c:dPt>
          <c:dPt>
            <c:idx val="16"/>
            <c:bubble3D val="0"/>
            <c:extLst>
              <c:ext xmlns:c16="http://schemas.microsoft.com/office/drawing/2014/chart" uri="{C3380CC4-5D6E-409C-BE32-E72D297353CC}">
                <c16:uniqueId val="{00000025-F04C-43AD-AE41-D47D1980273A}"/>
              </c:ext>
            </c:extLst>
          </c:dPt>
          <c:dPt>
            <c:idx val="17"/>
            <c:bubble3D val="0"/>
            <c:extLst>
              <c:ext xmlns:c16="http://schemas.microsoft.com/office/drawing/2014/chart" uri="{C3380CC4-5D6E-409C-BE32-E72D297353CC}">
                <c16:uniqueId val="{00000026-F04C-43AD-AE41-D47D1980273A}"/>
              </c:ext>
            </c:extLst>
          </c:dPt>
          <c:dPt>
            <c:idx val="18"/>
            <c:bubble3D val="0"/>
            <c:extLst>
              <c:ext xmlns:c16="http://schemas.microsoft.com/office/drawing/2014/chart" uri="{C3380CC4-5D6E-409C-BE32-E72D297353CC}">
                <c16:uniqueId val="{00000027-F04C-43AD-AE41-D47D1980273A}"/>
              </c:ext>
            </c:extLst>
          </c:dPt>
          <c:dPt>
            <c:idx val="19"/>
            <c:bubble3D val="0"/>
            <c:extLst>
              <c:ext xmlns:c16="http://schemas.microsoft.com/office/drawing/2014/chart" uri="{C3380CC4-5D6E-409C-BE32-E72D297353CC}">
                <c16:uniqueId val="{00000028-F04C-43AD-AE41-D47D1980273A}"/>
              </c:ext>
            </c:extLst>
          </c:dPt>
          <c:dLbls>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F04C-43AD-AE41-D47D1980273A}"/>
            </c:ext>
          </c:extLst>
        </c:ser>
        <c:dLbls>
          <c:showLegendKey val="0"/>
          <c:showVal val="0"/>
          <c:showCatName val="0"/>
          <c:showSerName val="0"/>
          <c:showPercent val="0"/>
          <c:showBubbleSize val="0"/>
        </c:dLbls>
        <c:hiLowLines>
          <c:spPr>
            <a:ln w="0">
              <a:noFill/>
            </a:ln>
          </c:spPr>
        </c:hiLowLines>
        <c:smooth val="0"/>
        <c:axId val="60119440"/>
        <c:axId val="99767505"/>
      </c:lineChart>
      <c:catAx>
        <c:axId val="60119440"/>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99767505"/>
        <c:crosses val="autoZero"/>
        <c:auto val="1"/>
        <c:lblAlgn val="ctr"/>
        <c:lblOffset val="100"/>
        <c:noMultiLvlLbl val="0"/>
      </c:catAx>
      <c:valAx>
        <c:axId val="99767505"/>
        <c:scaling>
          <c:orientation val="minMax"/>
        </c:scaling>
        <c:delete val="1"/>
        <c:axPos val="l"/>
        <c:numFmt formatCode="0.0" sourceLinked="1"/>
        <c:majorTickMark val="out"/>
        <c:minorTickMark val="none"/>
        <c:tickLblPos val="nextTo"/>
        <c:crossAx val="60119440"/>
        <c:crosses val="autoZero"/>
        <c:crossBetween val="between"/>
      </c:valAx>
      <c:spPr>
        <a:noFill/>
        <a:ln w="25560">
          <a:noFill/>
        </a:ln>
      </c:spPr>
    </c:plotArea>
    <c:plotVisOnly val="1"/>
    <c:dispBlanksAs val="gap"/>
    <c:showDLblsOverMax val="1"/>
  </c:chart>
  <c:spPr>
    <a:solidFill>
      <a:srgbClr val="FFFFFF"/>
    </a:solidFill>
    <a:ln w="9360">
      <a:noFill/>
    </a:ln>
  </c:spPr>
  <c:printSettings>
    <c:headerFooter/>
    <c:pageMargins b="0.78740157499999996" l="0.511811024" r="0.511811024" t="0.78740157499999996" header="0.31496062000000002" footer="0.3149606200000000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 - IÇAMENTO</a:t>
            </a:r>
          </a:p>
        </c:rich>
      </c:tx>
      <c:overlay val="0"/>
      <c:spPr>
        <a:noFill/>
        <a:ln w="0">
          <a:noFill/>
        </a:ln>
      </c:spPr>
    </c:title>
    <c:autoTitleDeleted val="0"/>
    <c:plotArea>
      <c:layout>
        <c:manualLayout>
          <c:layoutTarget val="inner"/>
          <c:xMode val="edge"/>
          <c:yMode val="edge"/>
          <c:x val="5.5612713066206902E-3"/>
          <c:y val="6.6780968709815702E-2"/>
          <c:w val="0.99068487056140997"/>
          <c:h val="0.87561080154307802"/>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Tensões!$P$99:$P$119</c:f>
              <c:numCache>
                <c:formatCode>0.0</c:formatCode>
                <c:ptCount val="21"/>
                <c:pt idx="0">
                  <c:v>0</c:v>
                </c:pt>
                <c:pt idx="1">
                  <c:v>-6.6075787429449955</c:v>
                </c:pt>
                <c:pt idx="2">
                  <c:v>-13.673988323528413</c:v>
                </c:pt>
                <c:pt idx="3">
                  <c:v>-20.74039790411183</c:v>
                </c:pt>
                <c:pt idx="4">
                  <c:v>-21.202497057363637</c:v>
                </c:pt>
                <c:pt idx="5">
                  <c:v>-20.955592931117302</c:v>
                </c:pt>
                <c:pt idx="6">
                  <c:v>-20.753580464188484</c:v>
                </c:pt>
                <c:pt idx="7">
                  <c:v>-20.596459656577185</c:v>
                </c:pt>
                <c:pt idx="8">
                  <c:v>-20.484230508283396</c:v>
                </c:pt>
                <c:pt idx="9">
                  <c:v>-20.416893019307125</c:v>
                </c:pt>
                <c:pt idx="10">
                  <c:v>-20.394447189648368</c:v>
                </c:pt>
                <c:pt idx="11">
                  <c:v>-20.416893019307125</c:v>
                </c:pt>
                <c:pt idx="12">
                  <c:v>-20.484230508283396</c:v>
                </c:pt>
                <c:pt idx="13">
                  <c:v>-20.596459656577185</c:v>
                </c:pt>
                <c:pt idx="14">
                  <c:v>-20.753580464188484</c:v>
                </c:pt>
                <c:pt idx="15">
                  <c:v>-20.955592931117302</c:v>
                </c:pt>
                <c:pt idx="16">
                  <c:v>-21.202497057363637</c:v>
                </c:pt>
                <c:pt idx="17">
                  <c:v>-20.74039790411183</c:v>
                </c:pt>
                <c:pt idx="18">
                  <c:v>-13.673988323528413</c:v>
                </c:pt>
                <c:pt idx="19">
                  <c:v>-6.6075787429449955</c:v>
                </c:pt>
                <c:pt idx="20">
                  <c:v>0</c:v>
                </c:pt>
              </c:numCache>
            </c:numRef>
          </c:val>
          <c:smooth val="1"/>
          <c:extLst>
            <c:ext xmlns:c16="http://schemas.microsoft.com/office/drawing/2014/chart" uri="{C3380CC4-5D6E-409C-BE32-E72D297353CC}">
              <c16:uniqueId val="{00000000-9BEA-4E76-ADDC-C6224966FC86}"/>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Tensões!$P$76:$P$96</c:f>
              <c:numCache>
                <c:formatCode>0.0</c:formatCode>
                <c:ptCount val="21"/>
                <c:pt idx="0">
                  <c:v>0</c:v>
                </c:pt>
                <c:pt idx="1">
                  <c:v>1.3893545587277025</c:v>
                </c:pt>
                <c:pt idx="2">
                  <c:v>3.1113082872427613</c:v>
                </c:pt>
                <c:pt idx="3">
                  <c:v>5.3141038156270719</c:v>
                </c:pt>
                <c:pt idx="4">
                  <c:v>5.0919313412757026</c:v>
                </c:pt>
                <c:pt idx="5">
                  <c:v>4.9039392475937769</c:v>
                </c:pt>
                <c:pt idx="6">
                  <c:v>4.7501275345812921</c:v>
                </c:pt>
                <c:pt idx="7">
                  <c:v>4.6304962022382474</c:v>
                </c:pt>
                <c:pt idx="8">
                  <c:v>4.5450452505646437</c:v>
                </c:pt>
                <c:pt idx="9">
                  <c:v>4.4937746795604836</c:v>
                </c:pt>
                <c:pt idx="10">
                  <c:v>4.4766844892257636</c:v>
                </c:pt>
                <c:pt idx="11">
                  <c:v>4.4937746795604836</c:v>
                </c:pt>
                <c:pt idx="12">
                  <c:v>4.5450452505646437</c:v>
                </c:pt>
                <c:pt idx="13">
                  <c:v>4.6304962022382474</c:v>
                </c:pt>
                <c:pt idx="14">
                  <c:v>4.7501275345812921</c:v>
                </c:pt>
                <c:pt idx="15">
                  <c:v>4.9039392475937778</c:v>
                </c:pt>
                <c:pt idx="16">
                  <c:v>5.0919313412757026</c:v>
                </c:pt>
                <c:pt idx="17">
                  <c:v>5.3141038156270728</c:v>
                </c:pt>
                <c:pt idx="18">
                  <c:v>3.1113082872427613</c:v>
                </c:pt>
                <c:pt idx="19">
                  <c:v>1.3893545587277025</c:v>
                </c:pt>
                <c:pt idx="20">
                  <c:v>0</c:v>
                </c:pt>
              </c:numCache>
            </c:numRef>
          </c:val>
          <c:smooth val="1"/>
          <c:extLst>
            <c:ext xmlns:c16="http://schemas.microsoft.com/office/drawing/2014/chart" uri="{C3380CC4-5D6E-409C-BE32-E72D297353CC}">
              <c16:uniqueId val="{00000001-9BEA-4E76-ADDC-C6224966FC86}"/>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9BEA-4E76-ADDC-C6224966FC86}"/>
              </c:ext>
            </c:extLst>
          </c:dPt>
          <c:dPt>
            <c:idx val="2"/>
            <c:bubble3D val="0"/>
            <c:extLst>
              <c:ext xmlns:c16="http://schemas.microsoft.com/office/drawing/2014/chart" uri="{C3380CC4-5D6E-409C-BE32-E72D297353CC}">
                <c16:uniqueId val="{00000003-9BEA-4E76-ADDC-C6224966FC86}"/>
              </c:ext>
            </c:extLst>
          </c:dPt>
          <c:dPt>
            <c:idx val="3"/>
            <c:bubble3D val="0"/>
            <c:extLst>
              <c:ext xmlns:c16="http://schemas.microsoft.com/office/drawing/2014/chart" uri="{C3380CC4-5D6E-409C-BE32-E72D297353CC}">
                <c16:uniqueId val="{00000004-9BEA-4E76-ADDC-C6224966FC86}"/>
              </c:ext>
            </c:extLst>
          </c:dPt>
          <c:dPt>
            <c:idx val="4"/>
            <c:bubble3D val="0"/>
            <c:extLst>
              <c:ext xmlns:c16="http://schemas.microsoft.com/office/drawing/2014/chart" uri="{C3380CC4-5D6E-409C-BE32-E72D297353CC}">
                <c16:uniqueId val="{00000005-9BEA-4E76-ADDC-C6224966FC86}"/>
              </c:ext>
            </c:extLst>
          </c:dPt>
          <c:dPt>
            <c:idx val="5"/>
            <c:bubble3D val="0"/>
            <c:extLst>
              <c:ext xmlns:c16="http://schemas.microsoft.com/office/drawing/2014/chart" uri="{C3380CC4-5D6E-409C-BE32-E72D297353CC}">
                <c16:uniqueId val="{00000006-9BEA-4E76-ADDC-C6224966FC86}"/>
              </c:ext>
            </c:extLst>
          </c:dPt>
          <c:dPt>
            <c:idx val="6"/>
            <c:bubble3D val="0"/>
            <c:extLst>
              <c:ext xmlns:c16="http://schemas.microsoft.com/office/drawing/2014/chart" uri="{C3380CC4-5D6E-409C-BE32-E72D297353CC}">
                <c16:uniqueId val="{00000007-9BEA-4E76-ADDC-C6224966FC86}"/>
              </c:ext>
            </c:extLst>
          </c:dPt>
          <c:dPt>
            <c:idx val="7"/>
            <c:bubble3D val="0"/>
            <c:extLst>
              <c:ext xmlns:c16="http://schemas.microsoft.com/office/drawing/2014/chart" uri="{C3380CC4-5D6E-409C-BE32-E72D297353CC}">
                <c16:uniqueId val="{00000008-9BEA-4E76-ADDC-C6224966FC86}"/>
              </c:ext>
            </c:extLst>
          </c:dPt>
          <c:dPt>
            <c:idx val="8"/>
            <c:bubble3D val="0"/>
            <c:extLst>
              <c:ext xmlns:c16="http://schemas.microsoft.com/office/drawing/2014/chart" uri="{C3380CC4-5D6E-409C-BE32-E72D297353CC}">
                <c16:uniqueId val="{00000009-9BEA-4E76-ADDC-C6224966FC86}"/>
              </c:ext>
            </c:extLst>
          </c:dPt>
          <c:dPt>
            <c:idx val="9"/>
            <c:bubble3D val="0"/>
            <c:extLst>
              <c:ext xmlns:c16="http://schemas.microsoft.com/office/drawing/2014/chart" uri="{C3380CC4-5D6E-409C-BE32-E72D297353CC}">
                <c16:uniqueId val="{0000000A-9BEA-4E76-ADDC-C6224966FC86}"/>
              </c:ext>
            </c:extLst>
          </c:dPt>
          <c:dPt>
            <c:idx val="10"/>
            <c:bubble3D val="0"/>
            <c:extLst>
              <c:ext xmlns:c16="http://schemas.microsoft.com/office/drawing/2014/chart" uri="{C3380CC4-5D6E-409C-BE32-E72D297353CC}">
                <c16:uniqueId val="{0000000B-9BEA-4E76-ADDC-C6224966FC86}"/>
              </c:ext>
            </c:extLst>
          </c:dPt>
          <c:dPt>
            <c:idx val="11"/>
            <c:bubble3D val="0"/>
            <c:extLst>
              <c:ext xmlns:c16="http://schemas.microsoft.com/office/drawing/2014/chart" uri="{C3380CC4-5D6E-409C-BE32-E72D297353CC}">
                <c16:uniqueId val="{0000000C-9BEA-4E76-ADDC-C6224966FC86}"/>
              </c:ext>
            </c:extLst>
          </c:dPt>
          <c:dPt>
            <c:idx val="12"/>
            <c:bubble3D val="0"/>
            <c:extLst>
              <c:ext xmlns:c16="http://schemas.microsoft.com/office/drawing/2014/chart" uri="{C3380CC4-5D6E-409C-BE32-E72D297353CC}">
                <c16:uniqueId val="{0000000D-9BEA-4E76-ADDC-C6224966FC86}"/>
              </c:ext>
            </c:extLst>
          </c:dPt>
          <c:dPt>
            <c:idx val="13"/>
            <c:bubble3D val="0"/>
            <c:extLst>
              <c:ext xmlns:c16="http://schemas.microsoft.com/office/drawing/2014/chart" uri="{C3380CC4-5D6E-409C-BE32-E72D297353CC}">
                <c16:uniqueId val="{0000000E-9BEA-4E76-ADDC-C6224966FC86}"/>
              </c:ext>
            </c:extLst>
          </c:dPt>
          <c:dPt>
            <c:idx val="14"/>
            <c:bubble3D val="0"/>
            <c:extLst>
              <c:ext xmlns:c16="http://schemas.microsoft.com/office/drawing/2014/chart" uri="{C3380CC4-5D6E-409C-BE32-E72D297353CC}">
                <c16:uniqueId val="{0000000F-9BEA-4E76-ADDC-C6224966FC86}"/>
              </c:ext>
            </c:extLst>
          </c:dPt>
          <c:dPt>
            <c:idx val="15"/>
            <c:bubble3D val="0"/>
            <c:extLst>
              <c:ext xmlns:c16="http://schemas.microsoft.com/office/drawing/2014/chart" uri="{C3380CC4-5D6E-409C-BE32-E72D297353CC}">
                <c16:uniqueId val="{00000010-9BEA-4E76-ADDC-C6224966FC86}"/>
              </c:ext>
            </c:extLst>
          </c:dPt>
          <c:dPt>
            <c:idx val="16"/>
            <c:bubble3D val="0"/>
            <c:extLst>
              <c:ext xmlns:c16="http://schemas.microsoft.com/office/drawing/2014/chart" uri="{C3380CC4-5D6E-409C-BE32-E72D297353CC}">
                <c16:uniqueId val="{00000011-9BEA-4E76-ADDC-C6224966FC86}"/>
              </c:ext>
            </c:extLst>
          </c:dPt>
          <c:dPt>
            <c:idx val="17"/>
            <c:bubble3D val="0"/>
            <c:extLst>
              <c:ext xmlns:c16="http://schemas.microsoft.com/office/drawing/2014/chart" uri="{C3380CC4-5D6E-409C-BE32-E72D297353CC}">
                <c16:uniqueId val="{00000012-9BEA-4E76-ADDC-C6224966FC86}"/>
              </c:ext>
            </c:extLst>
          </c:dPt>
          <c:dPt>
            <c:idx val="18"/>
            <c:bubble3D val="0"/>
            <c:extLst>
              <c:ext xmlns:c16="http://schemas.microsoft.com/office/drawing/2014/chart" uri="{C3380CC4-5D6E-409C-BE32-E72D297353CC}">
                <c16:uniqueId val="{00000013-9BEA-4E76-ADDC-C6224966FC86}"/>
              </c:ext>
            </c:extLst>
          </c:dPt>
          <c:dPt>
            <c:idx val="19"/>
            <c:bubble3D val="0"/>
            <c:extLst>
              <c:ext xmlns:c16="http://schemas.microsoft.com/office/drawing/2014/chart" uri="{C3380CC4-5D6E-409C-BE32-E72D297353CC}">
                <c16:uniqueId val="{00000014-9BEA-4E76-ADDC-C6224966FC86}"/>
              </c:ext>
            </c:extLst>
          </c:dPt>
          <c:dLbls>
            <c:dLbl>
              <c:idx val="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9BEA-4E76-ADDC-C6224966FC86}"/>
                </c:ext>
              </c:extLst>
            </c:dLbl>
            <c:dLbl>
              <c:idx val="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BEA-4E76-ADDC-C6224966FC86}"/>
                </c:ext>
              </c:extLst>
            </c:dLbl>
            <c:dLbl>
              <c:idx val="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9BEA-4E76-ADDC-C6224966FC86}"/>
                </c:ext>
              </c:extLst>
            </c:dLbl>
            <c:dLbl>
              <c:idx val="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9BEA-4E76-ADDC-C6224966FC86}"/>
                </c:ext>
              </c:extLst>
            </c:dLbl>
            <c:dLbl>
              <c:idx val="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9BEA-4E76-ADDC-C6224966FC86}"/>
                </c:ext>
              </c:extLst>
            </c:dLbl>
            <c:dLbl>
              <c:idx val="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9BEA-4E76-ADDC-C6224966FC86}"/>
                </c:ext>
              </c:extLst>
            </c:dLbl>
            <c:dLbl>
              <c:idx val="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9BEA-4E76-ADDC-C6224966FC86}"/>
                </c:ext>
              </c:extLst>
            </c:dLbl>
            <c:dLbl>
              <c:idx val="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9BEA-4E76-ADDC-C6224966FC86}"/>
                </c:ext>
              </c:extLst>
            </c:dLbl>
            <c:dLbl>
              <c:idx val="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9BEA-4E76-ADDC-C6224966FC86}"/>
                </c:ext>
              </c:extLst>
            </c:dLbl>
            <c:dLbl>
              <c:idx val="1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9BEA-4E76-ADDC-C6224966FC86}"/>
                </c:ext>
              </c:extLst>
            </c:dLbl>
            <c:dLbl>
              <c:idx val="1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9BEA-4E76-ADDC-C6224966FC86}"/>
                </c:ext>
              </c:extLst>
            </c:dLbl>
            <c:dLbl>
              <c:idx val="1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9BEA-4E76-ADDC-C6224966FC86}"/>
                </c:ext>
              </c:extLst>
            </c:dLbl>
            <c:dLbl>
              <c:idx val="1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9BEA-4E76-ADDC-C6224966FC86}"/>
                </c:ext>
              </c:extLst>
            </c:dLbl>
            <c:dLbl>
              <c:idx val="1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9BEA-4E76-ADDC-C6224966FC86}"/>
                </c:ext>
              </c:extLst>
            </c:dLbl>
            <c:dLbl>
              <c:idx val="1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9BEA-4E76-ADDC-C6224966FC86}"/>
                </c:ext>
              </c:extLst>
            </c:dLbl>
            <c:dLbl>
              <c:idx val="1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9BEA-4E76-ADDC-C6224966FC86}"/>
                </c:ext>
              </c:extLst>
            </c:dLbl>
            <c:dLbl>
              <c:idx val="1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9BEA-4E76-ADDC-C6224966FC86}"/>
                </c:ext>
              </c:extLst>
            </c:dLbl>
            <c:dLbl>
              <c:idx val="1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9BEA-4E76-ADDC-C6224966FC86}"/>
                </c:ext>
              </c:extLst>
            </c:dLbl>
            <c:dLbl>
              <c:idx val="1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9BEA-4E76-ADDC-C6224966FC86}"/>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9BEA-4E76-ADDC-C6224966FC86}"/>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9BEA-4E76-ADDC-C6224966FC86}"/>
              </c:ext>
            </c:extLst>
          </c:dPt>
          <c:dPt>
            <c:idx val="2"/>
            <c:bubble3D val="0"/>
            <c:extLst>
              <c:ext xmlns:c16="http://schemas.microsoft.com/office/drawing/2014/chart" uri="{C3380CC4-5D6E-409C-BE32-E72D297353CC}">
                <c16:uniqueId val="{00000017-9BEA-4E76-ADDC-C6224966FC86}"/>
              </c:ext>
            </c:extLst>
          </c:dPt>
          <c:dPt>
            <c:idx val="3"/>
            <c:bubble3D val="0"/>
            <c:extLst>
              <c:ext xmlns:c16="http://schemas.microsoft.com/office/drawing/2014/chart" uri="{C3380CC4-5D6E-409C-BE32-E72D297353CC}">
                <c16:uniqueId val="{00000018-9BEA-4E76-ADDC-C6224966FC86}"/>
              </c:ext>
            </c:extLst>
          </c:dPt>
          <c:dPt>
            <c:idx val="4"/>
            <c:bubble3D val="0"/>
            <c:extLst>
              <c:ext xmlns:c16="http://schemas.microsoft.com/office/drawing/2014/chart" uri="{C3380CC4-5D6E-409C-BE32-E72D297353CC}">
                <c16:uniqueId val="{00000019-9BEA-4E76-ADDC-C6224966FC86}"/>
              </c:ext>
            </c:extLst>
          </c:dPt>
          <c:dPt>
            <c:idx val="5"/>
            <c:bubble3D val="0"/>
            <c:extLst>
              <c:ext xmlns:c16="http://schemas.microsoft.com/office/drawing/2014/chart" uri="{C3380CC4-5D6E-409C-BE32-E72D297353CC}">
                <c16:uniqueId val="{0000001A-9BEA-4E76-ADDC-C6224966FC86}"/>
              </c:ext>
            </c:extLst>
          </c:dPt>
          <c:dPt>
            <c:idx val="6"/>
            <c:bubble3D val="0"/>
            <c:extLst>
              <c:ext xmlns:c16="http://schemas.microsoft.com/office/drawing/2014/chart" uri="{C3380CC4-5D6E-409C-BE32-E72D297353CC}">
                <c16:uniqueId val="{0000001B-9BEA-4E76-ADDC-C6224966FC86}"/>
              </c:ext>
            </c:extLst>
          </c:dPt>
          <c:dPt>
            <c:idx val="7"/>
            <c:bubble3D val="0"/>
            <c:extLst>
              <c:ext xmlns:c16="http://schemas.microsoft.com/office/drawing/2014/chart" uri="{C3380CC4-5D6E-409C-BE32-E72D297353CC}">
                <c16:uniqueId val="{0000001C-9BEA-4E76-ADDC-C6224966FC86}"/>
              </c:ext>
            </c:extLst>
          </c:dPt>
          <c:dPt>
            <c:idx val="8"/>
            <c:bubble3D val="0"/>
            <c:extLst>
              <c:ext xmlns:c16="http://schemas.microsoft.com/office/drawing/2014/chart" uri="{C3380CC4-5D6E-409C-BE32-E72D297353CC}">
                <c16:uniqueId val="{0000001D-9BEA-4E76-ADDC-C6224966FC86}"/>
              </c:ext>
            </c:extLst>
          </c:dPt>
          <c:dPt>
            <c:idx val="9"/>
            <c:bubble3D val="0"/>
            <c:extLst>
              <c:ext xmlns:c16="http://schemas.microsoft.com/office/drawing/2014/chart" uri="{C3380CC4-5D6E-409C-BE32-E72D297353CC}">
                <c16:uniqueId val="{0000001E-9BEA-4E76-ADDC-C6224966FC86}"/>
              </c:ext>
            </c:extLst>
          </c:dPt>
          <c:dPt>
            <c:idx val="10"/>
            <c:bubble3D val="0"/>
            <c:extLst>
              <c:ext xmlns:c16="http://schemas.microsoft.com/office/drawing/2014/chart" uri="{C3380CC4-5D6E-409C-BE32-E72D297353CC}">
                <c16:uniqueId val="{0000001F-9BEA-4E76-ADDC-C6224966FC86}"/>
              </c:ext>
            </c:extLst>
          </c:dPt>
          <c:dPt>
            <c:idx val="11"/>
            <c:bubble3D val="0"/>
            <c:extLst>
              <c:ext xmlns:c16="http://schemas.microsoft.com/office/drawing/2014/chart" uri="{C3380CC4-5D6E-409C-BE32-E72D297353CC}">
                <c16:uniqueId val="{00000020-9BEA-4E76-ADDC-C6224966FC86}"/>
              </c:ext>
            </c:extLst>
          </c:dPt>
          <c:dPt>
            <c:idx val="12"/>
            <c:bubble3D val="0"/>
            <c:extLst>
              <c:ext xmlns:c16="http://schemas.microsoft.com/office/drawing/2014/chart" uri="{C3380CC4-5D6E-409C-BE32-E72D297353CC}">
                <c16:uniqueId val="{00000021-9BEA-4E76-ADDC-C6224966FC86}"/>
              </c:ext>
            </c:extLst>
          </c:dPt>
          <c:dPt>
            <c:idx val="13"/>
            <c:bubble3D val="0"/>
            <c:extLst>
              <c:ext xmlns:c16="http://schemas.microsoft.com/office/drawing/2014/chart" uri="{C3380CC4-5D6E-409C-BE32-E72D297353CC}">
                <c16:uniqueId val="{00000022-9BEA-4E76-ADDC-C6224966FC86}"/>
              </c:ext>
            </c:extLst>
          </c:dPt>
          <c:dPt>
            <c:idx val="14"/>
            <c:bubble3D val="0"/>
            <c:extLst>
              <c:ext xmlns:c16="http://schemas.microsoft.com/office/drawing/2014/chart" uri="{C3380CC4-5D6E-409C-BE32-E72D297353CC}">
                <c16:uniqueId val="{00000023-9BEA-4E76-ADDC-C6224966FC86}"/>
              </c:ext>
            </c:extLst>
          </c:dPt>
          <c:dPt>
            <c:idx val="15"/>
            <c:bubble3D val="0"/>
            <c:extLst>
              <c:ext xmlns:c16="http://schemas.microsoft.com/office/drawing/2014/chart" uri="{C3380CC4-5D6E-409C-BE32-E72D297353CC}">
                <c16:uniqueId val="{00000024-9BEA-4E76-ADDC-C6224966FC86}"/>
              </c:ext>
            </c:extLst>
          </c:dPt>
          <c:dPt>
            <c:idx val="16"/>
            <c:bubble3D val="0"/>
            <c:extLst>
              <c:ext xmlns:c16="http://schemas.microsoft.com/office/drawing/2014/chart" uri="{C3380CC4-5D6E-409C-BE32-E72D297353CC}">
                <c16:uniqueId val="{00000025-9BEA-4E76-ADDC-C6224966FC86}"/>
              </c:ext>
            </c:extLst>
          </c:dPt>
          <c:dPt>
            <c:idx val="17"/>
            <c:bubble3D val="0"/>
            <c:extLst>
              <c:ext xmlns:c16="http://schemas.microsoft.com/office/drawing/2014/chart" uri="{C3380CC4-5D6E-409C-BE32-E72D297353CC}">
                <c16:uniqueId val="{00000026-9BEA-4E76-ADDC-C6224966FC86}"/>
              </c:ext>
            </c:extLst>
          </c:dPt>
          <c:dPt>
            <c:idx val="18"/>
            <c:bubble3D val="0"/>
            <c:extLst>
              <c:ext xmlns:c16="http://schemas.microsoft.com/office/drawing/2014/chart" uri="{C3380CC4-5D6E-409C-BE32-E72D297353CC}">
                <c16:uniqueId val="{00000027-9BEA-4E76-ADDC-C6224966FC86}"/>
              </c:ext>
            </c:extLst>
          </c:dPt>
          <c:dPt>
            <c:idx val="19"/>
            <c:bubble3D val="0"/>
            <c:extLst>
              <c:ext xmlns:c16="http://schemas.microsoft.com/office/drawing/2014/chart" uri="{C3380CC4-5D6E-409C-BE32-E72D297353CC}">
                <c16:uniqueId val="{00000028-9BEA-4E76-ADDC-C6224966FC86}"/>
              </c:ext>
            </c:extLst>
          </c:dPt>
          <c:dLbls>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9BEA-4E76-ADDC-C6224966FC86}"/>
            </c:ext>
          </c:extLst>
        </c:ser>
        <c:dLbls>
          <c:showLegendKey val="0"/>
          <c:showVal val="0"/>
          <c:showCatName val="0"/>
          <c:showSerName val="0"/>
          <c:showPercent val="0"/>
          <c:showBubbleSize val="0"/>
        </c:dLbls>
        <c:hiLowLines>
          <c:spPr>
            <a:ln w="0">
              <a:noFill/>
            </a:ln>
          </c:spPr>
        </c:hiLowLines>
        <c:smooth val="0"/>
        <c:axId val="26777061"/>
        <c:axId val="50324316"/>
      </c:lineChart>
      <c:catAx>
        <c:axId val="26777061"/>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50324316"/>
        <c:crosses val="autoZero"/>
        <c:auto val="1"/>
        <c:lblAlgn val="ctr"/>
        <c:lblOffset val="100"/>
        <c:noMultiLvlLbl val="0"/>
      </c:catAx>
      <c:valAx>
        <c:axId val="50324316"/>
        <c:scaling>
          <c:orientation val="minMax"/>
        </c:scaling>
        <c:delete val="1"/>
        <c:axPos val="l"/>
        <c:numFmt formatCode="0.0" sourceLinked="1"/>
        <c:majorTickMark val="out"/>
        <c:minorTickMark val="none"/>
        <c:tickLblPos val="nextTo"/>
        <c:crossAx val="26777061"/>
        <c:crosses val="autoZero"/>
        <c:crossBetween val="between"/>
      </c:valAx>
      <c:spPr>
        <a:noFill/>
        <a:ln w="25560">
          <a:noFill/>
        </a:ln>
      </c:spPr>
    </c:plotArea>
    <c:plotVisOnly val="1"/>
    <c:dispBlanksAs val="gap"/>
    <c:showDLblsOverMax val="1"/>
  </c:chart>
  <c:spPr>
    <a:solidFill>
      <a:srgbClr val="FFFFFF"/>
    </a:solidFill>
    <a:ln w="9360">
      <a:noFill/>
    </a:ln>
  </c:spPr>
  <c:printSettings>
    <c:headerFooter/>
    <c:pageMargins b="0.78740157499999996" l="0.511811024" r="0.511811024" t="0.78740157499999996" header="0.31496062000000002" footer="0.3149606200000000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5.30469659723121E-2"/>
          <c:y val="4.4248626113321997E-2"/>
          <c:w val="0.91111398628541895"/>
          <c:h val="0.91377676710251998"/>
        </c:manualLayout>
      </c:layout>
      <c:scatterChart>
        <c:scatterStyle val="lineMarker"/>
        <c:varyColors val="0"/>
        <c:ser>
          <c:idx val="0"/>
          <c:order val="0"/>
          <c:spPr>
            <a:ln w="12600">
              <a:solidFill>
                <a:srgbClr val="156082"/>
              </a:solidFill>
              <a:round/>
            </a:ln>
          </c:spPr>
          <c:marker>
            <c:symbol val="none"/>
          </c:marker>
          <c:dLbls>
            <c:numFmt formatCode="General" sourceLinked="0"/>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1</c:f>
              <c:numCache>
                <c:formatCode>General</c:formatCode>
                <c:ptCount val="1"/>
                <c:pt idx="0">
                  <c:v>0</c:v>
                </c:pt>
              </c:numCache>
            </c:numRef>
          </c:xVal>
          <c:yVal>
            <c:numRef>
              <c:f>0</c:f>
              <c:numCache>
                <c:formatCode>General</c:formatCode>
                <c:ptCount val="1"/>
                <c:pt idx="0">
                  <c:v>0</c:v>
                </c:pt>
              </c:numCache>
            </c:numRef>
          </c:yVal>
          <c:smooth val="1"/>
          <c:extLst>
            <c:ext xmlns:c16="http://schemas.microsoft.com/office/drawing/2014/chart" uri="{C3380CC4-5D6E-409C-BE32-E72D297353CC}">
              <c16:uniqueId val="{00000000-77F8-4CDA-80CB-63AB0BDA7870}"/>
            </c:ext>
          </c:extLst>
        </c:ser>
        <c:ser>
          <c:idx val="1"/>
          <c:order val="1"/>
          <c:spPr>
            <a:ln w="12600">
              <a:solidFill>
                <a:srgbClr val="F07623"/>
              </a:solidFill>
              <a:round/>
            </a:ln>
          </c:spPr>
          <c:marker>
            <c:symbol val="none"/>
          </c:marker>
          <c:dLbls>
            <c:numFmt formatCode="General" sourceLinked="0"/>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3</c:f>
              <c:numCache>
                <c:formatCode>General</c:formatCode>
                <c:ptCount val="1"/>
                <c:pt idx="0">
                  <c:v>0</c:v>
                </c:pt>
              </c:numCache>
            </c:numRef>
          </c:xVal>
          <c:yVal>
            <c:numRef>
              <c:f>2</c:f>
              <c:numCache>
                <c:formatCode>General</c:formatCode>
                <c:ptCount val="1"/>
                <c:pt idx="0">
                  <c:v>0</c:v>
                </c:pt>
              </c:numCache>
            </c:numRef>
          </c:yVal>
          <c:smooth val="1"/>
          <c:extLst>
            <c:ext xmlns:c16="http://schemas.microsoft.com/office/drawing/2014/chart" uri="{C3380CC4-5D6E-409C-BE32-E72D297353CC}">
              <c16:uniqueId val="{00000001-77F8-4CDA-80CB-63AB0BDA7870}"/>
            </c:ext>
          </c:extLst>
        </c:ser>
        <c:ser>
          <c:idx val="2"/>
          <c:order val="2"/>
          <c:spPr>
            <a:ln w="25560">
              <a:noFill/>
            </a:ln>
          </c:spPr>
          <c:marker>
            <c:symbol val="none"/>
          </c:marker>
          <c:dLbls>
            <c:numFmt formatCode="General" sourceLinked="0"/>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5</c:f>
              <c:numCache>
                <c:formatCode>General</c:formatCode>
                <c:ptCount val="1"/>
                <c:pt idx="0">
                  <c:v>0</c:v>
                </c:pt>
              </c:numCache>
            </c:numRef>
          </c:xVal>
          <c:yVal>
            <c:numRef>
              <c:f>4</c:f>
              <c:numCache>
                <c:formatCode>General</c:formatCode>
                <c:ptCount val="1"/>
                <c:pt idx="0">
                  <c:v>0</c:v>
                </c:pt>
              </c:numCache>
            </c:numRef>
          </c:yVal>
          <c:smooth val="1"/>
          <c:extLst>
            <c:ext xmlns:c16="http://schemas.microsoft.com/office/drawing/2014/chart" uri="{C3380CC4-5D6E-409C-BE32-E72D297353CC}">
              <c16:uniqueId val="{00000002-77F8-4CDA-80CB-63AB0BDA7870}"/>
            </c:ext>
          </c:extLst>
        </c:ser>
        <c:dLbls>
          <c:showLegendKey val="0"/>
          <c:showVal val="0"/>
          <c:showCatName val="0"/>
          <c:showSerName val="0"/>
          <c:showPercent val="0"/>
          <c:showBubbleSize val="0"/>
        </c:dLbls>
        <c:axId val="62439794"/>
        <c:axId val="64481940"/>
      </c:scatterChart>
      <c:valAx>
        <c:axId val="62439794"/>
        <c:scaling>
          <c:orientation val="minMax"/>
        </c:scaling>
        <c:delete val="0"/>
        <c:axPos val="b"/>
        <c:majorGridlines>
          <c:spPr>
            <a:ln w="3240">
              <a:solidFill>
                <a:srgbClr val="595959"/>
              </a:solidFill>
              <a:round/>
            </a:ln>
          </c:spPr>
        </c:majorGridlines>
        <c:numFmt formatCode="0" sourceLinked="0"/>
        <c:majorTickMark val="none"/>
        <c:minorTickMark val="none"/>
        <c:tickLblPos val="nextTo"/>
        <c:spPr>
          <a:ln w="3240">
            <a:solidFill>
              <a:srgbClr val="7F7F7F"/>
            </a:solidFill>
            <a:round/>
          </a:ln>
        </c:spPr>
        <c:txPr>
          <a:bodyPr/>
          <a:lstStyle/>
          <a:p>
            <a:pPr>
              <a:defRPr sz="900" b="0" strike="noStrike" spc="-1">
                <a:solidFill>
                  <a:srgbClr val="BFBFBF"/>
                </a:solidFill>
                <a:latin typeface="Aptos Narrow"/>
                <a:ea typeface="Aptos Narrow"/>
              </a:defRPr>
            </a:pPr>
            <a:endParaRPr lang="pt-BR"/>
          </a:p>
        </c:txPr>
        <c:crossAx val="64481940"/>
        <c:crosses val="autoZero"/>
        <c:crossBetween val="midCat"/>
      </c:valAx>
      <c:valAx>
        <c:axId val="64481940"/>
        <c:scaling>
          <c:orientation val="minMax"/>
        </c:scaling>
        <c:delete val="0"/>
        <c:axPos val="l"/>
        <c:majorGridlines>
          <c:spPr>
            <a:ln w="3240">
              <a:solidFill>
                <a:srgbClr val="595959"/>
              </a:solidFill>
              <a:round/>
            </a:ln>
          </c:spPr>
        </c:majorGridlines>
        <c:numFmt formatCode="0" sourceLinked="0"/>
        <c:majorTickMark val="none"/>
        <c:minorTickMark val="none"/>
        <c:tickLblPos val="nextTo"/>
        <c:spPr>
          <a:ln w="3240">
            <a:solidFill>
              <a:srgbClr val="7F7F7F"/>
            </a:solidFill>
            <a:round/>
          </a:ln>
        </c:spPr>
        <c:txPr>
          <a:bodyPr/>
          <a:lstStyle/>
          <a:p>
            <a:pPr>
              <a:defRPr sz="900" b="0" strike="noStrike" spc="-1">
                <a:solidFill>
                  <a:srgbClr val="BFBFBF"/>
                </a:solidFill>
                <a:latin typeface="Aptos Narrow"/>
                <a:ea typeface="Aptos Narrow"/>
              </a:defRPr>
            </a:pPr>
            <a:endParaRPr lang="pt-BR"/>
          </a:p>
        </c:txPr>
        <c:crossAx val="62439794"/>
        <c:crosses val="autoZero"/>
        <c:crossBetween val="midCat"/>
      </c:valAx>
      <c:spPr>
        <a:noFill/>
        <a:ln w="25560">
          <a:noFill/>
        </a:ln>
      </c:spPr>
    </c:plotArea>
    <c:plotVisOnly val="1"/>
    <c:dispBlanksAs val="gap"/>
    <c:showDLblsOverMax val="1"/>
  </c:chart>
  <c:spPr>
    <a:solidFill>
      <a:srgbClr val="404040"/>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2.0489440863595901E-2"/>
          <c:y val="6.1272943110218303E-2"/>
          <c:w val="0.94235707173924399"/>
          <c:h val="0.84138434846132804"/>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Seções!$B$8:$B$18</c:f>
              <c:numCache>
                <c:formatCode>General</c:formatCode>
                <c:ptCount val="11"/>
                <c:pt idx="0">
                  <c:v>0</c:v>
                </c:pt>
                <c:pt idx="1">
                  <c:v>-15</c:v>
                </c:pt>
                <c:pt idx="2">
                  <c:v>-15</c:v>
                </c:pt>
                <c:pt idx="3">
                  <c:v>-30</c:v>
                </c:pt>
                <c:pt idx="4" formatCode="0.000">
                  <c:v>-30</c:v>
                </c:pt>
                <c:pt idx="5">
                  <c:v>30</c:v>
                </c:pt>
                <c:pt idx="6">
                  <c:v>30</c:v>
                </c:pt>
                <c:pt idx="7">
                  <c:v>15</c:v>
                </c:pt>
                <c:pt idx="8">
                  <c:v>15</c:v>
                </c:pt>
                <c:pt idx="9">
                  <c:v>0</c:v>
                </c:pt>
              </c:numCache>
            </c:numRef>
          </c:xVal>
          <c:yVal>
            <c:numRef>
              <c:f>Seções!$C$8:$C$18</c:f>
              <c:numCache>
                <c:formatCode>General</c:formatCode>
                <c:ptCount val="11"/>
                <c:pt idx="0">
                  <c:v>0</c:v>
                </c:pt>
                <c:pt idx="1">
                  <c:v>0</c:v>
                </c:pt>
                <c:pt idx="2" formatCode="0.0&quot; cm&quot;">
                  <c:v>40</c:v>
                </c:pt>
                <c:pt idx="3" formatCode="0.0">
                  <c:v>45</c:v>
                </c:pt>
                <c:pt idx="4" formatCode="0.0&quot; cm&quot;">
                  <c:v>60</c:v>
                </c:pt>
                <c:pt idx="5" formatCode="0.0&quot; cm&quot;">
                  <c:v>60</c:v>
                </c:pt>
                <c:pt idx="6" formatCode="0.0">
                  <c:v>45</c:v>
                </c:pt>
                <c:pt idx="7" formatCode="0.0">
                  <c:v>40</c:v>
                </c:pt>
                <c:pt idx="8">
                  <c:v>0</c:v>
                </c:pt>
                <c:pt idx="9">
                  <c:v>0</c:v>
                </c:pt>
              </c:numCache>
            </c:numRef>
          </c:yVal>
          <c:smooth val="0"/>
          <c:extLst>
            <c:ext xmlns:c16="http://schemas.microsoft.com/office/drawing/2014/chart" uri="{C3380CC4-5D6E-409C-BE32-E72D297353CC}">
              <c16:uniqueId val="{00000000-0173-46F0-8982-AABB5339E468}"/>
            </c:ext>
          </c:extLst>
        </c:ser>
        <c:dLbls>
          <c:showLegendKey val="0"/>
          <c:showVal val="0"/>
          <c:showCatName val="0"/>
          <c:showSerName val="0"/>
          <c:showPercent val="0"/>
          <c:showBubbleSize val="0"/>
        </c:dLbls>
        <c:axId val="41790462"/>
        <c:axId val="52863749"/>
      </c:scatterChart>
      <c:valAx>
        <c:axId val="41790462"/>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52863749"/>
        <c:crosses val="autoZero"/>
        <c:crossBetween val="midCat"/>
      </c:valAx>
      <c:valAx>
        <c:axId val="52863749"/>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179046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96289752650198E-2"/>
          <c:y val="5.49140364382859E-2"/>
          <c:w val="0.94230344522968201"/>
          <c:h val="0.84141647421093202"/>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Seções!$B$29:$B$48</c:f>
              <c:numCache>
                <c:formatCode>0</c:formatCode>
                <c:ptCount val="20"/>
                <c:pt idx="0" formatCode="0.0">
                  <c:v>0</c:v>
                </c:pt>
                <c:pt idx="1">
                  <c:v>-15</c:v>
                </c:pt>
                <c:pt idx="2" formatCode="0.0">
                  <c:v>-15</c:v>
                </c:pt>
                <c:pt idx="3" formatCode="General">
                  <c:v>-30</c:v>
                </c:pt>
                <c:pt idx="4" formatCode="0.0">
                  <c:v>-30</c:v>
                </c:pt>
                <c:pt idx="5">
                  <c:v>-15</c:v>
                </c:pt>
                <c:pt idx="6" formatCode="General">
                  <c:v>-11.618950038622252</c:v>
                </c:pt>
                <c:pt idx="7" formatCode="0.0">
                  <c:v>-11.618950038622252</c:v>
                </c:pt>
                <c:pt idx="8" formatCode="General">
                  <c:v>-72.424788574078704</c:v>
                </c:pt>
                <c:pt idx="9" formatCode="0.0">
                  <c:v>-72.424788574078704</c:v>
                </c:pt>
                <c:pt idx="10" formatCode="General">
                  <c:v>72.424788574078704</c:v>
                </c:pt>
                <c:pt idx="11" formatCode="General">
                  <c:v>72.424788574078704</c:v>
                </c:pt>
                <c:pt idx="12" formatCode="General">
                  <c:v>11.618950038622252</c:v>
                </c:pt>
                <c:pt idx="13" formatCode="General">
                  <c:v>11.618950038622252</c:v>
                </c:pt>
                <c:pt idx="14" formatCode="General">
                  <c:v>15</c:v>
                </c:pt>
                <c:pt idx="15" formatCode="General">
                  <c:v>30</c:v>
                </c:pt>
                <c:pt idx="16" formatCode="0.0">
                  <c:v>30</c:v>
                </c:pt>
                <c:pt idx="17" formatCode="General">
                  <c:v>15</c:v>
                </c:pt>
                <c:pt idx="18" formatCode="0.0">
                  <c:v>15</c:v>
                </c:pt>
                <c:pt idx="19" formatCode="0.0">
                  <c:v>0</c:v>
                </c:pt>
              </c:numCache>
            </c:numRef>
          </c:xVal>
          <c:yVal>
            <c:numRef>
              <c:f>Seções!$C$29:$C$48</c:f>
              <c:numCache>
                <c:formatCode>0</c:formatCode>
                <c:ptCount val="20"/>
                <c:pt idx="0" formatCode="General">
                  <c:v>0</c:v>
                </c:pt>
                <c:pt idx="1">
                  <c:v>0</c:v>
                </c:pt>
                <c:pt idx="2" formatCode="0.0&quot; cm&quot;">
                  <c:v>40</c:v>
                </c:pt>
                <c:pt idx="3" formatCode="0.0">
                  <c:v>45</c:v>
                </c:pt>
                <c:pt idx="4" formatCode="0.0&quot; cm&quot;">
                  <c:v>60</c:v>
                </c:pt>
                <c:pt idx="5" formatCode="0.0&quot; cm&quot;">
                  <c:v>60</c:v>
                </c:pt>
                <c:pt idx="6" formatCode="0.0&quot; cm&quot;">
                  <c:v>60</c:v>
                </c:pt>
                <c:pt idx="7" formatCode="0.0">
                  <c:v>85</c:v>
                </c:pt>
                <c:pt idx="8" formatCode="0.0">
                  <c:v>85</c:v>
                </c:pt>
                <c:pt idx="9" formatCode="0.0">
                  <c:v>90</c:v>
                </c:pt>
                <c:pt idx="10" formatCode="0.0">
                  <c:v>90</c:v>
                </c:pt>
                <c:pt idx="11" formatCode="0.0">
                  <c:v>85</c:v>
                </c:pt>
                <c:pt idx="12" formatCode="0.0">
                  <c:v>85</c:v>
                </c:pt>
                <c:pt idx="13" formatCode="0.0&quot; cm&quot;">
                  <c:v>60</c:v>
                </c:pt>
                <c:pt idx="14" formatCode="0.0&quot; cm&quot;">
                  <c:v>60</c:v>
                </c:pt>
                <c:pt idx="15" formatCode="0.0&quot; cm&quot;">
                  <c:v>60</c:v>
                </c:pt>
                <c:pt idx="16" formatCode="0.0">
                  <c:v>45</c:v>
                </c:pt>
                <c:pt idx="17" formatCode="0.0&quot; cm&quot;">
                  <c:v>40</c:v>
                </c:pt>
                <c:pt idx="18">
                  <c:v>0</c:v>
                </c:pt>
                <c:pt idx="19" formatCode="General">
                  <c:v>0</c:v>
                </c:pt>
              </c:numCache>
            </c:numRef>
          </c:yVal>
          <c:smooth val="0"/>
          <c:extLst>
            <c:ext xmlns:c16="http://schemas.microsoft.com/office/drawing/2014/chart" uri="{C3380CC4-5D6E-409C-BE32-E72D297353CC}">
              <c16:uniqueId val="{00000000-7CAA-4CB3-BA5A-F41FCE3938C0}"/>
            </c:ext>
          </c:extLst>
        </c:ser>
        <c:dLbls>
          <c:showLegendKey val="0"/>
          <c:showVal val="0"/>
          <c:showCatName val="0"/>
          <c:showSerName val="0"/>
          <c:showPercent val="0"/>
          <c:showBubbleSize val="0"/>
        </c:dLbls>
        <c:axId val="13974498"/>
        <c:axId val="36451498"/>
      </c:scatterChart>
      <c:valAx>
        <c:axId val="13974498"/>
        <c:scaling>
          <c:orientation val="minMax"/>
        </c:scaling>
        <c:delete val="0"/>
        <c:axPos val="b"/>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36451498"/>
        <c:crosses val="autoZero"/>
        <c:crossBetween val="midCat"/>
      </c:valAx>
      <c:valAx>
        <c:axId val="36451498"/>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13974498"/>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03305873542313E-2"/>
          <c:y val="6.73323092677931E-2"/>
          <c:w val="0.94233443885738699"/>
          <c:h val="0.84135518006485699"/>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Seções!$K$25:$K$40</c:f>
              <c:numCache>
                <c:formatCode>General</c:formatCode>
                <c:ptCount val="16"/>
                <c:pt idx="0">
                  <c:v>0</c:v>
                </c:pt>
                <c:pt idx="1">
                  <c:v>-20</c:v>
                </c:pt>
                <c:pt idx="2">
                  <c:v>-20</c:v>
                </c:pt>
                <c:pt idx="3">
                  <c:v>-6</c:v>
                </c:pt>
                <c:pt idx="4">
                  <c:v>-6</c:v>
                </c:pt>
                <c:pt idx="5">
                  <c:v>-15</c:v>
                </c:pt>
                <c:pt idx="6">
                  <c:v>-15</c:v>
                </c:pt>
                <c:pt idx="7">
                  <c:v>0</c:v>
                </c:pt>
                <c:pt idx="8">
                  <c:v>15</c:v>
                </c:pt>
                <c:pt idx="9">
                  <c:v>15</c:v>
                </c:pt>
                <c:pt idx="10">
                  <c:v>6</c:v>
                </c:pt>
                <c:pt idx="11">
                  <c:v>6</c:v>
                </c:pt>
                <c:pt idx="12">
                  <c:v>20</c:v>
                </c:pt>
                <c:pt idx="13">
                  <c:v>20</c:v>
                </c:pt>
                <c:pt idx="14">
                  <c:v>0</c:v>
                </c:pt>
              </c:numCache>
            </c:numRef>
          </c:xVal>
          <c:yVal>
            <c:numRef>
              <c:f>Seções!$L$25:$L$40</c:f>
              <c:numCache>
                <c:formatCode>General</c:formatCode>
                <c:ptCount val="16"/>
                <c:pt idx="0">
                  <c:v>0</c:v>
                </c:pt>
                <c:pt idx="1">
                  <c:v>0</c:v>
                </c:pt>
                <c:pt idx="2">
                  <c:v>15</c:v>
                </c:pt>
                <c:pt idx="3">
                  <c:v>20</c:v>
                </c:pt>
                <c:pt idx="4">
                  <c:v>50</c:v>
                </c:pt>
                <c:pt idx="5">
                  <c:v>55</c:v>
                </c:pt>
                <c:pt idx="6">
                  <c:v>75</c:v>
                </c:pt>
                <c:pt idx="7">
                  <c:v>75</c:v>
                </c:pt>
                <c:pt idx="8">
                  <c:v>75</c:v>
                </c:pt>
                <c:pt idx="9">
                  <c:v>55</c:v>
                </c:pt>
                <c:pt idx="10">
                  <c:v>50</c:v>
                </c:pt>
                <c:pt idx="11">
                  <c:v>20</c:v>
                </c:pt>
                <c:pt idx="12">
                  <c:v>15</c:v>
                </c:pt>
                <c:pt idx="13" formatCode="0.0">
                  <c:v>0</c:v>
                </c:pt>
                <c:pt idx="14">
                  <c:v>0</c:v>
                </c:pt>
              </c:numCache>
            </c:numRef>
          </c:yVal>
          <c:smooth val="0"/>
          <c:extLst>
            <c:ext xmlns:c16="http://schemas.microsoft.com/office/drawing/2014/chart" uri="{C3380CC4-5D6E-409C-BE32-E72D297353CC}">
              <c16:uniqueId val="{00000000-AE96-49DC-8577-93A0813B18FA}"/>
            </c:ext>
          </c:extLst>
        </c:ser>
        <c:dLbls>
          <c:showLegendKey val="0"/>
          <c:showVal val="0"/>
          <c:showCatName val="0"/>
          <c:showSerName val="0"/>
          <c:showPercent val="0"/>
          <c:showBubbleSize val="0"/>
        </c:dLbls>
        <c:axId val="25948363"/>
        <c:axId val="20456994"/>
      </c:scatterChart>
      <c:valAx>
        <c:axId val="25948363"/>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0456994"/>
        <c:crosses val="autoZero"/>
        <c:crossBetween val="midCat"/>
      </c:valAx>
      <c:valAx>
        <c:axId val="20456994"/>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5948363"/>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96735314154001E-2"/>
          <c:y val="5.49093397194663E-2"/>
          <c:w val="0.94235707173924399"/>
          <c:h val="0.84134450906602798"/>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Seções!$B$54:$B$73</c:f>
              <c:numCache>
                <c:formatCode>0.0</c:formatCode>
                <c:ptCount val="20"/>
                <c:pt idx="0">
                  <c:v>0</c:v>
                </c:pt>
                <c:pt idx="1">
                  <c:v>-30</c:v>
                </c:pt>
                <c:pt idx="2" formatCode="0">
                  <c:v>-30</c:v>
                </c:pt>
                <c:pt idx="3">
                  <c:v>-17</c:v>
                </c:pt>
                <c:pt idx="4">
                  <c:v>-16</c:v>
                </c:pt>
                <c:pt idx="5" formatCode="General">
                  <c:v>16</c:v>
                </c:pt>
                <c:pt idx="6" formatCode="0">
                  <c:v>17</c:v>
                </c:pt>
                <c:pt idx="7" formatCode="General">
                  <c:v>30</c:v>
                </c:pt>
                <c:pt idx="8" formatCode="General">
                  <c:v>30</c:v>
                </c:pt>
                <c:pt idx="9" formatCode="General">
                  <c:v>0</c:v>
                </c:pt>
              </c:numCache>
            </c:numRef>
          </c:xVal>
          <c:yVal>
            <c:numRef>
              <c:f>Seções!$C$54:$C$73</c:f>
              <c:numCache>
                <c:formatCode>General</c:formatCode>
                <c:ptCount val="20"/>
                <c:pt idx="0">
                  <c:v>0</c:v>
                </c:pt>
                <c:pt idx="1">
                  <c:v>0</c:v>
                </c:pt>
                <c:pt idx="2" formatCode="0">
                  <c:v>80</c:v>
                </c:pt>
                <c:pt idx="3" formatCode="0.0&quot; cm&quot;">
                  <c:v>80</c:v>
                </c:pt>
                <c:pt idx="4" formatCode="0.0">
                  <c:v>20</c:v>
                </c:pt>
                <c:pt idx="5" formatCode="0.0&quot; cm&quot;">
                  <c:v>20</c:v>
                </c:pt>
                <c:pt idx="6" formatCode="0.0&quot; cm&quot;">
                  <c:v>60</c:v>
                </c:pt>
                <c:pt idx="7" formatCode="0.0&quot; cm&quot;">
                  <c:v>60</c:v>
                </c:pt>
                <c:pt idx="8" formatCode="0.0">
                  <c:v>0</c:v>
                </c:pt>
                <c:pt idx="9" formatCode="0.0">
                  <c:v>0</c:v>
                </c:pt>
              </c:numCache>
            </c:numRef>
          </c:yVal>
          <c:smooth val="0"/>
          <c:extLst>
            <c:ext xmlns:c16="http://schemas.microsoft.com/office/drawing/2014/chart" uri="{C3380CC4-5D6E-409C-BE32-E72D297353CC}">
              <c16:uniqueId val="{00000000-AF0E-453B-94DA-B206D15B992E}"/>
            </c:ext>
          </c:extLst>
        </c:ser>
        <c:dLbls>
          <c:showLegendKey val="0"/>
          <c:showVal val="0"/>
          <c:showCatName val="0"/>
          <c:showSerName val="0"/>
          <c:showPercent val="0"/>
          <c:showBubbleSize val="0"/>
        </c:dLbls>
        <c:axId val="6109428"/>
        <c:axId val="39290605"/>
      </c:scatterChart>
      <c:valAx>
        <c:axId val="6109428"/>
        <c:scaling>
          <c:orientation val="minMax"/>
        </c:scaling>
        <c:delete val="0"/>
        <c:axPos val="b"/>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39290605"/>
        <c:crosses val="autoZero"/>
        <c:crossBetween val="midCat"/>
      </c:valAx>
      <c:valAx>
        <c:axId val="39290605"/>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6109428"/>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0321530321530302E-2"/>
          <c:y val="6.73323092677931E-2"/>
          <c:w val="0.94235856735856705"/>
          <c:h val="0.84135518006485699"/>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Seções!$S$25:$S$40</c:f>
              <c:numCache>
                <c:formatCode>General</c:formatCode>
                <c:ptCount val="16"/>
                <c:pt idx="0">
                  <c:v>0</c:v>
                </c:pt>
                <c:pt idx="1">
                  <c:v>-20</c:v>
                </c:pt>
                <c:pt idx="2">
                  <c:v>-20</c:v>
                </c:pt>
                <c:pt idx="3">
                  <c:v>-6</c:v>
                </c:pt>
                <c:pt idx="4">
                  <c:v>-6</c:v>
                </c:pt>
                <c:pt idx="5">
                  <c:v>-15</c:v>
                </c:pt>
                <c:pt idx="6">
                  <c:v>-15</c:v>
                </c:pt>
                <c:pt idx="7">
                  <c:v>0</c:v>
                </c:pt>
                <c:pt idx="8">
                  <c:v>15</c:v>
                </c:pt>
                <c:pt idx="9">
                  <c:v>15</c:v>
                </c:pt>
                <c:pt idx="10">
                  <c:v>6</c:v>
                </c:pt>
                <c:pt idx="11">
                  <c:v>6</c:v>
                </c:pt>
                <c:pt idx="12">
                  <c:v>20</c:v>
                </c:pt>
                <c:pt idx="13">
                  <c:v>20</c:v>
                </c:pt>
                <c:pt idx="14">
                  <c:v>0</c:v>
                </c:pt>
              </c:numCache>
            </c:numRef>
          </c:xVal>
          <c:yVal>
            <c:numRef>
              <c:f>Seções!$T$25:$T$40</c:f>
              <c:numCache>
                <c:formatCode>General</c:formatCode>
                <c:ptCount val="16"/>
                <c:pt idx="0">
                  <c:v>0</c:v>
                </c:pt>
                <c:pt idx="1">
                  <c:v>0</c:v>
                </c:pt>
                <c:pt idx="2">
                  <c:v>15</c:v>
                </c:pt>
                <c:pt idx="3">
                  <c:v>20</c:v>
                </c:pt>
                <c:pt idx="4">
                  <c:v>50</c:v>
                </c:pt>
                <c:pt idx="5">
                  <c:v>55</c:v>
                </c:pt>
                <c:pt idx="6">
                  <c:v>75</c:v>
                </c:pt>
                <c:pt idx="7">
                  <c:v>75</c:v>
                </c:pt>
                <c:pt idx="8">
                  <c:v>75</c:v>
                </c:pt>
                <c:pt idx="9">
                  <c:v>55</c:v>
                </c:pt>
                <c:pt idx="10">
                  <c:v>50</c:v>
                </c:pt>
                <c:pt idx="11">
                  <c:v>20</c:v>
                </c:pt>
                <c:pt idx="12">
                  <c:v>15</c:v>
                </c:pt>
                <c:pt idx="13" formatCode="0.0">
                  <c:v>0</c:v>
                </c:pt>
                <c:pt idx="14">
                  <c:v>0</c:v>
                </c:pt>
              </c:numCache>
            </c:numRef>
          </c:yVal>
          <c:smooth val="0"/>
          <c:extLst>
            <c:ext xmlns:c16="http://schemas.microsoft.com/office/drawing/2014/chart" uri="{C3380CC4-5D6E-409C-BE32-E72D297353CC}">
              <c16:uniqueId val="{00000000-73B1-4010-B49B-8A224B58457A}"/>
            </c:ext>
          </c:extLst>
        </c:ser>
        <c:dLbls>
          <c:showLegendKey val="0"/>
          <c:showVal val="0"/>
          <c:showCatName val="0"/>
          <c:showSerName val="0"/>
          <c:showPercent val="0"/>
          <c:showBubbleSize val="0"/>
        </c:dLbls>
        <c:axId val="48245104"/>
        <c:axId val="43492698"/>
      </c:scatterChart>
      <c:valAx>
        <c:axId val="48245104"/>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3492698"/>
        <c:crosses val="autoZero"/>
        <c:crossBetween val="midCat"/>
      </c:valAx>
      <c:valAx>
        <c:axId val="43492698"/>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8245104"/>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0328427007490399E-2"/>
          <c:y val="6.7246970472776904E-2"/>
          <c:w val="0.94232884605311396"/>
          <c:h val="0.84135518006485699"/>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Seções!$S$70:$S$92</c:f>
              <c:numCache>
                <c:formatCode>General</c:formatCode>
                <c:ptCount val="23"/>
                <c:pt idx="0">
                  <c:v>0</c:v>
                </c:pt>
                <c:pt idx="1">
                  <c:v>-20</c:v>
                </c:pt>
                <c:pt idx="2">
                  <c:v>-20</c:v>
                </c:pt>
                <c:pt idx="3">
                  <c:v>-6</c:v>
                </c:pt>
                <c:pt idx="4">
                  <c:v>-6</c:v>
                </c:pt>
                <c:pt idx="5">
                  <c:v>-15</c:v>
                </c:pt>
                <c:pt idx="6">
                  <c:v>-15</c:v>
                </c:pt>
                <c:pt idx="7" formatCode="0.0">
                  <c:v>-11.618950038622252</c:v>
                </c:pt>
                <c:pt idx="8" formatCode="0.0">
                  <c:v>-11.618950038622252</c:v>
                </c:pt>
                <c:pt idx="9" formatCode="0.0">
                  <c:v>-72.424788574078704</c:v>
                </c:pt>
                <c:pt idx="10" formatCode="0.0">
                  <c:v>-72.424788574078704</c:v>
                </c:pt>
                <c:pt idx="11" formatCode="0.0">
                  <c:v>72.424788574078704</c:v>
                </c:pt>
                <c:pt idx="12" formatCode="0.0">
                  <c:v>72.424788574078704</c:v>
                </c:pt>
                <c:pt idx="13" formatCode="0.0">
                  <c:v>11.618950038622252</c:v>
                </c:pt>
                <c:pt idx="14" formatCode="0.0">
                  <c:v>11.618950038622252</c:v>
                </c:pt>
                <c:pt idx="15" formatCode="0.0">
                  <c:v>11.618950038622252</c:v>
                </c:pt>
                <c:pt idx="16">
                  <c:v>15</c:v>
                </c:pt>
                <c:pt idx="17">
                  <c:v>15</c:v>
                </c:pt>
                <c:pt idx="18">
                  <c:v>6</c:v>
                </c:pt>
                <c:pt idx="19">
                  <c:v>6</c:v>
                </c:pt>
                <c:pt idx="20">
                  <c:v>20</c:v>
                </c:pt>
                <c:pt idx="21">
                  <c:v>20</c:v>
                </c:pt>
                <c:pt idx="22">
                  <c:v>0</c:v>
                </c:pt>
              </c:numCache>
            </c:numRef>
          </c:xVal>
          <c:yVal>
            <c:numRef>
              <c:f>Seções!$T$70:$T$92</c:f>
              <c:numCache>
                <c:formatCode>General</c:formatCode>
                <c:ptCount val="23"/>
                <c:pt idx="0">
                  <c:v>0</c:v>
                </c:pt>
                <c:pt idx="1">
                  <c:v>0</c:v>
                </c:pt>
                <c:pt idx="2">
                  <c:v>15</c:v>
                </c:pt>
                <c:pt idx="3">
                  <c:v>20</c:v>
                </c:pt>
                <c:pt idx="4">
                  <c:v>50</c:v>
                </c:pt>
                <c:pt idx="5">
                  <c:v>55</c:v>
                </c:pt>
                <c:pt idx="6">
                  <c:v>75</c:v>
                </c:pt>
                <c:pt idx="7">
                  <c:v>75</c:v>
                </c:pt>
                <c:pt idx="8">
                  <c:v>100</c:v>
                </c:pt>
                <c:pt idx="9">
                  <c:v>100</c:v>
                </c:pt>
                <c:pt idx="10">
                  <c:v>105</c:v>
                </c:pt>
                <c:pt idx="11">
                  <c:v>105</c:v>
                </c:pt>
                <c:pt idx="12">
                  <c:v>100</c:v>
                </c:pt>
                <c:pt idx="13">
                  <c:v>100</c:v>
                </c:pt>
                <c:pt idx="14">
                  <c:v>75</c:v>
                </c:pt>
                <c:pt idx="15">
                  <c:v>75</c:v>
                </c:pt>
                <c:pt idx="16">
                  <c:v>75</c:v>
                </c:pt>
                <c:pt idx="17">
                  <c:v>55</c:v>
                </c:pt>
                <c:pt idx="18">
                  <c:v>50</c:v>
                </c:pt>
                <c:pt idx="19">
                  <c:v>20</c:v>
                </c:pt>
                <c:pt idx="20">
                  <c:v>15</c:v>
                </c:pt>
                <c:pt idx="21" formatCode="0.0">
                  <c:v>0</c:v>
                </c:pt>
                <c:pt idx="22">
                  <c:v>0</c:v>
                </c:pt>
              </c:numCache>
            </c:numRef>
          </c:yVal>
          <c:smooth val="0"/>
          <c:extLst>
            <c:ext xmlns:c16="http://schemas.microsoft.com/office/drawing/2014/chart" uri="{C3380CC4-5D6E-409C-BE32-E72D297353CC}">
              <c16:uniqueId val="{00000000-8784-426B-A69F-65395B66AB0A}"/>
            </c:ext>
          </c:extLst>
        </c:ser>
        <c:dLbls>
          <c:showLegendKey val="0"/>
          <c:showVal val="0"/>
          <c:showCatName val="0"/>
          <c:showSerName val="0"/>
          <c:showPercent val="0"/>
          <c:showBubbleSize val="0"/>
        </c:dLbls>
        <c:axId val="48388830"/>
        <c:axId val="91615726"/>
      </c:scatterChart>
      <c:valAx>
        <c:axId val="48388830"/>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91615726"/>
        <c:crosses val="autoZero"/>
        <c:crossBetween val="midCat"/>
      </c:valAx>
      <c:valAx>
        <c:axId val="91615726"/>
        <c:scaling>
          <c:orientation val="minMax"/>
        </c:scaling>
        <c:delete val="0"/>
        <c:axPos val="l"/>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8388830"/>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41662025175497E-2"/>
          <c:y val="5.49093397194663E-2"/>
          <c:w val="0.94235267906873099"/>
          <c:h val="0.84134450906602798"/>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Seções!$B$79:$B$88</c:f>
              <c:numCache>
                <c:formatCode>0.0</c:formatCode>
                <c:ptCount val="10"/>
                <c:pt idx="0" formatCode="General">
                  <c:v>0</c:v>
                </c:pt>
                <c:pt idx="1">
                  <c:v>-6</c:v>
                </c:pt>
                <c:pt idx="2">
                  <c:v>-8</c:v>
                </c:pt>
                <c:pt idx="3" formatCode="0">
                  <c:v>-64.75</c:v>
                </c:pt>
                <c:pt idx="4">
                  <c:v>-64.75</c:v>
                </c:pt>
                <c:pt idx="5">
                  <c:v>60</c:v>
                </c:pt>
                <c:pt idx="6">
                  <c:v>60</c:v>
                </c:pt>
                <c:pt idx="7" formatCode="0">
                  <c:v>8</c:v>
                </c:pt>
                <c:pt idx="8" formatCode="General">
                  <c:v>6</c:v>
                </c:pt>
                <c:pt idx="9" formatCode="General">
                  <c:v>0</c:v>
                </c:pt>
              </c:numCache>
            </c:numRef>
          </c:xVal>
          <c:yVal>
            <c:numRef>
              <c:f>Seções!$C$79:$C$88</c:f>
              <c:numCache>
                <c:formatCode>General</c:formatCode>
                <c:ptCount val="10"/>
                <c:pt idx="0" formatCode="0.0">
                  <c:v>0</c:v>
                </c:pt>
                <c:pt idx="1">
                  <c:v>0</c:v>
                </c:pt>
                <c:pt idx="2">
                  <c:v>43</c:v>
                </c:pt>
                <c:pt idx="3" formatCode="0">
                  <c:v>43</c:v>
                </c:pt>
                <c:pt idx="4" formatCode="0.0&quot; cm&quot;">
                  <c:v>48</c:v>
                </c:pt>
                <c:pt idx="5" formatCode="0.0">
                  <c:v>48</c:v>
                </c:pt>
                <c:pt idx="6" formatCode="0.0&quot; cm&quot;">
                  <c:v>43</c:v>
                </c:pt>
                <c:pt idx="7" formatCode="0.0&quot; cm&quot;">
                  <c:v>43</c:v>
                </c:pt>
                <c:pt idx="8" formatCode="0.0&quot; cm&quot;">
                  <c:v>0</c:v>
                </c:pt>
                <c:pt idx="9" formatCode="0.0">
                  <c:v>0</c:v>
                </c:pt>
              </c:numCache>
            </c:numRef>
          </c:yVal>
          <c:smooth val="0"/>
          <c:extLst>
            <c:ext xmlns:c16="http://schemas.microsoft.com/office/drawing/2014/chart" uri="{C3380CC4-5D6E-409C-BE32-E72D297353CC}">
              <c16:uniqueId val="{00000000-CB5A-416F-AFFA-8B29EBBE2532}"/>
            </c:ext>
          </c:extLst>
        </c:ser>
        <c:dLbls>
          <c:showLegendKey val="0"/>
          <c:showVal val="0"/>
          <c:showCatName val="0"/>
          <c:showSerName val="0"/>
          <c:showPercent val="0"/>
          <c:showBubbleSize val="0"/>
        </c:dLbls>
        <c:axId val="72698384"/>
        <c:axId val="24939395"/>
      </c:scatterChart>
      <c:valAx>
        <c:axId val="72698384"/>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4939395"/>
        <c:crosses val="autoZero"/>
        <c:crossBetween val="midCat"/>
      </c:valAx>
      <c:valAx>
        <c:axId val="24939395"/>
        <c:scaling>
          <c:orientation val="minMax"/>
        </c:scaling>
        <c:delete val="0"/>
        <c:axPos val="l"/>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72698384"/>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41662025175497E-2"/>
          <c:y val="5.49140364382859E-2"/>
          <c:w val="0.94235267906873099"/>
          <c:h val="0.84141647421093202"/>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Seções!$B$105:$B$114</c:f>
              <c:numCache>
                <c:formatCode>0.0</c:formatCode>
                <c:ptCount val="10"/>
                <c:pt idx="0" formatCode="General">
                  <c:v>0</c:v>
                </c:pt>
                <c:pt idx="1">
                  <c:v>-7</c:v>
                </c:pt>
                <c:pt idx="2">
                  <c:v>-9</c:v>
                </c:pt>
                <c:pt idx="3" formatCode="0">
                  <c:v>-62.25</c:v>
                </c:pt>
                <c:pt idx="4">
                  <c:v>-62.25</c:v>
                </c:pt>
                <c:pt idx="5">
                  <c:v>62.5</c:v>
                </c:pt>
                <c:pt idx="6">
                  <c:v>62.5</c:v>
                </c:pt>
                <c:pt idx="7" formatCode="0">
                  <c:v>9</c:v>
                </c:pt>
                <c:pt idx="8" formatCode="General">
                  <c:v>7</c:v>
                </c:pt>
                <c:pt idx="9" formatCode="General">
                  <c:v>0</c:v>
                </c:pt>
              </c:numCache>
            </c:numRef>
          </c:xVal>
          <c:yVal>
            <c:numRef>
              <c:f>Seções!$C$105:$C$114</c:f>
              <c:numCache>
                <c:formatCode>General</c:formatCode>
                <c:ptCount val="10"/>
                <c:pt idx="0" formatCode="0.0">
                  <c:v>0</c:v>
                </c:pt>
                <c:pt idx="1">
                  <c:v>0</c:v>
                </c:pt>
                <c:pt idx="2">
                  <c:v>57</c:v>
                </c:pt>
                <c:pt idx="3" formatCode="0">
                  <c:v>57</c:v>
                </c:pt>
                <c:pt idx="4" formatCode="0.0&quot; cm&quot;">
                  <c:v>64</c:v>
                </c:pt>
                <c:pt idx="5" formatCode="0.0">
                  <c:v>64</c:v>
                </c:pt>
                <c:pt idx="6" formatCode="0.0&quot; cm&quot;">
                  <c:v>57</c:v>
                </c:pt>
                <c:pt idx="7" formatCode="0.0&quot; cm&quot;">
                  <c:v>57</c:v>
                </c:pt>
                <c:pt idx="8" formatCode="0.0&quot; cm&quot;">
                  <c:v>0</c:v>
                </c:pt>
                <c:pt idx="9" formatCode="0.0">
                  <c:v>0</c:v>
                </c:pt>
              </c:numCache>
            </c:numRef>
          </c:yVal>
          <c:smooth val="0"/>
          <c:extLst>
            <c:ext xmlns:c16="http://schemas.microsoft.com/office/drawing/2014/chart" uri="{C3380CC4-5D6E-409C-BE32-E72D297353CC}">
              <c16:uniqueId val="{00000000-F75C-4C02-AD7B-6482A9AD58C7}"/>
            </c:ext>
          </c:extLst>
        </c:ser>
        <c:dLbls>
          <c:showLegendKey val="0"/>
          <c:showVal val="0"/>
          <c:showCatName val="0"/>
          <c:showSerName val="0"/>
          <c:showPercent val="0"/>
          <c:showBubbleSize val="0"/>
        </c:dLbls>
        <c:axId val="91886682"/>
        <c:axId val="20381240"/>
      </c:scatterChart>
      <c:valAx>
        <c:axId val="91886682"/>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0381240"/>
        <c:crosses val="autoZero"/>
        <c:crossBetween val="midCat"/>
      </c:valAx>
      <c:valAx>
        <c:axId val="20381240"/>
        <c:scaling>
          <c:orientation val="minMax"/>
        </c:scaling>
        <c:delete val="0"/>
        <c:axPos val="l"/>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9188668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41662025175497E-2"/>
          <c:y val="5.4877528377571101E-2"/>
          <c:w val="0.94235267906873099"/>
          <c:h val="0.84142698642997404"/>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Seções!$B$133:$B$142</c:f>
              <c:numCache>
                <c:formatCode>0.0</c:formatCode>
                <c:ptCount val="10"/>
                <c:pt idx="0" formatCode="General">
                  <c:v>0</c:v>
                </c:pt>
                <c:pt idx="1">
                  <c:v>-7</c:v>
                </c:pt>
                <c:pt idx="2">
                  <c:v>-9</c:v>
                </c:pt>
                <c:pt idx="3" formatCode="0">
                  <c:v>-62.25</c:v>
                </c:pt>
                <c:pt idx="4">
                  <c:v>-62.25</c:v>
                </c:pt>
                <c:pt idx="5">
                  <c:v>62.5</c:v>
                </c:pt>
                <c:pt idx="6">
                  <c:v>62.5</c:v>
                </c:pt>
                <c:pt idx="7" formatCode="0">
                  <c:v>9</c:v>
                </c:pt>
                <c:pt idx="8" formatCode="General">
                  <c:v>7</c:v>
                </c:pt>
                <c:pt idx="9" formatCode="General">
                  <c:v>0</c:v>
                </c:pt>
              </c:numCache>
            </c:numRef>
          </c:xVal>
          <c:yVal>
            <c:numRef>
              <c:f>Seções!$C$133:$C$142</c:f>
              <c:numCache>
                <c:formatCode>General</c:formatCode>
                <c:ptCount val="10"/>
                <c:pt idx="0" formatCode="0.0">
                  <c:v>0</c:v>
                </c:pt>
                <c:pt idx="1">
                  <c:v>0</c:v>
                </c:pt>
                <c:pt idx="2">
                  <c:v>73</c:v>
                </c:pt>
                <c:pt idx="3" formatCode="0">
                  <c:v>73</c:v>
                </c:pt>
                <c:pt idx="4" formatCode="0.0&quot; cm&quot;">
                  <c:v>80</c:v>
                </c:pt>
                <c:pt idx="5" formatCode="0.0">
                  <c:v>80</c:v>
                </c:pt>
                <c:pt idx="6" formatCode="0.0&quot; cm&quot;">
                  <c:v>73</c:v>
                </c:pt>
                <c:pt idx="7" formatCode="0.0&quot; cm&quot;">
                  <c:v>73</c:v>
                </c:pt>
                <c:pt idx="8" formatCode="0.0&quot; cm&quot;">
                  <c:v>0</c:v>
                </c:pt>
                <c:pt idx="9" formatCode="0.0">
                  <c:v>0</c:v>
                </c:pt>
              </c:numCache>
            </c:numRef>
          </c:yVal>
          <c:smooth val="0"/>
          <c:extLst>
            <c:ext xmlns:c16="http://schemas.microsoft.com/office/drawing/2014/chart" uri="{C3380CC4-5D6E-409C-BE32-E72D297353CC}">
              <c16:uniqueId val="{00000000-132B-458E-9627-771E4D8DF1AF}"/>
            </c:ext>
          </c:extLst>
        </c:ser>
        <c:dLbls>
          <c:showLegendKey val="0"/>
          <c:showVal val="0"/>
          <c:showCatName val="0"/>
          <c:showSerName val="0"/>
          <c:showPercent val="0"/>
          <c:showBubbleSize val="0"/>
        </c:dLbls>
        <c:axId val="23502982"/>
        <c:axId val="22830652"/>
      </c:scatterChart>
      <c:valAx>
        <c:axId val="23502982"/>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2830652"/>
        <c:crosses val="autoZero"/>
        <c:crossBetween val="midCat"/>
      </c:valAx>
      <c:valAx>
        <c:axId val="22830652"/>
        <c:scaling>
          <c:orientation val="minMax"/>
        </c:scaling>
        <c:delete val="0"/>
        <c:axPos val="l"/>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350298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95797135477803E-2"/>
          <c:y val="5.49093397194663E-2"/>
          <c:w val="0.94229866165766596"/>
          <c:h val="0.84134450906602798"/>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Seções!$K$80:$K$96</c:f>
              <c:numCache>
                <c:formatCode>0.0</c:formatCode>
                <c:ptCount val="17"/>
                <c:pt idx="0" formatCode="General">
                  <c:v>0</c:v>
                </c:pt>
                <c:pt idx="1">
                  <c:v>-6</c:v>
                </c:pt>
                <c:pt idx="2">
                  <c:v>-8</c:v>
                </c:pt>
                <c:pt idx="3" formatCode="0">
                  <c:v>-64.75</c:v>
                </c:pt>
                <c:pt idx="4">
                  <c:v>-64.75</c:v>
                </c:pt>
                <c:pt idx="5">
                  <c:v>-48.315467243937526</c:v>
                </c:pt>
                <c:pt idx="6">
                  <c:v>-48.315467243937526</c:v>
                </c:pt>
                <c:pt idx="7">
                  <c:v>48.315467243937526</c:v>
                </c:pt>
                <c:pt idx="8">
                  <c:v>48.315467243937526</c:v>
                </c:pt>
                <c:pt idx="9">
                  <c:v>60</c:v>
                </c:pt>
                <c:pt idx="10">
                  <c:v>60</c:v>
                </c:pt>
                <c:pt idx="11" formatCode="0">
                  <c:v>8</c:v>
                </c:pt>
                <c:pt idx="12" formatCode="General">
                  <c:v>6</c:v>
                </c:pt>
                <c:pt idx="13" formatCode="General">
                  <c:v>0</c:v>
                </c:pt>
              </c:numCache>
            </c:numRef>
          </c:xVal>
          <c:yVal>
            <c:numRef>
              <c:f>Seções!$L$80:$L$96</c:f>
              <c:numCache>
                <c:formatCode>General</c:formatCode>
                <c:ptCount val="17"/>
                <c:pt idx="0" formatCode="0.0">
                  <c:v>0</c:v>
                </c:pt>
                <c:pt idx="1">
                  <c:v>0</c:v>
                </c:pt>
                <c:pt idx="2">
                  <c:v>43</c:v>
                </c:pt>
                <c:pt idx="3" formatCode="0">
                  <c:v>43</c:v>
                </c:pt>
                <c:pt idx="4" formatCode="0.0&quot; cm&quot;">
                  <c:v>48</c:v>
                </c:pt>
                <c:pt idx="5" formatCode="0.0&quot; cm&quot;">
                  <c:v>48</c:v>
                </c:pt>
                <c:pt idx="6" formatCode="0.0&quot; cm&quot;">
                  <c:v>53</c:v>
                </c:pt>
                <c:pt idx="7" formatCode="0.0&quot; cm&quot;">
                  <c:v>53</c:v>
                </c:pt>
                <c:pt idx="8" formatCode="0.0">
                  <c:v>48</c:v>
                </c:pt>
                <c:pt idx="9" formatCode="0.0">
                  <c:v>48</c:v>
                </c:pt>
                <c:pt idx="10" formatCode="0.0&quot; cm&quot;">
                  <c:v>43</c:v>
                </c:pt>
                <c:pt idx="11" formatCode="0.0&quot; cm&quot;">
                  <c:v>43</c:v>
                </c:pt>
                <c:pt idx="12" formatCode="0.0&quot; cm&quot;">
                  <c:v>0</c:v>
                </c:pt>
                <c:pt idx="13" formatCode="0.0">
                  <c:v>0</c:v>
                </c:pt>
              </c:numCache>
            </c:numRef>
          </c:yVal>
          <c:smooth val="0"/>
          <c:extLst>
            <c:ext xmlns:c16="http://schemas.microsoft.com/office/drawing/2014/chart" uri="{C3380CC4-5D6E-409C-BE32-E72D297353CC}">
              <c16:uniqueId val="{00000000-18EC-4D0B-9A53-5321947C41BA}"/>
            </c:ext>
          </c:extLst>
        </c:ser>
        <c:dLbls>
          <c:showLegendKey val="0"/>
          <c:showVal val="0"/>
          <c:showCatName val="0"/>
          <c:showSerName val="0"/>
          <c:showPercent val="0"/>
          <c:showBubbleSize val="0"/>
        </c:dLbls>
        <c:axId val="34354043"/>
        <c:axId val="73654003"/>
      </c:scatterChart>
      <c:valAx>
        <c:axId val="34354043"/>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73654003"/>
        <c:crosses val="autoZero"/>
        <c:crossBetween val="midCat"/>
      </c:valAx>
      <c:valAx>
        <c:axId val="73654003"/>
        <c:scaling>
          <c:orientation val="minMax"/>
        </c:scaling>
        <c:delete val="0"/>
        <c:axPos val="l"/>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34354043"/>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095797135477803E-2"/>
          <c:y val="5.49093397194663E-2"/>
          <c:w val="0.94229866165766596"/>
          <c:h val="0.84134450906602798"/>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Seções!$K$106:$K$124</c:f>
              <c:numCache>
                <c:formatCode>0.0</c:formatCode>
                <c:ptCount val="19"/>
                <c:pt idx="0" formatCode="General">
                  <c:v>0</c:v>
                </c:pt>
                <c:pt idx="1">
                  <c:v>-7</c:v>
                </c:pt>
                <c:pt idx="2">
                  <c:v>-9</c:v>
                </c:pt>
                <c:pt idx="3" formatCode="0">
                  <c:v>-62.25</c:v>
                </c:pt>
                <c:pt idx="4">
                  <c:v>-62.25</c:v>
                </c:pt>
                <c:pt idx="5">
                  <c:v>-48.315467243937526</c:v>
                </c:pt>
                <c:pt idx="6">
                  <c:v>-48.315467243937526</c:v>
                </c:pt>
                <c:pt idx="7">
                  <c:v>48.315467243937526</c:v>
                </c:pt>
                <c:pt idx="8">
                  <c:v>48.315467243937526</c:v>
                </c:pt>
                <c:pt idx="9">
                  <c:v>62.5</c:v>
                </c:pt>
                <c:pt idx="10">
                  <c:v>62.5</c:v>
                </c:pt>
                <c:pt idx="11" formatCode="0">
                  <c:v>9</c:v>
                </c:pt>
                <c:pt idx="12" formatCode="General">
                  <c:v>7</c:v>
                </c:pt>
                <c:pt idx="13" formatCode="General">
                  <c:v>0</c:v>
                </c:pt>
              </c:numCache>
            </c:numRef>
          </c:xVal>
          <c:yVal>
            <c:numRef>
              <c:f>Seções!$L$106:$L$124</c:f>
              <c:numCache>
                <c:formatCode>General</c:formatCode>
                <c:ptCount val="19"/>
                <c:pt idx="0" formatCode="0.0">
                  <c:v>0</c:v>
                </c:pt>
                <c:pt idx="1">
                  <c:v>0</c:v>
                </c:pt>
                <c:pt idx="2">
                  <c:v>57</c:v>
                </c:pt>
                <c:pt idx="3" formatCode="0">
                  <c:v>57</c:v>
                </c:pt>
                <c:pt idx="4" formatCode="0.0&quot; cm&quot;">
                  <c:v>64</c:v>
                </c:pt>
                <c:pt idx="5" formatCode="0.0">
                  <c:v>64</c:v>
                </c:pt>
                <c:pt idx="6" formatCode="0.0">
                  <c:v>69</c:v>
                </c:pt>
                <c:pt idx="7" formatCode="0.0">
                  <c:v>69</c:v>
                </c:pt>
                <c:pt idx="8" formatCode="0.0">
                  <c:v>64</c:v>
                </c:pt>
                <c:pt idx="9" formatCode="0.0">
                  <c:v>64</c:v>
                </c:pt>
                <c:pt idx="10" formatCode="0.0&quot; cm&quot;">
                  <c:v>57</c:v>
                </c:pt>
                <c:pt idx="11" formatCode="0.0&quot; cm&quot;">
                  <c:v>57</c:v>
                </c:pt>
                <c:pt idx="12" formatCode="0.0&quot; cm&quot;">
                  <c:v>0</c:v>
                </c:pt>
                <c:pt idx="13" formatCode="0.0">
                  <c:v>0</c:v>
                </c:pt>
              </c:numCache>
            </c:numRef>
          </c:yVal>
          <c:smooth val="0"/>
          <c:extLst>
            <c:ext xmlns:c16="http://schemas.microsoft.com/office/drawing/2014/chart" uri="{C3380CC4-5D6E-409C-BE32-E72D297353CC}">
              <c16:uniqueId val="{00000000-BC23-4874-B160-69C3BF913B7A}"/>
            </c:ext>
          </c:extLst>
        </c:ser>
        <c:dLbls>
          <c:showLegendKey val="0"/>
          <c:showVal val="0"/>
          <c:showCatName val="0"/>
          <c:showSerName val="0"/>
          <c:showPercent val="0"/>
          <c:showBubbleSize val="0"/>
        </c:dLbls>
        <c:axId val="75705772"/>
        <c:axId val="44472418"/>
      </c:scatterChart>
      <c:valAx>
        <c:axId val="75705772"/>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4472418"/>
        <c:crosses val="autoZero"/>
        <c:crossBetween val="midCat"/>
      </c:valAx>
      <c:valAx>
        <c:axId val="44472418"/>
        <c:scaling>
          <c:orientation val="minMax"/>
        </c:scaling>
        <c:delete val="0"/>
        <c:axPos val="l"/>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75705772"/>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3.8109197508244798E-2"/>
          <c:y val="5.49140364382859E-2"/>
          <c:w val="0.94228655185049504"/>
          <c:h val="0.84141647421093202"/>
        </c:manualLayout>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Seções!$K$134:$K$152</c:f>
              <c:numCache>
                <c:formatCode>0.0</c:formatCode>
                <c:ptCount val="19"/>
                <c:pt idx="0" formatCode="General">
                  <c:v>0</c:v>
                </c:pt>
                <c:pt idx="1">
                  <c:v>-7</c:v>
                </c:pt>
                <c:pt idx="2">
                  <c:v>-9</c:v>
                </c:pt>
                <c:pt idx="3" formatCode="0">
                  <c:v>-62.25</c:v>
                </c:pt>
                <c:pt idx="4">
                  <c:v>-62.25</c:v>
                </c:pt>
                <c:pt idx="5">
                  <c:v>-48.315467243937526</c:v>
                </c:pt>
                <c:pt idx="6">
                  <c:v>-48.315467243937526</c:v>
                </c:pt>
                <c:pt idx="7">
                  <c:v>48.315467243937526</c:v>
                </c:pt>
                <c:pt idx="8">
                  <c:v>48.315467243937526</c:v>
                </c:pt>
                <c:pt idx="9">
                  <c:v>62.5</c:v>
                </c:pt>
                <c:pt idx="10">
                  <c:v>62.5</c:v>
                </c:pt>
                <c:pt idx="11" formatCode="0">
                  <c:v>9</c:v>
                </c:pt>
                <c:pt idx="12" formatCode="General">
                  <c:v>7</c:v>
                </c:pt>
                <c:pt idx="13" formatCode="General">
                  <c:v>0</c:v>
                </c:pt>
              </c:numCache>
            </c:numRef>
          </c:xVal>
          <c:yVal>
            <c:numRef>
              <c:f>Seções!$L$134:$L$152</c:f>
              <c:numCache>
                <c:formatCode>General</c:formatCode>
                <c:ptCount val="19"/>
                <c:pt idx="0" formatCode="0.0">
                  <c:v>0</c:v>
                </c:pt>
                <c:pt idx="1">
                  <c:v>0</c:v>
                </c:pt>
                <c:pt idx="2">
                  <c:v>73</c:v>
                </c:pt>
                <c:pt idx="3" formatCode="0">
                  <c:v>73</c:v>
                </c:pt>
                <c:pt idx="4" formatCode="0.0&quot; cm&quot;">
                  <c:v>80</c:v>
                </c:pt>
                <c:pt idx="5" formatCode="0.0">
                  <c:v>80</c:v>
                </c:pt>
                <c:pt idx="6" formatCode="0.0">
                  <c:v>85</c:v>
                </c:pt>
                <c:pt idx="7" formatCode="0.0">
                  <c:v>85</c:v>
                </c:pt>
                <c:pt idx="8" formatCode="0.0">
                  <c:v>80</c:v>
                </c:pt>
                <c:pt idx="9" formatCode="0.0">
                  <c:v>80</c:v>
                </c:pt>
                <c:pt idx="10" formatCode="0.0&quot; cm&quot;">
                  <c:v>73</c:v>
                </c:pt>
                <c:pt idx="11" formatCode="0.0&quot; cm&quot;">
                  <c:v>73</c:v>
                </c:pt>
                <c:pt idx="12" formatCode="0.0&quot; cm&quot;">
                  <c:v>0</c:v>
                </c:pt>
                <c:pt idx="13" formatCode="0.0">
                  <c:v>0</c:v>
                </c:pt>
              </c:numCache>
            </c:numRef>
          </c:yVal>
          <c:smooth val="0"/>
          <c:extLst>
            <c:ext xmlns:c16="http://schemas.microsoft.com/office/drawing/2014/chart" uri="{C3380CC4-5D6E-409C-BE32-E72D297353CC}">
              <c16:uniqueId val="{00000000-EB7D-42B8-82BD-4D0710EC1D63}"/>
            </c:ext>
          </c:extLst>
        </c:ser>
        <c:dLbls>
          <c:showLegendKey val="0"/>
          <c:showVal val="0"/>
          <c:showCatName val="0"/>
          <c:showSerName val="0"/>
          <c:showPercent val="0"/>
          <c:showBubbleSize val="0"/>
        </c:dLbls>
        <c:axId val="49461217"/>
        <c:axId val="77659133"/>
      </c:scatterChart>
      <c:valAx>
        <c:axId val="49461217"/>
        <c:scaling>
          <c:orientation val="minMax"/>
        </c:scaling>
        <c:delete val="0"/>
        <c:axPos val="b"/>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77659133"/>
        <c:crosses val="autoZero"/>
        <c:crossBetween val="midCat"/>
      </c:valAx>
      <c:valAx>
        <c:axId val="77659133"/>
        <c:scaling>
          <c:orientation val="minMax"/>
        </c:scaling>
        <c:delete val="0"/>
        <c:axPos val="l"/>
        <c:numFmt formatCode="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49461217"/>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5.30469659723121E-2"/>
          <c:y val="4.4248626113321997E-2"/>
          <c:w val="0.91111398628541895"/>
          <c:h val="0.91377676710251998"/>
        </c:manualLayout>
      </c:layout>
      <c:scatterChart>
        <c:scatterStyle val="lineMarker"/>
        <c:varyColors val="0"/>
        <c:ser>
          <c:idx val="0"/>
          <c:order val="0"/>
          <c:spPr>
            <a:ln w="12600">
              <a:solidFill>
                <a:srgbClr val="156082"/>
              </a:solidFill>
              <a:round/>
            </a:ln>
          </c:spPr>
          <c:marker>
            <c:symbol val="none"/>
          </c:marker>
          <c:dLbls>
            <c:numFmt formatCode="General" sourceLinked="0"/>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1</c:f>
              <c:numCache>
                <c:formatCode>General</c:formatCode>
                <c:ptCount val="1"/>
                <c:pt idx="0">
                  <c:v>0</c:v>
                </c:pt>
              </c:numCache>
            </c:numRef>
          </c:xVal>
          <c:yVal>
            <c:numRef>
              <c:f>0</c:f>
              <c:numCache>
                <c:formatCode>General</c:formatCode>
                <c:ptCount val="1"/>
                <c:pt idx="0">
                  <c:v>0</c:v>
                </c:pt>
              </c:numCache>
            </c:numRef>
          </c:yVal>
          <c:smooth val="1"/>
          <c:extLst>
            <c:ext xmlns:c16="http://schemas.microsoft.com/office/drawing/2014/chart" uri="{C3380CC4-5D6E-409C-BE32-E72D297353CC}">
              <c16:uniqueId val="{00000000-7A35-4D35-B228-622934C7BBBB}"/>
            </c:ext>
          </c:extLst>
        </c:ser>
        <c:ser>
          <c:idx val="1"/>
          <c:order val="1"/>
          <c:spPr>
            <a:ln w="12600">
              <a:solidFill>
                <a:srgbClr val="F07623"/>
              </a:solidFill>
              <a:round/>
            </a:ln>
          </c:spPr>
          <c:marker>
            <c:symbol val="none"/>
          </c:marker>
          <c:dLbls>
            <c:numFmt formatCode="General" sourceLinked="0"/>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3</c:f>
              <c:numCache>
                <c:formatCode>General</c:formatCode>
                <c:ptCount val="1"/>
                <c:pt idx="0">
                  <c:v>0</c:v>
                </c:pt>
              </c:numCache>
            </c:numRef>
          </c:xVal>
          <c:yVal>
            <c:numRef>
              <c:f>2</c:f>
              <c:numCache>
                <c:formatCode>General</c:formatCode>
                <c:ptCount val="1"/>
                <c:pt idx="0">
                  <c:v>0</c:v>
                </c:pt>
              </c:numCache>
            </c:numRef>
          </c:yVal>
          <c:smooth val="1"/>
          <c:extLst>
            <c:ext xmlns:c16="http://schemas.microsoft.com/office/drawing/2014/chart" uri="{C3380CC4-5D6E-409C-BE32-E72D297353CC}">
              <c16:uniqueId val="{00000001-7A35-4D35-B228-622934C7BBBB}"/>
            </c:ext>
          </c:extLst>
        </c:ser>
        <c:ser>
          <c:idx val="2"/>
          <c:order val="2"/>
          <c:spPr>
            <a:ln w="25560">
              <a:noFill/>
            </a:ln>
          </c:spPr>
          <c:marker>
            <c:symbol val="none"/>
          </c:marker>
          <c:dLbls>
            <c:numFmt formatCode="General" sourceLinked="0"/>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5</c:f>
              <c:numCache>
                <c:formatCode>General</c:formatCode>
                <c:ptCount val="1"/>
                <c:pt idx="0">
                  <c:v>0</c:v>
                </c:pt>
              </c:numCache>
            </c:numRef>
          </c:xVal>
          <c:yVal>
            <c:numRef>
              <c:f>4</c:f>
              <c:numCache>
                <c:formatCode>General</c:formatCode>
                <c:ptCount val="1"/>
                <c:pt idx="0">
                  <c:v>0</c:v>
                </c:pt>
              </c:numCache>
            </c:numRef>
          </c:yVal>
          <c:smooth val="1"/>
          <c:extLst>
            <c:ext xmlns:c16="http://schemas.microsoft.com/office/drawing/2014/chart" uri="{C3380CC4-5D6E-409C-BE32-E72D297353CC}">
              <c16:uniqueId val="{00000002-7A35-4D35-B228-622934C7BBBB}"/>
            </c:ext>
          </c:extLst>
        </c:ser>
        <c:dLbls>
          <c:showLegendKey val="0"/>
          <c:showVal val="0"/>
          <c:showCatName val="0"/>
          <c:showSerName val="0"/>
          <c:showPercent val="0"/>
          <c:showBubbleSize val="0"/>
        </c:dLbls>
        <c:axId val="85951871"/>
        <c:axId val="9109882"/>
      </c:scatterChart>
      <c:valAx>
        <c:axId val="85951871"/>
        <c:scaling>
          <c:orientation val="minMax"/>
        </c:scaling>
        <c:delete val="0"/>
        <c:axPos val="b"/>
        <c:majorGridlines>
          <c:spPr>
            <a:ln w="3240">
              <a:solidFill>
                <a:srgbClr val="595959"/>
              </a:solidFill>
              <a:round/>
            </a:ln>
          </c:spPr>
        </c:majorGridlines>
        <c:numFmt formatCode="0" sourceLinked="0"/>
        <c:majorTickMark val="none"/>
        <c:minorTickMark val="none"/>
        <c:tickLblPos val="nextTo"/>
        <c:spPr>
          <a:ln w="3240">
            <a:solidFill>
              <a:srgbClr val="7F7F7F"/>
            </a:solidFill>
            <a:round/>
          </a:ln>
        </c:spPr>
        <c:txPr>
          <a:bodyPr/>
          <a:lstStyle/>
          <a:p>
            <a:pPr>
              <a:defRPr sz="900" b="0" strike="noStrike" spc="-1">
                <a:solidFill>
                  <a:srgbClr val="BFBFBF"/>
                </a:solidFill>
                <a:latin typeface="Aptos Narrow"/>
                <a:ea typeface="Aptos Narrow"/>
              </a:defRPr>
            </a:pPr>
            <a:endParaRPr lang="pt-BR"/>
          </a:p>
        </c:txPr>
        <c:crossAx val="9109882"/>
        <c:crosses val="autoZero"/>
        <c:crossBetween val="midCat"/>
      </c:valAx>
      <c:valAx>
        <c:axId val="9109882"/>
        <c:scaling>
          <c:orientation val="minMax"/>
        </c:scaling>
        <c:delete val="0"/>
        <c:axPos val="l"/>
        <c:majorGridlines>
          <c:spPr>
            <a:ln w="3240">
              <a:solidFill>
                <a:srgbClr val="595959"/>
              </a:solidFill>
              <a:round/>
            </a:ln>
          </c:spPr>
        </c:majorGridlines>
        <c:numFmt formatCode="0" sourceLinked="0"/>
        <c:majorTickMark val="none"/>
        <c:minorTickMark val="none"/>
        <c:tickLblPos val="nextTo"/>
        <c:spPr>
          <a:ln w="3240">
            <a:solidFill>
              <a:srgbClr val="7F7F7F"/>
            </a:solidFill>
            <a:round/>
          </a:ln>
        </c:spPr>
        <c:txPr>
          <a:bodyPr/>
          <a:lstStyle/>
          <a:p>
            <a:pPr>
              <a:defRPr sz="900" b="0" strike="noStrike" spc="-1">
                <a:solidFill>
                  <a:srgbClr val="BFBFBF"/>
                </a:solidFill>
                <a:latin typeface="Aptos Narrow"/>
                <a:ea typeface="Aptos Narrow"/>
              </a:defRPr>
            </a:pPr>
            <a:endParaRPr lang="pt-BR"/>
          </a:p>
        </c:txPr>
        <c:crossAx val="85951871"/>
        <c:crosses val="autoZero"/>
        <c:crossBetween val="midCat"/>
      </c:valAx>
      <c:spPr>
        <a:noFill/>
        <a:ln w="25560">
          <a:noFill/>
        </a:ln>
      </c:spPr>
    </c:plotArea>
    <c:plotVisOnly val="1"/>
    <c:dispBlanksAs val="gap"/>
    <c:showDLblsOverMax val="1"/>
  </c:chart>
  <c:spPr>
    <a:solidFill>
      <a:srgbClr val="404040"/>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ELS-F M mín – c/ isol.</a:t>
            </a:r>
          </a:p>
        </c:rich>
      </c:tx>
      <c:overlay val="0"/>
      <c:spPr>
        <a:noFill/>
        <a:ln w="0">
          <a:noFill/>
        </a:ln>
      </c:spPr>
    </c:title>
    <c:autoTitleDeleted val="0"/>
    <c:plotArea>
      <c:layout>
        <c:manualLayout>
          <c:layoutTarget val="inner"/>
          <c:xMode val="edge"/>
          <c:yMode val="edge"/>
          <c:x val="1.76824173158306E-2"/>
          <c:y val="0.107078176878962"/>
          <c:w val="0.96835494218173002"/>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cabos'!$BO$124:$BO$144</c:f>
              <c:numCache>
                <c:formatCode>0.0</c:formatCode>
                <c:ptCount val="21"/>
                <c:pt idx="0">
                  <c:v>0</c:v>
                </c:pt>
                <c:pt idx="1">
                  <c:v>1.4971030713843581</c:v>
                </c:pt>
                <c:pt idx="2">
                  <c:v>2.4287734709768367</c:v>
                </c:pt>
                <c:pt idx="3">
                  <c:v>2.7950111987774373</c:v>
                </c:pt>
                <c:pt idx="4">
                  <c:v>-2.8949301393217146</c:v>
                </c:pt>
                <c:pt idx="5">
                  <c:v>-3.348923706718665</c:v>
                </c:pt>
                <c:pt idx="6">
                  <c:v>-4.2775601086543746</c:v>
                </c:pt>
                <c:pt idx="7">
                  <c:v>-5.5065533267007867</c:v>
                </c:pt>
                <c:pt idx="8">
                  <c:v>-4.8426126602381112</c:v>
                </c:pt>
                <c:pt idx="9">
                  <c:v>-4.392077436072066</c:v>
                </c:pt>
                <c:pt idx="10">
                  <c:v>-4.2418990280167179</c:v>
                </c:pt>
                <c:pt idx="11">
                  <c:v>-4.392077436072066</c:v>
                </c:pt>
                <c:pt idx="12">
                  <c:v>-4.8426126602381112</c:v>
                </c:pt>
                <c:pt idx="13">
                  <c:v>-5.5065533267007831</c:v>
                </c:pt>
                <c:pt idx="14">
                  <c:v>-4.2775601086543729</c:v>
                </c:pt>
                <c:pt idx="15">
                  <c:v>-3.3489237067186597</c:v>
                </c:pt>
                <c:pt idx="16">
                  <c:v>-2.8949301393217093</c:v>
                </c:pt>
                <c:pt idx="17">
                  <c:v>2.7950111987774533</c:v>
                </c:pt>
                <c:pt idx="18">
                  <c:v>2.4287734709768545</c:v>
                </c:pt>
                <c:pt idx="19">
                  <c:v>1.4971030713843774</c:v>
                </c:pt>
                <c:pt idx="20">
                  <c:v>0</c:v>
                </c:pt>
              </c:numCache>
            </c:numRef>
          </c:val>
          <c:smooth val="1"/>
          <c:extLst>
            <c:ext xmlns:c16="http://schemas.microsoft.com/office/drawing/2014/chart" uri="{C3380CC4-5D6E-409C-BE32-E72D297353CC}">
              <c16:uniqueId val="{00000000-C7A3-4303-831A-387511A26668}"/>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cabos'!$BO$101:$BO$121</c:f>
              <c:numCache>
                <c:formatCode>0.0</c:formatCode>
                <c:ptCount val="21"/>
                <c:pt idx="0">
                  <c:v>0</c:v>
                </c:pt>
                <c:pt idx="1">
                  <c:v>-0.57371836403524568</c:v>
                </c:pt>
                <c:pt idx="2">
                  <c:v>-0.94252259189468979</c:v>
                </c:pt>
                <c:pt idx="3">
                  <c:v>-0.79357027824306292</c:v>
                </c:pt>
                <c:pt idx="4">
                  <c:v>-2.1255108657957189</c:v>
                </c:pt>
                <c:pt idx="5">
                  <c:v>-3.1709895745905889</c:v>
                </c:pt>
                <c:pt idx="6">
                  <c:v>-4.004805551621418</c:v>
                </c:pt>
                <c:pt idx="7">
                  <c:v>-4.6337075921056847</c:v>
                </c:pt>
                <c:pt idx="8">
                  <c:v>-5.1426254564704799</c:v>
                </c:pt>
                <c:pt idx="9">
                  <c:v>-5.4499963612903217</c:v>
                </c:pt>
                <c:pt idx="10">
                  <c:v>-5.5524533295636047</c:v>
                </c:pt>
                <c:pt idx="11">
                  <c:v>-5.4499963612903217</c:v>
                </c:pt>
                <c:pt idx="12">
                  <c:v>-5.1426254564704799</c:v>
                </c:pt>
                <c:pt idx="13">
                  <c:v>-4.6337075921056847</c:v>
                </c:pt>
                <c:pt idx="14">
                  <c:v>-4.0048055516214207</c:v>
                </c:pt>
                <c:pt idx="15">
                  <c:v>-3.1709895745905925</c:v>
                </c:pt>
                <c:pt idx="16">
                  <c:v>-2.1255108657957225</c:v>
                </c:pt>
                <c:pt idx="17">
                  <c:v>-0.79357027824306747</c:v>
                </c:pt>
                <c:pt idx="18">
                  <c:v>-0.94252259189469567</c:v>
                </c:pt>
                <c:pt idx="19">
                  <c:v>-0.57371836403525212</c:v>
                </c:pt>
                <c:pt idx="20">
                  <c:v>0</c:v>
                </c:pt>
              </c:numCache>
            </c:numRef>
          </c:val>
          <c:smooth val="1"/>
          <c:extLst>
            <c:ext xmlns:c16="http://schemas.microsoft.com/office/drawing/2014/chart" uri="{C3380CC4-5D6E-409C-BE32-E72D297353CC}">
              <c16:uniqueId val="{00000001-C7A3-4303-831A-387511A26668}"/>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C7A3-4303-831A-387511A26668}"/>
              </c:ext>
            </c:extLst>
          </c:dPt>
          <c:dPt>
            <c:idx val="2"/>
            <c:bubble3D val="0"/>
            <c:extLst>
              <c:ext xmlns:c16="http://schemas.microsoft.com/office/drawing/2014/chart" uri="{C3380CC4-5D6E-409C-BE32-E72D297353CC}">
                <c16:uniqueId val="{00000003-C7A3-4303-831A-387511A26668}"/>
              </c:ext>
            </c:extLst>
          </c:dPt>
          <c:dPt>
            <c:idx val="3"/>
            <c:bubble3D val="0"/>
            <c:extLst>
              <c:ext xmlns:c16="http://schemas.microsoft.com/office/drawing/2014/chart" uri="{C3380CC4-5D6E-409C-BE32-E72D297353CC}">
                <c16:uniqueId val="{00000004-C7A3-4303-831A-387511A26668}"/>
              </c:ext>
            </c:extLst>
          </c:dPt>
          <c:dPt>
            <c:idx val="4"/>
            <c:bubble3D val="0"/>
            <c:extLst>
              <c:ext xmlns:c16="http://schemas.microsoft.com/office/drawing/2014/chart" uri="{C3380CC4-5D6E-409C-BE32-E72D297353CC}">
                <c16:uniqueId val="{00000005-C7A3-4303-831A-387511A26668}"/>
              </c:ext>
            </c:extLst>
          </c:dPt>
          <c:dPt>
            <c:idx val="5"/>
            <c:bubble3D val="0"/>
            <c:extLst>
              <c:ext xmlns:c16="http://schemas.microsoft.com/office/drawing/2014/chart" uri="{C3380CC4-5D6E-409C-BE32-E72D297353CC}">
                <c16:uniqueId val="{00000006-C7A3-4303-831A-387511A26668}"/>
              </c:ext>
            </c:extLst>
          </c:dPt>
          <c:dPt>
            <c:idx val="6"/>
            <c:bubble3D val="0"/>
            <c:extLst>
              <c:ext xmlns:c16="http://schemas.microsoft.com/office/drawing/2014/chart" uri="{C3380CC4-5D6E-409C-BE32-E72D297353CC}">
                <c16:uniqueId val="{00000007-C7A3-4303-831A-387511A26668}"/>
              </c:ext>
            </c:extLst>
          </c:dPt>
          <c:dPt>
            <c:idx val="7"/>
            <c:bubble3D val="0"/>
            <c:extLst>
              <c:ext xmlns:c16="http://schemas.microsoft.com/office/drawing/2014/chart" uri="{C3380CC4-5D6E-409C-BE32-E72D297353CC}">
                <c16:uniqueId val="{00000008-C7A3-4303-831A-387511A26668}"/>
              </c:ext>
            </c:extLst>
          </c:dPt>
          <c:dPt>
            <c:idx val="8"/>
            <c:bubble3D val="0"/>
            <c:extLst>
              <c:ext xmlns:c16="http://schemas.microsoft.com/office/drawing/2014/chart" uri="{C3380CC4-5D6E-409C-BE32-E72D297353CC}">
                <c16:uniqueId val="{00000009-C7A3-4303-831A-387511A26668}"/>
              </c:ext>
            </c:extLst>
          </c:dPt>
          <c:dPt>
            <c:idx val="9"/>
            <c:bubble3D val="0"/>
            <c:extLst>
              <c:ext xmlns:c16="http://schemas.microsoft.com/office/drawing/2014/chart" uri="{C3380CC4-5D6E-409C-BE32-E72D297353CC}">
                <c16:uniqueId val="{0000000A-C7A3-4303-831A-387511A26668}"/>
              </c:ext>
            </c:extLst>
          </c:dPt>
          <c:dPt>
            <c:idx val="10"/>
            <c:bubble3D val="0"/>
            <c:extLst>
              <c:ext xmlns:c16="http://schemas.microsoft.com/office/drawing/2014/chart" uri="{C3380CC4-5D6E-409C-BE32-E72D297353CC}">
                <c16:uniqueId val="{0000000B-C7A3-4303-831A-387511A26668}"/>
              </c:ext>
            </c:extLst>
          </c:dPt>
          <c:dPt>
            <c:idx val="11"/>
            <c:bubble3D val="0"/>
            <c:extLst>
              <c:ext xmlns:c16="http://schemas.microsoft.com/office/drawing/2014/chart" uri="{C3380CC4-5D6E-409C-BE32-E72D297353CC}">
                <c16:uniqueId val="{0000000C-C7A3-4303-831A-387511A26668}"/>
              </c:ext>
            </c:extLst>
          </c:dPt>
          <c:dPt>
            <c:idx val="12"/>
            <c:bubble3D val="0"/>
            <c:extLst>
              <c:ext xmlns:c16="http://schemas.microsoft.com/office/drawing/2014/chart" uri="{C3380CC4-5D6E-409C-BE32-E72D297353CC}">
                <c16:uniqueId val="{0000000D-C7A3-4303-831A-387511A26668}"/>
              </c:ext>
            </c:extLst>
          </c:dPt>
          <c:dPt>
            <c:idx val="13"/>
            <c:bubble3D val="0"/>
            <c:extLst>
              <c:ext xmlns:c16="http://schemas.microsoft.com/office/drawing/2014/chart" uri="{C3380CC4-5D6E-409C-BE32-E72D297353CC}">
                <c16:uniqueId val="{0000000E-C7A3-4303-831A-387511A26668}"/>
              </c:ext>
            </c:extLst>
          </c:dPt>
          <c:dPt>
            <c:idx val="14"/>
            <c:bubble3D val="0"/>
            <c:extLst>
              <c:ext xmlns:c16="http://schemas.microsoft.com/office/drawing/2014/chart" uri="{C3380CC4-5D6E-409C-BE32-E72D297353CC}">
                <c16:uniqueId val="{0000000F-C7A3-4303-831A-387511A26668}"/>
              </c:ext>
            </c:extLst>
          </c:dPt>
          <c:dPt>
            <c:idx val="15"/>
            <c:bubble3D val="0"/>
            <c:extLst>
              <c:ext xmlns:c16="http://schemas.microsoft.com/office/drawing/2014/chart" uri="{C3380CC4-5D6E-409C-BE32-E72D297353CC}">
                <c16:uniqueId val="{00000010-C7A3-4303-831A-387511A26668}"/>
              </c:ext>
            </c:extLst>
          </c:dPt>
          <c:dPt>
            <c:idx val="16"/>
            <c:bubble3D val="0"/>
            <c:extLst>
              <c:ext xmlns:c16="http://schemas.microsoft.com/office/drawing/2014/chart" uri="{C3380CC4-5D6E-409C-BE32-E72D297353CC}">
                <c16:uniqueId val="{00000011-C7A3-4303-831A-387511A26668}"/>
              </c:ext>
            </c:extLst>
          </c:dPt>
          <c:dPt>
            <c:idx val="17"/>
            <c:bubble3D val="0"/>
            <c:extLst>
              <c:ext xmlns:c16="http://schemas.microsoft.com/office/drawing/2014/chart" uri="{C3380CC4-5D6E-409C-BE32-E72D297353CC}">
                <c16:uniqueId val="{00000012-C7A3-4303-831A-387511A26668}"/>
              </c:ext>
            </c:extLst>
          </c:dPt>
          <c:dPt>
            <c:idx val="18"/>
            <c:bubble3D val="0"/>
            <c:extLst>
              <c:ext xmlns:c16="http://schemas.microsoft.com/office/drawing/2014/chart" uri="{C3380CC4-5D6E-409C-BE32-E72D297353CC}">
                <c16:uniqueId val="{00000013-C7A3-4303-831A-387511A26668}"/>
              </c:ext>
            </c:extLst>
          </c:dPt>
          <c:dPt>
            <c:idx val="19"/>
            <c:bubble3D val="0"/>
            <c:extLst>
              <c:ext xmlns:c16="http://schemas.microsoft.com/office/drawing/2014/chart" uri="{C3380CC4-5D6E-409C-BE32-E72D297353CC}">
                <c16:uniqueId val="{00000014-C7A3-4303-831A-387511A26668}"/>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C7A3-4303-831A-387511A26668}"/>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C7A3-4303-831A-387511A26668}"/>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C7A3-4303-831A-387511A26668}"/>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C7A3-4303-831A-387511A26668}"/>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C7A3-4303-831A-387511A26668}"/>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C7A3-4303-831A-387511A26668}"/>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C7A3-4303-831A-387511A26668}"/>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C7A3-4303-831A-387511A26668}"/>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C7A3-4303-831A-387511A26668}"/>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C7A3-4303-831A-387511A26668}"/>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C7A3-4303-831A-387511A26668}"/>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C7A3-4303-831A-387511A26668}"/>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C7A3-4303-831A-387511A26668}"/>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C7A3-4303-831A-387511A26668}"/>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C7A3-4303-831A-387511A26668}"/>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C7A3-4303-831A-387511A26668}"/>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C7A3-4303-831A-387511A26668}"/>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C7A3-4303-831A-387511A26668}"/>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C7A3-4303-831A-387511A26668}"/>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C7A3-4303-831A-387511A26668}"/>
            </c:ext>
          </c:extLst>
        </c:ser>
        <c:dLbls>
          <c:showLegendKey val="0"/>
          <c:showVal val="0"/>
          <c:showCatName val="0"/>
          <c:showSerName val="0"/>
          <c:showPercent val="0"/>
          <c:showBubbleSize val="0"/>
        </c:dLbls>
        <c:hiLowLines>
          <c:spPr>
            <a:ln w="0">
              <a:noFill/>
            </a:ln>
          </c:spPr>
        </c:hiLowLines>
        <c:smooth val="0"/>
        <c:axId val="35211445"/>
        <c:axId val="90782493"/>
      </c:lineChart>
      <c:catAx>
        <c:axId val="35211445"/>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90782493"/>
        <c:crosses val="autoZero"/>
        <c:auto val="1"/>
        <c:lblAlgn val="ctr"/>
        <c:lblOffset val="100"/>
        <c:noMultiLvlLbl val="0"/>
      </c:catAx>
      <c:valAx>
        <c:axId val="90782493"/>
        <c:scaling>
          <c:orientation val="minMax"/>
        </c:scaling>
        <c:delete val="1"/>
        <c:axPos val="l"/>
        <c:numFmt formatCode="0.0" sourceLinked="1"/>
        <c:majorTickMark val="out"/>
        <c:minorTickMark val="none"/>
        <c:tickLblPos val="nextTo"/>
        <c:crossAx val="35211445"/>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ELS-D M mín – c/ isol.</a:t>
            </a:r>
          </a:p>
        </c:rich>
      </c:tx>
      <c:overlay val="0"/>
      <c:spPr>
        <a:noFill/>
        <a:ln w="0">
          <a:noFill/>
        </a:ln>
      </c:spPr>
    </c:title>
    <c:autoTitleDeleted val="0"/>
    <c:plotArea>
      <c:layout>
        <c:manualLayout>
          <c:layoutTarget val="inner"/>
          <c:xMode val="edge"/>
          <c:yMode val="edge"/>
          <c:x val="1.76824173158306E-2"/>
          <c:y val="0.107078176878962"/>
          <c:w val="0.96835494218173002"/>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cabos'!$DI$124:$DI$144</c:f>
              <c:numCache>
                <c:formatCode>0.0</c:formatCode>
                <c:ptCount val="21"/>
                <c:pt idx="0">
                  <c:v>0</c:v>
                </c:pt>
                <c:pt idx="1">
                  <c:v>1.4971030713843581</c:v>
                </c:pt>
                <c:pt idx="2">
                  <c:v>2.4287734709768367</c:v>
                </c:pt>
                <c:pt idx="3">
                  <c:v>2.7950111987774373</c:v>
                </c:pt>
                <c:pt idx="4">
                  <c:v>-2.8949301393217146</c:v>
                </c:pt>
                <c:pt idx="5">
                  <c:v>-3.348923706718665</c:v>
                </c:pt>
                <c:pt idx="6">
                  <c:v>-4.2775601086543746</c:v>
                </c:pt>
                <c:pt idx="7">
                  <c:v>-5.5065533267007867</c:v>
                </c:pt>
                <c:pt idx="8">
                  <c:v>-4.8426126602381112</c:v>
                </c:pt>
                <c:pt idx="9">
                  <c:v>-4.392077436072066</c:v>
                </c:pt>
                <c:pt idx="10">
                  <c:v>-4.2418990280167179</c:v>
                </c:pt>
                <c:pt idx="11">
                  <c:v>-4.392077436072066</c:v>
                </c:pt>
                <c:pt idx="12">
                  <c:v>-4.8426126602381112</c:v>
                </c:pt>
                <c:pt idx="13">
                  <c:v>-5.5065533267007831</c:v>
                </c:pt>
                <c:pt idx="14">
                  <c:v>-4.2775601086543729</c:v>
                </c:pt>
                <c:pt idx="15">
                  <c:v>-3.3489237067186597</c:v>
                </c:pt>
                <c:pt idx="16">
                  <c:v>-2.8949301393217093</c:v>
                </c:pt>
                <c:pt idx="17">
                  <c:v>2.7950111987774533</c:v>
                </c:pt>
                <c:pt idx="18">
                  <c:v>2.4287734709768545</c:v>
                </c:pt>
                <c:pt idx="19">
                  <c:v>1.4971030713843774</c:v>
                </c:pt>
                <c:pt idx="20">
                  <c:v>0</c:v>
                </c:pt>
              </c:numCache>
            </c:numRef>
          </c:val>
          <c:smooth val="1"/>
          <c:extLst>
            <c:ext xmlns:c16="http://schemas.microsoft.com/office/drawing/2014/chart" uri="{C3380CC4-5D6E-409C-BE32-E72D297353CC}">
              <c16:uniqueId val="{00000000-92AC-4D38-82BB-27462B8057E7}"/>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cabos'!$DI$101:$DI$121</c:f>
              <c:numCache>
                <c:formatCode>0.0</c:formatCode>
                <c:ptCount val="21"/>
                <c:pt idx="0">
                  <c:v>0</c:v>
                </c:pt>
                <c:pt idx="1">
                  <c:v>-0.57371836403524568</c:v>
                </c:pt>
                <c:pt idx="2">
                  <c:v>-0.94252259189468979</c:v>
                </c:pt>
                <c:pt idx="3">
                  <c:v>-0.79357027824306292</c:v>
                </c:pt>
                <c:pt idx="4">
                  <c:v>-2.1255108657957189</c:v>
                </c:pt>
                <c:pt idx="5">
                  <c:v>-3.1709895745905889</c:v>
                </c:pt>
                <c:pt idx="6">
                  <c:v>-4.004805551621418</c:v>
                </c:pt>
                <c:pt idx="7">
                  <c:v>-4.6337075921056847</c:v>
                </c:pt>
                <c:pt idx="8">
                  <c:v>-5.1426254564704799</c:v>
                </c:pt>
                <c:pt idx="9">
                  <c:v>-5.4499963612903217</c:v>
                </c:pt>
                <c:pt idx="10">
                  <c:v>-5.5524533295636047</c:v>
                </c:pt>
                <c:pt idx="11">
                  <c:v>-5.4499963612903217</c:v>
                </c:pt>
                <c:pt idx="12">
                  <c:v>-5.1426254564704799</c:v>
                </c:pt>
                <c:pt idx="13">
                  <c:v>-4.6337075921056847</c:v>
                </c:pt>
                <c:pt idx="14">
                  <c:v>-4.0048055516214207</c:v>
                </c:pt>
                <c:pt idx="15">
                  <c:v>-3.1709895745905925</c:v>
                </c:pt>
                <c:pt idx="16">
                  <c:v>-2.1255108657957225</c:v>
                </c:pt>
                <c:pt idx="17">
                  <c:v>-0.79357027824306747</c:v>
                </c:pt>
                <c:pt idx="18">
                  <c:v>-0.94252259189469567</c:v>
                </c:pt>
                <c:pt idx="19">
                  <c:v>-0.57371836403525212</c:v>
                </c:pt>
                <c:pt idx="20">
                  <c:v>0</c:v>
                </c:pt>
              </c:numCache>
            </c:numRef>
          </c:val>
          <c:smooth val="1"/>
          <c:extLst>
            <c:ext xmlns:c16="http://schemas.microsoft.com/office/drawing/2014/chart" uri="{C3380CC4-5D6E-409C-BE32-E72D297353CC}">
              <c16:uniqueId val="{00000001-92AC-4D38-82BB-27462B8057E7}"/>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92AC-4D38-82BB-27462B8057E7}"/>
              </c:ext>
            </c:extLst>
          </c:dPt>
          <c:dPt>
            <c:idx val="2"/>
            <c:bubble3D val="0"/>
            <c:extLst>
              <c:ext xmlns:c16="http://schemas.microsoft.com/office/drawing/2014/chart" uri="{C3380CC4-5D6E-409C-BE32-E72D297353CC}">
                <c16:uniqueId val="{00000003-92AC-4D38-82BB-27462B8057E7}"/>
              </c:ext>
            </c:extLst>
          </c:dPt>
          <c:dPt>
            <c:idx val="3"/>
            <c:bubble3D val="0"/>
            <c:extLst>
              <c:ext xmlns:c16="http://schemas.microsoft.com/office/drawing/2014/chart" uri="{C3380CC4-5D6E-409C-BE32-E72D297353CC}">
                <c16:uniqueId val="{00000004-92AC-4D38-82BB-27462B8057E7}"/>
              </c:ext>
            </c:extLst>
          </c:dPt>
          <c:dPt>
            <c:idx val="4"/>
            <c:bubble3D val="0"/>
            <c:extLst>
              <c:ext xmlns:c16="http://schemas.microsoft.com/office/drawing/2014/chart" uri="{C3380CC4-5D6E-409C-BE32-E72D297353CC}">
                <c16:uniqueId val="{00000005-92AC-4D38-82BB-27462B8057E7}"/>
              </c:ext>
            </c:extLst>
          </c:dPt>
          <c:dPt>
            <c:idx val="5"/>
            <c:bubble3D val="0"/>
            <c:extLst>
              <c:ext xmlns:c16="http://schemas.microsoft.com/office/drawing/2014/chart" uri="{C3380CC4-5D6E-409C-BE32-E72D297353CC}">
                <c16:uniqueId val="{00000006-92AC-4D38-82BB-27462B8057E7}"/>
              </c:ext>
            </c:extLst>
          </c:dPt>
          <c:dPt>
            <c:idx val="6"/>
            <c:bubble3D val="0"/>
            <c:extLst>
              <c:ext xmlns:c16="http://schemas.microsoft.com/office/drawing/2014/chart" uri="{C3380CC4-5D6E-409C-BE32-E72D297353CC}">
                <c16:uniqueId val="{00000007-92AC-4D38-82BB-27462B8057E7}"/>
              </c:ext>
            </c:extLst>
          </c:dPt>
          <c:dPt>
            <c:idx val="7"/>
            <c:bubble3D val="0"/>
            <c:extLst>
              <c:ext xmlns:c16="http://schemas.microsoft.com/office/drawing/2014/chart" uri="{C3380CC4-5D6E-409C-BE32-E72D297353CC}">
                <c16:uniqueId val="{00000008-92AC-4D38-82BB-27462B8057E7}"/>
              </c:ext>
            </c:extLst>
          </c:dPt>
          <c:dPt>
            <c:idx val="8"/>
            <c:bubble3D val="0"/>
            <c:extLst>
              <c:ext xmlns:c16="http://schemas.microsoft.com/office/drawing/2014/chart" uri="{C3380CC4-5D6E-409C-BE32-E72D297353CC}">
                <c16:uniqueId val="{00000009-92AC-4D38-82BB-27462B8057E7}"/>
              </c:ext>
            </c:extLst>
          </c:dPt>
          <c:dPt>
            <c:idx val="9"/>
            <c:bubble3D val="0"/>
            <c:extLst>
              <c:ext xmlns:c16="http://schemas.microsoft.com/office/drawing/2014/chart" uri="{C3380CC4-5D6E-409C-BE32-E72D297353CC}">
                <c16:uniqueId val="{0000000A-92AC-4D38-82BB-27462B8057E7}"/>
              </c:ext>
            </c:extLst>
          </c:dPt>
          <c:dPt>
            <c:idx val="10"/>
            <c:bubble3D val="0"/>
            <c:extLst>
              <c:ext xmlns:c16="http://schemas.microsoft.com/office/drawing/2014/chart" uri="{C3380CC4-5D6E-409C-BE32-E72D297353CC}">
                <c16:uniqueId val="{0000000B-92AC-4D38-82BB-27462B8057E7}"/>
              </c:ext>
            </c:extLst>
          </c:dPt>
          <c:dPt>
            <c:idx val="11"/>
            <c:bubble3D val="0"/>
            <c:extLst>
              <c:ext xmlns:c16="http://schemas.microsoft.com/office/drawing/2014/chart" uri="{C3380CC4-5D6E-409C-BE32-E72D297353CC}">
                <c16:uniqueId val="{0000000C-92AC-4D38-82BB-27462B8057E7}"/>
              </c:ext>
            </c:extLst>
          </c:dPt>
          <c:dPt>
            <c:idx val="12"/>
            <c:bubble3D val="0"/>
            <c:extLst>
              <c:ext xmlns:c16="http://schemas.microsoft.com/office/drawing/2014/chart" uri="{C3380CC4-5D6E-409C-BE32-E72D297353CC}">
                <c16:uniqueId val="{0000000D-92AC-4D38-82BB-27462B8057E7}"/>
              </c:ext>
            </c:extLst>
          </c:dPt>
          <c:dPt>
            <c:idx val="13"/>
            <c:bubble3D val="0"/>
            <c:extLst>
              <c:ext xmlns:c16="http://schemas.microsoft.com/office/drawing/2014/chart" uri="{C3380CC4-5D6E-409C-BE32-E72D297353CC}">
                <c16:uniqueId val="{0000000E-92AC-4D38-82BB-27462B8057E7}"/>
              </c:ext>
            </c:extLst>
          </c:dPt>
          <c:dPt>
            <c:idx val="14"/>
            <c:bubble3D val="0"/>
            <c:extLst>
              <c:ext xmlns:c16="http://schemas.microsoft.com/office/drawing/2014/chart" uri="{C3380CC4-5D6E-409C-BE32-E72D297353CC}">
                <c16:uniqueId val="{0000000F-92AC-4D38-82BB-27462B8057E7}"/>
              </c:ext>
            </c:extLst>
          </c:dPt>
          <c:dPt>
            <c:idx val="15"/>
            <c:bubble3D val="0"/>
            <c:extLst>
              <c:ext xmlns:c16="http://schemas.microsoft.com/office/drawing/2014/chart" uri="{C3380CC4-5D6E-409C-BE32-E72D297353CC}">
                <c16:uniqueId val="{00000010-92AC-4D38-82BB-27462B8057E7}"/>
              </c:ext>
            </c:extLst>
          </c:dPt>
          <c:dPt>
            <c:idx val="16"/>
            <c:bubble3D val="0"/>
            <c:extLst>
              <c:ext xmlns:c16="http://schemas.microsoft.com/office/drawing/2014/chart" uri="{C3380CC4-5D6E-409C-BE32-E72D297353CC}">
                <c16:uniqueId val="{00000011-92AC-4D38-82BB-27462B8057E7}"/>
              </c:ext>
            </c:extLst>
          </c:dPt>
          <c:dPt>
            <c:idx val="17"/>
            <c:bubble3D val="0"/>
            <c:extLst>
              <c:ext xmlns:c16="http://schemas.microsoft.com/office/drawing/2014/chart" uri="{C3380CC4-5D6E-409C-BE32-E72D297353CC}">
                <c16:uniqueId val="{00000012-92AC-4D38-82BB-27462B8057E7}"/>
              </c:ext>
            </c:extLst>
          </c:dPt>
          <c:dPt>
            <c:idx val="18"/>
            <c:bubble3D val="0"/>
            <c:extLst>
              <c:ext xmlns:c16="http://schemas.microsoft.com/office/drawing/2014/chart" uri="{C3380CC4-5D6E-409C-BE32-E72D297353CC}">
                <c16:uniqueId val="{00000013-92AC-4D38-82BB-27462B8057E7}"/>
              </c:ext>
            </c:extLst>
          </c:dPt>
          <c:dPt>
            <c:idx val="19"/>
            <c:bubble3D val="0"/>
            <c:extLst>
              <c:ext xmlns:c16="http://schemas.microsoft.com/office/drawing/2014/chart" uri="{C3380CC4-5D6E-409C-BE32-E72D297353CC}">
                <c16:uniqueId val="{00000014-92AC-4D38-82BB-27462B8057E7}"/>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92AC-4D38-82BB-27462B8057E7}"/>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92AC-4D38-82BB-27462B8057E7}"/>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92AC-4D38-82BB-27462B8057E7}"/>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92AC-4D38-82BB-27462B8057E7}"/>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92AC-4D38-82BB-27462B8057E7}"/>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92AC-4D38-82BB-27462B8057E7}"/>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92AC-4D38-82BB-27462B8057E7}"/>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92AC-4D38-82BB-27462B8057E7}"/>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92AC-4D38-82BB-27462B8057E7}"/>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92AC-4D38-82BB-27462B8057E7}"/>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92AC-4D38-82BB-27462B8057E7}"/>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92AC-4D38-82BB-27462B8057E7}"/>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92AC-4D38-82BB-27462B8057E7}"/>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92AC-4D38-82BB-27462B8057E7}"/>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92AC-4D38-82BB-27462B8057E7}"/>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92AC-4D38-82BB-27462B8057E7}"/>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92AC-4D38-82BB-27462B8057E7}"/>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92AC-4D38-82BB-27462B8057E7}"/>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92AC-4D38-82BB-27462B8057E7}"/>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92AC-4D38-82BB-27462B8057E7}"/>
            </c:ext>
          </c:extLst>
        </c:ser>
        <c:dLbls>
          <c:showLegendKey val="0"/>
          <c:showVal val="0"/>
          <c:showCatName val="0"/>
          <c:showSerName val="0"/>
          <c:showPercent val="0"/>
          <c:showBubbleSize val="0"/>
        </c:dLbls>
        <c:hiLowLines>
          <c:spPr>
            <a:ln w="0">
              <a:noFill/>
            </a:ln>
          </c:spPr>
        </c:hiLowLines>
        <c:smooth val="0"/>
        <c:axId val="66277867"/>
        <c:axId val="68641912"/>
      </c:lineChart>
      <c:catAx>
        <c:axId val="66277867"/>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68641912"/>
        <c:crosses val="autoZero"/>
        <c:auto val="1"/>
        <c:lblAlgn val="ctr"/>
        <c:lblOffset val="100"/>
        <c:noMultiLvlLbl val="0"/>
      </c:catAx>
      <c:valAx>
        <c:axId val="68641912"/>
        <c:scaling>
          <c:orientation val="minMax"/>
        </c:scaling>
        <c:delete val="1"/>
        <c:axPos val="l"/>
        <c:numFmt formatCode="0.0" sourceLinked="1"/>
        <c:majorTickMark val="out"/>
        <c:minorTickMark val="none"/>
        <c:tickLblPos val="nextTo"/>
        <c:crossAx val="66277867"/>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Ato – com isolamento</a:t>
            </a:r>
          </a:p>
        </c:rich>
      </c:tx>
      <c:overlay val="0"/>
      <c:spPr>
        <a:noFill/>
        <a:ln w="0">
          <a:noFill/>
        </a:ln>
      </c:spPr>
    </c:title>
    <c:autoTitleDeleted val="0"/>
    <c:plotArea>
      <c:layout>
        <c:manualLayout>
          <c:layoutTarget val="inner"/>
          <c:xMode val="edge"/>
          <c:yMode val="edge"/>
          <c:x val="1.80729391454467E-3"/>
          <c:y val="6.6771211620997001E-2"/>
          <c:w val="0.99066681053085903"/>
          <c:h val="0.87561901617695603"/>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cabos'!$U$124:$U$144</c:f>
              <c:numCache>
                <c:formatCode>0.0</c:formatCode>
                <c:ptCount val="21"/>
                <c:pt idx="0">
                  <c:v>0</c:v>
                </c:pt>
                <c:pt idx="1">
                  <c:v>-4.1297555030934259</c:v>
                </c:pt>
                <c:pt idx="2">
                  <c:v>-8.7183418438252716</c:v>
                </c:pt>
                <c:pt idx="3">
                  <c:v>-13.306928184557119</c:v>
                </c:pt>
                <c:pt idx="4">
                  <c:v>-13.546977227117871</c:v>
                </c:pt>
                <c:pt idx="5">
                  <c:v>-15.687731076426157</c:v>
                </c:pt>
                <c:pt idx="6">
                  <c:v>-18.075932653910744</c:v>
                </c:pt>
                <c:pt idx="7">
                  <c:v>-20.512432214304638</c:v>
                </c:pt>
                <c:pt idx="8">
                  <c:v>-20.491043155466983</c:v>
                </c:pt>
                <c:pt idx="9">
                  <c:v>-20.41859618110302</c:v>
                </c:pt>
                <c:pt idx="10">
                  <c:v>-20.394447189648368</c:v>
                </c:pt>
                <c:pt idx="11">
                  <c:v>-20.41859618110302</c:v>
                </c:pt>
                <c:pt idx="12">
                  <c:v>-20.491043155466983</c:v>
                </c:pt>
                <c:pt idx="13">
                  <c:v>-20.512432214304635</c:v>
                </c:pt>
                <c:pt idx="14">
                  <c:v>-18.075932653910744</c:v>
                </c:pt>
                <c:pt idx="15">
                  <c:v>-15.687731076426154</c:v>
                </c:pt>
                <c:pt idx="16">
                  <c:v>-13.546977227117871</c:v>
                </c:pt>
                <c:pt idx="17">
                  <c:v>-13.306928184557119</c:v>
                </c:pt>
                <c:pt idx="18">
                  <c:v>-8.7183418438252716</c:v>
                </c:pt>
                <c:pt idx="19">
                  <c:v>-4.1297555030934259</c:v>
                </c:pt>
                <c:pt idx="20">
                  <c:v>0</c:v>
                </c:pt>
              </c:numCache>
            </c:numRef>
          </c:val>
          <c:smooth val="1"/>
          <c:extLst>
            <c:ext xmlns:c16="http://schemas.microsoft.com/office/drawing/2014/chart" uri="{C3380CC4-5D6E-409C-BE32-E72D297353CC}">
              <c16:uniqueId val="{00000000-B2CF-4052-8BB4-CCBBB3CEFD77}"/>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cabos'!$U$101:$U$121</c:f>
              <c:numCache>
                <c:formatCode>0.0</c:formatCode>
                <c:ptCount val="21"/>
                <c:pt idx="0">
                  <c:v>0</c:v>
                </c:pt>
                <c:pt idx="1">
                  <c:v>1.2934069791014329</c:v>
                </c:pt>
                <c:pt idx="2">
                  <c:v>2.9194131279902216</c:v>
                </c:pt>
                <c:pt idx="3">
                  <c:v>4.4553991459120459</c:v>
                </c:pt>
                <c:pt idx="4">
                  <c:v>4.2278312928996451</c:v>
                </c:pt>
                <c:pt idx="5">
                  <c:v>4.1007757667693037</c:v>
                </c:pt>
                <c:pt idx="6">
                  <c:v>4.0141515254638431</c:v>
                </c:pt>
                <c:pt idx="7">
                  <c:v>3.9625377230833685</c:v>
                </c:pt>
                <c:pt idx="8">
                  <c:v>3.8777160882543673</c:v>
                </c:pt>
                <c:pt idx="9">
                  <c:v>3.8252004298668898</c:v>
                </c:pt>
                <c:pt idx="10">
                  <c:v>3.8076952104043977</c:v>
                </c:pt>
                <c:pt idx="11">
                  <c:v>3.8252004298668898</c:v>
                </c:pt>
                <c:pt idx="12">
                  <c:v>3.8777160882543673</c:v>
                </c:pt>
                <c:pt idx="13">
                  <c:v>3.9625377230833676</c:v>
                </c:pt>
                <c:pt idx="14">
                  <c:v>4.014151525463844</c:v>
                </c:pt>
                <c:pt idx="15">
                  <c:v>4.1007757667693019</c:v>
                </c:pt>
                <c:pt idx="16">
                  <c:v>4.2278312928996451</c:v>
                </c:pt>
                <c:pt idx="17">
                  <c:v>4.4553991459120459</c:v>
                </c:pt>
                <c:pt idx="18">
                  <c:v>2.9194131279902216</c:v>
                </c:pt>
                <c:pt idx="19">
                  <c:v>1.2934069791014329</c:v>
                </c:pt>
                <c:pt idx="20">
                  <c:v>0</c:v>
                </c:pt>
              </c:numCache>
            </c:numRef>
          </c:val>
          <c:smooth val="1"/>
          <c:extLst>
            <c:ext xmlns:c16="http://schemas.microsoft.com/office/drawing/2014/chart" uri="{C3380CC4-5D6E-409C-BE32-E72D297353CC}">
              <c16:uniqueId val="{00000001-B2CF-4052-8BB4-CCBBB3CEFD77}"/>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B2CF-4052-8BB4-CCBBB3CEFD77}"/>
              </c:ext>
            </c:extLst>
          </c:dPt>
          <c:dPt>
            <c:idx val="2"/>
            <c:bubble3D val="0"/>
            <c:extLst>
              <c:ext xmlns:c16="http://schemas.microsoft.com/office/drawing/2014/chart" uri="{C3380CC4-5D6E-409C-BE32-E72D297353CC}">
                <c16:uniqueId val="{00000003-B2CF-4052-8BB4-CCBBB3CEFD77}"/>
              </c:ext>
            </c:extLst>
          </c:dPt>
          <c:dPt>
            <c:idx val="3"/>
            <c:bubble3D val="0"/>
            <c:extLst>
              <c:ext xmlns:c16="http://schemas.microsoft.com/office/drawing/2014/chart" uri="{C3380CC4-5D6E-409C-BE32-E72D297353CC}">
                <c16:uniqueId val="{00000004-B2CF-4052-8BB4-CCBBB3CEFD77}"/>
              </c:ext>
            </c:extLst>
          </c:dPt>
          <c:dPt>
            <c:idx val="4"/>
            <c:bubble3D val="0"/>
            <c:extLst>
              <c:ext xmlns:c16="http://schemas.microsoft.com/office/drawing/2014/chart" uri="{C3380CC4-5D6E-409C-BE32-E72D297353CC}">
                <c16:uniqueId val="{00000005-B2CF-4052-8BB4-CCBBB3CEFD77}"/>
              </c:ext>
            </c:extLst>
          </c:dPt>
          <c:dPt>
            <c:idx val="5"/>
            <c:bubble3D val="0"/>
            <c:extLst>
              <c:ext xmlns:c16="http://schemas.microsoft.com/office/drawing/2014/chart" uri="{C3380CC4-5D6E-409C-BE32-E72D297353CC}">
                <c16:uniqueId val="{00000006-B2CF-4052-8BB4-CCBBB3CEFD77}"/>
              </c:ext>
            </c:extLst>
          </c:dPt>
          <c:dPt>
            <c:idx val="6"/>
            <c:bubble3D val="0"/>
            <c:extLst>
              <c:ext xmlns:c16="http://schemas.microsoft.com/office/drawing/2014/chart" uri="{C3380CC4-5D6E-409C-BE32-E72D297353CC}">
                <c16:uniqueId val="{00000007-B2CF-4052-8BB4-CCBBB3CEFD77}"/>
              </c:ext>
            </c:extLst>
          </c:dPt>
          <c:dPt>
            <c:idx val="7"/>
            <c:bubble3D val="0"/>
            <c:extLst>
              <c:ext xmlns:c16="http://schemas.microsoft.com/office/drawing/2014/chart" uri="{C3380CC4-5D6E-409C-BE32-E72D297353CC}">
                <c16:uniqueId val="{00000008-B2CF-4052-8BB4-CCBBB3CEFD77}"/>
              </c:ext>
            </c:extLst>
          </c:dPt>
          <c:dPt>
            <c:idx val="8"/>
            <c:bubble3D val="0"/>
            <c:extLst>
              <c:ext xmlns:c16="http://schemas.microsoft.com/office/drawing/2014/chart" uri="{C3380CC4-5D6E-409C-BE32-E72D297353CC}">
                <c16:uniqueId val="{00000009-B2CF-4052-8BB4-CCBBB3CEFD77}"/>
              </c:ext>
            </c:extLst>
          </c:dPt>
          <c:dPt>
            <c:idx val="9"/>
            <c:bubble3D val="0"/>
            <c:extLst>
              <c:ext xmlns:c16="http://schemas.microsoft.com/office/drawing/2014/chart" uri="{C3380CC4-5D6E-409C-BE32-E72D297353CC}">
                <c16:uniqueId val="{0000000A-B2CF-4052-8BB4-CCBBB3CEFD77}"/>
              </c:ext>
            </c:extLst>
          </c:dPt>
          <c:dPt>
            <c:idx val="10"/>
            <c:bubble3D val="0"/>
            <c:extLst>
              <c:ext xmlns:c16="http://schemas.microsoft.com/office/drawing/2014/chart" uri="{C3380CC4-5D6E-409C-BE32-E72D297353CC}">
                <c16:uniqueId val="{0000000B-B2CF-4052-8BB4-CCBBB3CEFD77}"/>
              </c:ext>
            </c:extLst>
          </c:dPt>
          <c:dPt>
            <c:idx val="11"/>
            <c:bubble3D val="0"/>
            <c:extLst>
              <c:ext xmlns:c16="http://schemas.microsoft.com/office/drawing/2014/chart" uri="{C3380CC4-5D6E-409C-BE32-E72D297353CC}">
                <c16:uniqueId val="{0000000C-B2CF-4052-8BB4-CCBBB3CEFD77}"/>
              </c:ext>
            </c:extLst>
          </c:dPt>
          <c:dPt>
            <c:idx val="12"/>
            <c:bubble3D val="0"/>
            <c:extLst>
              <c:ext xmlns:c16="http://schemas.microsoft.com/office/drawing/2014/chart" uri="{C3380CC4-5D6E-409C-BE32-E72D297353CC}">
                <c16:uniqueId val="{0000000D-B2CF-4052-8BB4-CCBBB3CEFD77}"/>
              </c:ext>
            </c:extLst>
          </c:dPt>
          <c:dPt>
            <c:idx val="13"/>
            <c:bubble3D val="0"/>
            <c:extLst>
              <c:ext xmlns:c16="http://schemas.microsoft.com/office/drawing/2014/chart" uri="{C3380CC4-5D6E-409C-BE32-E72D297353CC}">
                <c16:uniqueId val="{0000000E-B2CF-4052-8BB4-CCBBB3CEFD77}"/>
              </c:ext>
            </c:extLst>
          </c:dPt>
          <c:dPt>
            <c:idx val="14"/>
            <c:bubble3D val="0"/>
            <c:extLst>
              <c:ext xmlns:c16="http://schemas.microsoft.com/office/drawing/2014/chart" uri="{C3380CC4-5D6E-409C-BE32-E72D297353CC}">
                <c16:uniqueId val="{0000000F-B2CF-4052-8BB4-CCBBB3CEFD77}"/>
              </c:ext>
            </c:extLst>
          </c:dPt>
          <c:dPt>
            <c:idx val="15"/>
            <c:bubble3D val="0"/>
            <c:extLst>
              <c:ext xmlns:c16="http://schemas.microsoft.com/office/drawing/2014/chart" uri="{C3380CC4-5D6E-409C-BE32-E72D297353CC}">
                <c16:uniqueId val="{00000010-B2CF-4052-8BB4-CCBBB3CEFD77}"/>
              </c:ext>
            </c:extLst>
          </c:dPt>
          <c:dPt>
            <c:idx val="16"/>
            <c:bubble3D val="0"/>
            <c:extLst>
              <c:ext xmlns:c16="http://schemas.microsoft.com/office/drawing/2014/chart" uri="{C3380CC4-5D6E-409C-BE32-E72D297353CC}">
                <c16:uniqueId val="{00000011-B2CF-4052-8BB4-CCBBB3CEFD77}"/>
              </c:ext>
            </c:extLst>
          </c:dPt>
          <c:dPt>
            <c:idx val="17"/>
            <c:bubble3D val="0"/>
            <c:extLst>
              <c:ext xmlns:c16="http://schemas.microsoft.com/office/drawing/2014/chart" uri="{C3380CC4-5D6E-409C-BE32-E72D297353CC}">
                <c16:uniqueId val="{00000012-B2CF-4052-8BB4-CCBBB3CEFD77}"/>
              </c:ext>
            </c:extLst>
          </c:dPt>
          <c:dPt>
            <c:idx val="18"/>
            <c:bubble3D val="0"/>
            <c:extLst>
              <c:ext xmlns:c16="http://schemas.microsoft.com/office/drawing/2014/chart" uri="{C3380CC4-5D6E-409C-BE32-E72D297353CC}">
                <c16:uniqueId val="{00000013-B2CF-4052-8BB4-CCBBB3CEFD77}"/>
              </c:ext>
            </c:extLst>
          </c:dPt>
          <c:dPt>
            <c:idx val="19"/>
            <c:bubble3D val="0"/>
            <c:extLst>
              <c:ext xmlns:c16="http://schemas.microsoft.com/office/drawing/2014/chart" uri="{C3380CC4-5D6E-409C-BE32-E72D297353CC}">
                <c16:uniqueId val="{00000014-B2CF-4052-8BB4-CCBBB3CEFD77}"/>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B2CF-4052-8BB4-CCBBB3CEFD77}"/>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B2CF-4052-8BB4-CCBBB3CEFD77}"/>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B2CF-4052-8BB4-CCBBB3CEFD77}"/>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B2CF-4052-8BB4-CCBBB3CEFD77}"/>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B2CF-4052-8BB4-CCBBB3CEFD77}"/>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B2CF-4052-8BB4-CCBBB3CEFD77}"/>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B2CF-4052-8BB4-CCBBB3CEFD77}"/>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B2CF-4052-8BB4-CCBBB3CEFD77}"/>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B2CF-4052-8BB4-CCBBB3CEFD77}"/>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B2CF-4052-8BB4-CCBBB3CEFD77}"/>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B2CF-4052-8BB4-CCBBB3CEFD77}"/>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B2CF-4052-8BB4-CCBBB3CEFD77}"/>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B2CF-4052-8BB4-CCBBB3CEFD77}"/>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B2CF-4052-8BB4-CCBBB3CEFD77}"/>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B2CF-4052-8BB4-CCBBB3CEFD77}"/>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B2CF-4052-8BB4-CCBBB3CEFD77}"/>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B2CF-4052-8BB4-CCBBB3CEFD77}"/>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B2CF-4052-8BB4-CCBBB3CEFD77}"/>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B2CF-4052-8BB4-CCBBB3CEFD77}"/>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B2CF-4052-8BB4-CCBBB3CEFD77}"/>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B2CF-4052-8BB4-CCBBB3CEFD77}"/>
              </c:ext>
            </c:extLst>
          </c:dPt>
          <c:dPt>
            <c:idx val="2"/>
            <c:bubble3D val="0"/>
            <c:extLst>
              <c:ext xmlns:c16="http://schemas.microsoft.com/office/drawing/2014/chart" uri="{C3380CC4-5D6E-409C-BE32-E72D297353CC}">
                <c16:uniqueId val="{00000017-B2CF-4052-8BB4-CCBBB3CEFD77}"/>
              </c:ext>
            </c:extLst>
          </c:dPt>
          <c:dPt>
            <c:idx val="3"/>
            <c:bubble3D val="0"/>
            <c:extLst>
              <c:ext xmlns:c16="http://schemas.microsoft.com/office/drawing/2014/chart" uri="{C3380CC4-5D6E-409C-BE32-E72D297353CC}">
                <c16:uniqueId val="{00000018-B2CF-4052-8BB4-CCBBB3CEFD77}"/>
              </c:ext>
            </c:extLst>
          </c:dPt>
          <c:dPt>
            <c:idx val="4"/>
            <c:bubble3D val="0"/>
            <c:extLst>
              <c:ext xmlns:c16="http://schemas.microsoft.com/office/drawing/2014/chart" uri="{C3380CC4-5D6E-409C-BE32-E72D297353CC}">
                <c16:uniqueId val="{00000019-B2CF-4052-8BB4-CCBBB3CEFD77}"/>
              </c:ext>
            </c:extLst>
          </c:dPt>
          <c:dPt>
            <c:idx val="5"/>
            <c:bubble3D val="0"/>
            <c:extLst>
              <c:ext xmlns:c16="http://schemas.microsoft.com/office/drawing/2014/chart" uri="{C3380CC4-5D6E-409C-BE32-E72D297353CC}">
                <c16:uniqueId val="{0000001A-B2CF-4052-8BB4-CCBBB3CEFD77}"/>
              </c:ext>
            </c:extLst>
          </c:dPt>
          <c:dPt>
            <c:idx val="6"/>
            <c:bubble3D val="0"/>
            <c:extLst>
              <c:ext xmlns:c16="http://schemas.microsoft.com/office/drawing/2014/chart" uri="{C3380CC4-5D6E-409C-BE32-E72D297353CC}">
                <c16:uniqueId val="{0000001B-B2CF-4052-8BB4-CCBBB3CEFD77}"/>
              </c:ext>
            </c:extLst>
          </c:dPt>
          <c:dPt>
            <c:idx val="7"/>
            <c:bubble3D val="0"/>
            <c:extLst>
              <c:ext xmlns:c16="http://schemas.microsoft.com/office/drawing/2014/chart" uri="{C3380CC4-5D6E-409C-BE32-E72D297353CC}">
                <c16:uniqueId val="{0000001C-B2CF-4052-8BB4-CCBBB3CEFD77}"/>
              </c:ext>
            </c:extLst>
          </c:dPt>
          <c:dPt>
            <c:idx val="8"/>
            <c:bubble3D val="0"/>
            <c:extLst>
              <c:ext xmlns:c16="http://schemas.microsoft.com/office/drawing/2014/chart" uri="{C3380CC4-5D6E-409C-BE32-E72D297353CC}">
                <c16:uniqueId val="{0000001D-B2CF-4052-8BB4-CCBBB3CEFD77}"/>
              </c:ext>
            </c:extLst>
          </c:dPt>
          <c:dPt>
            <c:idx val="9"/>
            <c:bubble3D val="0"/>
            <c:extLst>
              <c:ext xmlns:c16="http://schemas.microsoft.com/office/drawing/2014/chart" uri="{C3380CC4-5D6E-409C-BE32-E72D297353CC}">
                <c16:uniqueId val="{0000001E-B2CF-4052-8BB4-CCBBB3CEFD77}"/>
              </c:ext>
            </c:extLst>
          </c:dPt>
          <c:dPt>
            <c:idx val="10"/>
            <c:bubble3D val="0"/>
            <c:extLst>
              <c:ext xmlns:c16="http://schemas.microsoft.com/office/drawing/2014/chart" uri="{C3380CC4-5D6E-409C-BE32-E72D297353CC}">
                <c16:uniqueId val="{0000001F-B2CF-4052-8BB4-CCBBB3CEFD77}"/>
              </c:ext>
            </c:extLst>
          </c:dPt>
          <c:dPt>
            <c:idx val="11"/>
            <c:bubble3D val="0"/>
            <c:extLst>
              <c:ext xmlns:c16="http://schemas.microsoft.com/office/drawing/2014/chart" uri="{C3380CC4-5D6E-409C-BE32-E72D297353CC}">
                <c16:uniqueId val="{00000020-B2CF-4052-8BB4-CCBBB3CEFD77}"/>
              </c:ext>
            </c:extLst>
          </c:dPt>
          <c:dPt>
            <c:idx val="12"/>
            <c:bubble3D val="0"/>
            <c:extLst>
              <c:ext xmlns:c16="http://schemas.microsoft.com/office/drawing/2014/chart" uri="{C3380CC4-5D6E-409C-BE32-E72D297353CC}">
                <c16:uniqueId val="{00000021-B2CF-4052-8BB4-CCBBB3CEFD77}"/>
              </c:ext>
            </c:extLst>
          </c:dPt>
          <c:dPt>
            <c:idx val="13"/>
            <c:bubble3D val="0"/>
            <c:extLst>
              <c:ext xmlns:c16="http://schemas.microsoft.com/office/drawing/2014/chart" uri="{C3380CC4-5D6E-409C-BE32-E72D297353CC}">
                <c16:uniqueId val="{00000022-B2CF-4052-8BB4-CCBBB3CEFD77}"/>
              </c:ext>
            </c:extLst>
          </c:dPt>
          <c:dPt>
            <c:idx val="14"/>
            <c:bubble3D val="0"/>
            <c:extLst>
              <c:ext xmlns:c16="http://schemas.microsoft.com/office/drawing/2014/chart" uri="{C3380CC4-5D6E-409C-BE32-E72D297353CC}">
                <c16:uniqueId val="{00000023-B2CF-4052-8BB4-CCBBB3CEFD77}"/>
              </c:ext>
            </c:extLst>
          </c:dPt>
          <c:dPt>
            <c:idx val="15"/>
            <c:bubble3D val="0"/>
            <c:extLst>
              <c:ext xmlns:c16="http://schemas.microsoft.com/office/drawing/2014/chart" uri="{C3380CC4-5D6E-409C-BE32-E72D297353CC}">
                <c16:uniqueId val="{00000024-B2CF-4052-8BB4-CCBBB3CEFD77}"/>
              </c:ext>
            </c:extLst>
          </c:dPt>
          <c:dPt>
            <c:idx val="16"/>
            <c:bubble3D val="0"/>
            <c:extLst>
              <c:ext xmlns:c16="http://schemas.microsoft.com/office/drawing/2014/chart" uri="{C3380CC4-5D6E-409C-BE32-E72D297353CC}">
                <c16:uniqueId val="{00000025-B2CF-4052-8BB4-CCBBB3CEFD77}"/>
              </c:ext>
            </c:extLst>
          </c:dPt>
          <c:dPt>
            <c:idx val="17"/>
            <c:bubble3D val="0"/>
            <c:extLst>
              <c:ext xmlns:c16="http://schemas.microsoft.com/office/drawing/2014/chart" uri="{C3380CC4-5D6E-409C-BE32-E72D297353CC}">
                <c16:uniqueId val="{00000026-B2CF-4052-8BB4-CCBBB3CEFD77}"/>
              </c:ext>
            </c:extLst>
          </c:dPt>
          <c:dPt>
            <c:idx val="18"/>
            <c:bubble3D val="0"/>
            <c:extLst>
              <c:ext xmlns:c16="http://schemas.microsoft.com/office/drawing/2014/chart" uri="{C3380CC4-5D6E-409C-BE32-E72D297353CC}">
                <c16:uniqueId val="{00000027-B2CF-4052-8BB4-CCBBB3CEFD77}"/>
              </c:ext>
            </c:extLst>
          </c:dPt>
          <c:dPt>
            <c:idx val="19"/>
            <c:bubble3D val="0"/>
            <c:extLst>
              <c:ext xmlns:c16="http://schemas.microsoft.com/office/drawing/2014/chart" uri="{C3380CC4-5D6E-409C-BE32-E72D297353CC}">
                <c16:uniqueId val="{00000028-B2CF-4052-8BB4-CCBBB3CEFD77}"/>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B2CF-4052-8BB4-CCBBB3CEFD77}"/>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B2CF-4052-8BB4-CCBBB3CEFD77}"/>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B2CF-4052-8BB4-CCBBB3CEFD77}"/>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B2CF-4052-8BB4-CCBBB3CEFD77}"/>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B2CF-4052-8BB4-CCBBB3CEFD77}"/>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B2CF-4052-8BB4-CCBBB3CEFD77}"/>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B2CF-4052-8BB4-CCBBB3CEFD77}"/>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B2CF-4052-8BB4-CCBBB3CEFD77}"/>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B2CF-4052-8BB4-CCBBB3CEFD77}"/>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B2CF-4052-8BB4-CCBBB3CEFD77}"/>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B2CF-4052-8BB4-CCBBB3CEFD77}"/>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B2CF-4052-8BB4-CCBBB3CEFD77}"/>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B2CF-4052-8BB4-CCBBB3CEFD77}"/>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B2CF-4052-8BB4-CCBBB3CEFD77}"/>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B2CF-4052-8BB4-CCBBB3CEFD77}"/>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B2CF-4052-8BB4-CCBBB3CEFD77}"/>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B2CF-4052-8BB4-CCBBB3CEFD77}"/>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B2CF-4052-8BB4-CCBBB3CEFD77}"/>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B2CF-4052-8BB4-CCBBB3CEFD77}"/>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B2CF-4052-8BB4-CCBBB3CEFD77}"/>
            </c:ext>
          </c:extLst>
        </c:ser>
        <c:dLbls>
          <c:showLegendKey val="0"/>
          <c:showVal val="0"/>
          <c:showCatName val="0"/>
          <c:showSerName val="0"/>
          <c:showPercent val="0"/>
          <c:showBubbleSize val="0"/>
        </c:dLbls>
        <c:hiLowLines>
          <c:spPr>
            <a:ln w="0">
              <a:noFill/>
            </a:ln>
          </c:spPr>
        </c:hiLowLines>
        <c:smooth val="0"/>
        <c:axId val="78593958"/>
        <c:axId val="14207451"/>
      </c:lineChart>
      <c:catAx>
        <c:axId val="78593958"/>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14207451"/>
        <c:crosses val="autoZero"/>
        <c:auto val="1"/>
        <c:lblAlgn val="ctr"/>
        <c:lblOffset val="100"/>
        <c:noMultiLvlLbl val="0"/>
      </c:catAx>
      <c:valAx>
        <c:axId val="14207451"/>
        <c:scaling>
          <c:orientation val="minMax"/>
        </c:scaling>
        <c:delete val="1"/>
        <c:axPos val="l"/>
        <c:numFmt formatCode="0.0" sourceLinked="1"/>
        <c:majorTickMark val="out"/>
        <c:minorTickMark val="none"/>
        <c:tickLblPos val="nextTo"/>
        <c:crossAx val="78593958"/>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ELS-F M máx – c/ isol.</a:t>
            </a:r>
          </a:p>
        </c:rich>
      </c:tx>
      <c:overlay val="0"/>
      <c:spPr>
        <a:noFill/>
        <a:ln w="0">
          <a:noFill/>
        </a:ln>
      </c:spPr>
    </c:title>
    <c:autoTitleDeleted val="0"/>
    <c:plotArea>
      <c:layout>
        <c:manualLayout>
          <c:layoutTarget val="inner"/>
          <c:xMode val="edge"/>
          <c:yMode val="edge"/>
          <c:x val="2.2230406987451001E-2"/>
          <c:y val="0.216032608695652"/>
          <c:w val="0.963431638209992"/>
          <c:h val="0.71978900255754497"/>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cabos'!$AR$124:$AR$144</c:f>
              <c:numCache>
                <c:formatCode>0.0</c:formatCode>
                <c:ptCount val="21"/>
                <c:pt idx="0">
                  <c:v>0</c:v>
                </c:pt>
                <c:pt idx="1">
                  <c:v>1.4971030713843581</c:v>
                </c:pt>
                <c:pt idx="2">
                  <c:v>2.4287734709768367</c:v>
                </c:pt>
                <c:pt idx="3">
                  <c:v>2.7950111987774373</c:v>
                </c:pt>
                <c:pt idx="4">
                  <c:v>5.5874972424761555</c:v>
                </c:pt>
                <c:pt idx="5">
                  <c:v>6.5914208813257149</c:v>
                </c:pt>
                <c:pt idx="6">
                  <c:v>6.8556258299553292</c:v>
                </c:pt>
                <c:pt idx="7">
                  <c:v>6.5543981067930615</c:v>
                </c:pt>
                <c:pt idx="8">
                  <c:v>7.8810284124586953</c:v>
                </c:pt>
                <c:pt idx="9">
                  <c:v>8.7291774201465167</c:v>
                </c:pt>
                <c:pt idx="10">
                  <c:v>9.0118937560424577</c:v>
                </c:pt>
                <c:pt idx="11">
                  <c:v>8.7291774201465184</c:v>
                </c:pt>
                <c:pt idx="12">
                  <c:v>7.8810284124587024</c:v>
                </c:pt>
                <c:pt idx="13">
                  <c:v>6.554398106793073</c:v>
                </c:pt>
                <c:pt idx="14">
                  <c:v>6.8556258299553381</c:v>
                </c:pt>
                <c:pt idx="15">
                  <c:v>6.5914208813257273</c:v>
                </c:pt>
                <c:pt idx="16">
                  <c:v>5.5874972424761697</c:v>
                </c:pt>
                <c:pt idx="17">
                  <c:v>2.7950111987774533</c:v>
                </c:pt>
                <c:pt idx="18">
                  <c:v>2.4287734709768545</c:v>
                </c:pt>
                <c:pt idx="19">
                  <c:v>1.4971030713843774</c:v>
                </c:pt>
                <c:pt idx="20">
                  <c:v>0</c:v>
                </c:pt>
              </c:numCache>
            </c:numRef>
          </c:val>
          <c:smooth val="1"/>
          <c:extLst>
            <c:ext xmlns:c16="http://schemas.microsoft.com/office/drawing/2014/chart" uri="{C3380CC4-5D6E-409C-BE32-E72D297353CC}">
              <c16:uniqueId val="{00000000-362C-479B-8BB8-7A158FE7B822}"/>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cabos'!$AR$101:$AR$121</c:f>
              <c:numCache>
                <c:formatCode>0.0</c:formatCode>
                <c:ptCount val="21"/>
                <c:pt idx="0">
                  <c:v>0</c:v>
                </c:pt>
                <c:pt idx="1">
                  <c:v>-0.57371836403524568</c:v>
                </c:pt>
                <c:pt idx="2">
                  <c:v>-0.94252259189468979</c:v>
                </c:pt>
                <c:pt idx="3">
                  <c:v>-0.79357536878865942</c:v>
                </c:pt>
                <c:pt idx="4">
                  <c:v>-2.1255172539313696</c:v>
                </c:pt>
                <c:pt idx="5">
                  <c:v>-3.1709970606870543</c:v>
                </c:pt>
                <c:pt idx="6">
                  <c:v>-4.0048139360494597</c:v>
                </c:pt>
                <c:pt idx="7">
                  <c:v>-4.6337166752360623</c:v>
                </c:pt>
                <c:pt idx="8">
                  <c:v>-5.142635038673955</c:v>
                </c:pt>
                <c:pt idx="9">
                  <c:v>-5.4500062429376568</c:v>
                </c:pt>
                <c:pt idx="10">
                  <c:v>-5.5524633110255586</c:v>
                </c:pt>
                <c:pt idx="11">
                  <c:v>-5.4500062429376568</c:v>
                </c:pt>
                <c:pt idx="12">
                  <c:v>-5.142635038673955</c:v>
                </c:pt>
                <c:pt idx="13">
                  <c:v>-4.6337166752360623</c:v>
                </c:pt>
                <c:pt idx="14">
                  <c:v>-4.0048139360494623</c:v>
                </c:pt>
                <c:pt idx="15">
                  <c:v>-3.1709970606870579</c:v>
                </c:pt>
                <c:pt idx="16">
                  <c:v>-2.1255172539313731</c:v>
                </c:pt>
                <c:pt idx="17">
                  <c:v>-0.79357536878866397</c:v>
                </c:pt>
                <c:pt idx="18">
                  <c:v>-0.94252259189469567</c:v>
                </c:pt>
                <c:pt idx="19">
                  <c:v>-0.57371836403525212</c:v>
                </c:pt>
                <c:pt idx="20">
                  <c:v>0</c:v>
                </c:pt>
              </c:numCache>
            </c:numRef>
          </c:val>
          <c:smooth val="1"/>
          <c:extLst>
            <c:ext xmlns:c16="http://schemas.microsoft.com/office/drawing/2014/chart" uri="{C3380CC4-5D6E-409C-BE32-E72D297353CC}">
              <c16:uniqueId val="{00000001-362C-479B-8BB8-7A158FE7B822}"/>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362C-479B-8BB8-7A158FE7B822}"/>
              </c:ext>
            </c:extLst>
          </c:dPt>
          <c:dPt>
            <c:idx val="2"/>
            <c:bubble3D val="0"/>
            <c:extLst>
              <c:ext xmlns:c16="http://schemas.microsoft.com/office/drawing/2014/chart" uri="{C3380CC4-5D6E-409C-BE32-E72D297353CC}">
                <c16:uniqueId val="{00000003-362C-479B-8BB8-7A158FE7B822}"/>
              </c:ext>
            </c:extLst>
          </c:dPt>
          <c:dPt>
            <c:idx val="3"/>
            <c:bubble3D val="0"/>
            <c:extLst>
              <c:ext xmlns:c16="http://schemas.microsoft.com/office/drawing/2014/chart" uri="{C3380CC4-5D6E-409C-BE32-E72D297353CC}">
                <c16:uniqueId val="{00000004-362C-479B-8BB8-7A158FE7B822}"/>
              </c:ext>
            </c:extLst>
          </c:dPt>
          <c:dPt>
            <c:idx val="4"/>
            <c:bubble3D val="0"/>
            <c:extLst>
              <c:ext xmlns:c16="http://schemas.microsoft.com/office/drawing/2014/chart" uri="{C3380CC4-5D6E-409C-BE32-E72D297353CC}">
                <c16:uniqueId val="{00000005-362C-479B-8BB8-7A158FE7B822}"/>
              </c:ext>
            </c:extLst>
          </c:dPt>
          <c:dPt>
            <c:idx val="5"/>
            <c:bubble3D val="0"/>
            <c:extLst>
              <c:ext xmlns:c16="http://schemas.microsoft.com/office/drawing/2014/chart" uri="{C3380CC4-5D6E-409C-BE32-E72D297353CC}">
                <c16:uniqueId val="{00000006-362C-479B-8BB8-7A158FE7B822}"/>
              </c:ext>
            </c:extLst>
          </c:dPt>
          <c:dPt>
            <c:idx val="6"/>
            <c:bubble3D val="0"/>
            <c:extLst>
              <c:ext xmlns:c16="http://schemas.microsoft.com/office/drawing/2014/chart" uri="{C3380CC4-5D6E-409C-BE32-E72D297353CC}">
                <c16:uniqueId val="{00000007-362C-479B-8BB8-7A158FE7B822}"/>
              </c:ext>
            </c:extLst>
          </c:dPt>
          <c:dPt>
            <c:idx val="7"/>
            <c:bubble3D val="0"/>
            <c:extLst>
              <c:ext xmlns:c16="http://schemas.microsoft.com/office/drawing/2014/chart" uri="{C3380CC4-5D6E-409C-BE32-E72D297353CC}">
                <c16:uniqueId val="{00000008-362C-479B-8BB8-7A158FE7B822}"/>
              </c:ext>
            </c:extLst>
          </c:dPt>
          <c:dPt>
            <c:idx val="8"/>
            <c:bubble3D val="0"/>
            <c:extLst>
              <c:ext xmlns:c16="http://schemas.microsoft.com/office/drawing/2014/chart" uri="{C3380CC4-5D6E-409C-BE32-E72D297353CC}">
                <c16:uniqueId val="{00000009-362C-479B-8BB8-7A158FE7B822}"/>
              </c:ext>
            </c:extLst>
          </c:dPt>
          <c:dPt>
            <c:idx val="9"/>
            <c:bubble3D val="0"/>
            <c:extLst>
              <c:ext xmlns:c16="http://schemas.microsoft.com/office/drawing/2014/chart" uri="{C3380CC4-5D6E-409C-BE32-E72D297353CC}">
                <c16:uniqueId val="{0000000A-362C-479B-8BB8-7A158FE7B822}"/>
              </c:ext>
            </c:extLst>
          </c:dPt>
          <c:dPt>
            <c:idx val="10"/>
            <c:bubble3D val="0"/>
            <c:extLst>
              <c:ext xmlns:c16="http://schemas.microsoft.com/office/drawing/2014/chart" uri="{C3380CC4-5D6E-409C-BE32-E72D297353CC}">
                <c16:uniqueId val="{0000000B-362C-479B-8BB8-7A158FE7B822}"/>
              </c:ext>
            </c:extLst>
          </c:dPt>
          <c:dPt>
            <c:idx val="11"/>
            <c:bubble3D val="0"/>
            <c:extLst>
              <c:ext xmlns:c16="http://schemas.microsoft.com/office/drawing/2014/chart" uri="{C3380CC4-5D6E-409C-BE32-E72D297353CC}">
                <c16:uniqueId val="{0000000C-362C-479B-8BB8-7A158FE7B822}"/>
              </c:ext>
            </c:extLst>
          </c:dPt>
          <c:dPt>
            <c:idx val="12"/>
            <c:bubble3D val="0"/>
            <c:extLst>
              <c:ext xmlns:c16="http://schemas.microsoft.com/office/drawing/2014/chart" uri="{C3380CC4-5D6E-409C-BE32-E72D297353CC}">
                <c16:uniqueId val="{0000000D-362C-479B-8BB8-7A158FE7B822}"/>
              </c:ext>
            </c:extLst>
          </c:dPt>
          <c:dPt>
            <c:idx val="13"/>
            <c:bubble3D val="0"/>
            <c:extLst>
              <c:ext xmlns:c16="http://schemas.microsoft.com/office/drawing/2014/chart" uri="{C3380CC4-5D6E-409C-BE32-E72D297353CC}">
                <c16:uniqueId val="{0000000E-362C-479B-8BB8-7A158FE7B822}"/>
              </c:ext>
            </c:extLst>
          </c:dPt>
          <c:dPt>
            <c:idx val="14"/>
            <c:bubble3D val="0"/>
            <c:extLst>
              <c:ext xmlns:c16="http://schemas.microsoft.com/office/drawing/2014/chart" uri="{C3380CC4-5D6E-409C-BE32-E72D297353CC}">
                <c16:uniqueId val="{0000000F-362C-479B-8BB8-7A158FE7B822}"/>
              </c:ext>
            </c:extLst>
          </c:dPt>
          <c:dPt>
            <c:idx val="15"/>
            <c:bubble3D val="0"/>
            <c:extLst>
              <c:ext xmlns:c16="http://schemas.microsoft.com/office/drawing/2014/chart" uri="{C3380CC4-5D6E-409C-BE32-E72D297353CC}">
                <c16:uniqueId val="{00000010-362C-479B-8BB8-7A158FE7B822}"/>
              </c:ext>
            </c:extLst>
          </c:dPt>
          <c:dPt>
            <c:idx val="16"/>
            <c:bubble3D val="0"/>
            <c:extLst>
              <c:ext xmlns:c16="http://schemas.microsoft.com/office/drawing/2014/chart" uri="{C3380CC4-5D6E-409C-BE32-E72D297353CC}">
                <c16:uniqueId val="{00000011-362C-479B-8BB8-7A158FE7B822}"/>
              </c:ext>
            </c:extLst>
          </c:dPt>
          <c:dPt>
            <c:idx val="17"/>
            <c:bubble3D val="0"/>
            <c:extLst>
              <c:ext xmlns:c16="http://schemas.microsoft.com/office/drawing/2014/chart" uri="{C3380CC4-5D6E-409C-BE32-E72D297353CC}">
                <c16:uniqueId val="{00000012-362C-479B-8BB8-7A158FE7B822}"/>
              </c:ext>
            </c:extLst>
          </c:dPt>
          <c:dPt>
            <c:idx val="18"/>
            <c:bubble3D val="0"/>
            <c:extLst>
              <c:ext xmlns:c16="http://schemas.microsoft.com/office/drawing/2014/chart" uri="{C3380CC4-5D6E-409C-BE32-E72D297353CC}">
                <c16:uniqueId val="{00000013-362C-479B-8BB8-7A158FE7B822}"/>
              </c:ext>
            </c:extLst>
          </c:dPt>
          <c:dPt>
            <c:idx val="19"/>
            <c:bubble3D val="0"/>
            <c:extLst>
              <c:ext xmlns:c16="http://schemas.microsoft.com/office/drawing/2014/chart" uri="{C3380CC4-5D6E-409C-BE32-E72D297353CC}">
                <c16:uniqueId val="{00000014-362C-479B-8BB8-7A158FE7B822}"/>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362C-479B-8BB8-7A158FE7B822}"/>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362C-479B-8BB8-7A158FE7B822}"/>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362C-479B-8BB8-7A158FE7B822}"/>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362C-479B-8BB8-7A158FE7B822}"/>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362C-479B-8BB8-7A158FE7B822}"/>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362C-479B-8BB8-7A158FE7B822}"/>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362C-479B-8BB8-7A158FE7B822}"/>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362C-479B-8BB8-7A158FE7B822}"/>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362C-479B-8BB8-7A158FE7B822}"/>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362C-479B-8BB8-7A158FE7B822}"/>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362C-479B-8BB8-7A158FE7B822}"/>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362C-479B-8BB8-7A158FE7B822}"/>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362C-479B-8BB8-7A158FE7B822}"/>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362C-479B-8BB8-7A158FE7B822}"/>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362C-479B-8BB8-7A158FE7B822}"/>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362C-479B-8BB8-7A158FE7B822}"/>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362C-479B-8BB8-7A158FE7B822}"/>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362C-479B-8BB8-7A158FE7B822}"/>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362C-479B-8BB8-7A158FE7B822}"/>
                </c:ext>
              </c:extLst>
            </c:dLbl>
            <c:spPr>
              <a:solidFill>
                <a:srgbClr val="FFFFFF"/>
              </a:solidFill>
              <a:ln w="12600">
                <a:solidFill>
                  <a:srgbClr val="F07623"/>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Geometria!$Q$447:$Q$467</c:f>
              <c:numCache>
                <c:formatCode>0.0</c:formatCode>
                <c:ptCount val="21"/>
                <c:pt idx="0">
                  <c:v>2.8501384974246515</c:v>
                </c:pt>
                <c:pt idx="1">
                  <c:v>2.8501384974246515</c:v>
                </c:pt>
                <c:pt idx="2">
                  <c:v>2.8501384974246515</c:v>
                </c:pt>
                <c:pt idx="3">
                  <c:v>2.8501384974246515</c:v>
                </c:pt>
                <c:pt idx="4">
                  <c:v>2.8501384974246515</c:v>
                </c:pt>
                <c:pt idx="5">
                  <c:v>2.8501384974246515</c:v>
                </c:pt>
                <c:pt idx="6">
                  <c:v>2.8501384974246515</c:v>
                </c:pt>
                <c:pt idx="7">
                  <c:v>2.8501384974246515</c:v>
                </c:pt>
                <c:pt idx="8">
                  <c:v>2.8501384974246515</c:v>
                </c:pt>
                <c:pt idx="9">
                  <c:v>2.8501384974246515</c:v>
                </c:pt>
                <c:pt idx="10">
                  <c:v>2.8501384974246515</c:v>
                </c:pt>
                <c:pt idx="11">
                  <c:v>2.8501384974246515</c:v>
                </c:pt>
                <c:pt idx="12">
                  <c:v>2.8501384974246515</c:v>
                </c:pt>
                <c:pt idx="13">
                  <c:v>2.8501384974246515</c:v>
                </c:pt>
                <c:pt idx="14">
                  <c:v>2.8501384974246515</c:v>
                </c:pt>
                <c:pt idx="15">
                  <c:v>2.8501384974246515</c:v>
                </c:pt>
                <c:pt idx="16">
                  <c:v>2.8501384974246515</c:v>
                </c:pt>
                <c:pt idx="17">
                  <c:v>2.8501384974246515</c:v>
                </c:pt>
                <c:pt idx="18">
                  <c:v>2.8501384974246515</c:v>
                </c:pt>
                <c:pt idx="19">
                  <c:v>2.8501384974246515</c:v>
                </c:pt>
                <c:pt idx="20">
                  <c:v>2.8501384974246515</c:v>
                </c:pt>
              </c:numCache>
            </c:numRef>
          </c:val>
          <c:smooth val="1"/>
          <c:extLst>
            <c:ext xmlns:c16="http://schemas.microsoft.com/office/drawing/2014/chart" uri="{C3380CC4-5D6E-409C-BE32-E72D297353CC}">
              <c16:uniqueId val="{00000015-362C-479B-8BB8-7A158FE7B822}"/>
            </c:ext>
          </c:extLst>
        </c:ser>
        <c:ser>
          <c:idx val="3"/>
          <c:order val="3"/>
          <c:tx>
            <c:v>Série4</c:v>
          </c:tx>
          <c:spPr>
            <a:ln w="12600">
              <a:solidFill>
                <a:srgbClr val="369C54"/>
              </a:solidFill>
              <a:round/>
            </a:ln>
          </c:spPr>
          <c:marker>
            <c:symbol val="none"/>
          </c:marker>
          <c:dPt>
            <c:idx val="1"/>
            <c:bubble3D val="0"/>
            <c:extLst>
              <c:ext xmlns:c16="http://schemas.microsoft.com/office/drawing/2014/chart" uri="{C3380CC4-5D6E-409C-BE32-E72D297353CC}">
                <c16:uniqueId val="{00000016-362C-479B-8BB8-7A158FE7B822}"/>
              </c:ext>
            </c:extLst>
          </c:dPt>
          <c:dPt>
            <c:idx val="2"/>
            <c:bubble3D val="0"/>
            <c:extLst>
              <c:ext xmlns:c16="http://schemas.microsoft.com/office/drawing/2014/chart" uri="{C3380CC4-5D6E-409C-BE32-E72D297353CC}">
                <c16:uniqueId val="{00000017-362C-479B-8BB8-7A158FE7B822}"/>
              </c:ext>
            </c:extLst>
          </c:dPt>
          <c:dPt>
            <c:idx val="3"/>
            <c:bubble3D val="0"/>
            <c:extLst>
              <c:ext xmlns:c16="http://schemas.microsoft.com/office/drawing/2014/chart" uri="{C3380CC4-5D6E-409C-BE32-E72D297353CC}">
                <c16:uniqueId val="{00000018-362C-479B-8BB8-7A158FE7B822}"/>
              </c:ext>
            </c:extLst>
          </c:dPt>
          <c:dPt>
            <c:idx val="4"/>
            <c:bubble3D val="0"/>
            <c:extLst>
              <c:ext xmlns:c16="http://schemas.microsoft.com/office/drawing/2014/chart" uri="{C3380CC4-5D6E-409C-BE32-E72D297353CC}">
                <c16:uniqueId val="{00000019-362C-479B-8BB8-7A158FE7B822}"/>
              </c:ext>
            </c:extLst>
          </c:dPt>
          <c:dPt>
            <c:idx val="5"/>
            <c:bubble3D val="0"/>
            <c:extLst>
              <c:ext xmlns:c16="http://schemas.microsoft.com/office/drawing/2014/chart" uri="{C3380CC4-5D6E-409C-BE32-E72D297353CC}">
                <c16:uniqueId val="{0000001A-362C-479B-8BB8-7A158FE7B822}"/>
              </c:ext>
            </c:extLst>
          </c:dPt>
          <c:dPt>
            <c:idx val="6"/>
            <c:bubble3D val="0"/>
            <c:extLst>
              <c:ext xmlns:c16="http://schemas.microsoft.com/office/drawing/2014/chart" uri="{C3380CC4-5D6E-409C-BE32-E72D297353CC}">
                <c16:uniqueId val="{0000001B-362C-479B-8BB8-7A158FE7B822}"/>
              </c:ext>
            </c:extLst>
          </c:dPt>
          <c:dPt>
            <c:idx val="7"/>
            <c:bubble3D val="0"/>
            <c:extLst>
              <c:ext xmlns:c16="http://schemas.microsoft.com/office/drawing/2014/chart" uri="{C3380CC4-5D6E-409C-BE32-E72D297353CC}">
                <c16:uniqueId val="{0000001C-362C-479B-8BB8-7A158FE7B822}"/>
              </c:ext>
            </c:extLst>
          </c:dPt>
          <c:dPt>
            <c:idx val="8"/>
            <c:bubble3D val="0"/>
            <c:extLst>
              <c:ext xmlns:c16="http://schemas.microsoft.com/office/drawing/2014/chart" uri="{C3380CC4-5D6E-409C-BE32-E72D297353CC}">
                <c16:uniqueId val="{0000001D-362C-479B-8BB8-7A158FE7B822}"/>
              </c:ext>
            </c:extLst>
          </c:dPt>
          <c:dPt>
            <c:idx val="9"/>
            <c:bubble3D val="0"/>
            <c:extLst>
              <c:ext xmlns:c16="http://schemas.microsoft.com/office/drawing/2014/chart" uri="{C3380CC4-5D6E-409C-BE32-E72D297353CC}">
                <c16:uniqueId val="{0000001E-362C-479B-8BB8-7A158FE7B822}"/>
              </c:ext>
            </c:extLst>
          </c:dPt>
          <c:dPt>
            <c:idx val="10"/>
            <c:bubble3D val="0"/>
            <c:extLst>
              <c:ext xmlns:c16="http://schemas.microsoft.com/office/drawing/2014/chart" uri="{C3380CC4-5D6E-409C-BE32-E72D297353CC}">
                <c16:uniqueId val="{0000001F-362C-479B-8BB8-7A158FE7B822}"/>
              </c:ext>
            </c:extLst>
          </c:dPt>
          <c:dPt>
            <c:idx val="11"/>
            <c:bubble3D val="0"/>
            <c:extLst>
              <c:ext xmlns:c16="http://schemas.microsoft.com/office/drawing/2014/chart" uri="{C3380CC4-5D6E-409C-BE32-E72D297353CC}">
                <c16:uniqueId val="{00000020-362C-479B-8BB8-7A158FE7B822}"/>
              </c:ext>
            </c:extLst>
          </c:dPt>
          <c:dPt>
            <c:idx val="12"/>
            <c:bubble3D val="0"/>
            <c:extLst>
              <c:ext xmlns:c16="http://schemas.microsoft.com/office/drawing/2014/chart" uri="{C3380CC4-5D6E-409C-BE32-E72D297353CC}">
                <c16:uniqueId val="{00000021-362C-479B-8BB8-7A158FE7B822}"/>
              </c:ext>
            </c:extLst>
          </c:dPt>
          <c:dPt>
            <c:idx val="13"/>
            <c:bubble3D val="0"/>
            <c:extLst>
              <c:ext xmlns:c16="http://schemas.microsoft.com/office/drawing/2014/chart" uri="{C3380CC4-5D6E-409C-BE32-E72D297353CC}">
                <c16:uniqueId val="{00000022-362C-479B-8BB8-7A158FE7B822}"/>
              </c:ext>
            </c:extLst>
          </c:dPt>
          <c:dPt>
            <c:idx val="14"/>
            <c:bubble3D val="0"/>
            <c:extLst>
              <c:ext xmlns:c16="http://schemas.microsoft.com/office/drawing/2014/chart" uri="{C3380CC4-5D6E-409C-BE32-E72D297353CC}">
                <c16:uniqueId val="{00000023-362C-479B-8BB8-7A158FE7B822}"/>
              </c:ext>
            </c:extLst>
          </c:dPt>
          <c:dPt>
            <c:idx val="15"/>
            <c:bubble3D val="0"/>
            <c:extLst>
              <c:ext xmlns:c16="http://schemas.microsoft.com/office/drawing/2014/chart" uri="{C3380CC4-5D6E-409C-BE32-E72D297353CC}">
                <c16:uniqueId val="{00000024-362C-479B-8BB8-7A158FE7B822}"/>
              </c:ext>
            </c:extLst>
          </c:dPt>
          <c:dPt>
            <c:idx val="16"/>
            <c:bubble3D val="0"/>
            <c:extLst>
              <c:ext xmlns:c16="http://schemas.microsoft.com/office/drawing/2014/chart" uri="{C3380CC4-5D6E-409C-BE32-E72D297353CC}">
                <c16:uniqueId val="{00000025-362C-479B-8BB8-7A158FE7B822}"/>
              </c:ext>
            </c:extLst>
          </c:dPt>
          <c:dPt>
            <c:idx val="17"/>
            <c:bubble3D val="0"/>
            <c:extLst>
              <c:ext xmlns:c16="http://schemas.microsoft.com/office/drawing/2014/chart" uri="{C3380CC4-5D6E-409C-BE32-E72D297353CC}">
                <c16:uniqueId val="{00000026-362C-479B-8BB8-7A158FE7B822}"/>
              </c:ext>
            </c:extLst>
          </c:dPt>
          <c:dPt>
            <c:idx val="18"/>
            <c:bubble3D val="0"/>
            <c:extLst>
              <c:ext xmlns:c16="http://schemas.microsoft.com/office/drawing/2014/chart" uri="{C3380CC4-5D6E-409C-BE32-E72D297353CC}">
                <c16:uniqueId val="{00000027-362C-479B-8BB8-7A158FE7B822}"/>
              </c:ext>
            </c:extLst>
          </c:dPt>
          <c:dPt>
            <c:idx val="19"/>
            <c:bubble3D val="0"/>
            <c:extLst>
              <c:ext xmlns:c16="http://schemas.microsoft.com/office/drawing/2014/chart" uri="{C3380CC4-5D6E-409C-BE32-E72D297353CC}">
                <c16:uniqueId val="{00000028-362C-479B-8BB8-7A158FE7B822}"/>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362C-479B-8BB8-7A158FE7B822}"/>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362C-479B-8BB8-7A158FE7B822}"/>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362C-479B-8BB8-7A158FE7B822}"/>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362C-479B-8BB8-7A158FE7B822}"/>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362C-479B-8BB8-7A158FE7B822}"/>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362C-479B-8BB8-7A158FE7B822}"/>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362C-479B-8BB8-7A158FE7B822}"/>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362C-479B-8BB8-7A158FE7B822}"/>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362C-479B-8BB8-7A158FE7B822}"/>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362C-479B-8BB8-7A158FE7B822}"/>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362C-479B-8BB8-7A158FE7B822}"/>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362C-479B-8BB8-7A158FE7B822}"/>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362C-479B-8BB8-7A158FE7B822}"/>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362C-479B-8BB8-7A158FE7B822}"/>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362C-479B-8BB8-7A158FE7B822}"/>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362C-479B-8BB8-7A158FE7B822}"/>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362C-479B-8BB8-7A158FE7B822}"/>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362C-479B-8BB8-7A158FE7B822}"/>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362C-479B-8BB8-7A158FE7B822}"/>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Geometria!$Q$552:$Q$572</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29-362C-479B-8BB8-7A158FE7B822}"/>
            </c:ext>
          </c:extLst>
        </c:ser>
        <c:dLbls>
          <c:showLegendKey val="0"/>
          <c:showVal val="0"/>
          <c:showCatName val="0"/>
          <c:showSerName val="0"/>
          <c:showPercent val="0"/>
          <c:showBubbleSize val="0"/>
        </c:dLbls>
        <c:hiLowLines>
          <c:spPr>
            <a:ln w="0">
              <a:noFill/>
            </a:ln>
          </c:spPr>
        </c:hiLowLines>
        <c:smooth val="0"/>
        <c:axId val="22079098"/>
        <c:axId val="86452842"/>
      </c:lineChart>
      <c:catAx>
        <c:axId val="22079098"/>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86452842"/>
        <c:crosses val="autoZero"/>
        <c:auto val="1"/>
        <c:lblAlgn val="ctr"/>
        <c:lblOffset val="100"/>
        <c:noMultiLvlLbl val="0"/>
      </c:catAx>
      <c:valAx>
        <c:axId val="86452842"/>
        <c:scaling>
          <c:orientation val="minMax"/>
        </c:scaling>
        <c:delete val="1"/>
        <c:axPos val="l"/>
        <c:numFmt formatCode="0.0" sourceLinked="1"/>
        <c:majorTickMark val="out"/>
        <c:minorTickMark val="none"/>
        <c:tickLblPos val="nextTo"/>
        <c:crossAx val="22079098"/>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ELS-D M máx – c/ isol.</a:t>
            </a:r>
          </a:p>
        </c:rich>
      </c:tx>
      <c:overlay val="0"/>
      <c:spPr>
        <a:noFill/>
        <a:ln w="0">
          <a:noFill/>
        </a:ln>
      </c:spPr>
    </c:title>
    <c:autoTitleDeleted val="0"/>
    <c:plotArea>
      <c:layout>
        <c:manualLayout>
          <c:layoutTarget val="inner"/>
          <c:xMode val="edge"/>
          <c:yMode val="edge"/>
          <c:x val="1.76824173158306E-2"/>
          <c:y val="0.107002716571084"/>
          <c:w val="0.96835494218173002"/>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cabos'!$CL$124:$CL$144</c:f>
              <c:numCache>
                <c:formatCode>0.0</c:formatCode>
                <c:ptCount val="21"/>
                <c:pt idx="0">
                  <c:v>0</c:v>
                </c:pt>
                <c:pt idx="1">
                  <c:v>1.4971030713843581</c:v>
                </c:pt>
                <c:pt idx="2">
                  <c:v>2.4287734709768367</c:v>
                </c:pt>
                <c:pt idx="3">
                  <c:v>2.7950111987774373</c:v>
                </c:pt>
                <c:pt idx="4">
                  <c:v>2.7600214485435326</c:v>
                </c:pt>
                <c:pt idx="5">
                  <c:v>3.2779726853109215</c:v>
                </c:pt>
                <c:pt idx="6">
                  <c:v>3.1445638504187627</c:v>
                </c:pt>
                <c:pt idx="7">
                  <c:v>2.5340809622951128</c:v>
                </c:pt>
                <c:pt idx="8">
                  <c:v>3.6398147215597612</c:v>
                </c:pt>
                <c:pt idx="9">
                  <c:v>4.3554258014069891</c:v>
                </c:pt>
                <c:pt idx="10">
                  <c:v>4.5939628280227334</c:v>
                </c:pt>
                <c:pt idx="11">
                  <c:v>4.3554258014069909</c:v>
                </c:pt>
                <c:pt idx="12">
                  <c:v>3.6398147215597647</c:v>
                </c:pt>
                <c:pt idx="13">
                  <c:v>2.5340809622951199</c:v>
                </c:pt>
                <c:pt idx="14">
                  <c:v>3.144563850418769</c:v>
                </c:pt>
                <c:pt idx="15">
                  <c:v>3.2779726853109334</c:v>
                </c:pt>
                <c:pt idx="16">
                  <c:v>2.7600214485435437</c:v>
                </c:pt>
                <c:pt idx="17">
                  <c:v>2.7950111987774533</c:v>
                </c:pt>
                <c:pt idx="18">
                  <c:v>2.4287734709768545</c:v>
                </c:pt>
                <c:pt idx="19">
                  <c:v>1.4971030713843774</c:v>
                </c:pt>
                <c:pt idx="20">
                  <c:v>0</c:v>
                </c:pt>
              </c:numCache>
            </c:numRef>
          </c:val>
          <c:smooth val="1"/>
          <c:extLst>
            <c:ext xmlns:c16="http://schemas.microsoft.com/office/drawing/2014/chart" uri="{C3380CC4-5D6E-409C-BE32-E72D297353CC}">
              <c16:uniqueId val="{00000000-F419-4C8C-B68A-AF4CED782E9B}"/>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cabos'!$CL$101:$CL$121</c:f>
              <c:numCache>
                <c:formatCode>0.0</c:formatCode>
                <c:ptCount val="21"/>
                <c:pt idx="0">
                  <c:v>0</c:v>
                </c:pt>
                <c:pt idx="1">
                  <c:v>-0.57371836403524568</c:v>
                </c:pt>
                <c:pt idx="2">
                  <c:v>-0.94252259189468979</c:v>
                </c:pt>
                <c:pt idx="3">
                  <c:v>-0.79357367194012729</c:v>
                </c:pt>
                <c:pt idx="4">
                  <c:v>-2.1255151245528192</c:v>
                </c:pt>
                <c:pt idx="5">
                  <c:v>-3.1709945653215654</c:v>
                </c:pt>
                <c:pt idx="6">
                  <c:v>-4.0048111412401122</c:v>
                </c:pt>
                <c:pt idx="7">
                  <c:v>-4.6337136475259371</c:v>
                </c:pt>
                <c:pt idx="8">
                  <c:v>-5.1426318446061297</c:v>
                </c:pt>
                <c:pt idx="9">
                  <c:v>-5.4500029490552118</c:v>
                </c:pt>
                <c:pt idx="10">
                  <c:v>-5.5524599838715742</c:v>
                </c:pt>
                <c:pt idx="11">
                  <c:v>-5.4500029490552118</c:v>
                </c:pt>
                <c:pt idx="12">
                  <c:v>-5.1426318446061297</c:v>
                </c:pt>
                <c:pt idx="13">
                  <c:v>-4.6337136475259371</c:v>
                </c:pt>
                <c:pt idx="14">
                  <c:v>-4.0048111412401148</c:v>
                </c:pt>
                <c:pt idx="15">
                  <c:v>-3.170994565321569</c:v>
                </c:pt>
                <c:pt idx="16">
                  <c:v>-2.1255151245528228</c:v>
                </c:pt>
                <c:pt idx="17">
                  <c:v>-0.79357367194013184</c:v>
                </c:pt>
                <c:pt idx="18">
                  <c:v>-0.94252259189469567</c:v>
                </c:pt>
                <c:pt idx="19">
                  <c:v>-0.57371836403525212</c:v>
                </c:pt>
                <c:pt idx="20">
                  <c:v>0</c:v>
                </c:pt>
              </c:numCache>
            </c:numRef>
          </c:val>
          <c:smooth val="1"/>
          <c:extLst>
            <c:ext xmlns:c16="http://schemas.microsoft.com/office/drawing/2014/chart" uri="{C3380CC4-5D6E-409C-BE32-E72D297353CC}">
              <c16:uniqueId val="{00000001-F419-4C8C-B68A-AF4CED782E9B}"/>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F419-4C8C-B68A-AF4CED782E9B}"/>
              </c:ext>
            </c:extLst>
          </c:dPt>
          <c:dPt>
            <c:idx val="2"/>
            <c:bubble3D val="0"/>
            <c:extLst>
              <c:ext xmlns:c16="http://schemas.microsoft.com/office/drawing/2014/chart" uri="{C3380CC4-5D6E-409C-BE32-E72D297353CC}">
                <c16:uniqueId val="{00000003-F419-4C8C-B68A-AF4CED782E9B}"/>
              </c:ext>
            </c:extLst>
          </c:dPt>
          <c:dPt>
            <c:idx val="3"/>
            <c:bubble3D val="0"/>
            <c:extLst>
              <c:ext xmlns:c16="http://schemas.microsoft.com/office/drawing/2014/chart" uri="{C3380CC4-5D6E-409C-BE32-E72D297353CC}">
                <c16:uniqueId val="{00000004-F419-4C8C-B68A-AF4CED782E9B}"/>
              </c:ext>
            </c:extLst>
          </c:dPt>
          <c:dPt>
            <c:idx val="4"/>
            <c:bubble3D val="0"/>
            <c:extLst>
              <c:ext xmlns:c16="http://schemas.microsoft.com/office/drawing/2014/chart" uri="{C3380CC4-5D6E-409C-BE32-E72D297353CC}">
                <c16:uniqueId val="{00000005-F419-4C8C-B68A-AF4CED782E9B}"/>
              </c:ext>
            </c:extLst>
          </c:dPt>
          <c:dPt>
            <c:idx val="5"/>
            <c:bubble3D val="0"/>
            <c:extLst>
              <c:ext xmlns:c16="http://schemas.microsoft.com/office/drawing/2014/chart" uri="{C3380CC4-5D6E-409C-BE32-E72D297353CC}">
                <c16:uniqueId val="{00000006-F419-4C8C-B68A-AF4CED782E9B}"/>
              </c:ext>
            </c:extLst>
          </c:dPt>
          <c:dPt>
            <c:idx val="6"/>
            <c:bubble3D val="0"/>
            <c:extLst>
              <c:ext xmlns:c16="http://schemas.microsoft.com/office/drawing/2014/chart" uri="{C3380CC4-5D6E-409C-BE32-E72D297353CC}">
                <c16:uniqueId val="{00000007-F419-4C8C-B68A-AF4CED782E9B}"/>
              </c:ext>
            </c:extLst>
          </c:dPt>
          <c:dPt>
            <c:idx val="7"/>
            <c:bubble3D val="0"/>
            <c:extLst>
              <c:ext xmlns:c16="http://schemas.microsoft.com/office/drawing/2014/chart" uri="{C3380CC4-5D6E-409C-BE32-E72D297353CC}">
                <c16:uniqueId val="{00000008-F419-4C8C-B68A-AF4CED782E9B}"/>
              </c:ext>
            </c:extLst>
          </c:dPt>
          <c:dPt>
            <c:idx val="8"/>
            <c:bubble3D val="0"/>
            <c:extLst>
              <c:ext xmlns:c16="http://schemas.microsoft.com/office/drawing/2014/chart" uri="{C3380CC4-5D6E-409C-BE32-E72D297353CC}">
                <c16:uniqueId val="{00000009-F419-4C8C-B68A-AF4CED782E9B}"/>
              </c:ext>
            </c:extLst>
          </c:dPt>
          <c:dPt>
            <c:idx val="9"/>
            <c:bubble3D val="0"/>
            <c:extLst>
              <c:ext xmlns:c16="http://schemas.microsoft.com/office/drawing/2014/chart" uri="{C3380CC4-5D6E-409C-BE32-E72D297353CC}">
                <c16:uniqueId val="{0000000A-F419-4C8C-B68A-AF4CED782E9B}"/>
              </c:ext>
            </c:extLst>
          </c:dPt>
          <c:dPt>
            <c:idx val="10"/>
            <c:bubble3D val="0"/>
            <c:extLst>
              <c:ext xmlns:c16="http://schemas.microsoft.com/office/drawing/2014/chart" uri="{C3380CC4-5D6E-409C-BE32-E72D297353CC}">
                <c16:uniqueId val="{0000000B-F419-4C8C-B68A-AF4CED782E9B}"/>
              </c:ext>
            </c:extLst>
          </c:dPt>
          <c:dPt>
            <c:idx val="11"/>
            <c:bubble3D val="0"/>
            <c:extLst>
              <c:ext xmlns:c16="http://schemas.microsoft.com/office/drawing/2014/chart" uri="{C3380CC4-5D6E-409C-BE32-E72D297353CC}">
                <c16:uniqueId val="{0000000C-F419-4C8C-B68A-AF4CED782E9B}"/>
              </c:ext>
            </c:extLst>
          </c:dPt>
          <c:dPt>
            <c:idx val="12"/>
            <c:bubble3D val="0"/>
            <c:extLst>
              <c:ext xmlns:c16="http://schemas.microsoft.com/office/drawing/2014/chart" uri="{C3380CC4-5D6E-409C-BE32-E72D297353CC}">
                <c16:uniqueId val="{0000000D-F419-4C8C-B68A-AF4CED782E9B}"/>
              </c:ext>
            </c:extLst>
          </c:dPt>
          <c:dPt>
            <c:idx val="13"/>
            <c:bubble3D val="0"/>
            <c:extLst>
              <c:ext xmlns:c16="http://schemas.microsoft.com/office/drawing/2014/chart" uri="{C3380CC4-5D6E-409C-BE32-E72D297353CC}">
                <c16:uniqueId val="{0000000E-F419-4C8C-B68A-AF4CED782E9B}"/>
              </c:ext>
            </c:extLst>
          </c:dPt>
          <c:dPt>
            <c:idx val="14"/>
            <c:bubble3D val="0"/>
            <c:extLst>
              <c:ext xmlns:c16="http://schemas.microsoft.com/office/drawing/2014/chart" uri="{C3380CC4-5D6E-409C-BE32-E72D297353CC}">
                <c16:uniqueId val="{0000000F-F419-4C8C-B68A-AF4CED782E9B}"/>
              </c:ext>
            </c:extLst>
          </c:dPt>
          <c:dPt>
            <c:idx val="15"/>
            <c:bubble3D val="0"/>
            <c:extLst>
              <c:ext xmlns:c16="http://schemas.microsoft.com/office/drawing/2014/chart" uri="{C3380CC4-5D6E-409C-BE32-E72D297353CC}">
                <c16:uniqueId val="{00000010-F419-4C8C-B68A-AF4CED782E9B}"/>
              </c:ext>
            </c:extLst>
          </c:dPt>
          <c:dPt>
            <c:idx val="16"/>
            <c:bubble3D val="0"/>
            <c:extLst>
              <c:ext xmlns:c16="http://schemas.microsoft.com/office/drawing/2014/chart" uri="{C3380CC4-5D6E-409C-BE32-E72D297353CC}">
                <c16:uniqueId val="{00000011-F419-4C8C-B68A-AF4CED782E9B}"/>
              </c:ext>
            </c:extLst>
          </c:dPt>
          <c:dPt>
            <c:idx val="17"/>
            <c:bubble3D val="0"/>
            <c:extLst>
              <c:ext xmlns:c16="http://schemas.microsoft.com/office/drawing/2014/chart" uri="{C3380CC4-5D6E-409C-BE32-E72D297353CC}">
                <c16:uniqueId val="{00000012-F419-4C8C-B68A-AF4CED782E9B}"/>
              </c:ext>
            </c:extLst>
          </c:dPt>
          <c:dPt>
            <c:idx val="18"/>
            <c:bubble3D val="0"/>
            <c:extLst>
              <c:ext xmlns:c16="http://schemas.microsoft.com/office/drawing/2014/chart" uri="{C3380CC4-5D6E-409C-BE32-E72D297353CC}">
                <c16:uniqueId val="{00000013-F419-4C8C-B68A-AF4CED782E9B}"/>
              </c:ext>
            </c:extLst>
          </c:dPt>
          <c:dPt>
            <c:idx val="19"/>
            <c:bubble3D val="0"/>
            <c:extLst>
              <c:ext xmlns:c16="http://schemas.microsoft.com/office/drawing/2014/chart" uri="{C3380CC4-5D6E-409C-BE32-E72D297353CC}">
                <c16:uniqueId val="{00000014-F419-4C8C-B68A-AF4CED782E9B}"/>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F419-4C8C-B68A-AF4CED782E9B}"/>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F419-4C8C-B68A-AF4CED782E9B}"/>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F419-4C8C-B68A-AF4CED782E9B}"/>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F419-4C8C-B68A-AF4CED782E9B}"/>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F419-4C8C-B68A-AF4CED782E9B}"/>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F419-4C8C-B68A-AF4CED782E9B}"/>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F419-4C8C-B68A-AF4CED782E9B}"/>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F419-4C8C-B68A-AF4CED782E9B}"/>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F419-4C8C-B68A-AF4CED782E9B}"/>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F419-4C8C-B68A-AF4CED782E9B}"/>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F419-4C8C-B68A-AF4CED782E9B}"/>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F419-4C8C-B68A-AF4CED782E9B}"/>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F419-4C8C-B68A-AF4CED782E9B}"/>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F419-4C8C-B68A-AF4CED782E9B}"/>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F419-4C8C-B68A-AF4CED782E9B}"/>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F419-4C8C-B68A-AF4CED782E9B}"/>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F419-4C8C-B68A-AF4CED782E9B}"/>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F419-4C8C-B68A-AF4CED782E9B}"/>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F419-4C8C-B68A-AF4CED782E9B}"/>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F419-4C8C-B68A-AF4CED782E9B}"/>
            </c:ext>
          </c:extLst>
        </c:ser>
        <c:dLbls>
          <c:showLegendKey val="0"/>
          <c:showVal val="0"/>
          <c:showCatName val="0"/>
          <c:showSerName val="0"/>
          <c:showPercent val="0"/>
          <c:showBubbleSize val="0"/>
        </c:dLbls>
        <c:hiLowLines>
          <c:spPr>
            <a:ln w="0">
              <a:noFill/>
            </a:ln>
          </c:spPr>
        </c:hiLowLines>
        <c:smooth val="0"/>
        <c:axId val="19917261"/>
        <c:axId val="35066169"/>
      </c:lineChart>
      <c:catAx>
        <c:axId val="19917261"/>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35066169"/>
        <c:crosses val="autoZero"/>
        <c:auto val="1"/>
        <c:lblAlgn val="ctr"/>
        <c:lblOffset val="100"/>
        <c:noMultiLvlLbl val="0"/>
      </c:catAx>
      <c:valAx>
        <c:axId val="35066169"/>
        <c:scaling>
          <c:orientation val="minMax"/>
        </c:scaling>
        <c:delete val="1"/>
        <c:axPos val="l"/>
        <c:numFmt formatCode="0.0" sourceLinked="1"/>
        <c:majorTickMark val="out"/>
        <c:minorTickMark val="none"/>
        <c:tickLblPos val="nextTo"/>
        <c:crossAx val="19917261"/>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5.7237401064257898E-2"/>
          <c:y val="2.5487512829284999E-2"/>
          <c:w val="0.94249429861825296"/>
          <c:h val="0.84160109476565204"/>
        </c:manualLayout>
      </c:layout>
      <c:scatterChart>
        <c:scatterStyle val="lineMarker"/>
        <c:varyColors val="0"/>
        <c:ser>
          <c:idx val="0"/>
          <c:order val="0"/>
          <c:tx>
            <c:v>Viga</c:v>
          </c:tx>
          <c:spPr>
            <a:ln w="12600">
              <a:solidFill>
                <a:srgbClr val="156082"/>
              </a:solidFill>
              <a:round/>
            </a:ln>
          </c:spPr>
          <c:marker>
            <c:symbol val="none"/>
          </c:marker>
          <c:dPt>
            <c:idx val="3"/>
            <c:bubble3D val="0"/>
            <c:extLst>
              <c:ext xmlns:c16="http://schemas.microsoft.com/office/drawing/2014/chart" uri="{C3380CC4-5D6E-409C-BE32-E72D297353CC}">
                <c16:uniqueId val="{00000000-F939-436B-994B-889D747920CC}"/>
              </c:ext>
            </c:extLst>
          </c:dPt>
          <c:dLbls>
            <c:dLbl>
              <c:idx val="3"/>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F939-436B-994B-889D747920CC}"/>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Geometria!$V$16:$V$34</c:f>
              <c:numCache>
                <c:formatCode>0.000</c:formatCode>
                <c:ptCount val="19"/>
                <c:pt idx="0">
                  <c:v>0</c:v>
                </c:pt>
                <c:pt idx="1">
                  <c:v>-15</c:v>
                </c:pt>
                <c:pt idx="2">
                  <c:v>-15</c:v>
                </c:pt>
                <c:pt idx="3">
                  <c:v>-30</c:v>
                </c:pt>
                <c:pt idx="4">
                  <c:v>-30</c:v>
                </c:pt>
                <c:pt idx="5">
                  <c:v>30</c:v>
                </c:pt>
                <c:pt idx="6">
                  <c:v>30</c:v>
                </c:pt>
                <c:pt idx="7">
                  <c:v>15</c:v>
                </c:pt>
                <c:pt idx="8">
                  <c:v>15</c:v>
                </c:pt>
                <c:pt idx="9">
                  <c:v>0</c:v>
                </c:pt>
                <c:pt idx="10">
                  <c:v>0</c:v>
                </c:pt>
                <c:pt idx="11">
                  <c:v>0</c:v>
                </c:pt>
                <c:pt idx="12">
                  <c:v>0</c:v>
                </c:pt>
                <c:pt idx="13">
                  <c:v>0</c:v>
                </c:pt>
                <c:pt idx="14">
                  <c:v>0</c:v>
                </c:pt>
                <c:pt idx="15">
                  <c:v>0</c:v>
                </c:pt>
                <c:pt idx="16">
                  <c:v>0</c:v>
                </c:pt>
                <c:pt idx="17">
                  <c:v>0</c:v>
                </c:pt>
                <c:pt idx="18">
                  <c:v>0</c:v>
                </c:pt>
              </c:numCache>
            </c:numRef>
          </c:xVal>
          <c:yVal>
            <c:numRef>
              <c:f>Geometria!$W$16:$W$34</c:f>
              <c:numCache>
                <c:formatCode>0.000</c:formatCode>
                <c:ptCount val="19"/>
                <c:pt idx="0">
                  <c:v>0</c:v>
                </c:pt>
                <c:pt idx="1">
                  <c:v>0</c:v>
                </c:pt>
                <c:pt idx="2">
                  <c:v>40</c:v>
                </c:pt>
                <c:pt idx="3">
                  <c:v>45</c:v>
                </c:pt>
                <c:pt idx="4">
                  <c:v>60</c:v>
                </c:pt>
                <c:pt idx="5">
                  <c:v>60</c:v>
                </c:pt>
                <c:pt idx="6">
                  <c:v>45</c:v>
                </c:pt>
                <c:pt idx="7">
                  <c:v>40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1-F939-436B-994B-889D747920CC}"/>
            </c:ext>
          </c:extLst>
        </c:ser>
        <c:ser>
          <c:idx val="1"/>
          <c:order val="1"/>
          <c:tx>
            <c:v>Cordoalhas</c:v>
          </c:tx>
          <c:spPr>
            <a:ln w="19080">
              <a:noFill/>
            </a:ln>
          </c:spPr>
          <c:marker>
            <c:symbol val="circle"/>
            <c:size val="5"/>
            <c:spPr>
              <a:solidFill>
                <a:srgbClr val="E97132"/>
              </a:solidFill>
            </c:spPr>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Geometria!$W$251:$W$257</c:f>
              <c:numCache>
                <c:formatCode>0.0" cm"</c:formatCode>
                <c:ptCount val="7"/>
                <c:pt idx="0">
                  <c:v>-9</c:v>
                </c:pt>
                <c:pt idx="1">
                  <c:v>-3</c:v>
                </c:pt>
                <c:pt idx="2">
                  <c:v>3</c:v>
                </c:pt>
                <c:pt idx="3" formatCode="General">
                  <c:v>9</c:v>
                </c:pt>
                <c:pt idx="4" formatCode="General">
                  <c:v>#N/A</c:v>
                </c:pt>
                <c:pt idx="5" formatCode="General">
                  <c:v>#N/A</c:v>
                </c:pt>
                <c:pt idx="6" formatCode="General">
                  <c:v>#N/A</c:v>
                </c:pt>
              </c:numCache>
            </c:numRef>
          </c:xVal>
          <c:yVal>
            <c:numRef>
              <c:f>Geometria!$X$251:$X$257</c:f>
              <c:numCache>
                <c:formatCode>General</c:formatCode>
                <c:ptCount val="7"/>
                <c:pt idx="0">
                  <c:v>8</c:v>
                </c:pt>
                <c:pt idx="1">
                  <c:v>8</c:v>
                </c:pt>
                <c:pt idx="2">
                  <c:v>8</c:v>
                </c:pt>
                <c:pt idx="3">
                  <c:v>8</c:v>
                </c:pt>
                <c:pt idx="4">
                  <c:v>0</c:v>
                </c:pt>
                <c:pt idx="5">
                  <c:v>0</c:v>
                </c:pt>
                <c:pt idx="6">
                  <c:v>0</c:v>
                </c:pt>
              </c:numCache>
            </c:numRef>
          </c:yVal>
          <c:smooth val="0"/>
          <c:extLst>
            <c:ext xmlns:c16="http://schemas.microsoft.com/office/drawing/2014/chart" uri="{C3380CC4-5D6E-409C-BE32-E72D297353CC}">
              <c16:uniqueId val="{00000002-F939-436B-994B-889D747920CC}"/>
            </c:ext>
          </c:extLst>
        </c:ser>
        <c:ser>
          <c:idx val="2"/>
          <c:order val="2"/>
          <c:tx>
            <c:v>Cordoalha superior</c:v>
          </c:tx>
          <c:spPr>
            <a:ln w="19080">
              <a:noFill/>
            </a:ln>
          </c:spPr>
          <c:marker>
            <c:symbol val="circle"/>
            <c:size val="5"/>
            <c:spPr>
              <a:solidFill>
                <a:srgbClr val="196B24"/>
              </a:solidFill>
            </c:spPr>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Geometria!$Z$251:$Z$257</c:f>
              <c:numCache>
                <c:formatCode>0.0" cm"</c:formatCode>
                <c:ptCount val="7"/>
                <c:pt idx="0">
                  <c:v>#N/A</c:v>
                </c:pt>
                <c:pt idx="1">
                  <c:v>#N/A</c:v>
                </c:pt>
                <c:pt idx="2">
                  <c:v>#N/A</c:v>
                </c:pt>
                <c:pt idx="3" formatCode="General">
                  <c:v>#N/A</c:v>
                </c:pt>
                <c:pt idx="4" formatCode="General">
                  <c:v>#N/A</c:v>
                </c:pt>
                <c:pt idx="5" formatCode="General">
                  <c:v>#N/A</c:v>
                </c:pt>
                <c:pt idx="6" formatCode="General">
                  <c:v>#N/A</c:v>
                </c:pt>
              </c:numCache>
            </c:numRef>
          </c:xVal>
          <c:yVal>
            <c:numRef>
              <c:f>Geometria!$AA$251:$AA$257</c:f>
              <c:numCache>
                <c:formatCode>General</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3-F939-436B-994B-889D747920CC}"/>
            </c:ext>
          </c:extLst>
        </c:ser>
        <c:ser>
          <c:idx val="3"/>
          <c:order val="3"/>
          <c:tx>
            <c:v>inf 2 cam</c:v>
          </c:tx>
          <c:spPr>
            <a:ln w="19080">
              <a:noFill/>
            </a:ln>
          </c:spPr>
          <c:marker>
            <c:symbol val="circle"/>
            <c:size val="5"/>
            <c:spPr>
              <a:solidFill>
                <a:srgbClr val="0F9ED5"/>
              </a:solidFill>
            </c:spPr>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Geometria!$W$261:$W$267</c:f>
              <c:numCache>
                <c:formatCode>0.0" cm"</c:formatCode>
                <c:ptCount val="7"/>
                <c:pt idx="0">
                  <c:v>-9</c:v>
                </c:pt>
                <c:pt idx="1">
                  <c:v>-3</c:v>
                </c:pt>
                <c:pt idx="2">
                  <c:v>3</c:v>
                </c:pt>
                <c:pt idx="3" formatCode="General">
                  <c:v>9</c:v>
                </c:pt>
                <c:pt idx="4" formatCode="General">
                  <c:v>#N/A</c:v>
                </c:pt>
                <c:pt idx="5" formatCode="General">
                  <c:v>#N/A</c:v>
                </c:pt>
                <c:pt idx="6" formatCode="General">
                  <c:v>#N/A</c:v>
                </c:pt>
              </c:numCache>
            </c:numRef>
          </c:xVal>
          <c:yVal>
            <c:numRef>
              <c:f>Geometria!$X$261:$X$267</c:f>
              <c:numCache>
                <c:formatCode>General</c:formatCode>
                <c:ptCount val="7"/>
                <c:pt idx="0">
                  <c:v>14.5</c:v>
                </c:pt>
                <c:pt idx="1">
                  <c:v>14.5</c:v>
                </c:pt>
                <c:pt idx="2">
                  <c:v>14.5</c:v>
                </c:pt>
                <c:pt idx="3">
                  <c:v>14.5</c:v>
                </c:pt>
                <c:pt idx="4">
                  <c:v>0</c:v>
                </c:pt>
                <c:pt idx="5">
                  <c:v>0</c:v>
                </c:pt>
                <c:pt idx="6">
                  <c:v>0</c:v>
                </c:pt>
              </c:numCache>
            </c:numRef>
          </c:yVal>
          <c:smooth val="0"/>
          <c:extLst>
            <c:ext xmlns:c16="http://schemas.microsoft.com/office/drawing/2014/chart" uri="{C3380CC4-5D6E-409C-BE32-E72D297353CC}">
              <c16:uniqueId val="{00000004-F939-436B-994B-889D747920CC}"/>
            </c:ext>
          </c:extLst>
        </c:ser>
        <c:ser>
          <c:idx val="4"/>
          <c:order val="4"/>
          <c:tx>
            <c:v>inf 3 camada</c:v>
          </c:tx>
          <c:spPr>
            <a:ln w="19080">
              <a:noFill/>
            </a:ln>
          </c:spPr>
          <c:marker>
            <c:symbol val="circle"/>
            <c:size val="5"/>
            <c:spPr>
              <a:solidFill>
                <a:srgbClr val="A02B93"/>
              </a:solidFill>
            </c:spPr>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Geometria!$Z$261:$Z$267</c:f>
              <c:numCache>
                <c:formatCode>0.0" cm"</c:formatCode>
                <c:ptCount val="7"/>
                <c:pt idx="0">
                  <c:v>#N/A</c:v>
                </c:pt>
                <c:pt idx="1">
                  <c:v>#N/A</c:v>
                </c:pt>
                <c:pt idx="2">
                  <c:v>#N/A</c:v>
                </c:pt>
                <c:pt idx="3" formatCode="General">
                  <c:v>#N/A</c:v>
                </c:pt>
                <c:pt idx="4" formatCode="General">
                  <c:v>#N/A</c:v>
                </c:pt>
                <c:pt idx="5" formatCode="General">
                  <c:v>#N/A</c:v>
                </c:pt>
                <c:pt idx="6" formatCode="General">
                  <c:v>#N/A</c:v>
                </c:pt>
              </c:numCache>
            </c:numRef>
          </c:xVal>
          <c:yVal>
            <c:numRef>
              <c:f>Geometria!$AA$261:$AA$267</c:f>
              <c:numCache>
                <c:formatCode>General</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5-F939-436B-994B-889D747920CC}"/>
            </c:ext>
          </c:extLst>
        </c:ser>
        <c:ser>
          <c:idx val="5"/>
          <c:order val="5"/>
          <c:tx>
            <c:v>Estribo</c:v>
          </c:tx>
          <c:spPr>
            <a:ln w="25560">
              <a:solidFill>
                <a:srgbClr val="369C5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Geometria!$AE$235:$AE$247</c:f>
              <c:numCache>
                <c:formatCode>General</c:formatCode>
                <c:ptCount val="13"/>
                <c:pt idx="0">
                  <c:v>0</c:v>
                </c:pt>
                <c:pt idx="1">
                  <c:v>-12</c:v>
                </c:pt>
                <c:pt idx="2">
                  <c:v>-12</c:v>
                </c:pt>
                <c:pt idx="3">
                  <c:v>-27</c:v>
                </c:pt>
                <c:pt idx="4">
                  <c:v>-27</c:v>
                </c:pt>
                <c:pt idx="5">
                  <c:v>27</c:v>
                </c:pt>
                <c:pt idx="6">
                  <c:v>27</c:v>
                </c:pt>
                <c:pt idx="7">
                  <c:v>12</c:v>
                </c:pt>
                <c:pt idx="8">
                  <c:v>12</c:v>
                </c:pt>
                <c:pt idx="9">
                  <c:v>-12</c:v>
                </c:pt>
                <c:pt idx="10">
                  <c:v>-12</c:v>
                </c:pt>
                <c:pt idx="11">
                  <c:v>12</c:v>
                </c:pt>
                <c:pt idx="12">
                  <c:v>12</c:v>
                </c:pt>
              </c:numCache>
            </c:numRef>
          </c:xVal>
          <c:yVal>
            <c:numRef>
              <c:f>Geometria!$AF$235:$AF$247</c:f>
              <c:numCache>
                <c:formatCode>General</c:formatCode>
                <c:ptCount val="13"/>
                <c:pt idx="0" formatCode="0.0&quot; cm&quot;">
                  <c:v>3</c:v>
                </c:pt>
                <c:pt idx="1">
                  <c:v>3</c:v>
                </c:pt>
                <c:pt idx="2">
                  <c:v>43</c:v>
                </c:pt>
                <c:pt idx="3">
                  <c:v>48</c:v>
                </c:pt>
                <c:pt idx="4">
                  <c:v>57</c:v>
                </c:pt>
                <c:pt idx="5">
                  <c:v>57</c:v>
                </c:pt>
                <c:pt idx="6">
                  <c:v>48</c:v>
                </c:pt>
                <c:pt idx="7">
                  <c:v>43</c:v>
                </c:pt>
                <c:pt idx="8">
                  <c:v>3</c:v>
                </c:pt>
                <c:pt idx="9">
                  <c:v>3</c:v>
                </c:pt>
                <c:pt idx="10" formatCode="0.0">
                  <c:v>88</c:v>
                </c:pt>
                <c:pt idx="11" formatCode="0.0">
                  <c:v>88</c:v>
                </c:pt>
                <c:pt idx="12">
                  <c:v>3</c:v>
                </c:pt>
              </c:numCache>
            </c:numRef>
          </c:yVal>
          <c:smooth val="0"/>
          <c:extLst>
            <c:ext xmlns:c16="http://schemas.microsoft.com/office/drawing/2014/chart" uri="{C3380CC4-5D6E-409C-BE32-E72D297353CC}">
              <c16:uniqueId val="{00000006-F939-436B-994B-889D747920CC}"/>
            </c:ext>
          </c:extLst>
        </c:ser>
        <c:ser>
          <c:idx val="6"/>
          <c:order val="6"/>
          <c:tx>
            <c:v>as,inf</c:v>
          </c:tx>
          <c:spPr>
            <a:ln w="25560">
              <a:noFill/>
            </a:ln>
          </c:spPr>
          <c:marker>
            <c:symbol val="circle"/>
            <c:size val="5"/>
            <c:spPr>
              <a:solidFill>
                <a:srgbClr val="0D3A4E"/>
              </a:solidFill>
            </c:spPr>
          </c:marker>
          <c:dPt>
            <c:idx val="1"/>
            <c:bubble3D val="0"/>
            <c:extLst>
              <c:ext xmlns:c16="http://schemas.microsoft.com/office/drawing/2014/chart" uri="{C3380CC4-5D6E-409C-BE32-E72D297353CC}">
                <c16:uniqueId val="{00000007-F939-436B-994B-889D747920CC}"/>
              </c:ext>
            </c:extLst>
          </c:dPt>
          <c:dLbls>
            <c:dLbl>
              <c:idx val="1"/>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939-436B-994B-889D747920CC}"/>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Taxas!$T$65:$T$74</c:f>
              <c:numCache>
                <c:formatCode>0.0" cm"</c:formatCode>
                <c:ptCount val="10"/>
                <c:pt idx="0">
                  <c:v>-11.3</c:v>
                </c:pt>
                <c:pt idx="1">
                  <c:v>11.3</c:v>
                </c:pt>
                <c:pt idx="2">
                  <c:v>-12.5</c:v>
                </c:pt>
                <c:pt idx="3">
                  <c:v>-10</c:v>
                </c:pt>
                <c:pt idx="4">
                  <c:v>-7.5</c:v>
                </c:pt>
                <c:pt idx="5">
                  <c:v>-5</c:v>
                </c:pt>
                <c:pt idx="6">
                  <c:v>-2.5</c:v>
                </c:pt>
                <c:pt idx="7">
                  <c:v>0</c:v>
                </c:pt>
                <c:pt idx="8">
                  <c:v>2.5</c:v>
                </c:pt>
                <c:pt idx="9">
                  <c:v>5</c:v>
                </c:pt>
              </c:numCache>
            </c:numRef>
          </c:xVal>
          <c:yVal>
            <c:numRef>
              <c:f>Taxas!$U$65:$U$74</c:f>
              <c:numCache>
                <c:formatCode>0.0" cm"</c:formatCode>
                <c:ptCount val="10"/>
                <c:pt idx="0">
                  <c:v>3.7</c:v>
                </c:pt>
                <c:pt idx="1">
                  <c:v>3.7</c:v>
                </c:pt>
                <c:pt idx="2">
                  <c:v>3.7</c:v>
                </c:pt>
                <c:pt idx="3">
                  <c:v>3.7</c:v>
                </c:pt>
                <c:pt idx="4">
                  <c:v>3.7</c:v>
                </c:pt>
                <c:pt idx="5">
                  <c:v>3.7</c:v>
                </c:pt>
                <c:pt idx="6">
                  <c:v>3.7</c:v>
                </c:pt>
                <c:pt idx="7">
                  <c:v>3.7</c:v>
                </c:pt>
                <c:pt idx="8">
                  <c:v>3.7</c:v>
                </c:pt>
                <c:pt idx="9">
                  <c:v>3.7</c:v>
                </c:pt>
              </c:numCache>
            </c:numRef>
          </c:yVal>
          <c:smooth val="0"/>
          <c:extLst>
            <c:ext xmlns:c16="http://schemas.microsoft.com/office/drawing/2014/chart" uri="{C3380CC4-5D6E-409C-BE32-E72D297353CC}">
              <c16:uniqueId val="{00000008-F939-436B-994B-889D747920CC}"/>
            </c:ext>
          </c:extLst>
        </c:ser>
        <c:ser>
          <c:idx val="7"/>
          <c:order val="7"/>
          <c:tx>
            <c:v>As,sup</c:v>
          </c:tx>
          <c:spPr>
            <a:ln w="25560">
              <a:noFill/>
            </a:ln>
          </c:spPr>
          <c:marker>
            <c:symbol val="circle"/>
            <c:size val="5"/>
            <c:spPr>
              <a:solidFill>
                <a:srgbClr val="994010"/>
              </a:solidFill>
            </c:spPr>
          </c:marker>
          <c:dPt>
            <c:idx val="1"/>
            <c:bubble3D val="0"/>
            <c:extLst>
              <c:ext xmlns:c16="http://schemas.microsoft.com/office/drawing/2014/chart" uri="{C3380CC4-5D6E-409C-BE32-E72D297353CC}">
                <c16:uniqueId val="{00000009-F939-436B-994B-889D747920CC}"/>
              </c:ext>
            </c:extLst>
          </c:dPt>
          <c:dLbls>
            <c:dLbl>
              <c:idx val="1"/>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939-436B-994B-889D747920CC}"/>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Taxas!$W$65:$W$74</c:f>
              <c:numCache>
                <c:formatCode>0.0" cm"</c:formatCode>
                <c:ptCount val="10"/>
                <c:pt idx="0">
                  <c:v>-11.3</c:v>
                </c:pt>
                <c:pt idx="1">
                  <c:v>11.3</c:v>
                </c:pt>
                <c:pt idx="2">
                  <c:v>#N/A</c:v>
                </c:pt>
                <c:pt idx="3">
                  <c:v>#N/A</c:v>
                </c:pt>
                <c:pt idx="4">
                  <c:v>#N/A</c:v>
                </c:pt>
                <c:pt idx="5">
                  <c:v>#N/A</c:v>
                </c:pt>
                <c:pt idx="6">
                  <c:v>#N/A</c:v>
                </c:pt>
                <c:pt idx="7">
                  <c:v>#N/A</c:v>
                </c:pt>
                <c:pt idx="8">
                  <c:v>#N/A</c:v>
                </c:pt>
                <c:pt idx="9">
                  <c:v>#N/A</c:v>
                </c:pt>
              </c:numCache>
            </c:numRef>
          </c:xVal>
          <c:yVal>
            <c:numRef>
              <c:f>Taxas!$X$65:$X$74</c:f>
              <c:numCache>
                <c:formatCode>0.0" cm"</c:formatCode>
                <c:ptCount val="10"/>
                <c:pt idx="0">
                  <c:v>56.3</c:v>
                </c:pt>
                <c:pt idx="1">
                  <c:v>56.3</c:v>
                </c:pt>
                <c:pt idx="2">
                  <c:v>56.3</c:v>
                </c:pt>
                <c:pt idx="3">
                  <c:v>56.3</c:v>
                </c:pt>
                <c:pt idx="4">
                  <c:v>56.3</c:v>
                </c:pt>
                <c:pt idx="5">
                  <c:v>56.3</c:v>
                </c:pt>
                <c:pt idx="6">
                  <c:v>56.3</c:v>
                </c:pt>
                <c:pt idx="7">
                  <c:v>56.3</c:v>
                </c:pt>
                <c:pt idx="8">
                  <c:v>56.3</c:v>
                </c:pt>
                <c:pt idx="9">
                  <c:v>56.3</c:v>
                </c:pt>
              </c:numCache>
            </c:numRef>
          </c:yVal>
          <c:smooth val="0"/>
          <c:extLst>
            <c:ext xmlns:c16="http://schemas.microsoft.com/office/drawing/2014/chart" uri="{C3380CC4-5D6E-409C-BE32-E72D297353CC}">
              <c16:uniqueId val="{0000000A-F939-436B-994B-889D747920CC}"/>
            </c:ext>
          </c:extLst>
        </c:ser>
        <c:ser>
          <c:idx val="8"/>
          <c:order val="8"/>
          <c:tx>
            <c:v>As,T</c:v>
          </c:tx>
          <c:spPr>
            <a:ln w="25560">
              <a:noFill/>
            </a:ln>
          </c:spPr>
          <c:marker>
            <c:symbol val="circle"/>
            <c:size val="5"/>
            <c:spPr>
              <a:solidFill>
                <a:srgbClr val="0F4016"/>
              </a:solidFill>
            </c:spPr>
          </c:marker>
          <c:dPt>
            <c:idx val="0"/>
            <c:bubble3D val="0"/>
            <c:extLst>
              <c:ext xmlns:c16="http://schemas.microsoft.com/office/drawing/2014/chart" uri="{C3380CC4-5D6E-409C-BE32-E72D297353CC}">
                <c16:uniqueId val="{0000000B-F939-436B-994B-889D747920CC}"/>
              </c:ext>
            </c:extLst>
          </c:dPt>
          <c:dLbls>
            <c:dLbl>
              <c:idx val="0"/>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939-436B-994B-889D747920CC}"/>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Taxas!$Z$65:$Z$74</c:f>
              <c:numCache>
                <c:formatCode>0.0" cm"</c:formatCode>
                <c:ptCount val="10"/>
                <c:pt idx="0">
                  <c:v>-26.3</c:v>
                </c:pt>
                <c:pt idx="1">
                  <c:v>26.3</c:v>
                </c:pt>
                <c:pt idx="2">
                  <c:v>-5</c:v>
                </c:pt>
                <c:pt idx="3">
                  <c:v>5</c:v>
                </c:pt>
                <c:pt idx="4">
                  <c:v>#N/A</c:v>
                </c:pt>
                <c:pt idx="5">
                  <c:v>#N/A</c:v>
                </c:pt>
                <c:pt idx="6">
                  <c:v>#N/A</c:v>
                </c:pt>
                <c:pt idx="7">
                  <c:v>#N/A</c:v>
                </c:pt>
                <c:pt idx="8">
                  <c:v>#N/A</c:v>
                </c:pt>
                <c:pt idx="9">
                  <c:v>#N/A</c:v>
                </c:pt>
              </c:numCache>
            </c:numRef>
          </c:xVal>
          <c:yVal>
            <c:numRef>
              <c:f>Taxas!$AA$65:$AA$74</c:f>
              <c:numCache>
                <c:formatCode>0.0" cm"</c:formatCode>
                <c:ptCount val="10"/>
                <c:pt idx="0">
                  <c:v>56.3</c:v>
                </c:pt>
                <c:pt idx="1">
                  <c:v>56.3</c:v>
                </c:pt>
                <c:pt idx="2">
                  <c:v>56.3</c:v>
                </c:pt>
                <c:pt idx="3">
                  <c:v>56.3</c:v>
                </c:pt>
                <c:pt idx="4">
                  <c:v>56.3</c:v>
                </c:pt>
                <c:pt idx="5">
                  <c:v>56.3</c:v>
                </c:pt>
                <c:pt idx="6">
                  <c:v>56.3</c:v>
                </c:pt>
                <c:pt idx="7">
                  <c:v>56.3</c:v>
                </c:pt>
                <c:pt idx="8">
                  <c:v>56.3</c:v>
                </c:pt>
                <c:pt idx="9">
                  <c:v>56.3</c:v>
                </c:pt>
              </c:numCache>
            </c:numRef>
          </c:yVal>
          <c:smooth val="0"/>
          <c:extLst>
            <c:ext xmlns:c16="http://schemas.microsoft.com/office/drawing/2014/chart" uri="{C3380CC4-5D6E-409C-BE32-E72D297353CC}">
              <c16:uniqueId val="{0000000C-F939-436B-994B-889D747920CC}"/>
            </c:ext>
          </c:extLst>
        </c:ser>
        <c:ser>
          <c:idx val="9"/>
          <c:order val="9"/>
          <c:tx>
            <c:v>Aba R/A</c:v>
          </c:tx>
          <c:spPr>
            <a:ln w="12700" cap="flat">
              <a:solidFill>
                <a:srgbClr val="156082"/>
              </a:solidFill>
              <a:round/>
            </a:ln>
          </c:spPr>
          <c:marker>
            <c:symbol val="none"/>
          </c:marker>
          <c:xVal>
            <c:numRef>
              <c:f>'Seções'!$W$25:$W$28</c:f>
            </c:numRef>
          </c:xVal>
          <c:yVal>
            <c:numRef>
              <c:f>'Seções'!$X$25:$X$28</c:f>
            </c:numRef>
          </c:yVal>
          <c:smooth val="0"/>
        </c:ser>
        <c:ser>
          <c:idx val="10"/>
          <c:order val="10"/>
          <c:tx>
            <c:v>Estribo aba R/A</c:v>
          </c:tx>
          <c:spPr>
            <a:ln w="9525" cap="flat">
              <a:solidFill>
                <a:srgbClr val="C00000"/>
              </a:solidFill>
              <a:round/>
            </a:ln>
          </c:spPr>
          <c:marker>
            <c:symbol val="none"/>
          </c:marker>
          <c:xVal>
            <c:numRef>
              <c:f>'Seções'!$Y$25:$Y$29</c:f>
            </c:numRef>
          </c:xVal>
          <c:yVal>
            <c:numRef>
              <c:f>'Seções'!$Z$25:$Z$29</c:f>
            </c:numRef>
          </c:yVal>
          <c:smooth val="0"/>
        </c:ser>
        <c:ser>
          <c:idx val="11"/>
          <c:order val="11"/>
          <c:tx>
            <c:v>Barra aba R/A</c:v>
          </c:tx>
          <c:spPr>
            <a:ln>
              <a:noFill/>
            </a:ln>
          </c:spPr>
          <c:marker>
            <c:symbol val="circle"/>
            <c:size val="5"/>
            <c:spPr>
              <a:solidFill>
                <a:srgbClr val="000000"/>
              </a:solidFill>
              <a:ln w="6350">
                <a:solidFill>
                  <a:srgbClr val="000000"/>
                </a:solidFill>
              </a:ln>
            </c:spPr>
          </c:marker>
          <c:xVal>
            <c:numRef>
              <c:f>'Seções'!$AA$25:$AA$26</c:f>
            </c:numRef>
          </c:xVal>
          <c:yVal>
            <c:numRef>
              <c:f>'Seções'!$AB$25:$AB$26</c:f>
            </c:numRef>
          </c:yVal>
          <c:smooth val="0"/>
        </c:ser>
        <c:dLbls>
          <c:showLegendKey val="0"/>
          <c:showVal val="0"/>
          <c:showCatName val="0"/>
          <c:showSerName val="0"/>
          <c:showPercent val="0"/>
          <c:showBubbleSize val="0"/>
        </c:dLbls>
        <c:axId val="16564839"/>
        <c:axId val="22405194"/>
      </c:scatterChart>
      <c:valAx>
        <c:axId val="16564839"/>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sz="900" b="0" strike="noStrike" spc="-1">
                <a:solidFill>
                  <a:srgbClr val="333333"/>
                </a:solidFill>
                <a:latin typeface="Aptos Narrow"/>
                <a:ea typeface="Aptos Narrow"/>
              </a:defRPr>
            </a:pPr>
            <a:endParaRPr lang="pt-BR"/>
          </a:p>
        </c:txPr>
        <c:crossAx val="22405194"/>
        <c:crosses val="autoZero"/>
        <c:crossBetween val="midCat"/>
      </c:valAx>
      <c:valAx>
        <c:axId val="22405194"/>
        <c:scaling>
          <c:orientation val="minMax"/>
        </c:scaling>
        <c:delete val="0"/>
        <c:axPos val="l"/>
        <c:numFmt formatCode="General" sourceLinked="0"/>
        <c:majorTickMark val="none"/>
        <c:minorTickMark val="none"/>
        <c:tickLblPos val="low"/>
        <c:spPr>
          <a:ln w="3240">
            <a:solidFill>
              <a:srgbClr val="BFBFBF"/>
            </a:solidFill>
            <a:round/>
          </a:ln>
        </c:spPr>
        <c:txPr>
          <a:bodyPr/>
          <a:lstStyle/>
          <a:p>
            <a:pPr>
              <a:defRPr sz="900" b="0" strike="noStrike" spc="-1">
                <a:solidFill>
                  <a:srgbClr val="000000"/>
                </a:solidFill>
                <a:latin typeface="Aptos Narrow"/>
              </a:defRPr>
            </a:pPr>
            <a:endParaRPr lang="pt-BR"/>
          </a:p>
        </c:txPr>
        <c:crossAx val="16564839"/>
        <c:crosses val="autoZero"/>
        <c:crossBetween val="midCat"/>
      </c:valAx>
      <c:spPr>
        <a:noFill/>
        <a:ln w="25560">
          <a:noFill/>
        </a:ln>
      </c:spPr>
    </c:plotArea>
    <c:plotVisOnly val="1"/>
    <c:dispBlanksAs val="gap"/>
    <c:showDLblsOverMax val="1"/>
  </c:chart>
  <c:spPr>
    <a:no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7.0667893768077805E-2"/>
          <c:y val="6.3576158940397406E-2"/>
          <c:w val="0.91707204838285605"/>
          <c:h val="0.79193257074051804"/>
        </c:manualLayout>
      </c:layout>
      <c:areaChart>
        <c:grouping val="standard"/>
        <c:varyColors val="1"/>
        <c:ser>
          <c:idx val="0"/>
          <c:order val="0"/>
          <c:spPr>
            <a:solidFill>
              <a:srgbClr val="156082"/>
            </a:solidFill>
            <a:ln w="25560">
              <a:noFill/>
            </a:ln>
          </c:spPr>
          <c:dLbls>
            <c:spPr>
              <a:noFill/>
              <a:ln>
                <a:noFill/>
              </a:ln>
              <a:effectLst/>
            </c:spPr>
            <c:txPr>
              <a:bodyPr wrap="square"/>
              <a:lstStyle/>
              <a:p>
                <a:pPr>
                  <a:defRPr sz="1000" b="0" strike="noStrike" spc="-1">
                    <a:solidFill>
                      <a:srgbClr val="000000"/>
                    </a:solidFill>
                    <a:latin typeface="Aptos Narrow"/>
                  </a:defRPr>
                </a:pPr>
                <a:endParaRPr lang="pt-BR"/>
              </a:p>
            </c:txP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'Diagrama Cortante'!$K$4:$U$4</c:f>
              <c:numCache>
                <c:formatCode>0</c:formatCode>
                <c:ptCount val="11"/>
                <c:pt idx="0">
                  <c:v>748.19870937499991</c:v>
                </c:pt>
                <c:pt idx="1">
                  <c:v>598.55896749999988</c:v>
                </c:pt>
                <c:pt idx="2">
                  <c:v>448.91922562499991</c:v>
                </c:pt>
                <c:pt idx="3">
                  <c:v>299.27948374999994</c:v>
                </c:pt>
                <c:pt idx="4">
                  <c:v>149.63974187499997</c:v>
                </c:pt>
                <c:pt idx="5">
                  <c:v>0</c:v>
                </c:pt>
                <c:pt idx="6">
                  <c:v>-149.63974187499997</c:v>
                </c:pt>
                <c:pt idx="7">
                  <c:v>-299.27948374999994</c:v>
                </c:pt>
                <c:pt idx="8">
                  <c:v>-448.91922562499991</c:v>
                </c:pt>
                <c:pt idx="9">
                  <c:v>-598.55896749999988</c:v>
                </c:pt>
                <c:pt idx="10">
                  <c:v>-748.19870937499991</c:v>
                </c:pt>
              </c:numCache>
            </c:numRef>
          </c:val>
          <c:extLst>
            <c:ext xmlns:c16="http://schemas.microsoft.com/office/drawing/2014/chart" uri="{C3380CC4-5D6E-409C-BE32-E72D297353CC}">
              <c16:uniqueId val="{00000000-FCD4-480D-96EF-B27FDE8A3765}"/>
            </c:ext>
          </c:extLst>
        </c:ser>
        <c:dLbls>
          <c:showLegendKey val="0"/>
          <c:showVal val="0"/>
          <c:showCatName val="0"/>
          <c:showSerName val="0"/>
          <c:showPercent val="0"/>
          <c:showBubbleSize val="0"/>
        </c:dLbls>
        <c:axId val="57841430"/>
        <c:axId val="57430096"/>
      </c:areaChart>
      <c:catAx>
        <c:axId val="57841430"/>
        <c:scaling>
          <c:orientation val="minMax"/>
        </c:scaling>
        <c:delete val="1"/>
        <c:axPos val="b"/>
        <c:numFmt formatCode="General" sourceLinked="1"/>
        <c:majorTickMark val="out"/>
        <c:minorTickMark val="none"/>
        <c:tickLblPos val="nextTo"/>
        <c:crossAx val="57430096"/>
        <c:crosses val="autoZero"/>
        <c:auto val="1"/>
        <c:lblAlgn val="ctr"/>
        <c:lblOffset val="100"/>
        <c:noMultiLvlLbl val="0"/>
      </c:catAx>
      <c:valAx>
        <c:axId val="57430096"/>
        <c:scaling>
          <c:orientation val="minMax"/>
        </c:scaling>
        <c:delete val="1"/>
        <c:axPos val="l"/>
        <c:numFmt formatCode="0" sourceLinked="1"/>
        <c:majorTickMark val="out"/>
        <c:minorTickMark val="none"/>
        <c:tickLblPos val="nextTo"/>
        <c:crossAx val="57841430"/>
        <c:crosses val="autoZero"/>
        <c:crossBetween val="midCat"/>
      </c:valAx>
      <c:dTable>
        <c:showHorzBorder val="1"/>
        <c:showVertBorder val="1"/>
        <c:showOutline val="1"/>
        <c:showKeys val="1"/>
        <c:spPr>
          <a:noFill/>
          <a:ln w="3240">
            <a:solidFill>
              <a:srgbClr val="D9D9D9"/>
            </a:solidFill>
            <a:round/>
          </a:ln>
        </c:spPr>
        <c:txPr>
          <a:bodyPr/>
          <a:lstStyle/>
          <a:p>
            <a:pPr rtl="0">
              <a:defRPr sz="900" b="0" strike="noStrike" spc="-1">
                <a:solidFill>
                  <a:srgbClr val="595959"/>
                </a:solidFill>
                <a:latin typeface="Aptos Narrow"/>
                <a:ea typeface="Aptos Narrow"/>
              </a:defRPr>
            </a:pPr>
            <a:endParaRPr lang="pt-BR"/>
          </a:p>
        </c:txPr>
      </c:dTable>
      <c:spPr>
        <a:noFill/>
        <a:ln w="25560">
          <a:noFill/>
        </a:ln>
      </c:spPr>
    </c:plotArea>
    <c:plotVisOnly val="1"/>
    <c:dispBlanksAs val="zero"/>
    <c:showDLblsOverMax val="1"/>
  </c:chart>
  <c:spPr>
    <a:noFill/>
    <a:ln w="9360">
      <a:noFill/>
    </a:ln>
  </c:spPr>
  <c:printSettings>
    <c:headerFooter/>
    <c:pageMargins b="0.78740157499999996" l="0.511811024" r="0.511811024" t="0.78740157499999996" header="0.31496062000000002" footer="0.31496062000000002"/>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Cargas permanentes distribuídas (kN/m)</a:t>
            </a:r>
          </a:p>
        </c:rich>
      </c:tx>
      <c:layout>
        <c:manualLayout>
          <c:xMode val="edge"/>
          <c:yMode val="edge"/>
          <c:x val="0.32791410010434502"/>
          <c:y val="0"/>
        </c:manualLayout>
      </c:layout>
      <c:overlay val="0"/>
      <c:spPr>
        <a:noFill/>
        <a:ln w="0">
          <a:noFill/>
        </a:ln>
      </c:spPr>
    </c:title>
    <c:autoTitleDeleted val="0"/>
    <c:plotArea>
      <c:layout>
        <c:manualLayout>
          <c:layoutTarget val="inner"/>
          <c:xMode val="edge"/>
          <c:yMode val="edge"/>
          <c:x val="1.6796257026490301E-2"/>
          <c:y val="0.46970163026761003"/>
          <c:w val="0.96617186711097702"/>
          <c:h val="0.49738541987080898"/>
        </c:manualLayout>
      </c:layout>
      <c:scatterChart>
        <c:scatterStyle val="lineMarker"/>
        <c:varyColors val="0"/>
        <c:ser>
          <c:idx val="0"/>
          <c:order val="0"/>
          <c:spPr>
            <a:ln w="12600">
              <a:solidFill>
                <a:srgbClr val="156082"/>
              </a:solidFill>
              <a:round/>
            </a:ln>
          </c:spPr>
          <c:marker>
            <c:symbol val="none"/>
          </c:marker>
          <c:dPt>
            <c:idx val="0"/>
            <c:bubble3D val="0"/>
            <c:extLst>
              <c:ext xmlns:c16="http://schemas.microsoft.com/office/drawing/2014/chart" uri="{C3380CC4-5D6E-409C-BE32-E72D297353CC}">
                <c16:uniqueId val="{00000000-3574-46EE-A101-9B770468C80B}"/>
              </c:ext>
            </c:extLst>
          </c:dPt>
          <c:dPt>
            <c:idx val="3"/>
            <c:bubble3D val="0"/>
            <c:extLst>
              <c:ext xmlns:c16="http://schemas.microsoft.com/office/drawing/2014/chart" uri="{C3380CC4-5D6E-409C-BE32-E72D297353CC}">
                <c16:uniqueId val="{00000001-3574-46EE-A101-9B770468C80B}"/>
              </c:ext>
            </c:extLst>
          </c:dPt>
          <c:dPt>
            <c:idx val="6"/>
            <c:bubble3D val="0"/>
            <c:extLst>
              <c:ext xmlns:c16="http://schemas.microsoft.com/office/drawing/2014/chart" uri="{C3380CC4-5D6E-409C-BE32-E72D297353CC}">
                <c16:uniqueId val="{00000002-3574-46EE-A101-9B770468C80B}"/>
              </c:ext>
            </c:extLst>
          </c:dPt>
          <c:dPt>
            <c:idx val="9"/>
            <c:bubble3D val="0"/>
            <c:extLst>
              <c:ext xmlns:c16="http://schemas.microsoft.com/office/drawing/2014/chart" uri="{C3380CC4-5D6E-409C-BE32-E72D297353CC}">
                <c16:uniqueId val="{00000003-3574-46EE-A101-9B770468C80B}"/>
              </c:ext>
            </c:extLst>
          </c:dPt>
          <c:dPt>
            <c:idx val="12"/>
            <c:bubble3D val="0"/>
            <c:extLst>
              <c:ext xmlns:c16="http://schemas.microsoft.com/office/drawing/2014/chart" uri="{C3380CC4-5D6E-409C-BE32-E72D297353CC}">
                <c16:uniqueId val="{00000004-3574-46EE-A101-9B770468C80B}"/>
              </c:ext>
            </c:extLst>
          </c:dPt>
          <c:dPt>
            <c:idx val="15"/>
            <c:bubble3D val="0"/>
            <c:extLst>
              <c:ext xmlns:c16="http://schemas.microsoft.com/office/drawing/2014/chart" uri="{C3380CC4-5D6E-409C-BE32-E72D297353CC}">
                <c16:uniqueId val="{00000005-3574-46EE-A101-9B770468C80B}"/>
              </c:ext>
            </c:extLst>
          </c:dPt>
          <c:dPt>
            <c:idx val="18"/>
            <c:bubble3D val="0"/>
            <c:extLst>
              <c:ext xmlns:c16="http://schemas.microsoft.com/office/drawing/2014/chart" uri="{C3380CC4-5D6E-409C-BE32-E72D297353CC}">
                <c16:uniqueId val="{00000006-3574-46EE-A101-9B770468C80B}"/>
              </c:ext>
            </c:extLst>
          </c:dPt>
          <c:dPt>
            <c:idx val="21"/>
            <c:bubble3D val="0"/>
            <c:extLst>
              <c:ext xmlns:c16="http://schemas.microsoft.com/office/drawing/2014/chart" uri="{C3380CC4-5D6E-409C-BE32-E72D297353CC}">
                <c16:uniqueId val="{00000007-3574-46EE-A101-9B770468C80B}"/>
              </c:ext>
            </c:extLst>
          </c:dPt>
          <c:dPt>
            <c:idx val="24"/>
            <c:bubble3D val="0"/>
            <c:extLst>
              <c:ext xmlns:c16="http://schemas.microsoft.com/office/drawing/2014/chart" uri="{C3380CC4-5D6E-409C-BE32-E72D297353CC}">
                <c16:uniqueId val="{00000008-3574-46EE-A101-9B770468C80B}"/>
              </c:ext>
            </c:extLst>
          </c:dPt>
          <c:dPt>
            <c:idx val="27"/>
            <c:bubble3D val="0"/>
            <c:extLst>
              <c:ext xmlns:c16="http://schemas.microsoft.com/office/drawing/2014/chart" uri="{C3380CC4-5D6E-409C-BE32-E72D297353CC}">
                <c16:uniqueId val="{00000009-3574-46EE-A101-9B770468C80B}"/>
              </c:ext>
            </c:extLst>
          </c:dPt>
          <c:dPt>
            <c:idx val="30"/>
            <c:bubble3D val="0"/>
            <c:extLst>
              <c:ext xmlns:c16="http://schemas.microsoft.com/office/drawing/2014/chart" uri="{C3380CC4-5D6E-409C-BE32-E72D297353CC}">
                <c16:uniqueId val="{0000000A-3574-46EE-A101-9B770468C80B}"/>
              </c:ext>
            </c:extLst>
          </c:dPt>
          <c:dPt>
            <c:idx val="33"/>
            <c:bubble3D val="0"/>
            <c:extLst>
              <c:ext xmlns:c16="http://schemas.microsoft.com/office/drawing/2014/chart" uri="{C3380CC4-5D6E-409C-BE32-E72D297353CC}">
                <c16:uniqueId val="{0000000B-3574-46EE-A101-9B770468C80B}"/>
              </c:ext>
            </c:extLst>
          </c:dPt>
          <c:dPt>
            <c:idx val="36"/>
            <c:bubble3D val="0"/>
            <c:extLst>
              <c:ext xmlns:c16="http://schemas.microsoft.com/office/drawing/2014/chart" uri="{C3380CC4-5D6E-409C-BE32-E72D297353CC}">
                <c16:uniqueId val="{0000000C-3574-46EE-A101-9B770468C80B}"/>
              </c:ext>
            </c:extLst>
          </c:dPt>
          <c:dPt>
            <c:idx val="39"/>
            <c:bubble3D val="0"/>
            <c:extLst>
              <c:ext xmlns:c16="http://schemas.microsoft.com/office/drawing/2014/chart" uri="{C3380CC4-5D6E-409C-BE32-E72D297353CC}">
                <c16:uniqueId val="{0000000D-3574-46EE-A101-9B770468C80B}"/>
              </c:ext>
            </c:extLst>
          </c:dPt>
          <c:dPt>
            <c:idx val="42"/>
            <c:bubble3D val="0"/>
            <c:extLst>
              <c:ext xmlns:c16="http://schemas.microsoft.com/office/drawing/2014/chart" uri="{C3380CC4-5D6E-409C-BE32-E72D297353CC}">
                <c16:uniqueId val="{0000000E-3574-46EE-A101-9B770468C80B}"/>
              </c:ext>
            </c:extLst>
          </c:dPt>
          <c:dPt>
            <c:idx val="45"/>
            <c:bubble3D val="0"/>
            <c:extLst>
              <c:ext xmlns:c16="http://schemas.microsoft.com/office/drawing/2014/chart" uri="{C3380CC4-5D6E-409C-BE32-E72D297353CC}">
                <c16:uniqueId val="{0000000F-3574-46EE-A101-9B770468C80B}"/>
              </c:ext>
            </c:extLst>
          </c:dPt>
          <c:dPt>
            <c:idx val="48"/>
            <c:bubble3D val="0"/>
            <c:extLst>
              <c:ext xmlns:c16="http://schemas.microsoft.com/office/drawing/2014/chart" uri="{C3380CC4-5D6E-409C-BE32-E72D297353CC}">
                <c16:uniqueId val="{00000010-3574-46EE-A101-9B770468C80B}"/>
              </c:ext>
            </c:extLst>
          </c:dPt>
          <c:dPt>
            <c:idx val="51"/>
            <c:bubble3D val="0"/>
            <c:extLst>
              <c:ext xmlns:c16="http://schemas.microsoft.com/office/drawing/2014/chart" uri="{C3380CC4-5D6E-409C-BE32-E72D297353CC}">
                <c16:uniqueId val="{00000011-3574-46EE-A101-9B770468C80B}"/>
              </c:ext>
            </c:extLst>
          </c:dPt>
          <c:dPt>
            <c:idx val="54"/>
            <c:bubble3D val="0"/>
            <c:extLst>
              <c:ext xmlns:c16="http://schemas.microsoft.com/office/drawing/2014/chart" uri="{C3380CC4-5D6E-409C-BE32-E72D297353CC}">
                <c16:uniqueId val="{00000012-3574-46EE-A101-9B770468C80B}"/>
              </c:ext>
            </c:extLst>
          </c:dPt>
          <c:dPt>
            <c:idx val="57"/>
            <c:bubble3D val="0"/>
            <c:extLst>
              <c:ext xmlns:c16="http://schemas.microsoft.com/office/drawing/2014/chart" uri="{C3380CC4-5D6E-409C-BE32-E72D297353CC}">
                <c16:uniqueId val="{00000013-3574-46EE-A101-9B770468C80B}"/>
              </c:ext>
            </c:extLst>
          </c:dPt>
          <c:dPt>
            <c:idx val="60"/>
            <c:bubble3D val="0"/>
            <c:extLst>
              <c:ext xmlns:c16="http://schemas.microsoft.com/office/drawing/2014/chart" uri="{C3380CC4-5D6E-409C-BE32-E72D297353CC}">
                <c16:uniqueId val="{00000014-3574-46EE-A101-9B770468C80B}"/>
              </c:ext>
            </c:extLst>
          </c:dPt>
          <c:dPt>
            <c:idx val="63"/>
            <c:bubble3D val="0"/>
            <c:extLst>
              <c:ext xmlns:c16="http://schemas.microsoft.com/office/drawing/2014/chart" uri="{C3380CC4-5D6E-409C-BE32-E72D297353CC}">
                <c16:uniqueId val="{00000015-3574-46EE-A101-9B770468C80B}"/>
              </c:ext>
            </c:extLst>
          </c:dPt>
          <c:dPt>
            <c:idx val="66"/>
            <c:bubble3D val="0"/>
            <c:extLst>
              <c:ext xmlns:c16="http://schemas.microsoft.com/office/drawing/2014/chart" uri="{C3380CC4-5D6E-409C-BE32-E72D297353CC}">
                <c16:uniqueId val="{00000016-3574-46EE-A101-9B770468C80B}"/>
              </c:ext>
            </c:extLst>
          </c:dPt>
          <c:dPt>
            <c:idx val="69"/>
            <c:bubble3D val="0"/>
            <c:extLst>
              <c:ext xmlns:c16="http://schemas.microsoft.com/office/drawing/2014/chart" uri="{C3380CC4-5D6E-409C-BE32-E72D297353CC}">
                <c16:uniqueId val="{00000017-3574-46EE-A101-9B770468C80B}"/>
              </c:ext>
            </c:extLst>
          </c:dPt>
          <c:dPt>
            <c:idx val="72"/>
            <c:bubble3D val="0"/>
            <c:extLst>
              <c:ext xmlns:c16="http://schemas.microsoft.com/office/drawing/2014/chart" uri="{C3380CC4-5D6E-409C-BE32-E72D297353CC}">
                <c16:uniqueId val="{00000018-3574-46EE-A101-9B770468C80B}"/>
              </c:ext>
            </c:extLst>
          </c:dPt>
          <c:dPt>
            <c:idx val="75"/>
            <c:bubble3D val="0"/>
            <c:extLst>
              <c:ext xmlns:c16="http://schemas.microsoft.com/office/drawing/2014/chart" uri="{C3380CC4-5D6E-409C-BE32-E72D297353CC}">
                <c16:uniqueId val="{00000019-3574-46EE-A101-9B770468C80B}"/>
              </c:ext>
            </c:extLst>
          </c:dPt>
          <c:dPt>
            <c:idx val="77"/>
            <c:bubble3D val="0"/>
            <c:extLst>
              <c:ext xmlns:c16="http://schemas.microsoft.com/office/drawing/2014/chart" uri="{C3380CC4-5D6E-409C-BE32-E72D297353CC}">
                <c16:uniqueId val="{0000001A-3574-46EE-A101-9B770468C80B}"/>
              </c:ext>
            </c:extLst>
          </c:dPt>
          <c:dLbls>
            <c:dLbl>
              <c:idx val="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3574-46EE-A101-9B770468C80B}"/>
                </c:ext>
              </c:extLst>
            </c:dLbl>
            <c:dLbl>
              <c:idx val="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3574-46EE-A101-9B770468C80B}"/>
                </c:ext>
              </c:extLst>
            </c:dLbl>
            <c:dLbl>
              <c:idx val="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3574-46EE-A101-9B770468C80B}"/>
                </c:ext>
              </c:extLst>
            </c:dLbl>
            <c:dLbl>
              <c:idx val="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3574-46EE-A101-9B770468C80B}"/>
                </c:ext>
              </c:extLst>
            </c:dLbl>
            <c:dLbl>
              <c:idx val="1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3574-46EE-A101-9B770468C80B}"/>
                </c:ext>
              </c:extLst>
            </c:dLbl>
            <c:dLbl>
              <c:idx val="1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3574-46EE-A101-9B770468C80B}"/>
                </c:ext>
              </c:extLst>
            </c:dLbl>
            <c:dLbl>
              <c:idx val="1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3574-46EE-A101-9B770468C80B}"/>
                </c:ext>
              </c:extLst>
            </c:dLbl>
            <c:dLbl>
              <c:idx val="2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3574-46EE-A101-9B770468C80B}"/>
                </c:ext>
              </c:extLst>
            </c:dLbl>
            <c:dLbl>
              <c:idx val="2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3574-46EE-A101-9B770468C80B}"/>
                </c:ext>
              </c:extLst>
            </c:dLbl>
            <c:dLbl>
              <c:idx val="2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3574-46EE-A101-9B770468C80B}"/>
                </c:ext>
              </c:extLst>
            </c:dLbl>
            <c:dLbl>
              <c:idx val="3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3574-46EE-A101-9B770468C80B}"/>
                </c:ext>
              </c:extLst>
            </c:dLbl>
            <c:dLbl>
              <c:idx val="3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3574-46EE-A101-9B770468C80B}"/>
                </c:ext>
              </c:extLst>
            </c:dLbl>
            <c:dLbl>
              <c:idx val="3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3574-46EE-A101-9B770468C80B}"/>
                </c:ext>
              </c:extLst>
            </c:dLbl>
            <c:dLbl>
              <c:idx val="3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3574-46EE-A101-9B770468C80B}"/>
                </c:ext>
              </c:extLst>
            </c:dLbl>
            <c:dLbl>
              <c:idx val="4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3574-46EE-A101-9B770468C80B}"/>
                </c:ext>
              </c:extLst>
            </c:dLbl>
            <c:dLbl>
              <c:idx val="4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3574-46EE-A101-9B770468C80B}"/>
                </c:ext>
              </c:extLst>
            </c:dLbl>
            <c:dLbl>
              <c:idx val="48"/>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3574-46EE-A101-9B770468C80B}"/>
                </c:ext>
              </c:extLst>
            </c:dLbl>
            <c:dLbl>
              <c:idx val="51"/>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3574-46EE-A101-9B770468C80B}"/>
                </c:ext>
              </c:extLst>
            </c:dLbl>
            <c:dLbl>
              <c:idx val="54"/>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3574-46EE-A101-9B770468C80B}"/>
                </c:ext>
              </c:extLst>
            </c:dLbl>
            <c:dLbl>
              <c:idx val="5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3574-46EE-A101-9B770468C80B}"/>
                </c:ext>
              </c:extLst>
            </c:dLbl>
            <c:dLbl>
              <c:idx val="60"/>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3574-46EE-A101-9B770468C80B}"/>
                </c:ext>
              </c:extLst>
            </c:dLbl>
            <c:dLbl>
              <c:idx val="63"/>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3574-46EE-A101-9B770468C80B}"/>
                </c:ext>
              </c:extLst>
            </c:dLbl>
            <c:dLbl>
              <c:idx val="66"/>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3574-46EE-A101-9B770468C80B}"/>
                </c:ext>
              </c:extLst>
            </c:dLbl>
            <c:dLbl>
              <c:idx val="69"/>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3574-46EE-A101-9B770468C80B}"/>
                </c:ext>
              </c:extLst>
            </c:dLbl>
            <c:dLbl>
              <c:idx val="72"/>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8-3574-46EE-A101-9B770468C80B}"/>
                </c:ext>
              </c:extLst>
            </c:dLbl>
            <c:dLbl>
              <c:idx val="75"/>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3574-46EE-A101-9B770468C80B}"/>
                </c:ext>
              </c:extLst>
            </c:dLbl>
            <c:dLbl>
              <c:idx val="77"/>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A-3574-46EE-A101-9B770468C80B}"/>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adicionais'!$O$29:$O$106</c:f>
              <c:numCache>
                <c:formatCode>0.00" m"</c:formatCode>
                <c:ptCount val="78"/>
                <c:pt idx="0" formatCode="General">
                  <c:v>0</c:v>
                </c:pt>
                <c:pt idx="1">
                  <c:v>0</c:v>
                </c:pt>
                <c:pt idx="2" formatCode="General">
                  <c:v>31.4</c:v>
                </c:pt>
                <c:pt idx="3" formatCode="General">
                  <c:v>31.4</c:v>
                </c:pt>
                <c:pt idx="4" formatCode="General">
                  <c:v>31.4</c:v>
                </c:pt>
                <c:pt idx="5" formatCode="General">
                  <c:v>62.8</c:v>
                </c:pt>
                <c:pt idx="6" formatCode="General">
                  <c:v>62.8</c:v>
                </c:pt>
                <c:pt idx="7" formatCode="General">
                  <c:v>62.8</c:v>
                </c:pt>
                <c:pt idx="8" formatCode="General">
                  <c:v>94.199999999999989</c:v>
                </c:pt>
                <c:pt idx="9" formatCode="General">
                  <c:v>94.199999999999989</c:v>
                </c:pt>
                <c:pt idx="10" formatCode="General">
                  <c:v>94.199999999999989</c:v>
                </c:pt>
                <c:pt idx="11" formatCode="General">
                  <c:v>125.6</c:v>
                </c:pt>
                <c:pt idx="12" formatCode="General">
                  <c:v>125.6</c:v>
                </c:pt>
                <c:pt idx="13" formatCode="General">
                  <c:v>125.6</c:v>
                </c:pt>
                <c:pt idx="14" formatCode="General">
                  <c:v>157</c:v>
                </c:pt>
                <c:pt idx="15" formatCode="General">
                  <c:v>157</c:v>
                </c:pt>
                <c:pt idx="16" formatCode="General">
                  <c:v>157</c:v>
                </c:pt>
                <c:pt idx="17" formatCode="General">
                  <c:v>188.39999999999998</c:v>
                </c:pt>
                <c:pt idx="18" formatCode="General">
                  <c:v>188.39999999999998</c:v>
                </c:pt>
                <c:pt idx="19" formatCode="General">
                  <c:v>188.39999999999998</c:v>
                </c:pt>
                <c:pt idx="20" formatCode="General">
                  <c:v>219.79999999999998</c:v>
                </c:pt>
                <c:pt idx="21" formatCode="General">
                  <c:v>219.79999999999998</c:v>
                </c:pt>
                <c:pt idx="22" formatCode="General">
                  <c:v>219.79999999999998</c:v>
                </c:pt>
                <c:pt idx="23" formatCode="General">
                  <c:v>251.2</c:v>
                </c:pt>
                <c:pt idx="24" formatCode="General">
                  <c:v>251.2</c:v>
                </c:pt>
                <c:pt idx="25" formatCode="General">
                  <c:v>251.2</c:v>
                </c:pt>
                <c:pt idx="26" formatCode="General">
                  <c:v>282.59999999999997</c:v>
                </c:pt>
                <c:pt idx="27" formatCode="General">
                  <c:v>282.59999999999997</c:v>
                </c:pt>
                <c:pt idx="28" formatCode="General">
                  <c:v>282.59999999999997</c:v>
                </c:pt>
                <c:pt idx="29" formatCode="General">
                  <c:v>314</c:v>
                </c:pt>
                <c:pt idx="30" formatCode="General">
                  <c:v>314</c:v>
                </c:pt>
                <c:pt idx="31" formatCode="General">
                  <c:v>314</c:v>
                </c:pt>
                <c:pt idx="32" formatCode="General">
                  <c:v>345.4</c:v>
                </c:pt>
                <c:pt idx="33" formatCode="General">
                  <c:v>345.4</c:v>
                </c:pt>
                <c:pt idx="34" formatCode="General">
                  <c:v>345.4</c:v>
                </c:pt>
                <c:pt idx="35" formatCode="General">
                  <c:v>376.79999999999995</c:v>
                </c:pt>
                <c:pt idx="36" formatCode="General">
                  <c:v>376.79999999999995</c:v>
                </c:pt>
                <c:pt idx="37" formatCode="General">
                  <c:v>376.79999999999995</c:v>
                </c:pt>
                <c:pt idx="38" formatCode="General">
                  <c:v>408.2</c:v>
                </c:pt>
                <c:pt idx="39" formatCode="General">
                  <c:v>408.2</c:v>
                </c:pt>
                <c:pt idx="40" formatCode="General">
                  <c:v>408.2</c:v>
                </c:pt>
                <c:pt idx="41" formatCode="General">
                  <c:v>439.59999999999997</c:v>
                </c:pt>
                <c:pt idx="42" formatCode="General">
                  <c:v>439.59999999999997</c:v>
                </c:pt>
                <c:pt idx="43" formatCode="General">
                  <c:v>439.59999999999997</c:v>
                </c:pt>
                <c:pt idx="44" formatCode="General">
                  <c:v>471</c:v>
                </c:pt>
                <c:pt idx="45" formatCode="General">
                  <c:v>471</c:v>
                </c:pt>
                <c:pt idx="46" formatCode="General">
                  <c:v>471</c:v>
                </c:pt>
                <c:pt idx="47" formatCode="General">
                  <c:v>502.4</c:v>
                </c:pt>
                <c:pt idx="48" formatCode="General">
                  <c:v>502.4</c:v>
                </c:pt>
                <c:pt idx="49" formatCode="General">
                  <c:v>502.4</c:v>
                </c:pt>
                <c:pt idx="50" formatCode="General">
                  <c:v>533.79999999999995</c:v>
                </c:pt>
                <c:pt idx="51" formatCode="General">
                  <c:v>533.79999999999995</c:v>
                </c:pt>
                <c:pt idx="52" formatCode="General">
                  <c:v>533.79999999999995</c:v>
                </c:pt>
                <c:pt idx="53" formatCode="General">
                  <c:v>565.19999999999993</c:v>
                </c:pt>
                <c:pt idx="54" formatCode="General">
                  <c:v>565.19999999999993</c:v>
                </c:pt>
                <c:pt idx="55" formatCode="General">
                  <c:v>565.19999999999993</c:v>
                </c:pt>
                <c:pt idx="56" formatCode="General">
                  <c:v>596.6</c:v>
                </c:pt>
                <c:pt idx="57" formatCode="General">
                  <c:v>596.6</c:v>
                </c:pt>
                <c:pt idx="58" formatCode="General">
                  <c:v>596.6</c:v>
                </c:pt>
                <c:pt idx="59" formatCode="General">
                  <c:v>628</c:v>
                </c:pt>
                <c:pt idx="60" formatCode="General">
                  <c:v>628</c:v>
                </c:pt>
                <c:pt idx="61" formatCode="General">
                  <c:v>628</c:v>
                </c:pt>
                <c:pt idx="62" formatCode="General">
                  <c:v>659.4</c:v>
                </c:pt>
                <c:pt idx="63" formatCode="General">
                  <c:v>659.4</c:v>
                </c:pt>
                <c:pt idx="64" formatCode="General">
                  <c:v>659.4</c:v>
                </c:pt>
                <c:pt idx="65" formatCode="General">
                  <c:v>690.8</c:v>
                </c:pt>
                <c:pt idx="66" formatCode="General">
                  <c:v>690.8</c:v>
                </c:pt>
                <c:pt idx="67" formatCode="General">
                  <c:v>690.8</c:v>
                </c:pt>
                <c:pt idx="68" formatCode="General">
                  <c:v>722.19999999999993</c:v>
                </c:pt>
                <c:pt idx="69" formatCode="General">
                  <c:v>722.19999999999993</c:v>
                </c:pt>
                <c:pt idx="70" formatCode="General">
                  <c:v>722.19999999999993</c:v>
                </c:pt>
                <c:pt idx="71" formatCode="General">
                  <c:v>753.59999999999991</c:v>
                </c:pt>
                <c:pt idx="72" formatCode="General">
                  <c:v>753.59999999999991</c:v>
                </c:pt>
                <c:pt idx="73" formatCode="General">
                  <c:v>753.59999999999991</c:v>
                </c:pt>
                <c:pt idx="74" formatCode="0.0&quot; cm&quot;">
                  <c:v>785</c:v>
                </c:pt>
                <c:pt idx="75" formatCode="0.0&quot; cm&quot;">
                  <c:v>785</c:v>
                </c:pt>
                <c:pt idx="76" formatCode="0.0&quot; cm&quot;">
                  <c:v>785</c:v>
                </c:pt>
                <c:pt idx="77" formatCode="0.0&quot; cm&quot;">
                  <c:v>785</c:v>
                </c:pt>
              </c:numCache>
            </c:numRef>
          </c:xVal>
          <c:yVal>
            <c:numRef>
              <c:f>'Cargas adicionais'!$P$29:$P$106</c:f>
              <c:numCache>
                <c:formatCode>0.0</c:formatCode>
                <c:ptCount val="78"/>
                <c:pt idx="0">
                  <c:v>0</c:v>
                </c:pt>
                <c:pt idx="1">
                  <c:v>44.686374999999998</c:v>
                </c:pt>
                <c:pt idx="2">
                  <c:v>44.686374999999998</c:v>
                </c:pt>
                <c:pt idx="3">
                  <c:v>0</c:v>
                </c:pt>
                <c:pt idx="4">
                  <c:v>44.686374999999998</c:v>
                </c:pt>
                <c:pt idx="5">
                  <c:v>44.686374999999998</c:v>
                </c:pt>
                <c:pt idx="6">
                  <c:v>0</c:v>
                </c:pt>
                <c:pt idx="7">
                  <c:v>44.686374999999998</c:v>
                </c:pt>
                <c:pt idx="8">
                  <c:v>44.686374999999998</c:v>
                </c:pt>
                <c:pt idx="9">
                  <c:v>0</c:v>
                </c:pt>
                <c:pt idx="10">
                  <c:v>44.686374999999998</c:v>
                </c:pt>
                <c:pt idx="11">
                  <c:v>44.686374999999998</c:v>
                </c:pt>
                <c:pt idx="12">
                  <c:v>0</c:v>
                </c:pt>
                <c:pt idx="13">
                  <c:v>44.686374999999998</c:v>
                </c:pt>
                <c:pt idx="14">
                  <c:v>44.686374999999998</c:v>
                </c:pt>
                <c:pt idx="15">
                  <c:v>0</c:v>
                </c:pt>
                <c:pt idx="16">
                  <c:v>44.686374999999998</c:v>
                </c:pt>
                <c:pt idx="17">
                  <c:v>44.686374999999998</c:v>
                </c:pt>
                <c:pt idx="18">
                  <c:v>0</c:v>
                </c:pt>
                <c:pt idx="19">
                  <c:v>44.686374999999998</c:v>
                </c:pt>
                <c:pt idx="20">
                  <c:v>44.686374999999998</c:v>
                </c:pt>
                <c:pt idx="21">
                  <c:v>0</c:v>
                </c:pt>
                <c:pt idx="22">
                  <c:v>44.686374999999998</c:v>
                </c:pt>
                <c:pt idx="23">
                  <c:v>44.686374999999998</c:v>
                </c:pt>
                <c:pt idx="24">
                  <c:v>0</c:v>
                </c:pt>
                <c:pt idx="25">
                  <c:v>44.686374999999998</c:v>
                </c:pt>
                <c:pt idx="26">
                  <c:v>44.686374999999998</c:v>
                </c:pt>
                <c:pt idx="27">
                  <c:v>0</c:v>
                </c:pt>
                <c:pt idx="28">
                  <c:v>44.686374999999998</c:v>
                </c:pt>
                <c:pt idx="29">
                  <c:v>44.686374999999998</c:v>
                </c:pt>
                <c:pt idx="30">
                  <c:v>0</c:v>
                </c:pt>
                <c:pt idx="31">
                  <c:v>44.686374999999998</c:v>
                </c:pt>
                <c:pt idx="32">
                  <c:v>44.686374999999998</c:v>
                </c:pt>
                <c:pt idx="33">
                  <c:v>0</c:v>
                </c:pt>
                <c:pt idx="34">
                  <c:v>44.686374999999998</c:v>
                </c:pt>
                <c:pt idx="35">
                  <c:v>44.686374999999998</c:v>
                </c:pt>
                <c:pt idx="36">
                  <c:v>0</c:v>
                </c:pt>
                <c:pt idx="37">
                  <c:v>44.686374999999998</c:v>
                </c:pt>
                <c:pt idx="38">
                  <c:v>44.686374999999998</c:v>
                </c:pt>
                <c:pt idx="39">
                  <c:v>0</c:v>
                </c:pt>
                <c:pt idx="40">
                  <c:v>44.686374999999998</c:v>
                </c:pt>
                <c:pt idx="41">
                  <c:v>44.686374999999998</c:v>
                </c:pt>
                <c:pt idx="42">
                  <c:v>0</c:v>
                </c:pt>
                <c:pt idx="43">
                  <c:v>44.686374999999998</c:v>
                </c:pt>
                <c:pt idx="44">
                  <c:v>44.686374999999998</c:v>
                </c:pt>
                <c:pt idx="45">
                  <c:v>0</c:v>
                </c:pt>
                <c:pt idx="46">
                  <c:v>44.686374999999998</c:v>
                </c:pt>
                <c:pt idx="47">
                  <c:v>44.686374999999998</c:v>
                </c:pt>
                <c:pt idx="48">
                  <c:v>0</c:v>
                </c:pt>
                <c:pt idx="49">
                  <c:v>44.686374999999998</c:v>
                </c:pt>
                <c:pt idx="50">
                  <c:v>44.686374999999998</c:v>
                </c:pt>
                <c:pt idx="51">
                  <c:v>0</c:v>
                </c:pt>
                <c:pt idx="52">
                  <c:v>44.686374999999998</c:v>
                </c:pt>
                <c:pt idx="53">
                  <c:v>44.686374999999998</c:v>
                </c:pt>
                <c:pt idx="54">
                  <c:v>0</c:v>
                </c:pt>
                <c:pt idx="55">
                  <c:v>44.686374999999998</c:v>
                </c:pt>
                <c:pt idx="56">
                  <c:v>44.686374999999998</c:v>
                </c:pt>
                <c:pt idx="57">
                  <c:v>0</c:v>
                </c:pt>
                <c:pt idx="58">
                  <c:v>44.686374999999998</c:v>
                </c:pt>
                <c:pt idx="59">
                  <c:v>44.686374999999998</c:v>
                </c:pt>
                <c:pt idx="60">
                  <c:v>0</c:v>
                </c:pt>
                <c:pt idx="61">
                  <c:v>44.686374999999998</c:v>
                </c:pt>
                <c:pt idx="62">
                  <c:v>44.686374999999998</c:v>
                </c:pt>
                <c:pt idx="63">
                  <c:v>0</c:v>
                </c:pt>
                <c:pt idx="64">
                  <c:v>44.686374999999998</c:v>
                </c:pt>
                <c:pt idx="65">
                  <c:v>44.686374999999998</c:v>
                </c:pt>
                <c:pt idx="66">
                  <c:v>0</c:v>
                </c:pt>
                <c:pt idx="67">
                  <c:v>44.686374999999998</c:v>
                </c:pt>
                <c:pt idx="68">
                  <c:v>44.686374999999998</c:v>
                </c:pt>
                <c:pt idx="69">
                  <c:v>0</c:v>
                </c:pt>
                <c:pt idx="70">
                  <c:v>44.686374999999998</c:v>
                </c:pt>
                <c:pt idx="71">
                  <c:v>44.686374999999998</c:v>
                </c:pt>
                <c:pt idx="72">
                  <c:v>0</c:v>
                </c:pt>
                <c:pt idx="73">
                  <c:v>44.686374999999998</c:v>
                </c:pt>
                <c:pt idx="74">
                  <c:v>44.686374999999998</c:v>
                </c:pt>
                <c:pt idx="75">
                  <c:v>0</c:v>
                </c:pt>
                <c:pt idx="76">
                  <c:v>44.686374999999998</c:v>
                </c:pt>
                <c:pt idx="77">
                  <c:v>0</c:v>
                </c:pt>
              </c:numCache>
            </c:numRef>
          </c:yVal>
          <c:smooth val="0"/>
          <c:extLst>
            <c:ext xmlns:c16="http://schemas.microsoft.com/office/drawing/2014/chart" uri="{C3380CC4-5D6E-409C-BE32-E72D297353CC}">
              <c16:uniqueId val="{0000001B-3574-46EE-A101-9B770468C80B}"/>
            </c:ext>
          </c:extLst>
        </c:ser>
        <c:ser>
          <c:idx val="1"/>
          <c:order val="1"/>
          <c:tx>
            <c:v>Carga pontual (permanente)</c:v>
          </c:tx>
          <c:spPr>
            <a:ln w="1260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adicionais'!$K$201:$K$230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xVal>
          <c:yVal>
            <c:numRef>
              <c:f>'Cargas adicionais'!$L$201:$L$230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yVal>
          <c:smooth val="0"/>
          <c:extLst>
            <c:ext xmlns:c16="http://schemas.microsoft.com/office/drawing/2014/chart" uri="{C3380CC4-5D6E-409C-BE32-E72D297353CC}">
              <c16:uniqueId val="{0000001C-3574-46EE-A101-9B770468C80B}"/>
            </c:ext>
          </c:extLst>
        </c:ser>
        <c:dLbls>
          <c:showLegendKey val="0"/>
          <c:showVal val="0"/>
          <c:showCatName val="0"/>
          <c:showSerName val="0"/>
          <c:showPercent val="0"/>
          <c:showBubbleSize val="0"/>
        </c:dLbls>
        <c:axId val="13486076"/>
        <c:axId val="68834879"/>
      </c:scatterChart>
      <c:valAx>
        <c:axId val="13486076"/>
        <c:scaling>
          <c:orientation val="minMax"/>
        </c:scaling>
        <c:delete val="1"/>
        <c:axPos val="b"/>
        <c:numFmt formatCode="General" sourceLinked="1"/>
        <c:majorTickMark val="out"/>
        <c:minorTickMark val="none"/>
        <c:tickLblPos val="nextTo"/>
        <c:crossAx val="68834879"/>
        <c:crosses val="autoZero"/>
        <c:crossBetween val="midCat"/>
      </c:valAx>
      <c:valAx>
        <c:axId val="68834879"/>
        <c:scaling>
          <c:orientation val="minMax"/>
        </c:scaling>
        <c:delete val="1"/>
        <c:axPos val="l"/>
        <c:numFmt formatCode="0.0" sourceLinked="1"/>
        <c:majorTickMark val="out"/>
        <c:minorTickMark val="none"/>
        <c:tickLblPos val="nextTo"/>
        <c:crossAx val="13486076"/>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Diagrama de Esforço Cortante V(x) (kN)</a:t>
            </a:r>
          </a:p>
        </c:rich>
      </c:tx>
      <c:overlay val="0"/>
      <c:spPr>
        <a:noFill/>
        <a:ln w="0">
          <a:noFill/>
        </a:ln>
      </c:spPr>
    </c:title>
    <c:autoTitleDeleted val="0"/>
    <c:plotArea>
      <c:layout/>
      <c:scatterChart>
        <c:scatterStyle val="lineMarker"/>
        <c:varyColors val="0"/>
        <c:ser>
          <c:idx val="0"/>
          <c:order val="0"/>
          <c:spPr>
            <a:ln w="12600">
              <a:solidFill>
                <a:srgbClr val="156082"/>
              </a:solidFill>
              <a:round/>
            </a:ln>
          </c:spPr>
          <c:marker>
            <c:symbol val="none"/>
          </c:marker>
          <c:dLbls>
            <c:numFmt formatCode="0" sourceLinked="0"/>
            <c:spPr>
              <a:noFill/>
              <a:ln>
                <a:noFill/>
              </a:ln>
              <a:effectLst/>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adicionais'!$K$117:$K$146</c:f>
              <c:numCache>
                <c:formatCode>General</c:formatCode>
                <c:ptCount val="30"/>
                <c:pt idx="0" formatCode="0.0&quot; cm&quot;">
                  <c:v>0</c:v>
                </c:pt>
                <c:pt idx="1">
                  <c:v>0</c:v>
                </c:pt>
                <c:pt idx="2" formatCode="0.0&quot; cm&quot;">
                  <c:v>0</c:v>
                </c:pt>
                <c:pt idx="3">
                  <c:v>31.4</c:v>
                </c:pt>
                <c:pt idx="4">
                  <c:v>62.8</c:v>
                </c:pt>
                <c:pt idx="5">
                  <c:v>94.199999999999989</c:v>
                </c:pt>
                <c:pt idx="6">
                  <c:v>125.6</c:v>
                </c:pt>
                <c:pt idx="7">
                  <c:v>157</c:v>
                </c:pt>
                <c:pt idx="8">
                  <c:v>188.39999999999998</c:v>
                </c:pt>
                <c:pt idx="9">
                  <c:v>219.79999999999998</c:v>
                </c:pt>
                <c:pt idx="10">
                  <c:v>251.2</c:v>
                </c:pt>
                <c:pt idx="11">
                  <c:v>282.59999999999997</c:v>
                </c:pt>
                <c:pt idx="12">
                  <c:v>314</c:v>
                </c:pt>
                <c:pt idx="13">
                  <c:v>345.4</c:v>
                </c:pt>
                <c:pt idx="14">
                  <c:v>376.79999999999995</c:v>
                </c:pt>
                <c:pt idx="15">
                  <c:v>408.2</c:v>
                </c:pt>
                <c:pt idx="16">
                  <c:v>439.59999999999997</c:v>
                </c:pt>
                <c:pt idx="17">
                  <c:v>471</c:v>
                </c:pt>
                <c:pt idx="18">
                  <c:v>502.4</c:v>
                </c:pt>
                <c:pt idx="19">
                  <c:v>533.79999999999995</c:v>
                </c:pt>
                <c:pt idx="20">
                  <c:v>565.19999999999993</c:v>
                </c:pt>
                <c:pt idx="21">
                  <c:v>596.6</c:v>
                </c:pt>
                <c:pt idx="22">
                  <c:v>628</c:v>
                </c:pt>
                <c:pt idx="23">
                  <c:v>659.4</c:v>
                </c:pt>
                <c:pt idx="24">
                  <c:v>690.8</c:v>
                </c:pt>
                <c:pt idx="25">
                  <c:v>722.19999999999993</c:v>
                </c:pt>
                <c:pt idx="26">
                  <c:v>753.59999999999991</c:v>
                </c:pt>
                <c:pt idx="27">
                  <c:v>785</c:v>
                </c:pt>
                <c:pt idx="28">
                  <c:v>785</c:v>
                </c:pt>
                <c:pt idx="29">
                  <c:v>785</c:v>
                </c:pt>
              </c:numCache>
            </c:numRef>
          </c:xVal>
          <c:yVal>
            <c:numRef>
              <c:f>'Cargas adicionais'!$M$117:$M$146</c:f>
              <c:numCache>
                <c:formatCode>General</c:formatCode>
                <c:ptCount val="30"/>
                <c:pt idx="0">
                  <c:v>0</c:v>
                </c:pt>
                <c:pt idx="1">
                  <c:v>175.39402187499999</c:v>
                </c:pt>
                <c:pt idx="2">
                  <c:v>175.39402187499999</c:v>
                </c:pt>
                <c:pt idx="3">
                  <c:v>161.362500125</c:v>
                </c:pt>
                <c:pt idx="4">
                  <c:v>147.330978375</c:v>
                </c:pt>
                <c:pt idx="5">
                  <c:v>133.299456625</c:v>
                </c:pt>
                <c:pt idx="6">
                  <c:v>119.26793487499999</c:v>
                </c:pt>
                <c:pt idx="7">
                  <c:v>105.236413125</c:v>
                </c:pt>
                <c:pt idx="8">
                  <c:v>91.204891375000017</c:v>
                </c:pt>
                <c:pt idx="9">
                  <c:v>77.173369624999992</c:v>
                </c:pt>
                <c:pt idx="10">
                  <c:v>63.141847874999996</c:v>
                </c:pt>
                <c:pt idx="11">
                  <c:v>49.110326125000014</c:v>
                </c:pt>
                <c:pt idx="12">
                  <c:v>35.078804375000004</c:v>
                </c:pt>
                <c:pt idx="13">
                  <c:v>21.047282625000008</c:v>
                </c:pt>
                <c:pt idx="14">
                  <c:v>7.0157608750000406</c:v>
                </c:pt>
                <c:pt idx="15">
                  <c:v>-7.0157608749999838</c:v>
                </c:pt>
                <c:pt idx="16">
                  <c:v>-21.047282625000008</c:v>
                </c:pt>
                <c:pt idx="17">
                  <c:v>-35.078804375000004</c:v>
                </c:pt>
                <c:pt idx="18">
                  <c:v>-49.110326125</c:v>
                </c:pt>
                <c:pt idx="19">
                  <c:v>-63.141847874999968</c:v>
                </c:pt>
                <c:pt idx="20">
                  <c:v>-77.173369624999964</c:v>
                </c:pt>
                <c:pt idx="21">
                  <c:v>-91.204891375000017</c:v>
                </c:pt>
                <c:pt idx="22">
                  <c:v>-105.23641312499998</c:v>
                </c:pt>
                <c:pt idx="23">
                  <c:v>-119.26793487499995</c:v>
                </c:pt>
                <c:pt idx="24">
                  <c:v>-133.29945662499998</c:v>
                </c:pt>
                <c:pt idx="25">
                  <c:v>-147.330978375</c:v>
                </c:pt>
                <c:pt idx="26">
                  <c:v>-161.36250012499991</c:v>
                </c:pt>
                <c:pt idx="27">
                  <c:v>-175.39402187499999</c:v>
                </c:pt>
                <c:pt idx="28">
                  <c:v>-175.39402187499999</c:v>
                </c:pt>
                <c:pt idx="29">
                  <c:v>0</c:v>
                </c:pt>
              </c:numCache>
            </c:numRef>
          </c:yVal>
          <c:smooth val="0"/>
          <c:extLst>
            <c:ext xmlns:c16="http://schemas.microsoft.com/office/drawing/2014/chart" uri="{C3380CC4-5D6E-409C-BE32-E72D297353CC}">
              <c16:uniqueId val="{00000000-81E8-4C75-A087-5475E5F7162A}"/>
            </c:ext>
          </c:extLst>
        </c:ser>
        <c:dLbls>
          <c:showLegendKey val="0"/>
          <c:showVal val="0"/>
          <c:showCatName val="0"/>
          <c:showSerName val="0"/>
          <c:showPercent val="0"/>
          <c:showBubbleSize val="0"/>
        </c:dLbls>
        <c:axId val="99453748"/>
        <c:axId val="87718702"/>
      </c:scatterChart>
      <c:valAx>
        <c:axId val="99453748"/>
        <c:scaling>
          <c:orientation val="minMax"/>
          <c:min val="0"/>
        </c:scaling>
        <c:delete val="0"/>
        <c:axPos val="b"/>
        <c:numFmt formatCode="General" sourceLinked="0"/>
        <c:majorTickMark val="out"/>
        <c:minorTickMark val="none"/>
        <c:tickLblPos val="nextTo"/>
        <c:spPr>
          <a:ln w="3240">
            <a:solidFill>
              <a:srgbClr val="8B8B8B"/>
            </a:solidFill>
            <a:round/>
          </a:ln>
        </c:spPr>
        <c:txPr>
          <a:bodyPr/>
          <a:lstStyle/>
          <a:p>
            <a:pPr>
              <a:defRPr sz="1000" b="0" strike="noStrike" spc="-1">
                <a:solidFill>
                  <a:srgbClr val="333333"/>
                </a:solidFill>
                <a:latin typeface="Aptos Narrow"/>
                <a:ea typeface="Aptos Narrow"/>
              </a:defRPr>
            </a:pPr>
            <a:endParaRPr lang="pt-BR"/>
          </a:p>
        </c:txPr>
        <c:crossAx val="87718702"/>
        <c:crosses val="autoZero"/>
        <c:crossBetween val="midCat"/>
      </c:valAx>
      <c:valAx>
        <c:axId val="87718702"/>
        <c:scaling>
          <c:orientation val="minMax"/>
        </c:scaling>
        <c:delete val="1"/>
        <c:axPos val="l"/>
        <c:numFmt formatCode="General" sourceLinked="1"/>
        <c:majorTickMark val="out"/>
        <c:minorTickMark val="none"/>
        <c:tickLblPos val="nextTo"/>
        <c:crossAx val="99453748"/>
        <c:crosses val="autoZero"/>
        <c:crossBetween val="midCat"/>
      </c:valAx>
      <c:spPr>
        <a:noFill/>
        <a:ln w="25560">
          <a:noFill/>
        </a:ln>
      </c:spPr>
    </c:plotArea>
    <c:plotVisOnly val="1"/>
    <c:dispBlanksAs val="gap"/>
    <c:showDLblsOverMax val="1"/>
  </c:chart>
  <c:spPr>
    <a:noFill/>
    <a:ln w="9360">
      <a:noFill/>
    </a:ln>
  </c:spPr>
  <c:printSettings>
    <c:headerFooter/>
    <c:pageMargins b="0.78740157499999996" l="0.511811024" r="0.511811024" t="0.78740157499999996" header="0.31496062000000002" footer="0.31496062000000002"/>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Diagrama de Momento Fletor M(x) (kN.m)</a:t>
            </a:r>
          </a:p>
        </c:rich>
      </c:tx>
      <c:overlay val="0"/>
      <c:spPr>
        <a:noFill/>
        <a:ln w="0">
          <a:noFill/>
        </a:ln>
      </c:spPr>
    </c:title>
    <c:autoTitleDeleted val="0"/>
    <c:plotArea>
      <c:layout>
        <c:manualLayout>
          <c:layoutTarget val="inner"/>
          <c:xMode val="edge"/>
          <c:yMode val="edge"/>
          <c:x val="6.1833114544414203E-2"/>
          <c:y val="0.159405255878285"/>
          <c:w val="0.91036386280251802"/>
          <c:h val="0.80278930382664804"/>
        </c:manualLayout>
      </c:layout>
      <c:scatterChart>
        <c:scatterStyle val="lineMarker"/>
        <c:varyColors val="0"/>
        <c:ser>
          <c:idx val="0"/>
          <c:order val="0"/>
          <c:spPr>
            <a:ln w="12600">
              <a:solidFill>
                <a:srgbClr val="A33E11"/>
              </a:solidFill>
              <a:round/>
            </a:ln>
          </c:spPr>
          <c:marker>
            <c:symbol val="none"/>
          </c:marker>
          <c:dLbls>
            <c:numFmt formatCode="0" sourceLinked="0"/>
            <c:spPr>
              <a:noFill/>
              <a:ln>
                <a:noFill/>
              </a:ln>
              <a:effectLst/>
            </c:spPr>
            <c:txPr>
              <a:bodyPr rot="-5400000" wrap="square"/>
              <a:lstStyle/>
              <a:p>
                <a:pPr>
                  <a:defRPr sz="700" b="0" strike="noStrike" spc="-1">
                    <a:solidFill>
                      <a:srgbClr val="404040"/>
                    </a:solidFill>
                    <a:latin typeface="Aptos Narrow"/>
                    <a:ea typeface="Aptos Narrow"/>
                  </a:defRPr>
                </a:pPr>
                <a:endParaRPr lang="pt-BR"/>
              </a:p>
            </c:txPr>
            <c:dLblPos val="b"/>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adicionais'!$K$117:$K$144</c:f>
              <c:numCache>
                <c:formatCode>General</c:formatCode>
                <c:ptCount val="28"/>
                <c:pt idx="0" formatCode="0.0&quot; cm&quot;">
                  <c:v>0</c:v>
                </c:pt>
                <c:pt idx="1">
                  <c:v>0</c:v>
                </c:pt>
                <c:pt idx="2" formatCode="0.0&quot; cm&quot;">
                  <c:v>0</c:v>
                </c:pt>
                <c:pt idx="3">
                  <c:v>31.4</c:v>
                </c:pt>
                <c:pt idx="4">
                  <c:v>62.8</c:v>
                </c:pt>
                <c:pt idx="5">
                  <c:v>94.199999999999989</c:v>
                </c:pt>
                <c:pt idx="6">
                  <c:v>125.6</c:v>
                </c:pt>
                <c:pt idx="7">
                  <c:v>157</c:v>
                </c:pt>
                <c:pt idx="8">
                  <c:v>188.39999999999998</c:v>
                </c:pt>
                <c:pt idx="9">
                  <c:v>219.79999999999998</c:v>
                </c:pt>
                <c:pt idx="10">
                  <c:v>251.2</c:v>
                </c:pt>
                <c:pt idx="11">
                  <c:v>282.59999999999997</c:v>
                </c:pt>
                <c:pt idx="12">
                  <c:v>314</c:v>
                </c:pt>
                <c:pt idx="13">
                  <c:v>345.4</c:v>
                </c:pt>
                <c:pt idx="14">
                  <c:v>376.79999999999995</c:v>
                </c:pt>
                <c:pt idx="15">
                  <c:v>408.2</c:v>
                </c:pt>
                <c:pt idx="16">
                  <c:v>439.59999999999997</c:v>
                </c:pt>
                <c:pt idx="17">
                  <c:v>471</c:v>
                </c:pt>
                <c:pt idx="18">
                  <c:v>502.4</c:v>
                </c:pt>
                <c:pt idx="19">
                  <c:v>533.79999999999995</c:v>
                </c:pt>
                <c:pt idx="20">
                  <c:v>565.19999999999993</c:v>
                </c:pt>
                <c:pt idx="21">
                  <c:v>596.6</c:v>
                </c:pt>
                <c:pt idx="22">
                  <c:v>628</c:v>
                </c:pt>
                <c:pt idx="23">
                  <c:v>659.4</c:v>
                </c:pt>
                <c:pt idx="24">
                  <c:v>690.8</c:v>
                </c:pt>
                <c:pt idx="25">
                  <c:v>722.19999999999993</c:v>
                </c:pt>
                <c:pt idx="26">
                  <c:v>753.59999999999991</c:v>
                </c:pt>
                <c:pt idx="27">
                  <c:v>785</c:v>
                </c:pt>
              </c:numCache>
            </c:numRef>
          </c:xVal>
          <c:yVal>
            <c:numRef>
              <c:f>'Cargas adicionais'!$O$117:$O$144</c:f>
              <c:numCache>
                <c:formatCode>0.0</c:formatCode>
                <c:ptCount val="28"/>
                <c:pt idx="0">
                  <c:v>0</c:v>
                </c:pt>
                <c:pt idx="1">
                  <c:v>0</c:v>
                </c:pt>
                <c:pt idx="2">
                  <c:v>0</c:v>
                </c:pt>
                <c:pt idx="3">
                  <c:v>-52.870773953999993</c:v>
                </c:pt>
                <c:pt idx="4">
                  <c:v>-101.33565007849998</c:v>
                </c:pt>
                <c:pt idx="5">
                  <c:v>-145.39462837349998</c:v>
                </c:pt>
                <c:pt idx="6">
                  <c:v>-185.04770883899999</c:v>
                </c:pt>
                <c:pt idx="7">
                  <c:v>-220.29489147499999</c:v>
                </c:pt>
                <c:pt idx="8">
                  <c:v>-251.13617628149996</c:v>
                </c:pt>
                <c:pt idx="9">
                  <c:v>-277.57156325849996</c:v>
                </c:pt>
                <c:pt idx="10">
                  <c:v>-299.60105240599995</c:v>
                </c:pt>
                <c:pt idx="11">
                  <c:v>-317.22464372399992</c:v>
                </c:pt>
                <c:pt idx="12">
                  <c:v>-330.44233721249992</c:v>
                </c:pt>
                <c:pt idx="13">
                  <c:v>-339.25413287149991</c:v>
                </c:pt>
                <c:pt idx="14">
                  <c:v>-343.66003070099993</c:v>
                </c:pt>
                <c:pt idx="15">
                  <c:v>-343.66003070099993</c:v>
                </c:pt>
                <c:pt idx="16">
                  <c:v>-339.25413287149991</c:v>
                </c:pt>
                <c:pt idx="17">
                  <c:v>-330.44233721249987</c:v>
                </c:pt>
                <c:pt idx="18">
                  <c:v>-317.22464372399986</c:v>
                </c:pt>
                <c:pt idx="19">
                  <c:v>-299.60105240599989</c:v>
                </c:pt>
                <c:pt idx="20">
                  <c:v>-277.57156325849991</c:v>
                </c:pt>
                <c:pt idx="21">
                  <c:v>-251.13617628149984</c:v>
                </c:pt>
                <c:pt idx="22">
                  <c:v>-220.29489147499987</c:v>
                </c:pt>
                <c:pt idx="23">
                  <c:v>-185.04770883899991</c:v>
                </c:pt>
                <c:pt idx="24">
                  <c:v>-145.39462837349996</c:v>
                </c:pt>
                <c:pt idx="25">
                  <c:v>-101.3356500785</c:v>
                </c:pt>
                <c:pt idx="26">
                  <c:v>-52.870773954000043</c:v>
                </c:pt>
                <c:pt idx="27">
                  <c:v>9.9475983006414026E-14</c:v>
                </c:pt>
              </c:numCache>
            </c:numRef>
          </c:yVal>
          <c:smooth val="0"/>
          <c:extLst>
            <c:ext xmlns:c16="http://schemas.microsoft.com/office/drawing/2014/chart" uri="{C3380CC4-5D6E-409C-BE32-E72D297353CC}">
              <c16:uniqueId val="{00000000-B89C-4C30-BD1C-0791288BB192}"/>
            </c:ext>
          </c:extLst>
        </c:ser>
        <c:dLbls>
          <c:showLegendKey val="0"/>
          <c:showVal val="0"/>
          <c:showCatName val="0"/>
          <c:showSerName val="0"/>
          <c:showPercent val="0"/>
          <c:showBubbleSize val="0"/>
        </c:dLbls>
        <c:axId val="53633512"/>
        <c:axId val="67453594"/>
      </c:scatterChart>
      <c:valAx>
        <c:axId val="53633512"/>
        <c:scaling>
          <c:orientation val="minMax"/>
          <c:min val="0"/>
        </c:scaling>
        <c:delete val="0"/>
        <c:axPos val="b"/>
        <c:numFmt formatCode="General" sourceLinked="0"/>
        <c:majorTickMark val="out"/>
        <c:minorTickMark val="none"/>
        <c:tickLblPos val="nextTo"/>
        <c:spPr>
          <a:ln w="3240">
            <a:solidFill>
              <a:srgbClr val="8B8B8B"/>
            </a:solidFill>
            <a:round/>
          </a:ln>
        </c:spPr>
        <c:txPr>
          <a:bodyPr/>
          <a:lstStyle/>
          <a:p>
            <a:pPr>
              <a:defRPr sz="1000" b="0" strike="noStrike" spc="-1">
                <a:solidFill>
                  <a:srgbClr val="333333"/>
                </a:solidFill>
                <a:latin typeface="Aptos Narrow"/>
                <a:ea typeface="Aptos Narrow"/>
              </a:defRPr>
            </a:pPr>
            <a:endParaRPr lang="pt-BR"/>
          </a:p>
        </c:txPr>
        <c:crossAx val="67453594"/>
        <c:crosses val="autoZero"/>
        <c:crossBetween val="midCat"/>
      </c:valAx>
      <c:valAx>
        <c:axId val="67453594"/>
        <c:scaling>
          <c:orientation val="minMax"/>
        </c:scaling>
        <c:delete val="1"/>
        <c:axPos val="l"/>
        <c:numFmt formatCode="0.0" sourceLinked="1"/>
        <c:majorTickMark val="out"/>
        <c:minorTickMark val="none"/>
        <c:tickLblPos val="nextTo"/>
        <c:crossAx val="53633512"/>
        <c:crosses val="autoZero"/>
        <c:crossBetween val="midCat"/>
      </c:valAx>
      <c:spPr>
        <a:noFill/>
        <a:ln w="25560">
          <a:noFill/>
        </a:ln>
      </c:spPr>
    </c:plotArea>
    <c:plotVisOnly val="1"/>
    <c:dispBlanksAs val="gap"/>
    <c:showDLblsOverMax val="1"/>
  </c:chart>
  <c:spPr>
    <a:noFill/>
    <a:ln w="9360">
      <a:noFill/>
    </a:ln>
  </c:spPr>
  <c:printSettings>
    <c:headerFooter/>
    <c:pageMargins b="0.78740157499999996" l="0.511811024" r="0.511811024" t="0.78740157499999996" header="0.31496062000000002" footer="0.31496062000000002"/>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Carga variável q0 (tabela de trechos) (kN/m)</a:t>
            </a:r>
          </a:p>
        </c:rich>
      </c:tx>
      <c:layout>
        <c:manualLayout>
          <c:xMode val="edge"/>
          <c:yMode val="edge"/>
          <c:x val="0.32790306294177002"/>
          <c:y val="0"/>
        </c:manualLayout>
      </c:layout>
      <c:overlay val="0"/>
      <c:spPr>
        <a:noFill/>
        <a:ln w="0">
          <a:noFill/>
        </a:ln>
      </c:spPr>
    </c:title>
    <c:autoTitleDeleted val="0"/>
    <c:plotArea>
      <c:layout>
        <c:manualLayout>
          <c:layoutTarget val="inner"/>
          <c:xMode val="edge"/>
          <c:yMode val="edge"/>
          <c:x val="1.67956916863009E-2"/>
          <c:y val="0.46970163026761003"/>
          <c:w val="0.96617300572197895"/>
          <c:h val="0.49738541987080898"/>
        </c:manualLayout>
      </c:layout>
      <c:scatterChart>
        <c:scatterStyle val="lineMarker"/>
        <c:varyColors val="0"/>
        <c:ser>
          <c:idx val="0"/>
          <c:order val="0"/>
          <c:spPr>
            <a:ln w="12600">
              <a:solidFill>
                <a:srgbClr val="156082"/>
              </a:solidFill>
              <a:round/>
            </a:ln>
          </c:spPr>
          <c:marker>
            <c:symbol val="none"/>
          </c:marker>
          <c:dPt>
            <c:idx val="0"/>
            <c:bubble3D val="0"/>
            <c:extLst>
              <c:ext xmlns:c16="http://schemas.microsoft.com/office/drawing/2014/chart" uri="{C3380CC4-5D6E-409C-BE32-E72D297353CC}">
                <c16:uniqueId val="{00000000-F471-4AF8-95CC-C202D3C4954C}"/>
              </c:ext>
            </c:extLst>
          </c:dPt>
          <c:dPt>
            <c:idx val="3"/>
            <c:bubble3D val="0"/>
            <c:extLst>
              <c:ext xmlns:c16="http://schemas.microsoft.com/office/drawing/2014/chart" uri="{C3380CC4-5D6E-409C-BE32-E72D297353CC}">
                <c16:uniqueId val="{00000001-F471-4AF8-95CC-C202D3C4954C}"/>
              </c:ext>
            </c:extLst>
          </c:dPt>
          <c:dPt>
            <c:idx val="6"/>
            <c:bubble3D val="0"/>
            <c:extLst>
              <c:ext xmlns:c16="http://schemas.microsoft.com/office/drawing/2014/chart" uri="{C3380CC4-5D6E-409C-BE32-E72D297353CC}">
                <c16:uniqueId val="{00000002-F471-4AF8-95CC-C202D3C4954C}"/>
              </c:ext>
            </c:extLst>
          </c:dPt>
          <c:dPt>
            <c:idx val="9"/>
            <c:bubble3D val="0"/>
            <c:extLst>
              <c:ext xmlns:c16="http://schemas.microsoft.com/office/drawing/2014/chart" uri="{C3380CC4-5D6E-409C-BE32-E72D297353CC}">
                <c16:uniqueId val="{00000003-F471-4AF8-95CC-C202D3C4954C}"/>
              </c:ext>
            </c:extLst>
          </c:dPt>
          <c:dPt>
            <c:idx val="12"/>
            <c:bubble3D val="0"/>
            <c:extLst>
              <c:ext xmlns:c16="http://schemas.microsoft.com/office/drawing/2014/chart" uri="{C3380CC4-5D6E-409C-BE32-E72D297353CC}">
                <c16:uniqueId val="{00000004-F471-4AF8-95CC-C202D3C4954C}"/>
              </c:ext>
            </c:extLst>
          </c:dPt>
          <c:dPt>
            <c:idx val="15"/>
            <c:bubble3D val="0"/>
            <c:extLst>
              <c:ext xmlns:c16="http://schemas.microsoft.com/office/drawing/2014/chart" uri="{C3380CC4-5D6E-409C-BE32-E72D297353CC}">
                <c16:uniqueId val="{00000005-F471-4AF8-95CC-C202D3C4954C}"/>
              </c:ext>
            </c:extLst>
          </c:dPt>
          <c:dPt>
            <c:idx val="18"/>
            <c:bubble3D val="0"/>
            <c:extLst>
              <c:ext xmlns:c16="http://schemas.microsoft.com/office/drawing/2014/chart" uri="{C3380CC4-5D6E-409C-BE32-E72D297353CC}">
                <c16:uniqueId val="{00000006-F471-4AF8-95CC-C202D3C4954C}"/>
              </c:ext>
            </c:extLst>
          </c:dPt>
          <c:dPt>
            <c:idx val="21"/>
            <c:bubble3D val="0"/>
            <c:extLst>
              <c:ext xmlns:c16="http://schemas.microsoft.com/office/drawing/2014/chart" uri="{C3380CC4-5D6E-409C-BE32-E72D297353CC}">
                <c16:uniqueId val="{00000007-F471-4AF8-95CC-C202D3C4954C}"/>
              </c:ext>
            </c:extLst>
          </c:dPt>
          <c:dPt>
            <c:idx val="24"/>
            <c:bubble3D val="0"/>
            <c:extLst>
              <c:ext xmlns:c16="http://schemas.microsoft.com/office/drawing/2014/chart" uri="{C3380CC4-5D6E-409C-BE32-E72D297353CC}">
                <c16:uniqueId val="{00000008-F471-4AF8-95CC-C202D3C4954C}"/>
              </c:ext>
            </c:extLst>
          </c:dPt>
          <c:dPt>
            <c:idx val="27"/>
            <c:bubble3D val="0"/>
            <c:extLst>
              <c:ext xmlns:c16="http://schemas.microsoft.com/office/drawing/2014/chart" uri="{C3380CC4-5D6E-409C-BE32-E72D297353CC}">
                <c16:uniqueId val="{00000009-F471-4AF8-95CC-C202D3C4954C}"/>
              </c:ext>
            </c:extLst>
          </c:dPt>
          <c:dPt>
            <c:idx val="30"/>
            <c:bubble3D val="0"/>
            <c:extLst>
              <c:ext xmlns:c16="http://schemas.microsoft.com/office/drawing/2014/chart" uri="{C3380CC4-5D6E-409C-BE32-E72D297353CC}">
                <c16:uniqueId val="{0000000A-F471-4AF8-95CC-C202D3C4954C}"/>
              </c:ext>
            </c:extLst>
          </c:dPt>
          <c:dPt>
            <c:idx val="33"/>
            <c:bubble3D val="0"/>
            <c:extLst>
              <c:ext xmlns:c16="http://schemas.microsoft.com/office/drawing/2014/chart" uri="{C3380CC4-5D6E-409C-BE32-E72D297353CC}">
                <c16:uniqueId val="{0000000B-F471-4AF8-95CC-C202D3C4954C}"/>
              </c:ext>
            </c:extLst>
          </c:dPt>
          <c:dPt>
            <c:idx val="36"/>
            <c:bubble3D val="0"/>
            <c:extLst>
              <c:ext xmlns:c16="http://schemas.microsoft.com/office/drawing/2014/chart" uri="{C3380CC4-5D6E-409C-BE32-E72D297353CC}">
                <c16:uniqueId val="{0000000C-F471-4AF8-95CC-C202D3C4954C}"/>
              </c:ext>
            </c:extLst>
          </c:dPt>
          <c:dPt>
            <c:idx val="39"/>
            <c:bubble3D val="0"/>
            <c:extLst>
              <c:ext xmlns:c16="http://schemas.microsoft.com/office/drawing/2014/chart" uri="{C3380CC4-5D6E-409C-BE32-E72D297353CC}">
                <c16:uniqueId val="{0000000D-F471-4AF8-95CC-C202D3C4954C}"/>
              </c:ext>
            </c:extLst>
          </c:dPt>
          <c:dPt>
            <c:idx val="42"/>
            <c:bubble3D val="0"/>
            <c:extLst>
              <c:ext xmlns:c16="http://schemas.microsoft.com/office/drawing/2014/chart" uri="{C3380CC4-5D6E-409C-BE32-E72D297353CC}">
                <c16:uniqueId val="{0000000E-F471-4AF8-95CC-C202D3C4954C}"/>
              </c:ext>
            </c:extLst>
          </c:dPt>
          <c:dPt>
            <c:idx val="45"/>
            <c:bubble3D val="0"/>
            <c:extLst>
              <c:ext xmlns:c16="http://schemas.microsoft.com/office/drawing/2014/chart" uri="{C3380CC4-5D6E-409C-BE32-E72D297353CC}">
                <c16:uniqueId val="{0000000F-F471-4AF8-95CC-C202D3C4954C}"/>
              </c:ext>
            </c:extLst>
          </c:dPt>
          <c:dPt>
            <c:idx val="48"/>
            <c:bubble3D val="0"/>
            <c:extLst>
              <c:ext xmlns:c16="http://schemas.microsoft.com/office/drawing/2014/chart" uri="{C3380CC4-5D6E-409C-BE32-E72D297353CC}">
                <c16:uniqueId val="{00000010-F471-4AF8-95CC-C202D3C4954C}"/>
              </c:ext>
            </c:extLst>
          </c:dPt>
          <c:dPt>
            <c:idx val="51"/>
            <c:bubble3D val="0"/>
            <c:extLst>
              <c:ext xmlns:c16="http://schemas.microsoft.com/office/drawing/2014/chart" uri="{C3380CC4-5D6E-409C-BE32-E72D297353CC}">
                <c16:uniqueId val="{00000011-F471-4AF8-95CC-C202D3C4954C}"/>
              </c:ext>
            </c:extLst>
          </c:dPt>
          <c:dPt>
            <c:idx val="54"/>
            <c:bubble3D val="0"/>
            <c:extLst>
              <c:ext xmlns:c16="http://schemas.microsoft.com/office/drawing/2014/chart" uri="{C3380CC4-5D6E-409C-BE32-E72D297353CC}">
                <c16:uniqueId val="{00000012-F471-4AF8-95CC-C202D3C4954C}"/>
              </c:ext>
            </c:extLst>
          </c:dPt>
          <c:dPt>
            <c:idx val="57"/>
            <c:bubble3D val="0"/>
            <c:extLst>
              <c:ext xmlns:c16="http://schemas.microsoft.com/office/drawing/2014/chart" uri="{C3380CC4-5D6E-409C-BE32-E72D297353CC}">
                <c16:uniqueId val="{00000013-F471-4AF8-95CC-C202D3C4954C}"/>
              </c:ext>
            </c:extLst>
          </c:dPt>
          <c:dPt>
            <c:idx val="60"/>
            <c:bubble3D val="0"/>
            <c:extLst>
              <c:ext xmlns:c16="http://schemas.microsoft.com/office/drawing/2014/chart" uri="{C3380CC4-5D6E-409C-BE32-E72D297353CC}">
                <c16:uniqueId val="{00000014-F471-4AF8-95CC-C202D3C4954C}"/>
              </c:ext>
            </c:extLst>
          </c:dPt>
          <c:dPt>
            <c:idx val="63"/>
            <c:bubble3D val="0"/>
            <c:extLst>
              <c:ext xmlns:c16="http://schemas.microsoft.com/office/drawing/2014/chart" uri="{C3380CC4-5D6E-409C-BE32-E72D297353CC}">
                <c16:uniqueId val="{00000015-F471-4AF8-95CC-C202D3C4954C}"/>
              </c:ext>
            </c:extLst>
          </c:dPt>
          <c:dPt>
            <c:idx val="66"/>
            <c:bubble3D val="0"/>
            <c:extLst>
              <c:ext xmlns:c16="http://schemas.microsoft.com/office/drawing/2014/chart" uri="{C3380CC4-5D6E-409C-BE32-E72D297353CC}">
                <c16:uniqueId val="{00000016-F471-4AF8-95CC-C202D3C4954C}"/>
              </c:ext>
            </c:extLst>
          </c:dPt>
          <c:dPt>
            <c:idx val="69"/>
            <c:bubble3D val="0"/>
            <c:extLst>
              <c:ext xmlns:c16="http://schemas.microsoft.com/office/drawing/2014/chart" uri="{C3380CC4-5D6E-409C-BE32-E72D297353CC}">
                <c16:uniqueId val="{00000017-F471-4AF8-95CC-C202D3C4954C}"/>
              </c:ext>
            </c:extLst>
          </c:dPt>
          <c:dPt>
            <c:idx val="72"/>
            <c:bubble3D val="0"/>
            <c:extLst>
              <c:ext xmlns:c16="http://schemas.microsoft.com/office/drawing/2014/chart" uri="{C3380CC4-5D6E-409C-BE32-E72D297353CC}">
                <c16:uniqueId val="{00000018-F471-4AF8-95CC-C202D3C4954C}"/>
              </c:ext>
            </c:extLst>
          </c:dPt>
          <c:dPt>
            <c:idx val="75"/>
            <c:bubble3D val="0"/>
            <c:extLst>
              <c:ext xmlns:c16="http://schemas.microsoft.com/office/drawing/2014/chart" uri="{C3380CC4-5D6E-409C-BE32-E72D297353CC}">
                <c16:uniqueId val="{00000019-F471-4AF8-95CC-C202D3C4954C}"/>
              </c:ext>
            </c:extLst>
          </c:dPt>
          <c:dPt>
            <c:idx val="77"/>
            <c:bubble3D val="0"/>
            <c:extLst>
              <c:ext xmlns:c16="http://schemas.microsoft.com/office/drawing/2014/chart" uri="{C3380CC4-5D6E-409C-BE32-E72D297353CC}">
                <c16:uniqueId val="{0000001A-F471-4AF8-95CC-C202D3C4954C}"/>
              </c:ext>
            </c:extLst>
          </c:dPt>
          <c:dLbls>
            <c:dLbl>
              <c:idx val="0"/>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F471-4AF8-95CC-C202D3C4954C}"/>
                </c:ext>
              </c:extLst>
            </c:dLbl>
            <c:dLbl>
              <c:idx val="3"/>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471-4AF8-95CC-C202D3C4954C}"/>
                </c:ext>
              </c:extLst>
            </c:dLbl>
            <c:dLbl>
              <c:idx val="6"/>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F471-4AF8-95CC-C202D3C4954C}"/>
                </c:ext>
              </c:extLst>
            </c:dLbl>
            <c:dLbl>
              <c:idx val="9"/>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471-4AF8-95CC-C202D3C4954C}"/>
                </c:ext>
              </c:extLst>
            </c:dLbl>
            <c:dLbl>
              <c:idx val="12"/>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F471-4AF8-95CC-C202D3C4954C}"/>
                </c:ext>
              </c:extLst>
            </c:dLbl>
            <c:dLbl>
              <c:idx val="15"/>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471-4AF8-95CC-C202D3C4954C}"/>
                </c:ext>
              </c:extLst>
            </c:dLbl>
            <c:dLbl>
              <c:idx val="18"/>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F471-4AF8-95CC-C202D3C4954C}"/>
                </c:ext>
              </c:extLst>
            </c:dLbl>
            <c:dLbl>
              <c:idx val="21"/>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471-4AF8-95CC-C202D3C4954C}"/>
                </c:ext>
              </c:extLst>
            </c:dLbl>
            <c:dLbl>
              <c:idx val="24"/>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F471-4AF8-95CC-C202D3C4954C}"/>
                </c:ext>
              </c:extLst>
            </c:dLbl>
            <c:dLbl>
              <c:idx val="27"/>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471-4AF8-95CC-C202D3C4954C}"/>
                </c:ext>
              </c:extLst>
            </c:dLbl>
            <c:dLbl>
              <c:idx val="30"/>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A-F471-4AF8-95CC-C202D3C4954C}"/>
                </c:ext>
              </c:extLst>
            </c:dLbl>
            <c:dLbl>
              <c:idx val="33"/>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471-4AF8-95CC-C202D3C4954C}"/>
                </c:ext>
              </c:extLst>
            </c:dLbl>
            <c:dLbl>
              <c:idx val="36"/>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C-F471-4AF8-95CC-C202D3C4954C}"/>
                </c:ext>
              </c:extLst>
            </c:dLbl>
            <c:dLbl>
              <c:idx val="39"/>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F471-4AF8-95CC-C202D3C4954C}"/>
                </c:ext>
              </c:extLst>
            </c:dLbl>
            <c:dLbl>
              <c:idx val="42"/>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E-F471-4AF8-95CC-C202D3C4954C}"/>
                </c:ext>
              </c:extLst>
            </c:dLbl>
            <c:dLbl>
              <c:idx val="45"/>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F471-4AF8-95CC-C202D3C4954C}"/>
                </c:ext>
              </c:extLst>
            </c:dLbl>
            <c:dLbl>
              <c:idx val="48"/>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0-F471-4AF8-95CC-C202D3C4954C}"/>
                </c:ext>
              </c:extLst>
            </c:dLbl>
            <c:dLbl>
              <c:idx val="51"/>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F471-4AF8-95CC-C202D3C4954C}"/>
                </c:ext>
              </c:extLst>
            </c:dLbl>
            <c:dLbl>
              <c:idx val="54"/>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2-F471-4AF8-95CC-C202D3C4954C}"/>
                </c:ext>
              </c:extLst>
            </c:dLbl>
            <c:dLbl>
              <c:idx val="57"/>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F471-4AF8-95CC-C202D3C4954C}"/>
                </c:ext>
              </c:extLst>
            </c:dLbl>
            <c:dLbl>
              <c:idx val="60"/>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4-F471-4AF8-95CC-C202D3C4954C}"/>
                </c:ext>
              </c:extLst>
            </c:dLbl>
            <c:dLbl>
              <c:idx val="63"/>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F471-4AF8-95CC-C202D3C4954C}"/>
                </c:ext>
              </c:extLst>
            </c:dLbl>
            <c:dLbl>
              <c:idx val="66"/>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6-F471-4AF8-95CC-C202D3C4954C}"/>
                </c:ext>
              </c:extLst>
            </c:dLbl>
            <c:dLbl>
              <c:idx val="69"/>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F471-4AF8-95CC-C202D3C4954C}"/>
                </c:ext>
              </c:extLst>
            </c:dLbl>
            <c:dLbl>
              <c:idx val="72"/>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8-F471-4AF8-95CC-C202D3C4954C}"/>
                </c:ext>
              </c:extLst>
            </c:dLbl>
            <c:dLbl>
              <c:idx val="75"/>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F471-4AF8-95CC-C202D3C4954C}"/>
                </c:ext>
              </c:extLst>
            </c:dLbl>
            <c:dLbl>
              <c:idx val="77"/>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A-F471-4AF8-95CC-C202D3C4954C}"/>
                </c:ext>
              </c:extLst>
            </c:dLbl>
            <c:spPr>
              <a:noFill/>
              <a:ln>
                <a:noFill/>
              </a:ln>
              <a:effectLst/>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adicionais'!$Q$29:$Q$106</c:f>
              <c:numCache>
                <c:formatCode>0.00" m"</c:formatCode>
                <c:ptCount val="78"/>
                <c:pt idx="0" formatCode="General">
                  <c:v>0</c:v>
                </c:pt>
                <c:pt idx="1">
                  <c:v>0</c:v>
                </c:pt>
                <c:pt idx="2" formatCode="General">
                  <c:v>31.4</c:v>
                </c:pt>
                <c:pt idx="3" formatCode="General">
                  <c:v>31.4</c:v>
                </c:pt>
                <c:pt idx="4" formatCode="General">
                  <c:v>31.4</c:v>
                </c:pt>
                <c:pt idx="5" formatCode="General">
                  <c:v>62.8</c:v>
                </c:pt>
                <c:pt idx="6" formatCode="General">
                  <c:v>62.8</c:v>
                </c:pt>
                <c:pt idx="7" formatCode="General">
                  <c:v>62.8</c:v>
                </c:pt>
                <c:pt idx="8" formatCode="General">
                  <c:v>94.199999999999989</c:v>
                </c:pt>
                <c:pt idx="9" formatCode="General">
                  <c:v>94.199999999999989</c:v>
                </c:pt>
                <c:pt idx="10" formatCode="General">
                  <c:v>94.199999999999989</c:v>
                </c:pt>
                <c:pt idx="11" formatCode="General">
                  <c:v>125.6</c:v>
                </c:pt>
                <c:pt idx="12" formatCode="General">
                  <c:v>125.6</c:v>
                </c:pt>
                <c:pt idx="13" formatCode="General">
                  <c:v>125.6</c:v>
                </c:pt>
                <c:pt idx="14" formatCode="General">
                  <c:v>157</c:v>
                </c:pt>
                <c:pt idx="15" formatCode="General">
                  <c:v>157</c:v>
                </c:pt>
                <c:pt idx="16" formatCode="General">
                  <c:v>157</c:v>
                </c:pt>
                <c:pt idx="17" formatCode="General">
                  <c:v>188.39999999999998</c:v>
                </c:pt>
                <c:pt idx="18" formatCode="General">
                  <c:v>188.39999999999998</c:v>
                </c:pt>
                <c:pt idx="19" formatCode="General">
                  <c:v>188.39999999999998</c:v>
                </c:pt>
                <c:pt idx="20" formatCode="General">
                  <c:v>219.79999999999998</c:v>
                </c:pt>
                <c:pt idx="21" formatCode="General">
                  <c:v>219.79999999999998</c:v>
                </c:pt>
                <c:pt idx="22" formatCode="General">
                  <c:v>219.79999999999998</c:v>
                </c:pt>
                <c:pt idx="23" formatCode="General">
                  <c:v>251.2</c:v>
                </c:pt>
                <c:pt idx="24" formatCode="General">
                  <c:v>251.2</c:v>
                </c:pt>
                <c:pt idx="25" formatCode="General">
                  <c:v>251.2</c:v>
                </c:pt>
                <c:pt idx="26" formatCode="General">
                  <c:v>282.59999999999997</c:v>
                </c:pt>
                <c:pt idx="27" formatCode="General">
                  <c:v>282.59999999999997</c:v>
                </c:pt>
                <c:pt idx="28" formatCode="General">
                  <c:v>282.59999999999997</c:v>
                </c:pt>
                <c:pt idx="29" formatCode="General">
                  <c:v>314</c:v>
                </c:pt>
                <c:pt idx="30" formatCode="General">
                  <c:v>314</c:v>
                </c:pt>
                <c:pt idx="31" formatCode="General">
                  <c:v>314</c:v>
                </c:pt>
                <c:pt idx="32" formatCode="General">
                  <c:v>345.4</c:v>
                </c:pt>
                <c:pt idx="33" formatCode="General">
                  <c:v>345.4</c:v>
                </c:pt>
                <c:pt idx="34" formatCode="General">
                  <c:v>345.4</c:v>
                </c:pt>
                <c:pt idx="35" formatCode="General">
                  <c:v>376.79999999999995</c:v>
                </c:pt>
                <c:pt idx="36" formatCode="General">
                  <c:v>376.79999999999995</c:v>
                </c:pt>
                <c:pt idx="37" formatCode="General">
                  <c:v>376.79999999999995</c:v>
                </c:pt>
                <c:pt idx="38" formatCode="General">
                  <c:v>408.2</c:v>
                </c:pt>
                <c:pt idx="39" formatCode="General">
                  <c:v>408.2</c:v>
                </c:pt>
                <c:pt idx="40" formatCode="General">
                  <c:v>408.2</c:v>
                </c:pt>
                <c:pt idx="41" formatCode="General">
                  <c:v>439.59999999999997</c:v>
                </c:pt>
                <c:pt idx="42" formatCode="General">
                  <c:v>439.59999999999997</c:v>
                </c:pt>
                <c:pt idx="43" formatCode="General">
                  <c:v>439.59999999999997</c:v>
                </c:pt>
                <c:pt idx="44" formatCode="General">
                  <c:v>471</c:v>
                </c:pt>
                <c:pt idx="45" formatCode="General">
                  <c:v>471</c:v>
                </c:pt>
                <c:pt idx="46" formatCode="General">
                  <c:v>471</c:v>
                </c:pt>
                <c:pt idx="47" formatCode="General">
                  <c:v>502.4</c:v>
                </c:pt>
                <c:pt idx="48" formatCode="General">
                  <c:v>502.4</c:v>
                </c:pt>
                <c:pt idx="49" formatCode="General">
                  <c:v>502.4</c:v>
                </c:pt>
                <c:pt idx="50" formatCode="General">
                  <c:v>533.79999999999995</c:v>
                </c:pt>
                <c:pt idx="51" formatCode="General">
                  <c:v>533.79999999999995</c:v>
                </c:pt>
                <c:pt idx="52" formatCode="General">
                  <c:v>533.79999999999995</c:v>
                </c:pt>
                <c:pt idx="53" formatCode="General">
                  <c:v>565.19999999999993</c:v>
                </c:pt>
                <c:pt idx="54" formatCode="General">
                  <c:v>565.19999999999993</c:v>
                </c:pt>
                <c:pt idx="55" formatCode="General">
                  <c:v>565.19999999999993</c:v>
                </c:pt>
                <c:pt idx="56" formatCode="General">
                  <c:v>596.6</c:v>
                </c:pt>
                <c:pt idx="57" formatCode="General">
                  <c:v>596.6</c:v>
                </c:pt>
                <c:pt idx="58" formatCode="General">
                  <c:v>596.6</c:v>
                </c:pt>
                <c:pt idx="59" formatCode="General">
                  <c:v>628</c:v>
                </c:pt>
                <c:pt idx="60" formatCode="General">
                  <c:v>628</c:v>
                </c:pt>
                <c:pt idx="61" formatCode="General">
                  <c:v>628</c:v>
                </c:pt>
                <c:pt idx="62" formatCode="General">
                  <c:v>659.4</c:v>
                </c:pt>
                <c:pt idx="63" formatCode="General">
                  <c:v>659.4</c:v>
                </c:pt>
                <c:pt idx="64" formatCode="General">
                  <c:v>659.4</c:v>
                </c:pt>
                <c:pt idx="65" formatCode="General">
                  <c:v>690.8</c:v>
                </c:pt>
                <c:pt idx="66" formatCode="General">
                  <c:v>690.8</c:v>
                </c:pt>
                <c:pt idx="67" formatCode="General">
                  <c:v>690.8</c:v>
                </c:pt>
                <c:pt idx="68" formatCode="General">
                  <c:v>722.19999999999993</c:v>
                </c:pt>
                <c:pt idx="69" formatCode="General">
                  <c:v>722.19999999999993</c:v>
                </c:pt>
                <c:pt idx="70" formatCode="General">
                  <c:v>722.19999999999993</c:v>
                </c:pt>
                <c:pt idx="71" formatCode="General">
                  <c:v>753.59999999999991</c:v>
                </c:pt>
                <c:pt idx="72" formatCode="General">
                  <c:v>753.59999999999991</c:v>
                </c:pt>
                <c:pt idx="73" formatCode="General">
                  <c:v>753.59999999999991</c:v>
                </c:pt>
                <c:pt idx="74" formatCode="0.0&quot; cm&quot;">
                  <c:v>785</c:v>
                </c:pt>
                <c:pt idx="75" formatCode="0.0&quot; cm&quot;">
                  <c:v>785</c:v>
                </c:pt>
                <c:pt idx="76" formatCode="0.0&quot; cm&quot;">
                  <c:v>785</c:v>
                </c:pt>
                <c:pt idx="77" formatCode="0.0&quot; cm&quot;">
                  <c:v>785</c:v>
                </c:pt>
              </c:numCache>
            </c:numRef>
          </c:xVal>
          <c:yVal>
            <c:numRef>
              <c:f>'Cargas adicionais'!$R$29:$R$106</c:f>
              <c:numCache>
                <c:formatCode>0.0</c:formatCode>
                <c:ptCount val="78"/>
                <c:pt idx="0">
                  <c:v>0</c:v>
                </c:pt>
                <c:pt idx="1">
                  <c:v>145.9375</c:v>
                </c:pt>
                <c:pt idx="2">
                  <c:v>145.9375</c:v>
                </c:pt>
                <c:pt idx="3">
                  <c:v>0</c:v>
                </c:pt>
                <c:pt idx="4">
                  <c:v>145.9375</c:v>
                </c:pt>
                <c:pt idx="5">
                  <c:v>145.9375</c:v>
                </c:pt>
                <c:pt idx="6">
                  <c:v>0</c:v>
                </c:pt>
                <c:pt idx="7">
                  <c:v>145.9375</c:v>
                </c:pt>
                <c:pt idx="8">
                  <c:v>145.9375</c:v>
                </c:pt>
                <c:pt idx="9">
                  <c:v>0</c:v>
                </c:pt>
                <c:pt idx="10">
                  <c:v>145.9375</c:v>
                </c:pt>
                <c:pt idx="11">
                  <c:v>145.9375</c:v>
                </c:pt>
                <c:pt idx="12">
                  <c:v>0</c:v>
                </c:pt>
                <c:pt idx="13">
                  <c:v>145.9375</c:v>
                </c:pt>
                <c:pt idx="14">
                  <c:v>145.9375</c:v>
                </c:pt>
                <c:pt idx="15">
                  <c:v>0</c:v>
                </c:pt>
                <c:pt idx="16">
                  <c:v>145.9375</c:v>
                </c:pt>
                <c:pt idx="17">
                  <c:v>145.9375</c:v>
                </c:pt>
                <c:pt idx="18">
                  <c:v>0</c:v>
                </c:pt>
                <c:pt idx="19">
                  <c:v>145.9375</c:v>
                </c:pt>
                <c:pt idx="20">
                  <c:v>145.9375</c:v>
                </c:pt>
                <c:pt idx="21">
                  <c:v>0</c:v>
                </c:pt>
                <c:pt idx="22">
                  <c:v>145.9375</c:v>
                </c:pt>
                <c:pt idx="23">
                  <c:v>145.9375</c:v>
                </c:pt>
                <c:pt idx="24">
                  <c:v>0</c:v>
                </c:pt>
                <c:pt idx="25">
                  <c:v>145.9375</c:v>
                </c:pt>
                <c:pt idx="26">
                  <c:v>145.9375</c:v>
                </c:pt>
                <c:pt idx="27">
                  <c:v>0</c:v>
                </c:pt>
                <c:pt idx="28">
                  <c:v>145.9375</c:v>
                </c:pt>
                <c:pt idx="29">
                  <c:v>145.9375</c:v>
                </c:pt>
                <c:pt idx="30">
                  <c:v>0</c:v>
                </c:pt>
                <c:pt idx="31">
                  <c:v>145.9375</c:v>
                </c:pt>
                <c:pt idx="32">
                  <c:v>145.9375</c:v>
                </c:pt>
                <c:pt idx="33">
                  <c:v>0</c:v>
                </c:pt>
                <c:pt idx="34">
                  <c:v>145.9375</c:v>
                </c:pt>
                <c:pt idx="35">
                  <c:v>145.9375</c:v>
                </c:pt>
                <c:pt idx="36">
                  <c:v>0</c:v>
                </c:pt>
                <c:pt idx="37">
                  <c:v>145.9375</c:v>
                </c:pt>
                <c:pt idx="38">
                  <c:v>145.9375</c:v>
                </c:pt>
                <c:pt idx="39">
                  <c:v>0</c:v>
                </c:pt>
                <c:pt idx="40">
                  <c:v>145.9375</c:v>
                </c:pt>
                <c:pt idx="41">
                  <c:v>145.9375</c:v>
                </c:pt>
                <c:pt idx="42">
                  <c:v>0</c:v>
                </c:pt>
                <c:pt idx="43">
                  <c:v>145.9375</c:v>
                </c:pt>
                <c:pt idx="44">
                  <c:v>145.9375</c:v>
                </c:pt>
                <c:pt idx="45">
                  <c:v>0</c:v>
                </c:pt>
                <c:pt idx="46">
                  <c:v>145.9375</c:v>
                </c:pt>
                <c:pt idx="47">
                  <c:v>145.9375</c:v>
                </c:pt>
                <c:pt idx="48">
                  <c:v>0</c:v>
                </c:pt>
                <c:pt idx="49">
                  <c:v>145.9375</c:v>
                </c:pt>
                <c:pt idx="50">
                  <c:v>145.9375</c:v>
                </c:pt>
                <c:pt idx="51">
                  <c:v>0</c:v>
                </c:pt>
                <c:pt idx="52">
                  <c:v>145.9375</c:v>
                </c:pt>
                <c:pt idx="53">
                  <c:v>145.9375</c:v>
                </c:pt>
                <c:pt idx="54">
                  <c:v>0</c:v>
                </c:pt>
                <c:pt idx="55">
                  <c:v>145.9375</c:v>
                </c:pt>
                <c:pt idx="56">
                  <c:v>145.9375</c:v>
                </c:pt>
                <c:pt idx="57">
                  <c:v>0</c:v>
                </c:pt>
                <c:pt idx="58">
                  <c:v>145.9375</c:v>
                </c:pt>
                <c:pt idx="59">
                  <c:v>145.9375</c:v>
                </c:pt>
                <c:pt idx="60">
                  <c:v>0</c:v>
                </c:pt>
                <c:pt idx="61">
                  <c:v>145.9375</c:v>
                </c:pt>
                <c:pt idx="62">
                  <c:v>145.9375</c:v>
                </c:pt>
                <c:pt idx="63">
                  <c:v>0</c:v>
                </c:pt>
                <c:pt idx="64">
                  <c:v>145.9375</c:v>
                </c:pt>
                <c:pt idx="65">
                  <c:v>145.9375</c:v>
                </c:pt>
                <c:pt idx="66">
                  <c:v>0</c:v>
                </c:pt>
                <c:pt idx="67">
                  <c:v>145.9375</c:v>
                </c:pt>
                <c:pt idx="68">
                  <c:v>145.9375</c:v>
                </c:pt>
                <c:pt idx="69">
                  <c:v>0</c:v>
                </c:pt>
                <c:pt idx="70">
                  <c:v>145.9375</c:v>
                </c:pt>
                <c:pt idx="71">
                  <c:v>145.9375</c:v>
                </c:pt>
                <c:pt idx="72">
                  <c:v>0</c:v>
                </c:pt>
                <c:pt idx="73">
                  <c:v>145.9375</c:v>
                </c:pt>
                <c:pt idx="74">
                  <c:v>145.9375</c:v>
                </c:pt>
                <c:pt idx="75">
                  <c:v>0</c:v>
                </c:pt>
                <c:pt idx="76">
                  <c:v>0</c:v>
                </c:pt>
                <c:pt idx="77">
                  <c:v>0</c:v>
                </c:pt>
              </c:numCache>
            </c:numRef>
          </c:yVal>
          <c:smooth val="0"/>
          <c:extLst>
            <c:ext xmlns:c16="http://schemas.microsoft.com/office/drawing/2014/chart" uri="{C3380CC4-5D6E-409C-BE32-E72D297353CC}">
              <c16:uniqueId val="{0000001B-F471-4AF8-95CC-C202D3C4954C}"/>
            </c:ext>
          </c:extLst>
        </c:ser>
        <c:ser>
          <c:idx val="1"/>
          <c:order val="1"/>
          <c:tx>
            <c:v>Carga pontual (variável)</c:v>
          </c:tx>
          <c:spPr>
            <a:ln w="12600">
              <a:solidFill>
                <a:srgbClr val="F0762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adicionais'!$M$201:$M$230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xVal>
          <c:yVal>
            <c:numRef>
              <c:f>'Cargas adicionais'!$N$201:$N$230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yVal>
          <c:smooth val="0"/>
          <c:extLst>
            <c:ext xmlns:c16="http://schemas.microsoft.com/office/drawing/2014/chart" uri="{C3380CC4-5D6E-409C-BE32-E72D297353CC}">
              <c16:uniqueId val="{0000001C-F471-4AF8-95CC-C202D3C4954C}"/>
            </c:ext>
          </c:extLst>
        </c:ser>
        <c:dLbls>
          <c:showLegendKey val="0"/>
          <c:showVal val="0"/>
          <c:showCatName val="0"/>
          <c:showSerName val="0"/>
          <c:showPercent val="0"/>
          <c:showBubbleSize val="0"/>
        </c:dLbls>
        <c:axId val="90671246"/>
        <c:axId val="15951815"/>
      </c:scatterChart>
      <c:valAx>
        <c:axId val="90671246"/>
        <c:scaling>
          <c:orientation val="minMax"/>
          <c:min val="0"/>
        </c:scaling>
        <c:delete val="1"/>
        <c:axPos val="b"/>
        <c:numFmt formatCode="General" sourceLinked="1"/>
        <c:majorTickMark val="out"/>
        <c:minorTickMark val="none"/>
        <c:tickLblPos val="nextTo"/>
        <c:crossAx val="15951815"/>
        <c:crosses val="autoZero"/>
        <c:crossBetween val="midCat"/>
      </c:valAx>
      <c:valAx>
        <c:axId val="15951815"/>
        <c:scaling>
          <c:orientation val="minMax"/>
        </c:scaling>
        <c:delete val="1"/>
        <c:axPos val="l"/>
        <c:numFmt formatCode="0.0" sourceLinked="1"/>
        <c:majorTickMark val="out"/>
        <c:minorTickMark val="none"/>
        <c:tickLblPos val="nextTo"/>
        <c:crossAx val="90671246"/>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Diagrama de Esforço Cortante V,q0(x) (kN) - somente carga variável</a:t>
            </a:r>
          </a:p>
        </c:rich>
      </c:tx>
      <c:overlay val="0"/>
      <c:spPr>
        <a:noFill/>
        <a:ln w="0">
          <a:noFill/>
        </a:ln>
      </c:spPr>
    </c:title>
    <c:autoTitleDeleted val="0"/>
    <c:plotArea>
      <c:layout/>
      <c:scatterChart>
        <c:scatterStyle val="lineMarker"/>
        <c:varyColors val="0"/>
        <c:ser>
          <c:idx val="0"/>
          <c:order val="0"/>
          <c:spPr>
            <a:ln w="12600">
              <a:solidFill>
                <a:srgbClr val="156082"/>
              </a:solidFill>
              <a:round/>
            </a:ln>
          </c:spPr>
          <c:marker>
            <c:symbol val="none"/>
          </c:marker>
          <c:dLbls>
            <c:numFmt formatCode="0" sourceLinked="0"/>
            <c:spPr>
              <a:noFill/>
              <a:ln>
                <a:noFill/>
              </a:ln>
              <a:effectLst/>
            </c:spPr>
            <c:txPr>
              <a:bodyPr rot="-5400000" wrap="square"/>
              <a:lstStyle/>
              <a:p>
                <a:pPr>
                  <a:defRPr sz="7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adicionais'!$K$153:$K$182</c:f>
              <c:numCache>
                <c:formatCode>General</c:formatCode>
                <c:ptCount val="30"/>
                <c:pt idx="0" formatCode="0.0&quot; cm&quot;">
                  <c:v>0</c:v>
                </c:pt>
                <c:pt idx="1">
                  <c:v>0</c:v>
                </c:pt>
                <c:pt idx="2" formatCode="0.0&quot; cm&quot;">
                  <c:v>0</c:v>
                </c:pt>
                <c:pt idx="3">
                  <c:v>31.4</c:v>
                </c:pt>
                <c:pt idx="4">
                  <c:v>62.8</c:v>
                </c:pt>
                <c:pt idx="5">
                  <c:v>94.199999999999989</c:v>
                </c:pt>
                <c:pt idx="6">
                  <c:v>125.6</c:v>
                </c:pt>
                <c:pt idx="7">
                  <c:v>157</c:v>
                </c:pt>
                <c:pt idx="8">
                  <c:v>188.39999999999998</c:v>
                </c:pt>
                <c:pt idx="9">
                  <c:v>219.79999999999998</c:v>
                </c:pt>
                <c:pt idx="10">
                  <c:v>251.2</c:v>
                </c:pt>
                <c:pt idx="11">
                  <c:v>282.59999999999997</c:v>
                </c:pt>
                <c:pt idx="12">
                  <c:v>314</c:v>
                </c:pt>
                <c:pt idx="13">
                  <c:v>345.4</c:v>
                </c:pt>
                <c:pt idx="14">
                  <c:v>376.79999999999995</c:v>
                </c:pt>
                <c:pt idx="15">
                  <c:v>408.2</c:v>
                </c:pt>
                <c:pt idx="16">
                  <c:v>439.59999999999997</c:v>
                </c:pt>
                <c:pt idx="17">
                  <c:v>471</c:v>
                </c:pt>
                <c:pt idx="18">
                  <c:v>502.4</c:v>
                </c:pt>
                <c:pt idx="19">
                  <c:v>533.79999999999995</c:v>
                </c:pt>
                <c:pt idx="20">
                  <c:v>565.19999999999993</c:v>
                </c:pt>
                <c:pt idx="21">
                  <c:v>596.6</c:v>
                </c:pt>
                <c:pt idx="22">
                  <c:v>628</c:v>
                </c:pt>
                <c:pt idx="23">
                  <c:v>659.4</c:v>
                </c:pt>
                <c:pt idx="24">
                  <c:v>690.8</c:v>
                </c:pt>
                <c:pt idx="25">
                  <c:v>722.19999999999993</c:v>
                </c:pt>
                <c:pt idx="26">
                  <c:v>753.59999999999991</c:v>
                </c:pt>
                <c:pt idx="27">
                  <c:v>785</c:v>
                </c:pt>
                <c:pt idx="28">
                  <c:v>785</c:v>
                </c:pt>
                <c:pt idx="29">
                  <c:v>785</c:v>
                </c:pt>
              </c:numCache>
            </c:numRef>
          </c:xVal>
          <c:yVal>
            <c:numRef>
              <c:f>'Cargas adicionais'!$M$153:$M$182</c:f>
              <c:numCache>
                <c:formatCode>General</c:formatCode>
                <c:ptCount val="30"/>
                <c:pt idx="0">
                  <c:v>0</c:v>
                </c:pt>
                <c:pt idx="1">
                  <c:v>572.80468750000011</c:v>
                </c:pt>
                <c:pt idx="2">
                  <c:v>572.80468750000011</c:v>
                </c:pt>
                <c:pt idx="3">
                  <c:v>526.98031250000008</c:v>
                </c:pt>
                <c:pt idx="4">
                  <c:v>481.15593750000011</c:v>
                </c:pt>
                <c:pt idx="5">
                  <c:v>435.33156250000013</c:v>
                </c:pt>
                <c:pt idx="6">
                  <c:v>389.5071875000001</c:v>
                </c:pt>
                <c:pt idx="7">
                  <c:v>343.68281250000007</c:v>
                </c:pt>
                <c:pt idx="8">
                  <c:v>297.85843750000015</c:v>
                </c:pt>
                <c:pt idx="9">
                  <c:v>252.03406250000012</c:v>
                </c:pt>
                <c:pt idx="10">
                  <c:v>206.20968750000009</c:v>
                </c:pt>
                <c:pt idx="11">
                  <c:v>160.38531250000017</c:v>
                </c:pt>
                <c:pt idx="12">
                  <c:v>114.56093750000008</c:v>
                </c:pt>
                <c:pt idx="13">
                  <c:v>68.736562500000161</c:v>
                </c:pt>
                <c:pt idx="14">
                  <c:v>22.912187500000186</c:v>
                </c:pt>
                <c:pt idx="15">
                  <c:v>-22.912187499999845</c:v>
                </c:pt>
                <c:pt idx="16">
                  <c:v>-68.736562499999877</c:v>
                </c:pt>
                <c:pt idx="17">
                  <c:v>-114.56093749999991</c:v>
                </c:pt>
                <c:pt idx="18">
                  <c:v>-160.38531249999994</c:v>
                </c:pt>
                <c:pt idx="19">
                  <c:v>-206.20968749999975</c:v>
                </c:pt>
                <c:pt idx="20">
                  <c:v>-252.03406249999978</c:v>
                </c:pt>
                <c:pt idx="21">
                  <c:v>-297.85843749999992</c:v>
                </c:pt>
                <c:pt idx="22">
                  <c:v>-343.68281249999995</c:v>
                </c:pt>
                <c:pt idx="23">
                  <c:v>-389.50718749999976</c:v>
                </c:pt>
                <c:pt idx="24">
                  <c:v>-435.33156249999979</c:v>
                </c:pt>
                <c:pt idx="25">
                  <c:v>-481.15593749999982</c:v>
                </c:pt>
                <c:pt idx="26">
                  <c:v>-526.98031249999974</c:v>
                </c:pt>
                <c:pt idx="27">
                  <c:v>-572.80468749999989</c:v>
                </c:pt>
                <c:pt idx="28">
                  <c:v>-572.80468749999989</c:v>
                </c:pt>
                <c:pt idx="29">
                  <c:v>0</c:v>
                </c:pt>
              </c:numCache>
            </c:numRef>
          </c:yVal>
          <c:smooth val="0"/>
          <c:extLst>
            <c:ext xmlns:c16="http://schemas.microsoft.com/office/drawing/2014/chart" uri="{C3380CC4-5D6E-409C-BE32-E72D297353CC}">
              <c16:uniqueId val="{00000000-6BD9-432E-A04F-AD612907221E}"/>
            </c:ext>
          </c:extLst>
        </c:ser>
        <c:ser>
          <c:idx val="1"/>
          <c:order val="1"/>
          <c:tx>
            <c:v>Carga pontual (variável)</c:v>
          </c:tx>
          <c:spPr>
            <a:ln w="12600">
              <a:solidFill>
                <a:srgbClr val="F0762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adicionais'!$M$201:$M$230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xVal>
          <c:yVal>
            <c:numRef>
              <c:f>'Cargas adicionais'!$N$201:$N$230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yVal>
          <c:smooth val="0"/>
          <c:extLst>
            <c:ext xmlns:c16="http://schemas.microsoft.com/office/drawing/2014/chart" uri="{C3380CC4-5D6E-409C-BE32-E72D297353CC}">
              <c16:uniqueId val="{00000001-6BD9-432E-A04F-AD612907221E}"/>
            </c:ext>
          </c:extLst>
        </c:ser>
        <c:dLbls>
          <c:showLegendKey val="0"/>
          <c:showVal val="0"/>
          <c:showCatName val="0"/>
          <c:showSerName val="0"/>
          <c:showPercent val="0"/>
          <c:showBubbleSize val="0"/>
        </c:dLbls>
        <c:axId val="3564766"/>
        <c:axId val="60272330"/>
      </c:scatterChart>
      <c:valAx>
        <c:axId val="3564766"/>
        <c:scaling>
          <c:orientation val="minMax"/>
          <c:min val="0"/>
        </c:scaling>
        <c:delete val="0"/>
        <c:axPos val="b"/>
        <c:numFmt formatCode="General" sourceLinked="0"/>
        <c:majorTickMark val="out"/>
        <c:minorTickMark val="none"/>
        <c:tickLblPos val="nextTo"/>
        <c:spPr>
          <a:ln w="3240">
            <a:solidFill>
              <a:srgbClr val="8B8B8B"/>
            </a:solidFill>
            <a:round/>
          </a:ln>
        </c:spPr>
        <c:txPr>
          <a:bodyPr/>
          <a:lstStyle/>
          <a:p>
            <a:pPr>
              <a:defRPr sz="1000" b="0" strike="noStrike" spc="-1">
                <a:solidFill>
                  <a:srgbClr val="333333"/>
                </a:solidFill>
                <a:latin typeface="Aptos Narrow"/>
                <a:ea typeface="Aptos Narrow"/>
              </a:defRPr>
            </a:pPr>
            <a:endParaRPr lang="pt-BR"/>
          </a:p>
        </c:txPr>
        <c:crossAx val="60272330"/>
        <c:crosses val="autoZero"/>
        <c:crossBetween val="midCat"/>
      </c:valAx>
      <c:valAx>
        <c:axId val="60272330"/>
        <c:scaling>
          <c:orientation val="minMax"/>
        </c:scaling>
        <c:delete val="1"/>
        <c:axPos val="l"/>
        <c:numFmt formatCode="General" sourceLinked="1"/>
        <c:majorTickMark val="out"/>
        <c:minorTickMark val="none"/>
        <c:tickLblPos val="nextTo"/>
        <c:crossAx val="3564766"/>
        <c:crosses val="autoZero"/>
        <c:crossBetween val="midCat"/>
      </c:valAx>
      <c:spPr>
        <a:noFill/>
        <a:ln w="25560">
          <a:noFill/>
        </a:ln>
      </c:spPr>
    </c:plotArea>
    <c:plotVisOnly val="1"/>
    <c:dispBlanksAs val="gap"/>
    <c:showDLblsOverMax val="1"/>
  </c:chart>
  <c:spPr>
    <a:noFill/>
    <a:ln w="9360">
      <a:noFill/>
    </a:ln>
  </c:spPr>
  <c:printSettings>
    <c:headerFooter/>
    <c:pageMargins b="0.78740157499999996" l="0.511811024" r="0.511811024" t="0.78740157499999996" header="0.31496062000000002" footer="0.31496062000000002"/>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Diagrama de Momento Fletor M,q0(x) (kN.m) - somente carga variável</a:t>
            </a:r>
          </a:p>
        </c:rich>
      </c:tx>
      <c:overlay val="0"/>
      <c:spPr>
        <a:noFill/>
        <a:ln w="0">
          <a:noFill/>
        </a:ln>
      </c:spPr>
    </c:title>
    <c:autoTitleDeleted val="0"/>
    <c:plotArea>
      <c:layout>
        <c:manualLayout>
          <c:layoutTarget val="inner"/>
          <c:xMode val="edge"/>
          <c:yMode val="edge"/>
          <c:x val="6.1831033322113801E-2"/>
          <c:y val="0.159405255878285"/>
          <c:w val="0.910366879838438"/>
          <c:h val="0.80278930382664804"/>
        </c:manualLayout>
      </c:layout>
      <c:scatterChart>
        <c:scatterStyle val="lineMarker"/>
        <c:varyColors val="0"/>
        <c:ser>
          <c:idx val="0"/>
          <c:order val="0"/>
          <c:spPr>
            <a:ln w="12600">
              <a:solidFill>
                <a:srgbClr val="A33E11"/>
              </a:solidFill>
              <a:round/>
            </a:ln>
          </c:spPr>
          <c:marker>
            <c:symbol val="none"/>
          </c:marker>
          <c:dLbls>
            <c:numFmt formatCode="0" sourceLinked="0"/>
            <c:spPr>
              <a:noFill/>
              <a:ln>
                <a:noFill/>
              </a:ln>
              <a:effectLst/>
            </c:spPr>
            <c:txPr>
              <a:bodyPr rot="-5400000" wrap="square"/>
              <a:lstStyle/>
              <a:p>
                <a:pPr>
                  <a:defRPr sz="700" b="0" strike="noStrike" spc="-1">
                    <a:solidFill>
                      <a:srgbClr val="404040"/>
                    </a:solidFill>
                    <a:latin typeface="Aptos Narrow"/>
                    <a:ea typeface="Aptos Narrow"/>
                  </a:defRPr>
                </a:pPr>
                <a:endParaRPr lang="pt-BR"/>
              </a:p>
            </c:txPr>
            <c:dLblPos val="b"/>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adicionais'!$K$153:$K$180</c:f>
              <c:numCache>
                <c:formatCode>General</c:formatCode>
                <c:ptCount val="28"/>
                <c:pt idx="0" formatCode="0.0&quot; cm&quot;">
                  <c:v>0</c:v>
                </c:pt>
                <c:pt idx="1">
                  <c:v>0</c:v>
                </c:pt>
                <c:pt idx="2" formatCode="0.0&quot; cm&quot;">
                  <c:v>0</c:v>
                </c:pt>
                <c:pt idx="3">
                  <c:v>31.4</c:v>
                </c:pt>
                <c:pt idx="4">
                  <c:v>62.8</c:v>
                </c:pt>
                <c:pt idx="5">
                  <c:v>94.199999999999989</c:v>
                </c:pt>
                <c:pt idx="6">
                  <c:v>125.6</c:v>
                </c:pt>
                <c:pt idx="7">
                  <c:v>157</c:v>
                </c:pt>
                <c:pt idx="8">
                  <c:v>188.39999999999998</c:v>
                </c:pt>
                <c:pt idx="9">
                  <c:v>219.79999999999998</c:v>
                </c:pt>
                <c:pt idx="10">
                  <c:v>251.2</c:v>
                </c:pt>
                <c:pt idx="11">
                  <c:v>282.59999999999997</c:v>
                </c:pt>
                <c:pt idx="12">
                  <c:v>314</c:v>
                </c:pt>
                <c:pt idx="13">
                  <c:v>345.4</c:v>
                </c:pt>
                <c:pt idx="14">
                  <c:v>376.79999999999995</c:v>
                </c:pt>
                <c:pt idx="15">
                  <c:v>408.2</c:v>
                </c:pt>
                <c:pt idx="16">
                  <c:v>439.59999999999997</c:v>
                </c:pt>
                <c:pt idx="17">
                  <c:v>471</c:v>
                </c:pt>
                <c:pt idx="18">
                  <c:v>502.4</c:v>
                </c:pt>
                <c:pt idx="19">
                  <c:v>533.79999999999995</c:v>
                </c:pt>
                <c:pt idx="20">
                  <c:v>565.19999999999993</c:v>
                </c:pt>
                <c:pt idx="21">
                  <c:v>596.6</c:v>
                </c:pt>
                <c:pt idx="22">
                  <c:v>628</c:v>
                </c:pt>
                <c:pt idx="23">
                  <c:v>659.4</c:v>
                </c:pt>
                <c:pt idx="24">
                  <c:v>690.8</c:v>
                </c:pt>
                <c:pt idx="25">
                  <c:v>722.19999999999993</c:v>
                </c:pt>
                <c:pt idx="26">
                  <c:v>753.59999999999991</c:v>
                </c:pt>
                <c:pt idx="27">
                  <c:v>785</c:v>
                </c:pt>
              </c:numCache>
            </c:numRef>
          </c:xVal>
          <c:yVal>
            <c:numRef>
              <c:f>'Cargas adicionais'!$O$153:$O$180</c:f>
              <c:numCache>
                <c:formatCode>0.0</c:formatCode>
                <c:ptCount val="28"/>
                <c:pt idx="0">
                  <c:v>0</c:v>
                </c:pt>
                <c:pt idx="1">
                  <c:v>0</c:v>
                </c:pt>
                <c:pt idx="2">
                  <c:v>0</c:v>
                </c:pt>
                <c:pt idx="3">
                  <c:v>-172.66624500000006</c:v>
                </c:pt>
                <c:pt idx="4">
                  <c:v>-330.94363625000011</c:v>
                </c:pt>
                <c:pt idx="5">
                  <c:v>-474.83217375000009</c:v>
                </c:pt>
                <c:pt idx="6">
                  <c:v>-604.33185750000018</c:v>
                </c:pt>
                <c:pt idx="7">
                  <c:v>-719.44268750000026</c:v>
                </c:pt>
                <c:pt idx="8">
                  <c:v>-820.16466375000027</c:v>
                </c:pt>
                <c:pt idx="9">
                  <c:v>-906.49778625000033</c:v>
                </c:pt>
                <c:pt idx="10">
                  <c:v>-978.44205500000044</c:v>
                </c:pt>
                <c:pt idx="11">
                  <c:v>-1035.9974700000005</c:v>
                </c:pt>
                <c:pt idx="12">
                  <c:v>-1079.1640312500006</c:v>
                </c:pt>
                <c:pt idx="13">
                  <c:v>-1107.9417387500005</c:v>
                </c:pt>
                <c:pt idx="14">
                  <c:v>-1122.3305925000004</c:v>
                </c:pt>
                <c:pt idx="15">
                  <c:v>-1122.3305925000004</c:v>
                </c:pt>
                <c:pt idx="16">
                  <c:v>-1107.9417387500005</c:v>
                </c:pt>
                <c:pt idx="17">
                  <c:v>-1079.1640312500006</c:v>
                </c:pt>
                <c:pt idx="18">
                  <c:v>-1035.9974700000007</c:v>
                </c:pt>
                <c:pt idx="19">
                  <c:v>-978.44205500000078</c:v>
                </c:pt>
                <c:pt idx="20">
                  <c:v>-906.4977862500009</c:v>
                </c:pt>
                <c:pt idx="21">
                  <c:v>-820.16466375000073</c:v>
                </c:pt>
                <c:pt idx="22">
                  <c:v>-719.44268750000083</c:v>
                </c:pt>
                <c:pt idx="23">
                  <c:v>-604.33185750000098</c:v>
                </c:pt>
                <c:pt idx="24">
                  <c:v>-474.83217375000117</c:v>
                </c:pt>
                <c:pt idx="25">
                  <c:v>-330.9436362500013</c:v>
                </c:pt>
                <c:pt idx="26">
                  <c:v>-172.66624500000148</c:v>
                </c:pt>
                <c:pt idx="27">
                  <c:v>-1.0231815394945443E-12</c:v>
                </c:pt>
              </c:numCache>
            </c:numRef>
          </c:yVal>
          <c:smooth val="0"/>
          <c:extLst>
            <c:ext xmlns:c16="http://schemas.microsoft.com/office/drawing/2014/chart" uri="{C3380CC4-5D6E-409C-BE32-E72D297353CC}">
              <c16:uniqueId val="{00000000-C7C2-46A1-BBF8-AEE6088EFF3A}"/>
            </c:ext>
          </c:extLst>
        </c:ser>
        <c:ser>
          <c:idx val="1"/>
          <c:order val="1"/>
          <c:tx>
            <c:v>Carga pontual (variável)</c:v>
          </c:tx>
          <c:spPr>
            <a:ln w="12600">
              <a:solidFill>
                <a:srgbClr val="F0762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'Cargas adicionais'!$M$201:$M$230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xVal>
          <c:yVal>
            <c:numRef>
              <c:f>'Cargas adicionais'!$N$201:$N$230</c:f>
              <c:numCache>
                <c:formatCode>0.0</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yVal>
          <c:smooth val="0"/>
          <c:extLst>
            <c:ext xmlns:c16="http://schemas.microsoft.com/office/drawing/2014/chart" uri="{C3380CC4-5D6E-409C-BE32-E72D297353CC}">
              <c16:uniqueId val="{00000001-C7C2-46A1-BBF8-AEE6088EFF3A}"/>
            </c:ext>
          </c:extLst>
        </c:ser>
        <c:dLbls>
          <c:showLegendKey val="0"/>
          <c:showVal val="0"/>
          <c:showCatName val="0"/>
          <c:showSerName val="0"/>
          <c:showPercent val="0"/>
          <c:showBubbleSize val="0"/>
        </c:dLbls>
        <c:axId val="12243430"/>
        <c:axId val="10148176"/>
      </c:scatterChart>
      <c:valAx>
        <c:axId val="12243430"/>
        <c:scaling>
          <c:orientation val="minMax"/>
          <c:min val="0"/>
        </c:scaling>
        <c:delete val="0"/>
        <c:axPos val="b"/>
        <c:numFmt formatCode="General" sourceLinked="0"/>
        <c:majorTickMark val="out"/>
        <c:minorTickMark val="none"/>
        <c:tickLblPos val="nextTo"/>
        <c:spPr>
          <a:ln w="3240">
            <a:solidFill>
              <a:srgbClr val="8B8B8B"/>
            </a:solidFill>
            <a:round/>
          </a:ln>
        </c:spPr>
        <c:txPr>
          <a:bodyPr/>
          <a:lstStyle/>
          <a:p>
            <a:pPr>
              <a:defRPr sz="1000" b="0" strike="noStrike" spc="-1">
                <a:solidFill>
                  <a:srgbClr val="333333"/>
                </a:solidFill>
                <a:latin typeface="Aptos Narrow"/>
                <a:ea typeface="Aptos Narrow"/>
              </a:defRPr>
            </a:pPr>
            <a:endParaRPr lang="pt-BR"/>
          </a:p>
        </c:txPr>
        <c:crossAx val="10148176"/>
        <c:crosses val="autoZero"/>
        <c:crossBetween val="midCat"/>
      </c:valAx>
      <c:valAx>
        <c:axId val="10148176"/>
        <c:scaling>
          <c:orientation val="minMax"/>
        </c:scaling>
        <c:delete val="1"/>
        <c:axPos val="l"/>
        <c:numFmt formatCode="0.0" sourceLinked="1"/>
        <c:majorTickMark val="out"/>
        <c:minorTickMark val="none"/>
        <c:tickLblPos val="nextTo"/>
        <c:crossAx val="12243430"/>
        <c:crosses val="autoZero"/>
        <c:crossBetween val="midCat"/>
      </c:valAx>
      <c:spPr>
        <a:noFill/>
        <a:ln w="25560">
          <a:noFill/>
        </a:ln>
      </c:spPr>
    </c:plotArea>
    <c:plotVisOnly val="1"/>
    <c:dispBlanksAs val="gap"/>
    <c:showDLblsOverMax val="1"/>
  </c:chart>
  <c:spPr>
    <a:noFill/>
    <a:ln w="9360">
      <a:noFill/>
    </a:ln>
  </c:spPr>
  <c:printSettings>
    <c:headerFooter/>
    <c:pageMargins b="0.78740157499999996" l="0.511811024" r="0.511811024" t="0.78740157499999996" header="0.31496062000000002" footer="0.31496062000000002"/>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autoTitleDeleted val="1"/>
    <c:plotArea>
      <c:layout>
        <c:manualLayout>
          <c:layoutTarget val="inner"/>
          <c:xMode val="edge"/>
          <c:yMode val="edge"/>
          <c:x val="5.73030208657739E-2"/>
          <c:y val="2.5500599007359199E-2"/>
          <c:w val="0.942430039596031"/>
          <c:h val="0.841633863882709"/>
        </c:manualLayout>
      </c:layout>
      <c:scatterChart>
        <c:scatterStyle val="lineMarker"/>
        <c:varyColors val="0"/>
        <c:ser>
          <c:idx val="0"/>
          <c:order val="0"/>
          <c:tx>
            <c:v>Viga</c:v>
          </c:tx>
          <c:spPr>
            <a:ln w="12600">
              <a:solidFill>
                <a:srgbClr val="156082"/>
              </a:solidFill>
              <a:round/>
            </a:ln>
          </c:spPr>
          <c:marker>
            <c:symbol val="none"/>
          </c:marker>
          <c:dPt>
            <c:idx val="3"/>
            <c:bubble3D val="0"/>
            <c:extLst>
              <c:ext xmlns:c16="http://schemas.microsoft.com/office/drawing/2014/chart" uri="{C3380CC4-5D6E-409C-BE32-E72D297353CC}">
                <c16:uniqueId val="{00000000-000E-40F2-BBCA-45F419051D6C}"/>
              </c:ext>
            </c:extLst>
          </c:dPt>
          <c:dLbls>
            <c:dLbl>
              <c:idx val="3"/>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000E-40F2-BBCA-45F419051D6C}"/>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Geometria!$V$16:$V$34</c:f>
              <c:numCache>
                <c:formatCode>0.000</c:formatCode>
                <c:ptCount val="19"/>
                <c:pt idx="0">
                  <c:v>0</c:v>
                </c:pt>
                <c:pt idx="1">
                  <c:v>-15</c:v>
                </c:pt>
                <c:pt idx="2">
                  <c:v>-15</c:v>
                </c:pt>
                <c:pt idx="3">
                  <c:v>-30</c:v>
                </c:pt>
                <c:pt idx="4">
                  <c:v>-30</c:v>
                </c:pt>
                <c:pt idx="5">
                  <c:v>30</c:v>
                </c:pt>
                <c:pt idx="6">
                  <c:v>30</c:v>
                </c:pt>
                <c:pt idx="7">
                  <c:v>15</c:v>
                </c:pt>
                <c:pt idx="8">
                  <c:v>15</c:v>
                </c:pt>
                <c:pt idx="9">
                  <c:v>0</c:v>
                </c:pt>
                <c:pt idx="10">
                  <c:v>0</c:v>
                </c:pt>
                <c:pt idx="11">
                  <c:v>0</c:v>
                </c:pt>
                <c:pt idx="12">
                  <c:v>0</c:v>
                </c:pt>
                <c:pt idx="13">
                  <c:v>0</c:v>
                </c:pt>
                <c:pt idx="14">
                  <c:v>0</c:v>
                </c:pt>
                <c:pt idx="15">
                  <c:v>0</c:v>
                </c:pt>
                <c:pt idx="16">
                  <c:v>0</c:v>
                </c:pt>
                <c:pt idx="17">
                  <c:v>0</c:v>
                </c:pt>
                <c:pt idx="18">
                  <c:v>0</c:v>
                </c:pt>
              </c:numCache>
            </c:numRef>
          </c:xVal>
          <c:yVal>
            <c:numRef>
              <c:f>Geometria!$W$16:$W$34</c:f>
              <c:numCache>
                <c:formatCode>0.000</c:formatCode>
                <c:ptCount val="19"/>
                <c:pt idx="0">
                  <c:v>0</c:v>
                </c:pt>
                <c:pt idx="1">
                  <c:v>0</c:v>
                </c:pt>
                <c:pt idx="2">
                  <c:v>40</c:v>
                </c:pt>
                <c:pt idx="3">
                  <c:v>45</c:v>
                </c:pt>
                <c:pt idx="4">
                  <c:v>60</c:v>
                </c:pt>
                <c:pt idx="5">
                  <c:v>60</c:v>
                </c:pt>
                <c:pt idx="6">
                  <c:v>45</c:v>
                </c:pt>
                <c:pt idx="7">
                  <c:v>40</c:v>
                </c:pt>
                <c:pt idx="8">
                  <c:v>0</c:v>
                </c:pt>
                <c:pt idx="9">
                  <c:v>0</c:v>
                </c:pt>
                <c:pt idx="10">
                  <c:v>0</c:v>
                </c:pt>
                <c:pt idx="11">
                  <c:v>0</c:v>
                </c:pt>
                <c:pt idx="12">
                  <c:v>0</c:v>
                </c:pt>
                <c:pt idx="13">
                  <c:v>0</c:v>
                </c:pt>
                <c:pt idx="14">
                  <c:v>0</c:v>
                </c:pt>
                <c:pt idx="15">
                  <c:v>0</c:v>
                </c:pt>
                <c:pt idx="16">
                  <c:v>0</c:v>
                </c:pt>
                <c:pt idx="17">
                  <c:v>0</c:v>
                </c:pt>
                <c:pt idx="18">
                  <c:v>0</c:v>
                </c:pt>
              </c:numCache>
            </c:numRef>
          </c:yVal>
          <c:smooth val="0"/>
          <c:extLst>
            <c:ext xmlns:c16="http://schemas.microsoft.com/office/drawing/2014/chart" uri="{C3380CC4-5D6E-409C-BE32-E72D297353CC}">
              <c16:uniqueId val="{00000001-000E-40F2-BBCA-45F419051D6C}"/>
            </c:ext>
          </c:extLst>
        </c:ser>
        <c:ser>
          <c:idx val="1"/>
          <c:order val="1"/>
          <c:tx>
            <c:v>Estribo</c:v>
          </c:tx>
          <c:spPr>
            <a:ln w="25560">
              <a:solidFill>
                <a:srgbClr val="369C5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Geometria!$AE$235:$AE$247</c:f>
              <c:numCache>
                <c:formatCode>General</c:formatCode>
                <c:ptCount val="13"/>
                <c:pt idx="0">
                  <c:v>0</c:v>
                </c:pt>
                <c:pt idx="1">
                  <c:v>-12</c:v>
                </c:pt>
                <c:pt idx="2">
                  <c:v>-12</c:v>
                </c:pt>
                <c:pt idx="3">
                  <c:v>-27</c:v>
                </c:pt>
                <c:pt idx="4">
                  <c:v>-27</c:v>
                </c:pt>
                <c:pt idx="5">
                  <c:v>27</c:v>
                </c:pt>
                <c:pt idx="6">
                  <c:v>27</c:v>
                </c:pt>
                <c:pt idx="7">
                  <c:v>12</c:v>
                </c:pt>
                <c:pt idx="8">
                  <c:v>12</c:v>
                </c:pt>
                <c:pt idx="9">
                  <c:v>-12</c:v>
                </c:pt>
                <c:pt idx="10">
                  <c:v>-12</c:v>
                </c:pt>
                <c:pt idx="11">
                  <c:v>12</c:v>
                </c:pt>
                <c:pt idx="12">
                  <c:v>12</c:v>
                </c:pt>
              </c:numCache>
            </c:numRef>
          </c:xVal>
          <c:yVal>
            <c:numRef>
              <c:f>Geometria!$AF$235:$AF$247</c:f>
              <c:numCache>
                <c:formatCode>General</c:formatCode>
                <c:ptCount val="13"/>
                <c:pt idx="0" formatCode="0.0&quot; cm&quot;">
                  <c:v>3</c:v>
                </c:pt>
                <c:pt idx="1">
                  <c:v>3</c:v>
                </c:pt>
                <c:pt idx="2">
                  <c:v>43</c:v>
                </c:pt>
                <c:pt idx="3">
                  <c:v>48</c:v>
                </c:pt>
                <c:pt idx="4">
                  <c:v>57</c:v>
                </c:pt>
                <c:pt idx="5">
                  <c:v>57</c:v>
                </c:pt>
                <c:pt idx="6">
                  <c:v>48</c:v>
                </c:pt>
                <c:pt idx="7">
                  <c:v>43</c:v>
                </c:pt>
                <c:pt idx="8">
                  <c:v>3</c:v>
                </c:pt>
                <c:pt idx="9">
                  <c:v>3</c:v>
                </c:pt>
                <c:pt idx="10" formatCode="0.0">
                  <c:v>88</c:v>
                </c:pt>
                <c:pt idx="11" formatCode="0.0">
                  <c:v>88</c:v>
                </c:pt>
                <c:pt idx="12">
                  <c:v>3</c:v>
                </c:pt>
              </c:numCache>
            </c:numRef>
          </c:yVal>
          <c:smooth val="0"/>
          <c:extLst>
            <c:ext xmlns:c16="http://schemas.microsoft.com/office/drawing/2014/chart" uri="{C3380CC4-5D6E-409C-BE32-E72D297353CC}">
              <c16:uniqueId val="{00000002-000E-40F2-BBCA-45F419051D6C}"/>
            </c:ext>
          </c:extLst>
        </c:ser>
        <c:ser>
          <c:idx val="2"/>
          <c:order val="2"/>
          <c:tx>
            <c:v>As,T</c:v>
          </c:tx>
          <c:spPr>
            <a:ln w="25560">
              <a:noFill/>
            </a:ln>
          </c:spPr>
          <c:marker>
            <c:symbol val="circle"/>
            <c:size val="5"/>
            <c:spPr>
              <a:solidFill>
                <a:srgbClr val="0F4016"/>
              </a:solidFill>
            </c:spPr>
          </c:marker>
          <c:dPt>
            <c:idx val="0"/>
            <c:bubble3D val="0"/>
            <c:extLst>
              <c:ext xmlns:c16="http://schemas.microsoft.com/office/drawing/2014/chart" uri="{C3380CC4-5D6E-409C-BE32-E72D297353CC}">
                <c16:uniqueId val="{00000003-000E-40F2-BBCA-45F419051D6C}"/>
              </c:ext>
            </c:extLst>
          </c:dPt>
          <c:dLbls>
            <c:dLbl>
              <c:idx val="0"/>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000E-40F2-BBCA-45F419051D6C}"/>
                </c:ext>
              </c:extLst>
            </c:dLbl>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'Torção (parede fina)'!$L$152:$L$163</c:f>
              <c:numCache>
                <c:formatCode>General</c:formatCode>
                <c:ptCount val="12"/>
                <c:pt idx="0">
                  <c:v>-10.199999999999999</c:v>
                </c:pt>
                <c:pt idx="1">
                  <c:v>10.199999999999999</c:v>
                </c:pt>
                <c:pt idx="2">
                  <c:v>-10.199999999999999</c:v>
                </c:pt>
                <c:pt idx="3">
                  <c:v>10.199999999999999</c:v>
                </c:pt>
                <c:pt idx="4">
                  <c:v>#N/A</c:v>
                </c:pt>
                <c:pt idx="5">
                  <c:v>#N/A</c:v>
                </c:pt>
                <c:pt idx="6">
                  <c:v>#N/A</c:v>
                </c:pt>
                <c:pt idx="7">
                  <c:v>#N/A</c:v>
                </c:pt>
                <c:pt idx="8">
                  <c:v>#N/A</c:v>
                </c:pt>
                <c:pt idx="9">
                  <c:v>#N/A</c:v>
                </c:pt>
                <c:pt idx="10">
                  <c:v>#N/A</c:v>
                </c:pt>
                <c:pt idx="11">
                  <c:v>#N/A</c:v>
                </c:pt>
              </c:numCache>
            </c:numRef>
          </c:xVal>
          <c:yVal>
            <c:numRef>
              <c:f>'Torção (parede fina)'!$M$152:$M$163</c:f>
              <c:numCache>
                <c:formatCode>0.00</c:formatCode>
                <c:ptCount val="12"/>
                <c:pt idx="0">
                  <c:v>4.8</c:v>
                </c:pt>
                <c:pt idx="1">
                  <c:v>4.8</c:v>
                </c:pt>
                <c:pt idx="2" formatCode="General">
                  <c:v>55.2</c:v>
                </c:pt>
                <c:pt idx="3" formatCode="General">
                  <c:v>55.2</c:v>
                </c:pt>
                <c:pt idx="4" formatCode="General">
                  <c:v>#N/A</c:v>
                </c:pt>
                <c:pt idx="5" formatCode="General">
                  <c:v>#N/A</c:v>
                </c:pt>
                <c:pt idx="6" formatCode="General">
                  <c:v>#N/A</c:v>
                </c:pt>
                <c:pt idx="7" formatCode="General">
                  <c:v>#N/A</c:v>
                </c:pt>
                <c:pt idx="8" formatCode="General">
                  <c:v>#N/A</c:v>
                </c:pt>
                <c:pt idx="9" formatCode="General">
                  <c:v>#N/A</c:v>
                </c:pt>
                <c:pt idx="10" formatCode="General">
                  <c:v>#N/A</c:v>
                </c:pt>
                <c:pt idx="11" formatCode="General">
                  <c:v>#N/A</c:v>
                </c:pt>
              </c:numCache>
            </c:numRef>
          </c:yVal>
          <c:smooth val="0"/>
          <c:extLst>
            <c:ext xmlns:c16="http://schemas.microsoft.com/office/drawing/2014/chart" uri="{C3380CC4-5D6E-409C-BE32-E72D297353CC}">
              <c16:uniqueId val="{00000004-000E-40F2-BBCA-45F419051D6C}"/>
            </c:ext>
          </c:extLst>
        </c:ser>
        <c:ser>
          <c:idx val="3"/>
          <c:order val="3"/>
          <c:tx>
            <c:v>Aba R/A</c:v>
          </c:tx>
          <c:spPr>
            <a:ln w="12700" cap="flat">
              <a:solidFill>
                <a:srgbClr val="156082"/>
              </a:solidFill>
              <a:round/>
            </a:ln>
          </c:spPr>
          <c:marker>
            <c:symbol val="none"/>
          </c:marker>
          <c:xVal>
            <c:numRef>
              <c:f>'Seções'!$W$25:$W$28</c:f>
            </c:numRef>
          </c:xVal>
          <c:yVal>
            <c:numRef>
              <c:f>'Seções'!$X$25:$X$28</c:f>
            </c:numRef>
          </c:yVal>
          <c:smooth val="0"/>
        </c:ser>
        <c:dLbls>
          <c:showLegendKey val="0"/>
          <c:showVal val="0"/>
          <c:showCatName val="0"/>
          <c:showSerName val="0"/>
          <c:showPercent val="0"/>
          <c:showBubbleSize val="0"/>
        </c:dLbls>
        <c:axId val="73542428"/>
        <c:axId val="544504"/>
      </c:scatterChart>
      <c:valAx>
        <c:axId val="73542428"/>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sz="900" b="0" strike="noStrike" spc="-1">
                <a:solidFill>
                  <a:srgbClr val="333333"/>
                </a:solidFill>
                <a:latin typeface="Aptos Narrow"/>
                <a:ea typeface="Aptos Narrow"/>
              </a:defRPr>
            </a:pPr>
            <a:endParaRPr lang="pt-BR"/>
          </a:p>
        </c:txPr>
        <c:crossAx val="544504"/>
        <c:crosses val="autoZero"/>
        <c:crossBetween val="midCat"/>
      </c:valAx>
      <c:valAx>
        <c:axId val="544504"/>
        <c:scaling>
          <c:orientation val="minMax"/>
        </c:scaling>
        <c:delete val="0"/>
        <c:axPos val="l"/>
        <c:numFmt formatCode="General" sourceLinked="0"/>
        <c:majorTickMark val="none"/>
        <c:minorTickMark val="none"/>
        <c:tickLblPos val="low"/>
        <c:spPr>
          <a:ln w="3240">
            <a:solidFill>
              <a:srgbClr val="BFBFBF"/>
            </a:solidFill>
            <a:round/>
          </a:ln>
        </c:spPr>
        <c:txPr>
          <a:bodyPr/>
          <a:lstStyle/>
          <a:p>
            <a:pPr>
              <a:defRPr sz="900" b="0" strike="noStrike" spc="-1">
                <a:solidFill>
                  <a:srgbClr val="000000"/>
                </a:solidFill>
                <a:latin typeface="Aptos Narrow"/>
              </a:defRPr>
            </a:pPr>
            <a:endParaRPr lang="pt-BR"/>
          </a:p>
        </c:txPr>
        <c:crossAx val="73542428"/>
        <c:crosses val="autoZero"/>
        <c:crossBetween val="midCat"/>
      </c:valAx>
      <c:spPr>
        <a:noFill/>
        <a:ln w="25560">
          <a:noFill/>
        </a:ln>
      </c:spPr>
    </c:plotArea>
    <c:plotVisOnly val="1"/>
    <c:dispBlanksAs val="gap"/>
    <c:showDLblsOverMax val="1"/>
  </c:chart>
  <c:spPr>
    <a:no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200" b="1" strike="noStrike" spc="-1">
                <a:solidFill>
                  <a:srgbClr val="000000"/>
                </a:solidFill>
                <a:latin typeface="Aptos Narrow"/>
              </a:defRPr>
            </a:pPr>
            <a:r>
              <a:rPr lang="pt-BR" sz="1200" b="1" strike="noStrike" spc="-1">
                <a:solidFill>
                  <a:srgbClr val="000000"/>
                </a:solidFill>
                <a:latin typeface="Aptos Narrow"/>
              </a:rPr>
              <a:t>Diagrama de Deformações — Altura da Linha Neutra</a:t>
            </a:r>
          </a:p>
        </c:rich>
      </c:tx>
      <c:overlay val="0"/>
      <c:spPr>
        <a:noFill/>
        <a:ln w="0">
          <a:noFill/>
        </a:ln>
      </c:spPr>
    </c:title>
    <c:autoTitleDeleted val="0"/>
    <c:plotArea>
      <c:layout/>
      <c:scatterChart>
        <c:scatterStyle val="lineMarker"/>
        <c:varyColors val="0"/>
        <c:ser>
          <c:idx val="0"/>
          <c:order val="0"/>
          <c:tx>
            <c:strRef>
              <c:f>'Armadura Dupla'!$K$97</c:f>
              <c:strCache>
                <c:ptCount val="1"/>
                <c:pt idx="0">
                  <c:v>Ponto</c:v>
                </c:pt>
              </c:strCache>
            </c:strRef>
          </c:tx>
          <c:spPr>
            <a:ln w="1260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pt-B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'Armadura Dupla'!$L$98:$L$102</c:f>
              <c:numCache>
                <c:formatCode>0.00</c:formatCode>
                <c:ptCount val="5"/>
                <c:pt idx="0" formatCode="General">
                  <c:v>0</c:v>
                </c:pt>
                <c:pt idx="1">
                  <c:v>3.5</c:v>
                </c:pt>
                <c:pt idx="2">
                  <c:v>0</c:v>
                </c:pt>
                <c:pt idx="3">
                  <c:v>-8.4702070298593046</c:v>
                </c:pt>
                <c:pt idx="4" formatCode="General">
                  <c:v>0</c:v>
                </c:pt>
              </c:numCache>
            </c:numRef>
          </c:xVal>
          <c:yVal>
            <c:numRef>
              <c:f>'Armadura Dupla'!$M$98:$M$102</c:f>
              <c:numCache>
                <c:formatCode>0.00</c:formatCode>
                <c:ptCount val="5"/>
                <c:pt idx="0">
                  <c:v>86.2</c:v>
                </c:pt>
                <c:pt idx="1">
                  <c:v>86.2</c:v>
                </c:pt>
                <c:pt idx="2">
                  <c:v>60.995757563138312</c:v>
                </c:pt>
                <c:pt idx="3">
                  <c:v>0</c:v>
                </c:pt>
                <c:pt idx="4" formatCode="General">
                  <c:v>0</c:v>
                </c:pt>
              </c:numCache>
            </c:numRef>
          </c:yVal>
          <c:smooth val="0"/>
          <c:extLst>
            <c:ext xmlns:c16="http://schemas.microsoft.com/office/drawing/2014/chart" uri="{C3380CC4-5D6E-409C-BE32-E72D297353CC}">
              <c16:uniqueId val="{00000000-3AD4-4346-8423-3F8C8D53E0E6}"/>
            </c:ext>
          </c:extLst>
        </c:ser>
        <c:dLbls>
          <c:showLegendKey val="0"/>
          <c:showVal val="0"/>
          <c:showCatName val="0"/>
          <c:showSerName val="0"/>
          <c:showPercent val="0"/>
          <c:showBubbleSize val="0"/>
        </c:dLbls>
        <c:axId val="29126755"/>
        <c:axId val="54816484"/>
      </c:scatterChart>
      <c:valAx>
        <c:axId val="29126755"/>
        <c:scaling>
          <c:orientation val="minMax"/>
        </c:scaling>
        <c:delete val="0"/>
        <c:axPos val="b"/>
        <c:title>
          <c:tx>
            <c:rich>
              <a:bodyPr rot="0"/>
              <a:lstStyle/>
              <a:p>
                <a:pPr>
                  <a:defRPr lang="pt-BR" sz="1000" b="0" strike="noStrike" spc="-1">
                    <a:solidFill>
                      <a:srgbClr val="000000"/>
                    </a:solidFill>
                    <a:latin typeface="Aptos Narrow"/>
                  </a:defRPr>
                </a:pPr>
                <a:r>
                  <a:rPr lang="pt-BR" sz="1000" b="0" strike="noStrike" spc="-1">
                    <a:solidFill>
                      <a:srgbClr val="000000"/>
                    </a:solidFill>
                    <a:latin typeface="Aptos Narrow"/>
                  </a:rPr>
                  <a:t>Deformação (‰)</a:t>
                </a:r>
              </a:p>
            </c:rich>
          </c:tx>
          <c:overlay val="0"/>
          <c:spPr>
            <a:noFill/>
            <a:ln w="0">
              <a:noFill/>
            </a:ln>
          </c:spPr>
        </c:title>
        <c:numFmt formatCode="0.0" sourceLinked="0"/>
        <c:majorTickMark val="out"/>
        <c:minorTickMark val="none"/>
        <c:tickLblPos val="nextTo"/>
        <c:spPr>
          <a:ln w="3240">
            <a:solidFill>
              <a:srgbClr val="8B8B8B"/>
            </a:solidFill>
            <a:round/>
          </a:ln>
        </c:spPr>
        <c:txPr>
          <a:bodyPr/>
          <a:lstStyle/>
          <a:p>
            <a:pPr>
              <a:defRPr sz="1000" b="0" strike="noStrike" spc="-1">
                <a:solidFill>
                  <a:srgbClr val="333333"/>
                </a:solidFill>
                <a:latin typeface="Aptos Narrow"/>
                <a:ea typeface="Aptos Narrow"/>
              </a:defRPr>
            </a:pPr>
            <a:endParaRPr lang="pt-BR"/>
          </a:p>
        </c:txPr>
        <c:crossAx val="54816484"/>
        <c:crosses val="autoZero"/>
        <c:crossBetween val="midCat"/>
      </c:valAx>
      <c:valAx>
        <c:axId val="54816484"/>
        <c:scaling>
          <c:orientation val="minMax"/>
        </c:scaling>
        <c:delete val="0"/>
        <c:axPos val="l"/>
        <c:title>
          <c:tx>
            <c:rich>
              <a:bodyPr rot="-5400000"/>
              <a:lstStyle/>
              <a:p>
                <a:pPr>
                  <a:defRPr lang="pt-BR" sz="1000" b="0" strike="noStrike" spc="-1">
                    <a:solidFill>
                      <a:srgbClr val="000000"/>
                    </a:solidFill>
                    <a:latin typeface="Aptos Narrow"/>
                  </a:defRPr>
                </a:pPr>
                <a:r>
                  <a:rPr lang="pt-BR" sz="1000" b="0" strike="noStrike" spc="-1">
                    <a:solidFill>
                      <a:srgbClr val="000000"/>
                    </a:solidFill>
                    <a:latin typeface="Aptos Narrow"/>
                  </a:rPr>
                  <a:t>Altura (cm)</a:t>
                </a:r>
              </a:p>
            </c:rich>
          </c:tx>
          <c:overlay val="0"/>
          <c:spPr>
            <a:noFill/>
            <a:ln w="0">
              <a:noFill/>
            </a:ln>
          </c:spPr>
        </c:title>
        <c:numFmt formatCode="0.0" sourceLinked="0"/>
        <c:majorTickMark val="out"/>
        <c:minorTickMark val="none"/>
        <c:tickLblPos val="nextTo"/>
        <c:spPr>
          <a:ln w="3240">
            <a:solidFill>
              <a:srgbClr val="8B8B8B"/>
            </a:solidFill>
            <a:round/>
          </a:ln>
        </c:spPr>
        <c:txPr>
          <a:bodyPr/>
          <a:lstStyle/>
          <a:p>
            <a:pPr>
              <a:defRPr sz="1000" b="0" strike="noStrike" spc="-1">
                <a:solidFill>
                  <a:srgbClr val="000000"/>
                </a:solidFill>
                <a:latin typeface="Aptos Narrow"/>
              </a:defRPr>
            </a:pPr>
            <a:endParaRPr lang="pt-BR"/>
          </a:p>
        </c:txPr>
        <c:crossAx val="29126755"/>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Abertura de fissuras (inferior)</a:t>
            </a:r>
          </a:p>
        </c:rich>
      </c:tx>
      <c:overlay val="0"/>
      <c:spPr>
        <a:noFill/>
        <a:ln w="0">
          <a:noFill/>
        </a:ln>
      </c:spPr>
    </c:title>
    <c:autoTitleDeleted val="0"/>
    <c:plotArea>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Seção'!$L$54:$L$74</c:f>
              <c:numCache>
                <c:formatCode>0.00" m"</c:formatCode>
                <c:ptCount val="21"/>
                <c:pt idx="0">
                  <c:v>0</c:v>
                </c:pt>
                <c:pt idx="1">
                  <c:v>0.39249999999999996</c:v>
                </c:pt>
                <c:pt idx="2">
                  <c:v>0.78499999999999992</c:v>
                </c:pt>
                <c:pt idx="3">
                  <c:v>1.1774999999999998</c:v>
                </c:pt>
                <c:pt idx="4">
                  <c:v>1.5699999999999998</c:v>
                </c:pt>
                <c:pt idx="5">
                  <c:v>1.9624999999999999</c:v>
                </c:pt>
                <c:pt idx="6">
                  <c:v>2.355</c:v>
                </c:pt>
                <c:pt idx="7">
                  <c:v>2.7475000000000001</c:v>
                </c:pt>
                <c:pt idx="8">
                  <c:v>3.14</c:v>
                </c:pt>
                <c:pt idx="9">
                  <c:v>3.5325000000000002</c:v>
                </c:pt>
                <c:pt idx="10">
                  <c:v>3.9250000000000003</c:v>
                </c:pt>
                <c:pt idx="11">
                  <c:v>4.3174999999999999</c:v>
                </c:pt>
                <c:pt idx="12">
                  <c:v>4.71</c:v>
                </c:pt>
                <c:pt idx="13">
                  <c:v>5.1025</c:v>
                </c:pt>
                <c:pt idx="14">
                  <c:v>5.4950000000000001</c:v>
                </c:pt>
                <c:pt idx="15">
                  <c:v>5.8875000000000002</c:v>
                </c:pt>
                <c:pt idx="16">
                  <c:v>6.28</c:v>
                </c:pt>
                <c:pt idx="17">
                  <c:v>6.6725000000000003</c:v>
                </c:pt>
                <c:pt idx="18">
                  <c:v>7.0650000000000004</c:v>
                </c:pt>
                <c:pt idx="19">
                  <c:v>7.4575000000000005</c:v>
                </c:pt>
                <c:pt idx="20">
                  <c:v>7.8500000000000005</c:v>
                </c:pt>
              </c:numCache>
            </c:numRef>
          </c:xVal>
          <c:yVal>
            <c:numRef>
              <c:f>'Fissuração - wk por Seção'!$U$54:$U$74</c:f>
              <c:numCache>
                <c:formatCode>0.000</c:formatCode>
                <c:ptCount val="21"/>
                <c:pt idx="0">
                  <c:v>0</c:v>
                </c:pt>
                <c:pt idx="1">
                  <c:v>0</c:v>
                </c:pt>
                <c:pt idx="2">
                  <c:v>0</c:v>
                </c:pt>
                <c:pt idx="3">
                  <c:v>0</c:v>
                </c:pt>
                <c:pt idx="4">
                  <c:v>5.1175555913432784E-3</c:v>
                </c:pt>
                <c:pt idx="5">
                  <c:v>7.1217383268292614E-3</c:v>
                </c:pt>
                <c:pt idx="6">
                  <c:v>7.7041040249771486E-3</c:v>
                </c:pt>
                <c:pt idx="7">
                  <c:v>7.0419600712996319E-3</c:v>
                </c:pt>
                <c:pt idx="8">
                  <c:v>1.0181076761065165E-2</c:v>
                </c:pt>
                <c:pt idx="9">
                  <c:v>1.2490348804740687E-2</c:v>
                </c:pt>
                <c:pt idx="10">
                  <c:v>1.3312513203843855E-2</c:v>
                </c:pt>
                <c:pt idx="11">
                  <c:v>1.24903488047407E-2</c:v>
                </c:pt>
                <c:pt idx="12">
                  <c:v>1.018107676106518E-2</c:v>
                </c:pt>
                <c:pt idx="13">
                  <c:v>7.0419600712996536E-3</c:v>
                </c:pt>
                <c:pt idx="14">
                  <c:v>7.7041040249771695E-3</c:v>
                </c:pt>
                <c:pt idx="15">
                  <c:v>7.1217383268292909E-3</c:v>
                </c:pt>
                <c:pt idx="16">
                  <c:v>5.1175555913433052E-3</c:v>
                </c:pt>
                <c:pt idx="17">
                  <c:v>0</c:v>
                </c:pt>
                <c:pt idx="18">
                  <c:v>0</c:v>
                </c:pt>
                <c:pt idx="19">
                  <c:v>0</c:v>
                </c:pt>
                <c:pt idx="20">
                  <c:v>0</c:v>
                </c:pt>
              </c:numCache>
            </c:numRef>
          </c:yVal>
          <c:smooth val="1"/>
          <c:extLst>
            <c:ext xmlns:c16="http://schemas.microsoft.com/office/drawing/2014/chart" uri="{C3380CC4-5D6E-409C-BE32-E72D297353CC}">
              <c16:uniqueId val="{00000000-E890-4426-9A8C-19A543FE3AB9}"/>
            </c:ext>
          </c:extLst>
        </c:ser>
        <c:ser>
          <c:idx val="1"/>
          <c:order val="1"/>
          <c:tx>
            <c:v>Fissura limie</c:v>
          </c:tx>
          <c:spPr>
            <a:ln w="1260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Seção'!$L$54,'Fissuração - wk por Seção'!$L$74)</c:f>
              <c:numCache>
                <c:formatCode>0.00" m"</c:formatCode>
                <c:ptCount val="2"/>
                <c:pt idx="0">
                  <c:v>0</c:v>
                </c:pt>
                <c:pt idx="1">
                  <c:v>7.8500000000000005</c:v>
                </c:pt>
              </c:numCache>
            </c:numRef>
          </c:xVal>
          <c:yVal>
            <c:numRef>
              <c:f>('Fissuração - wk por Seção'!$L$109,'Fissuração - wk por Seção'!$L$109)</c:f>
              <c:numCache>
                <c:formatCode>General</c:formatCode>
                <c:ptCount val="2"/>
                <c:pt idx="0">
                  <c:v>0.3</c:v>
                </c:pt>
                <c:pt idx="1">
                  <c:v>0.3</c:v>
                </c:pt>
              </c:numCache>
            </c:numRef>
          </c:yVal>
          <c:smooth val="1"/>
          <c:extLst>
            <c:ext xmlns:c16="http://schemas.microsoft.com/office/drawing/2014/chart" uri="{C3380CC4-5D6E-409C-BE32-E72D297353CC}">
              <c16:uniqueId val="{00000001-E890-4426-9A8C-19A543FE3AB9}"/>
            </c:ext>
          </c:extLst>
        </c:ser>
        <c:dLbls>
          <c:showLegendKey val="0"/>
          <c:showVal val="0"/>
          <c:showCatName val="0"/>
          <c:showSerName val="0"/>
          <c:showPercent val="0"/>
          <c:showBubbleSize val="0"/>
        </c:dLbls>
        <c:axId val="9660775"/>
        <c:axId val="62195169"/>
      </c:scatterChart>
      <c:valAx>
        <c:axId val="9660775"/>
        <c:scaling>
          <c:orientation val="minMax"/>
        </c:scaling>
        <c:delete val="0"/>
        <c:axPos val="b"/>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Comprimento da viga (m)</a:t>
                </a:r>
              </a:p>
            </c:rich>
          </c:tx>
          <c:overlay val="0"/>
          <c:spPr>
            <a:noFill/>
            <a:ln w="0">
              <a:noFill/>
            </a:ln>
          </c:spPr>
        </c:title>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62195169"/>
        <c:crosses val="autoZero"/>
        <c:crossBetween val="midCat"/>
      </c:valAx>
      <c:valAx>
        <c:axId val="62195169"/>
        <c:scaling>
          <c:orientation val="minMax"/>
        </c:scaling>
        <c:delete val="0"/>
        <c:axPos val="l"/>
        <c:title>
          <c:tx>
            <c:rich>
              <a:bodyPr rot="-540000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Fissura (mm)</a:t>
                </a:r>
              </a:p>
            </c:rich>
          </c:tx>
          <c:overlay val="0"/>
          <c:spPr>
            <a:noFill/>
            <a:ln w="0">
              <a:noFill/>
            </a:ln>
          </c:spPr>
        </c:title>
        <c:numFmt formatCode="0.0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9660775"/>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Abertura de fissuras (Superior)</a:t>
            </a:r>
          </a:p>
        </c:rich>
      </c:tx>
      <c:overlay val="0"/>
      <c:spPr>
        <a:noFill/>
        <a:ln w="0">
          <a:noFill/>
        </a:ln>
      </c:spPr>
    </c:title>
    <c:autoTitleDeleted val="0"/>
    <c:plotArea>
      <c:layout/>
      <c:scatterChart>
        <c:scatterStyle val="lineMarker"/>
        <c:varyColors val="0"/>
        <c:ser>
          <c:idx val="0"/>
          <c:order val="0"/>
          <c:spPr>
            <a:ln w="1260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Seção'!$L$82:$L$102</c:f>
              <c:numCache>
                <c:formatCode>0.00" m"</c:formatCode>
                <c:ptCount val="21"/>
                <c:pt idx="0">
                  <c:v>0</c:v>
                </c:pt>
                <c:pt idx="1">
                  <c:v>0.39249999999999996</c:v>
                </c:pt>
                <c:pt idx="2">
                  <c:v>0.78499999999999992</c:v>
                </c:pt>
                <c:pt idx="3">
                  <c:v>1.1774999999999998</c:v>
                </c:pt>
                <c:pt idx="4">
                  <c:v>1.5699999999999998</c:v>
                </c:pt>
                <c:pt idx="5">
                  <c:v>1.9624999999999999</c:v>
                </c:pt>
                <c:pt idx="6">
                  <c:v>2.355</c:v>
                </c:pt>
                <c:pt idx="7">
                  <c:v>2.7475000000000001</c:v>
                </c:pt>
                <c:pt idx="8">
                  <c:v>3.14</c:v>
                </c:pt>
                <c:pt idx="9">
                  <c:v>3.5325000000000002</c:v>
                </c:pt>
                <c:pt idx="10">
                  <c:v>3.9250000000000003</c:v>
                </c:pt>
                <c:pt idx="11">
                  <c:v>4.3174999999999999</c:v>
                </c:pt>
                <c:pt idx="12">
                  <c:v>4.71</c:v>
                </c:pt>
                <c:pt idx="13">
                  <c:v>5.1025</c:v>
                </c:pt>
                <c:pt idx="14">
                  <c:v>5.4950000000000001</c:v>
                </c:pt>
                <c:pt idx="15">
                  <c:v>5.8875000000000002</c:v>
                </c:pt>
                <c:pt idx="16">
                  <c:v>6.28</c:v>
                </c:pt>
                <c:pt idx="17">
                  <c:v>6.6725000000000003</c:v>
                </c:pt>
                <c:pt idx="18">
                  <c:v>7.0650000000000004</c:v>
                </c:pt>
                <c:pt idx="19">
                  <c:v>7.4575000000000005</c:v>
                </c:pt>
                <c:pt idx="20">
                  <c:v>7.8500000000000005</c:v>
                </c:pt>
              </c:numCache>
            </c:numRef>
          </c:xVal>
          <c:yVal>
            <c:numRef>
              <c:f>'Fissuração - wk por Seção'!$U$82:$U$102</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1"/>
          <c:extLst>
            <c:ext xmlns:c16="http://schemas.microsoft.com/office/drawing/2014/chart" uri="{C3380CC4-5D6E-409C-BE32-E72D297353CC}">
              <c16:uniqueId val="{00000000-98CA-485D-9D90-6ECDCD51029A}"/>
            </c:ext>
          </c:extLst>
        </c:ser>
        <c:ser>
          <c:idx val="1"/>
          <c:order val="1"/>
          <c:tx>
            <c:v>Fissura limie</c:v>
          </c:tx>
          <c:spPr>
            <a:ln w="1260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('Fissuração - wk por Seção'!$L$54,'Fissuração - wk por Seção'!$L$74)</c:f>
              <c:numCache>
                <c:formatCode>0.00" m"</c:formatCode>
                <c:ptCount val="2"/>
                <c:pt idx="0">
                  <c:v>0</c:v>
                </c:pt>
                <c:pt idx="1">
                  <c:v>7.8500000000000005</c:v>
                </c:pt>
              </c:numCache>
            </c:numRef>
          </c:xVal>
          <c:yVal>
            <c:numRef>
              <c:f>('Fissuração - wk por Seção'!$L$109,'Fissuração - wk por Seção'!$L$109)</c:f>
              <c:numCache>
                <c:formatCode>General</c:formatCode>
                <c:ptCount val="2"/>
                <c:pt idx="0">
                  <c:v>0.3</c:v>
                </c:pt>
                <c:pt idx="1">
                  <c:v>0.3</c:v>
                </c:pt>
              </c:numCache>
            </c:numRef>
          </c:yVal>
          <c:smooth val="1"/>
          <c:extLst>
            <c:ext xmlns:c16="http://schemas.microsoft.com/office/drawing/2014/chart" uri="{C3380CC4-5D6E-409C-BE32-E72D297353CC}">
              <c16:uniqueId val="{00000001-98CA-485D-9D90-6ECDCD51029A}"/>
            </c:ext>
          </c:extLst>
        </c:ser>
        <c:dLbls>
          <c:showLegendKey val="0"/>
          <c:showVal val="0"/>
          <c:showCatName val="0"/>
          <c:showSerName val="0"/>
          <c:showPercent val="0"/>
          <c:showBubbleSize val="0"/>
        </c:dLbls>
        <c:axId val="26434534"/>
        <c:axId val="83275500"/>
      </c:scatterChart>
      <c:valAx>
        <c:axId val="26434534"/>
        <c:scaling>
          <c:orientation val="minMax"/>
        </c:scaling>
        <c:delete val="0"/>
        <c:axPos val="b"/>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Comprimento da viga (m)</a:t>
                </a:r>
              </a:p>
            </c:rich>
          </c:tx>
          <c:overlay val="0"/>
          <c:spPr>
            <a:noFill/>
            <a:ln w="0">
              <a:noFill/>
            </a:ln>
          </c:spPr>
        </c:title>
        <c:numFmt formatCode="General"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83275500"/>
        <c:crosses val="autoZero"/>
        <c:crossBetween val="midCat"/>
      </c:valAx>
      <c:valAx>
        <c:axId val="83275500"/>
        <c:scaling>
          <c:orientation val="minMax"/>
        </c:scaling>
        <c:delete val="0"/>
        <c:axPos val="l"/>
        <c:title>
          <c:tx>
            <c:rich>
              <a:bodyPr rot="-540000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Fissura (mm)</a:t>
                </a:r>
              </a:p>
            </c:rich>
          </c:tx>
          <c:overlay val="0"/>
          <c:spPr>
            <a:noFill/>
            <a:ln w="0">
              <a:noFill/>
            </a:ln>
          </c:spPr>
        </c:title>
        <c:numFmt formatCode="0.000" sourceLinked="0"/>
        <c:majorTickMark val="none"/>
        <c:minorTickMark val="none"/>
        <c:tickLblPos val="nextTo"/>
        <c:spPr>
          <a:ln w="3240">
            <a:solidFill>
              <a:srgbClr val="BFBFBF"/>
            </a:solidFill>
            <a:round/>
          </a:ln>
        </c:spPr>
        <c:txPr>
          <a:bodyPr/>
          <a:lstStyle/>
          <a:p>
            <a:pPr>
              <a:defRPr sz="900" b="0" strike="noStrike" spc="-1">
                <a:solidFill>
                  <a:srgbClr val="595959"/>
                </a:solidFill>
                <a:latin typeface="Aptos Narrow"/>
                <a:ea typeface="Aptos Narrow"/>
              </a:defRPr>
            </a:pPr>
            <a:endParaRPr lang="pt-BR"/>
          </a:p>
        </c:txPr>
        <c:crossAx val="26434534"/>
        <c:crosses val="autoZero"/>
        <c:crossBetween val="midCat"/>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ELU-ATO - isolado</a:t>
            </a:r>
          </a:p>
        </c:rich>
      </c:tx>
      <c:overlay val="0"/>
      <c:spPr>
        <a:noFill/>
        <a:ln w="0">
          <a:noFill/>
        </a:ln>
      </c:spPr>
    </c:title>
    <c:autoTitleDeleted val="0"/>
    <c:plotArea>
      <c:layout>
        <c:manualLayout>
          <c:layoutTarget val="inner"/>
          <c:xMode val="edge"/>
          <c:yMode val="edge"/>
          <c:x val="1.8127188299272401E-3"/>
          <c:y val="6.6776723070573696E-2"/>
          <c:w val="0.99066325643763498"/>
          <c:h val="0.87560874948411105"/>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Alma'!$M$137:$M$157</c:f>
              <c:numCache>
                <c:formatCode>0.0" cm"</c:formatCode>
                <c:ptCount val="21"/>
                <c:pt idx="0">
                  <c:v>0</c:v>
                </c:pt>
                <c:pt idx="1">
                  <c:v>-4.1297555030934259</c:v>
                </c:pt>
                <c:pt idx="2">
                  <c:v>-8.7183418438252716</c:v>
                </c:pt>
                <c:pt idx="3">
                  <c:v>-13.306928184557119</c:v>
                </c:pt>
                <c:pt idx="4">
                  <c:v>-13.546977227117871</c:v>
                </c:pt>
                <c:pt idx="5">
                  <c:v>-15.687731076426157</c:v>
                </c:pt>
                <c:pt idx="6">
                  <c:v>-18.075932653910744</c:v>
                </c:pt>
                <c:pt idx="7">
                  <c:v>-20.512432214304638</c:v>
                </c:pt>
                <c:pt idx="8">
                  <c:v>-22.543683204748909</c:v>
                </c:pt>
                <c:pt idx="9">
                  <c:v>-20.41859618110302</c:v>
                </c:pt>
                <c:pt idx="10">
                  <c:v>-20.394447189648368</c:v>
                </c:pt>
                <c:pt idx="11">
                  <c:v>-20.41859618110302</c:v>
                </c:pt>
                <c:pt idx="12">
                  <c:v>-20.491043155466983</c:v>
                </c:pt>
                <c:pt idx="13">
                  <c:v>-20.512432214304635</c:v>
                </c:pt>
                <c:pt idx="14">
                  <c:v>-18.075932653910744</c:v>
                </c:pt>
                <c:pt idx="15">
                  <c:v>-15.687731076426154</c:v>
                </c:pt>
                <c:pt idx="16">
                  <c:v>-13.546977227117871</c:v>
                </c:pt>
                <c:pt idx="17">
                  <c:v>-13.306928184557119</c:v>
                </c:pt>
                <c:pt idx="18">
                  <c:v>-8.7183418438252716</c:v>
                </c:pt>
                <c:pt idx="19">
                  <c:v>-4.1297555030934259</c:v>
                </c:pt>
                <c:pt idx="20">
                  <c:v>0</c:v>
                </c:pt>
              </c:numCache>
            </c:numRef>
          </c:val>
          <c:smooth val="1"/>
          <c:extLst>
            <c:ext xmlns:c16="http://schemas.microsoft.com/office/drawing/2014/chart" uri="{C3380CC4-5D6E-409C-BE32-E72D297353CC}">
              <c16:uniqueId val="{00000000-E52F-450A-BC38-897381CC55F5}"/>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Alma'!$L$137:$L$157</c:f>
              <c:numCache>
                <c:formatCode>0.0" cm"</c:formatCode>
                <c:ptCount val="21"/>
                <c:pt idx="0">
                  <c:v>0</c:v>
                </c:pt>
                <c:pt idx="1">
                  <c:v>1.2934069791014329</c:v>
                </c:pt>
                <c:pt idx="2">
                  <c:v>2.9194131279902216</c:v>
                </c:pt>
                <c:pt idx="3">
                  <c:v>4.4553991459120459</c:v>
                </c:pt>
                <c:pt idx="4">
                  <c:v>4.2278312928996451</c:v>
                </c:pt>
                <c:pt idx="5">
                  <c:v>4.1007757667693037</c:v>
                </c:pt>
                <c:pt idx="6">
                  <c:v>4.0141515254638431</c:v>
                </c:pt>
                <c:pt idx="7">
                  <c:v>3.9625377230833685</c:v>
                </c:pt>
                <c:pt idx="8">
                  <c:v>2.254921446361621</c:v>
                </c:pt>
                <c:pt idx="9">
                  <c:v>3.8252004298668898</c:v>
                </c:pt>
                <c:pt idx="10">
                  <c:v>3.8076952104043977</c:v>
                </c:pt>
                <c:pt idx="11">
                  <c:v>3.8252004298668898</c:v>
                </c:pt>
                <c:pt idx="12">
                  <c:v>3.8777160882543673</c:v>
                </c:pt>
                <c:pt idx="13">
                  <c:v>3.9625377230833676</c:v>
                </c:pt>
                <c:pt idx="14">
                  <c:v>4.014151525463844</c:v>
                </c:pt>
                <c:pt idx="15">
                  <c:v>4.1007757667693019</c:v>
                </c:pt>
                <c:pt idx="16">
                  <c:v>4.2278312928996451</c:v>
                </c:pt>
                <c:pt idx="17">
                  <c:v>4.4553991459120459</c:v>
                </c:pt>
                <c:pt idx="18">
                  <c:v>2.9194131279902216</c:v>
                </c:pt>
                <c:pt idx="19">
                  <c:v>1.2934069791014329</c:v>
                </c:pt>
                <c:pt idx="20">
                  <c:v>0</c:v>
                </c:pt>
              </c:numCache>
            </c:numRef>
          </c:val>
          <c:smooth val="1"/>
          <c:extLst>
            <c:ext xmlns:c16="http://schemas.microsoft.com/office/drawing/2014/chart" uri="{C3380CC4-5D6E-409C-BE32-E72D297353CC}">
              <c16:uniqueId val="{00000001-E52F-450A-BC38-897381CC55F5}"/>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E52F-450A-BC38-897381CC55F5}"/>
              </c:ext>
            </c:extLst>
          </c:dPt>
          <c:dPt>
            <c:idx val="2"/>
            <c:bubble3D val="0"/>
            <c:extLst>
              <c:ext xmlns:c16="http://schemas.microsoft.com/office/drawing/2014/chart" uri="{C3380CC4-5D6E-409C-BE32-E72D297353CC}">
                <c16:uniqueId val="{00000003-E52F-450A-BC38-897381CC55F5}"/>
              </c:ext>
            </c:extLst>
          </c:dPt>
          <c:dPt>
            <c:idx val="3"/>
            <c:bubble3D val="0"/>
            <c:extLst>
              <c:ext xmlns:c16="http://schemas.microsoft.com/office/drawing/2014/chart" uri="{C3380CC4-5D6E-409C-BE32-E72D297353CC}">
                <c16:uniqueId val="{00000004-E52F-450A-BC38-897381CC55F5}"/>
              </c:ext>
            </c:extLst>
          </c:dPt>
          <c:dPt>
            <c:idx val="4"/>
            <c:bubble3D val="0"/>
            <c:extLst>
              <c:ext xmlns:c16="http://schemas.microsoft.com/office/drawing/2014/chart" uri="{C3380CC4-5D6E-409C-BE32-E72D297353CC}">
                <c16:uniqueId val="{00000005-E52F-450A-BC38-897381CC55F5}"/>
              </c:ext>
            </c:extLst>
          </c:dPt>
          <c:dPt>
            <c:idx val="5"/>
            <c:bubble3D val="0"/>
            <c:extLst>
              <c:ext xmlns:c16="http://schemas.microsoft.com/office/drawing/2014/chart" uri="{C3380CC4-5D6E-409C-BE32-E72D297353CC}">
                <c16:uniqueId val="{00000006-E52F-450A-BC38-897381CC55F5}"/>
              </c:ext>
            </c:extLst>
          </c:dPt>
          <c:dPt>
            <c:idx val="6"/>
            <c:bubble3D val="0"/>
            <c:extLst>
              <c:ext xmlns:c16="http://schemas.microsoft.com/office/drawing/2014/chart" uri="{C3380CC4-5D6E-409C-BE32-E72D297353CC}">
                <c16:uniqueId val="{00000007-E52F-450A-BC38-897381CC55F5}"/>
              </c:ext>
            </c:extLst>
          </c:dPt>
          <c:dPt>
            <c:idx val="7"/>
            <c:bubble3D val="0"/>
            <c:extLst>
              <c:ext xmlns:c16="http://schemas.microsoft.com/office/drawing/2014/chart" uri="{C3380CC4-5D6E-409C-BE32-E72D297353CC}">
                <c16:uniqueId val="{00000008-E52F-450A-BC38-897381CC55F5}"/>
              </c:ext>
            </c:extLst>
          </c:dPt>
          <c:dPt>
            <c:idx val="8"/>
            <c:bubble3D val="0"/>
            <c:extLst>
              <c:ext xmlns:c16="http://schemas.microsoft.com/office/drawing/2014/chart" uri="{C3380CC4-5D6E-409C-BE32-E72D297353CC}">
                <c16:uniqueId val="{00000009-E52F-450A-BC38-897381CC55F5}"/>
              </c:ext>
            </c:extLst>
          </c:dPt>
          <c:dPt>
            <c:idx val="9"/>
            <c:bubble3D val="0"/>
            <c:extLst>
              <c:ext xmlns:c16="http://schemas.microsoft.com/office/drawing/2014/chart" uri="{C3380CC4-5D6E-409C-BE32-E72D297353CC}">
                <c16:uniqueId val="{0000000A-E52F-450A-BC38-897381CC55F5}"/>
              </c:ext>
            </c:extLst>
          </c:dPt>
          <c:dPt>
            <c:idx val="10"/>
            <c:bubble3D val="0"/>
            <c:extLst>
              <c:ext xmlns:c16="http://schemas.microsoft.com/office/drawing/2014/chart" uri="{C3380CC4-5D6E-409C-BE32-E72D297353CC}">
                <c16:uniqueId val="{0000000B-E52F-450A-BC38-897381CC55F5}"/>
              </c:ext>
            </c:extLst>
          </c:dPt>
          <c:dPt>
            <c:idx val="11"/>
            <c:bubble3D val="0"/>
            <c:extLst>
              <c:ext xmlns:c16="http://schemas.microsoft.com/office/drawing/2014/chart" uri="{C3380CC4-5D6E-409C-BE32-E72D297353CC}">
                <c16:uniqueId val="{0000000C-E52F-450A-BC38-897381CC55F5}"/>
              </c:ext>
            </c:extLst>
          </c:dPt>
          <c:dPt>
            <c:idx val="12"/>
            <c:bubble3D val="0"/>
            <c:extLst>
              <c:ext xmlns:c16="http://schemas.microsoft.com/office/drawing/2014/chart" uri="{C3380CC4-5D6E-409C-BE32-E72D297353CC}">
                <c16:uniqueId val="{0000000D-E52F-450A-BC38-897381CC55F5}"/>
              </c:ext>
            </c:extLst>
          </c:dPt>
          <c:dPt>
            <c:idx val="13"/>
            <c:bubble3D val="0"/>
            <c:extLst>
              <c:ext xmlns:c16="http://schemas.microsoft.com/office/drawing/2014/chart" uri="{C3380CC4-5D6E-409C-BE32-E72D297353CC}">
                <c16:uniqueId val="{0000000E-E52F-450A-BC38-897381CC55F5}"/>
              </c:ext>
            </c:extLst>
          </c:dPt>
          <c:dPt>
            <c:idx val="14"/>
            <c:bubble3D val="0"/>
            <c:extLst>
              <c:ext xmlns:c16="http://schemas.microsoft.com/office/drawing/2014/chart" uri="{C3380CC4-5D6E-409C-BE32-E72D297353CC}">
                <c16:uniqueId val="{0000000F-E52F-450A-BC38-897381CC55F5}"/>
              </c:ext>
            </c:extLst>
          </c:dPt>
          <c:dPt>
            <c:idx val="15"/>
            <c:bubble3D val="0"/>
            <c:extLst>
              <c:ext xmlns:c16="http://schemas.microsoft.com/office/drawing/2014/chart" uri="{C3380CC4-5D6E-409C-BE32-E72D297353CC}">
                <c16:uniqueId val="{00000010-E52F-450A-BC38-897381CC55F5}"/>
              </c:ext>
            </c:extLst>
          </c:dPt>
          <c:dPt>
            <c:idx val="16"/>
            <c:bubble3D val="0"/>
            <c:extLst>
              <c:ext xmlns:c16="http://schemas.microsoft.com/office/drawing/2014/chart" uri="{C3380CC4-5D6E-409C-BE32-E72D297353CC}">
                <c16:uniqueId val="{00000011-E52F-450A-BC38-897381CC55F5}"/>
              </c:ext>
            </c:extLst>
          </c:dPt>
          <c:dPt>
            <c:idx val="17"/>
            <c:bubble3D val="0"/>
            <c:extLst>
              <c:ext xmlns:c16="http://schemas.microsoft.com/office/drawing/2014/chart" uri="{C3380CC4-5D6E-409C-BE32-E72D297353CC}">
                <c16:uniqueId val="{00000012-E52F-450A-BC38-897381CC55F5}"/>
              </c:ext>
            </c:extLst>
          </c:dPt>
          <c:dPt>
            <c:idx val="18"/>
            <c:bubble3D val="0"/>
            <c:extLst>
              <c:ext xmlns:c16="http://schemas.microsoft.com/office/drawing/2014/chart" uri="{C3380CC4-5D6E-409C-BE32-E72D297353CC}">
                <c16:uniqueId val="{00000013-E52F-450A-BC38-897381CC55F5}"/>
              </c:ext>
            </c:extLst>
          </c:dPt>
          <c:dPt>
            <c:idx val="19"/>
            <c:bubble3D val="0"/>
            <c:extLst>
              <c:ext xmlns:c16="http://schemas.microsoft.com/office/drawing/2014/chart" uri="{C3380CC4-5D6E-409C-BE32-E72D297353CC}">
                <c16:uniqueId val="{00000014-E52F-450A-BC38-897381CC55F5}"/>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E52F-450A-BC38-897381CC55F5}"/>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E52F-450A-BC38-897381CC55F5}"/>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E52F-450A-BC38-897381CC55F5}"/>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E52F-450A-BC38-897381CC55F5}"/>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E52F-450A-BC38-897381CC55F5}"/>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E52F-450A-BC38-897381CC55F5}"/>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E52F-450A-BC38-897381CC55F5}"/>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E52F-450A-BC38-897381CC55F5}"/>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E52F-450A-BC38-897381CC55F5}"/>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E52F-450A-BC38-897381CC55F5}"/>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E52F-450A-BC38-897381CC55F5}"/>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E52F-450A-BC38-897381CC55F5}"/>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E52F-450A-BC38-897381CC55F5}"/>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E52F-450A-BC38-897381CC55F5}"/>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E52F-450A-BC38-897381CC55F5}"/>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E52F-450A-BC38-897381CC55F5}"/>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E52F-450A-BC38-897381CC55F5}"/>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E52F-450A-BC38-897381CC55F5}"/>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E52F-450A-BC38-897381CC55F5}"/>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E52F-450A-BC38-897381CC55F5}"/>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E52F-450A-BC38-897381CC55F5}"/>
              </c:ext>
            </c:extLst>
          </c:dPt>
          <c:dPt>
            <c:idx val="2"/>
            <c:bubble3D val="0"/>
            <c:extLst>
              <c:ext xmlns:c16="http://schemas.microsoft.com/office/drawing/2014/chart" uri="{C3380CC4-5D6E-409C-BE32-E72D297353CC}">
                <c16:uniqueId val="{00000017-E52F-450A-BC38-897381CC55F5}"/>
              </c:ext>
            </c:extLst>
          </c:dPt>
          <c:dPt>
            <c:idx val="3"/>
            <c:bubble3D val="0"/>
            <c:extLst>
              <c:ext xmlns:c16="http://schemas.microsoft.com/office/drawing/2014/chart" uri="{C3380CC4-5D6E-409C-BE32-E72D297353CC}">
                <c16:uniqueId val="{00000018-E52F-450A-BC38-897381CC55F5}"/>
              </c:ext>
            </c:extLst>
          </c:dPt>
          <c:dPt>
            <c:idx val="4"/>
            <c:bubble3D val="0"/>
            <c:extLst>
              <c:ext xmlns:c16="http://schemas.microsoft.com/office/drawing/2014/chart" uri="{C3380CC4-5D6E-409C-BE32-E72D297353CC}">
                <c16:uniqueId val="{00000019-E52F-450A-BC38-897381CC55F5}"/>
              </c:ext>
            </c:extLst>
          </c:dPt>
          <c:dPt>
            <c:idx val="5"/>
            <c:bubble3D val="0"/>
            <c:extLst>
              <c:ext xmlns:c16="http://schemas.microsoft.com/office/drawing/2014/chart" uri="{C3380CC4-5D6E-409C-BE32-E72D297353CC}">
                <c16:uniqueId val="{0000001A-E52F-450A-BC38-897381CC55F5}"/>
              </c:ext>
            </c:extLst>
          </c:dPt>
          <c:dPt>
            <c:idx val="6"/>
            <c:bubble3D val="0"/>
            <c:extLst>
              <c:ext xmlns:c16="http://schemas.microsoft.com/office/drawing/2014/chart" uri="{C3380CC4-5D6E-409C-BE32-E72D297353CC}">
                <c16:uniqueId val="{0000001B-E52F-450A-BC38-897381CC55F5}"/>
              </c:ext>
            </c:extLst>
          </c:dPt>
          <c:dPt>
            <c:idx val="7"/>
            <c:bubble3D val="0"/>
            <c:extLst>
              <c:ext xmlns:c16="http://schemas.microsoft.com/office/drawing/2014/chart" uri="{C3380CC4-5D6E-409C-BE32-E72D297353CC}">
                <c16:uniqueId val="{0000001C-E52F-450A-BC38-897381CC55F5}"/>
              </c:ext>
            </c:extLst>
          </c:dPt>
          <c:dPt>
            <c:idx val="8"/>
            <c:bubble3D val="0"/>
            <c:extLst>
              <c:ext xmlns:c16="http://schemas.microsoft.com/office/drawing/2014/chart" uri="{C3380CC4-5D6E-409C-BE32-E72D297353CC}">
                <c16:uniqueId val="{0000001D-E52F-450A-BC38-897381CC55F5}"/>
              </c:ext>
            </c:extLst>
          </c:dPt>
          <c:dPt>
            <c:idx val="9"/>
            <c:bubble3D val="0"/>
            <c:extLst>
              <c:ext xmlns:c16="http://schemas.microsoft.com/office/drawing/2014/chart" uri="{C3380CC4-5D6E-409C-BE32-E72D297353CC}">
                <c16:uniqueId val="{0000001E-E52F-450A-BC38-897381CC55F5}"/>
              </c:ext>
            </c:extLst>
          </c:dPt>
          <c:dPt>
            <c:idx val="10"/>
            <c:bubble3D val="0"/>
            <c:extLst>
              <c:ext xmlns:c16="http://schemas.microsoft.com/office/drawing/2014/chart" uri="{C3380CC4-5D6E-409C-BE32-E72D297353CC}">
                <c16:uniqueId val="{0000001F-E52F-450A-BC38-897381CC55F5}"/>
              </c:ext>
            </c:extLst>
          </c:dPt>
          <c:dPt>
            <c:idx val="11"/>
            <c:bubble3D val="0"/>
            <c:extLst>
              <c:ext xmlns:c16="http://schemas.microsoft.com/office/drawing/2014/chart" uri="{C3380CC4-5D6E-409C-BE32-E72D297353CC}">
                <c16:uniqueId val="{00000020-E52F-450A-BC38-897381CC55F5}"/>
              </c:ext>
            </c:extLst>
          </c:dPt>
          <c:dPt>
            <c:idx val="12"/>
            <c:bubble3D val="0"/>
            <c:extLst>
              <c:ext xmlns:c16="http://schemas.microsoft.com/office/drawing/2014/chart" uri="{C3380CC4-5D6E-409C-BE32-E72D297353CC}">
                <c16:uniqueId val="{00000021-E52F-450A-BC38-897381CC55F5}"/>
              </c:ext>
            </c:extLst>
          </c:dPt>
          <c:dPt>
            <c:idx val="13"/>
            <c:bubble3D val="0"/>
            <c:extLst>
              <c:ext xmlns:c16="http://schemas.microsoft.com/office/drawing/2014/chart" uri="{C3380CC4-5D6E-409C-BE32-E72D297353CC}">
                <c16:uniqueId val="{00000022-E52F-450A-BC38-897381CC55F5}"/>
              </c:ext>
            </c:extLst>
          </c:dPt>
          <c:dPt>
            <c:idx val="14"/>
            <c:bubble3D val="0"/>
            <c:extLst>
              <c:ext xmlns:c16="http://schemas.microsoft.com/office/drawing/2014/chart" uri="{C3380CC4-5D6E-409C-BE32-E72D297353CC}">
                <c16:uniqueId val="{00000023-E52F-450A-BC38-897381CC55F5}"/>
              </c:ext>
            </c:extLst>
          </c:dPt>
          <c:dPt>
            <c:idx val="15"/>
            <c:bubble3D val="0"/>
            <c:extLst>
              <c:ext xmlns:c16="http://schemas.microsoft.com/office/drawing/2014/chart" uri="{C3380CC4-5D6E-409C-BE32-E72D297353CC}">
                <c16:uniqueId val="{00000024-E52F-450A-BC38-897381CC55F5}"/>
              </c:ext>
            </c:extLst>
          </c:dPt>
          <c:dPt>
            <c:idx val="16"/>
            <c:bubble3D val="0"/>
            <c:extLst>
              <c:ext xmlns:c16="http://schemas.microsoft.com/office/drawing/2014/chart" uri="{C3380CC4-5D6E-409C-BE32-E72D297353CC}">
                <c16:uniqueId val="{00000025-E52F-450A-BC38-897381CC55F5}"/>
              </c:ext>
            </c:extLst>
          </c:dPt>
          <c:dPt>
            <c:idx val="17"/>
            <c:bubble3D val="0"/>
            <c:extLst>
              <c:ext xmlns:c16="http://schemas.microsoft.com/office/drawing/2014/chart" uri="{C3380CC4-5D6E-409C-BE32-E72D297353CC}">
                <c16:uniqueId val="{00000026-E52F-450A-BC38-897381CC55F5}"/>
              </c:ext>
            </c:extLst>
          </c:dPt>
          <c:dPt>
            <c:idx val="18"/>
            <c:bubble3D val="0"/>
            <c:extLst>
              <c:ext xmlns:c16="http://schemas.microsoft.com/office/drawing/2014/chart" uri="{C3380CC4-5D6E-409C-BE32-E72D297353CC}">
                <c16:uniqueId val="{00000027-E52F-450A-BC38-897381CC55F5}"/>
              </c:ext>
            </c:extLst>
          </c:dPt>
          <c:dPt>
            <c:idx val="19"/>
            <c:bubble3D val="0"/>
            <c:extLst>
              <c:ext xmlns:c16="http://schemas.microsoft.com/office/drawing/2014/chart" uri="{C3380CC4-5D6E-409C-BE32-E72D297353CC}">
                <c16:uniqueId val="{00000028-E52F-450A-BC38-897381CC55F5}"/>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E52F-450A-BC38-897381CC55F5}"/>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E52F-450A-BC38-897381CC55F5}"/>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E52F-450A-BC38-897381CC55F5}"/>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E52F-450A-BC38-897381CC55F5}"/>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E52F-450A-BC38-897381CC55F5}"/>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E52F-450A-BC38-897381CC55F5}"/>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E52F-450A-BC38-897381CC55F5}"/>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E52F-450A-BC38-897381CC55F5}"/>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E52F-450A-BC38-897381CC55F5}"/>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E52F-450A-BC38-897381CC55F5}"/>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E52F-450A-BC38-897381CC55F5}"/>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E52F-450A-BC38-897381CC55F5}"/>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E52F-450A-BC38-897381CC55F5}"/>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E52F-450A-BC38-897381CC55F5}"/>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E52F-450A-BC38-897381CC55F5}"/>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E52F-450A-BC38-897381CC55F5}"/>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E52F-450A-BC38-897381CC55F5}"/>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E52F-450A-BC38-897381CC55F5}"/>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E52F-450A-BC38-897381CC55F5}"/>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E52F-450A-BC38-897381CC55F5}"/>
            </c:ext>
          </c:extLst>
        </c:ser>
        <c:dLbls>
          <c:showLegendKey val="0"/>
          <c:showVal val="0"/>
          <c:showCatName val="0"/>
          <c:showSerName val="0"/>
          <c:showPercent val="0"/>
          <c:showBubbleSize val="0"/>
        </c:dLbls>
        <c:hiLowLines>
          <c:spPr>
            <a:ln w="0">
              <a:noFill/>
            </a:ln>
          </c:spPr>
        </c:hiLowLines>
        <c:smooth val="0"/>
        <c:axId val="62943171"/>
        <c:axId val="51158730"/>
      </c:lineChart>
      <c:catAx>
        <c:axId val="62943171"/>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51158730"/>
        <c:crosses val="autoZero"/>
        <c:auto val="1"/>
        <c:lblAlgn val="ctr"/>
        <c:lblOffset val="100"/>
        <c:noMultiLvlLbl val="0"/>
      </c:catAx>
      <c:valAx>
        <c:axId val="51158730"/>
        <c:scaling>
          <c:orientation val="minMax"/>
        </c:scaling>
        <c:delete val="1"/>
        <c:axPos val="l"/>
        <c:numFmt formatCode="0.0&quot; cm&quot;" sourceLinked="1"/>
        <c:majorTickMark val="out"/>
        <c:minorTickMark val="none"/>
        <c:tickLblPos val="nextTo"/>
        <c:crossAx val="62943171"/>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ELS-F Momento máximo isolado</a:t>
            </a:r>
          </a:p>
        </c:rich>
      </c:tx>
      <c:overlay val="0"/>
      <c:spPr>
        <a:noFill/>
        <a:ln w="0">
          <a:noFill/>
        </a:ln>
      </c:spPr>
    </c:title>
    <c:autoTitleDeleted val="0"/>
    <c:plotArea>
      <c:layout>
        <c:manualLayout>
          <c:layoutTarget val="inner"/>
          <c:xMode val="edge"/>
          <c:yMode val="edge"/>
          <c:x val="2.2232710651828299E-2"/>
          <c:y val="0.216032608695652"/>
          <c:w val="0.96343402225755204"/>
          <c:h val="0.71978900255754497"/>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Alma'!$O$137:$O$157</c:f>
              <c:numCache>
                <c:formatCode>0.0" cm"</c:formatCode>
                <c:ptCount val="21"/>
                <c:pt idx="0">
                  <c:v>0</c:v>
                </c:pt>
                <c:pt idx="1">
                  <c:v>1.4971030713843581</c:v>
                </c:pt>
                <c:pt idx="2">
                  <c:v>2.4287734709768367</c:v>
                </c:pt>
                <c:pt idx="3">
                  <c:v>2.7950111987774373</c:v>
                </c:pt>
                <c:pt idx="4">
                  <c:v>5.5874972424761555</c:v>
                </c:pt>
                <c:pt idx="5">
                  <c:v>6.5914208813257149</c:v>
                </c:pt>
                <c:pt idx="6">
                  <c:v>6.8556258299553292</c:v>
                </c:pt>
                <c:pt idx="7">
                  <c:v>6.5543981067930615</c:v>
                </c:pt>
                <c:pt idx="8">
                  <c:v>26.84326284853822</c:v>
                </c:pt>
                <c:pt idx="9">
                  <c:v>8.7291774201465167</c:v>
                </c:pt>
                <c:pt idx="10">
                  <c:v>9.0118937560424577</c:v>
                </c:pt>
                <c:pt idx="11">
                  <c:v>8.7291774201465184</c:v>
                </c:pt>
                <c:pt idx="12">
                  <c:v>7.8810284124587024</c:v>
                </c:pt>
                <c:pt idx="13">
                  <c:v>6.554398106793073</c:v>
                </c:pt>
                <c:pt idx="14">
                  <c:v>6.8556258299553381</c:v>
                </c:pt>
                <c:pt idx="15">
                  <c:v>6.5914208813257273</c:v>
                </c:pt>
                <c:pt idx="16">
                  <c:v>5.5874972424761697</c:v>
                </c:pt>
                <c:pt idx="17">
                  <c:v>2.7950111987774533</c:v>
                </c:pt>
                <c:pt idx="18">
                  <c:v>2.4287734709768545</c:v>
                </c:pt>
                <c:pt idx="19">
                  <c:v>1.4971030713843774</c:v>
                </c:pt>
                <c:pt idx="20">
                  <c:v>0</c:v>
                </c:pt>
              </c:numCache>
            </c:numRef>
          </c:val>
          <c:smooth val="1"/>
          <c:extLst>
            <c:ext xmlns:c16="http://schemas.microsoft.com/office/drawing/2014/chart" uri="{C3380CC4-5D6E-409C-BE32-E72D297353CC}">
              <c16:uniqueId val="{00000000-8550-4331-8B1D-EB96B24438AD}"/>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Alma'!$N$137:$N$157</c:f>
              <c:numCache>
                <c:formatCode>0.0" cm"</c:formatCode>
                <c:ptCount val="21"/>
                <c:pt idx="0">
                  <c:v>0</c:v>
                </c:pt>
                <c:pt idx="1">
                  <c:v>-0.57371836403524568</c:v>
                </c:pt>
                <c:pt idx="2">
                  <c:v>-0.94252259189468979</c:v>
                </c:pt>
                <c:pt idx="3">
                  <c:v>-0.79357536878865942</c:v>
                </c:pt>
                <c:pt idx="4">
                  <c:v>-2.1255172539313696</c:v>
                </c:pt>
                <c:pt idx="5">
                  <c:v>-3.1709970606870543</c:v>
                </c:pt>
                <c:pt idx="6">
                  <c:v>-4.0048139360494597</c:v>
                </c:pt>
                <c:pt idx="7">
                  <c:v>-4.6337166752360623</c:v>
                </c:pt>
                <c:pt idx="8">
                  <c:v>-29.860810116047006</c:v>
                </c:pt>
                <c:pt idx="9">
                  <c:v>-5.4500062429376568</c:v>
                </c:pt>
                <c:pt idx="10">
                  <c:v>-5.5524633110255586</c:v>
                </c:pt>
                <c:pt idx="11">
                  <c:v>-5.4500062429376568</c:v>
                </c:pt>
                <c:pt idx="12">
                  <c:v>-5.142635038673955</c:v>
                </c:pt>
                <c:pt idx="13">
                  <c:v>-4.6337166752360623</c:v>
                </c:pt>
                <c:pt idx="14">
                  <c:v>-4.0048139360494623</c:v>
                </c:pt>
                <c:pt idx="15">
                  <c:v>-3.1709970606870579</c:v>
                </c:pt>
                <c:pt idx="16">
                  <c:v>-2.1255172539313731</c:v>
                </c:pt>
                <c:pt idx="17">
                  <c:v>-0.79357536878866397</c:v>
                </c:pt>
                <c:pt idx="18">
                  <c:v>-0.94252259189469567</c:v>
                </c:pt>
                <c:pt idx="19">
                  <c:v>-0.57371836403525212</c:v>
                </c:pt>
                <c:pt idx="20">
                  <c:v>0</c:v>
                </c:pt>
              </c:numCache>
            </c:numRef>
          </c:val>
          <c:smooth val="1"/>
          <c:extLst>
            <c:ext xmlns:c16="http://schemas.microsoft.com/office/drawing/2014/chart" uri="{C3380CC4-5D6E-409C-BE32-E72D297353CC}">
              <c16:uniqueId val="{00000001-8550-4331-8B1D-EB96B24438AD}"/>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8550-4331-8B1D-EB96B24438AD}"/>
              </c:ext>
            </c:extLst>
          </c:dPt>
          <c:dPt>
            <c:idx val="2"/>
            <c:bubble3D val="0"/>
            <c:extLst>
              <c:ext xmlns:c16="http://schemas.microsoft.com/office/drawing/2014/chart" uri="{C3380CC4-5D6E-409C-BE32-E72D297353CC}">
                <c16:uniqueId val="{00000003-8550-4331-8B1D-EB96B24438AD}"/>
              </c:ext>
            </c:extLst>
          </c:dPt>
          <c:dPt>
            <c:idx val="3"/>
            <c:bubble3D val="0"/>
            <c:extLst>
              <c:ext xmlns:c16="http://schemas.microsoft.com/office/drawing/2014/chart" uri="{C3380CC4-5D6E-409C-BE32-E72D297353CC}">
                <c16:uniqueId val="{00000004-8550-4331-8B1D-EB96B24438AD}"/>
              </c:ext>
            </c:extLst>
          </c:dPt>
          <c:dPt>
            <c:idx val="4"/>
            <c:bubble3D val="0"/>
            <c:extLst>
              <c:ext xmlns:c16="http://schemas.microsoft.com/office/drawing/2014/chart" uri="{C3380CC4-5D6E-409C-BE32-E72D297353CC}">
                <c16:uniqueId val="{00000005-8550-4331-8B1D-EB96B24438AD}"/>
              </c:ext>
            </c:extLst>
          </c:dPt>
          <c:dPt>
            <c:idx val="5"/>
            <c:bubble3D val="0"/>
            <c:extLst>
              <c:ext xmlns:c16="http://schemas.microsoft.com/office/drawing/2014/chart" uri="{C3380CC4-5D6E-409C-BE32-E72D297353CC}">
                <c16:uniqueId val="{00000006-8550-4331-8B1D-EB96B24438AD}"/>
              </c:ext>
            </c:extLst>
          </c:dPt>
          <c:dPt>
            <c:idx val="6"/>
            <c:bubble3D val="0"/>
            <c:extLst>
              <c:ext xmlns:c16="http://schemas.microsoft.com/office/drawing/2014/chart" uri="{C3380CC4-5D6E-409C-BE32-E72D297353CC}">
                <c16:uniqueId val="{00000007-8550-4331-8B1D-EB96B24438AD}"/>
              </c:ext>
            </c:extLst>
          </c:dPt>
          <c:dPt>
            <c:idx val="7"/>
            <c:bubble3D val="0"/>
            <c:extLst>
              <c:ext xmlns:c16="http://schemas.microsoft.com/office/drawing/2014/chart" uri="{C3380CC4-5D6E-409C-BE32-E72D297353CC}">
                <c16:uniqueId val="{00000008-8550-4331-8B1D-EB96B24438AD}"/>
              </c:ext>
            </c:extLst>
          </c:dPt>
          <c:dPt>
            <c:idx val="8"/>
            <c:bubble3D val="0"/>
            <c:extLst>
              <c:ext xmlns:c16="http://schemas.microsoft.com/office/drawing/2014/chart" uri="{C3380CC4-5D6E-409C-BE32-E72D297353CC}">
                <c16:uniqueId val="{00000009-8550-4331-8B1D-EB96B24438AD}"/>
              </c:ext>
            </c:extLst>
          </c:dPt>
          <c:dPt>
            <c:idx val="9"/>
            <c:bubble3D val="0"/>
            <c:extLst>
              <c:ext xmlns:c16="http://schemas.microsoft.com/office/drawing/2014/chart" uri="{C3380CC4-5D6E-409C-BE32-E72D297353CC}">
                <c16:uniqueId val="{0000000A-8550-4331-8B1D-EB96B24438AD}"/>
              </c:ext>
            </c:extLst>
          </c:dPt>
          <c:dPt>
            <c:idx val="10"/>
            <c:bubble3D val="0"/>
            <c:extLst>
              <c:ext xmlns:c16="http://schemas.microsoft.com/office/drawing/2014/chart" uri="{C3380CC4-5D6E-409C-BE32-E72D297353CC}">
                <c16:uniqueId val="{0000000B-8550-4331-8B1D-EB96B24438AD}"/>
              </c:ext>
            </c:extLst>
          </c:dPt>
          <c:dPt>
            <c:idx val="11"/>
            <c:bubble3D val="0"/>
            <c:extLst>
              <c:ext xmlns:c16="http://schemas.microsoft.com/office/drawing/2014/chart" uri="{C3380CC4-5D6E-409C-BE32-E72D297353CC}">
                <c16:uniqueId val="{0000000C-8550-4331-8B1D-EB96B24438AD}"/>
              </c:ext>
            </c:extLst>
          </c:dPt>
          <c:dPt>
            <c:idx val="12"/>
            <c:bubble3D val="0"/>
            <c:extLst>
              <c:ext xmlns:c16="http://schemas.microsoft.com/office/drawing/2014/chart" uri="{C3380CC4-5D6E-409C-BE32-E72D297353CC}">
                <c16:uniqueId val="{0000000D-8550-4331-8B1D-EB96B24438AD}"/>
              </c:ext>
            </c:extLst>
          </c:dPt>
          <c:dPt>
            <c:idx val="13"/>
            <c:bubble3D val="0"/>
            <c:extLst>
              <c:ext xmlns:c16="http://schemas.microsoft.com/office/drawing/2014/chart" uri="{C3380CC4-5D6E-409C-BE32-E72D297353CC}">
                <c16:uniqueId val="{0000000E-8550-4331-8B1D-EB96B24438AD}"/>
              </c:ext>
            </c:extLst>
          </c:dPt>
          <c:dPt>
            <c:idx val="14"/>
            <c:bubble3D val="0"/>
            <c:extLst>
              <c:ext xmlns:c16="http://schemas.microsoft.com/office/drawing/2014/chart" uri="{C3380CC4-5D6E-409C-BE32-E72D297353CC}">
                <c16:uniqueId val="{0000000F-8550-4331-8B1D-EB96B24438AD}"/>
              </c:ext>
            </c:extLst>
          </c:dPt>
          <c:dPt>
            <c:idx val="15"/>
            <c:bubble3D val="0"/>
            <c:extLst>
              <c:ext xmlns:c16="http://schemas.microsoft.com/office/drawing/2014/chart" uri="{C3380CC4-5D6E-409C-BE32-E72D297353CC}">
                <c16:uniqueId val="{00000010-8550-4331-8B1D-EB96B24438AD}"/>
              </c:ext>
            </c:extLst>
          </c:dPt>
          <c:dPt>
            <c:idx val="16"/>
            <c:bubble3D val="0"/>
            <c:extLst>
              <c:ext xmlns:c16="http://schemas.microsoft.com/office/drawing/2014/chart" uri="{C3380CC4-5D6E-409C-BE32-E72D297353CC}">
                <c16:uniqueId val="{00000011-8550-4331-8B1D-EB96B24438AD}"/>
              </c:ext>
            </c:extLst>
          </c:dPt>
          <c:dPt>
            <c:idx val="17"/>
            <c:bubble3D val="0"/>
            <c:extLst>
              <c:ext xmlns:c16="http://schemas.microsoft.com/office/drawing/2014/chart" uri="{C3380CC4-5D6E-409C-BE32-E72D297353CC}">
                <c16:uniqueId val="{00000012-8550-4331-8B1D-EB96B24438AD}"/>
              </c:ext>
            </c:extLst>
          </c:dPt>
          <c:dPt>
            <c:idx val="18"/>
            <c:bubble3D val="0"/>
            <c:extLst>
              <c:ext xmlns:c16="http://schemas.microsoft.com/office/drawing/2014/chart" uri="{C3380CC4-5D6E-409C-BE32-E72D297353CC}">
                <c16:uniqueId val="{00000013-8550-4331-8B1D-EB96B24438AD}"/>
              </c:ext>
            </c:extLst>
          </c:dPt>
          <c:dPt>
            <c:idx val="19"/>
            <c:bubble3D val="0"/>
            <c:extLst>
              <c:ext xmlns:c16="http://schemas.microsoft.com/office/drawing/2014/chart" uri="{C3380CC4-5D6E-409C-BE32-E72D297353CC}">
                <c16:uniqueId val="{00000014-8550-4331-8B1D-EB96B24438AD}"/>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8550-4331-8B1D-EB96B24438AD}"/>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8550-4331-8B1D-EB96B24438AD}"/>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8550-4331-8B1D-EB96B24438AD}"/>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8550-4331-8B1D-EB96B24438AD}"/>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8550-4331-8B1D-EB96B24438AD}"/>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8550-4331-8B1D-EB96B24438AD}"/>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8550-4331-8B1D-EB96B24438AD}"/>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8550-4331-8B1D-EB96B24438AD}"/>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8550-4331-8B1D-EB96B24438AD}"/>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8550-4331-8B1D-EB96B24438AD}"/>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8550-4331-8B1D-EB96B24438AD}"/>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8550-4331-8B1D-EB96B24438AD}"/>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8550-4331-8B1D-EB96B24438AD}"/>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8550-4331-8B1D-EB96B24438AD}"/>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8550-4331-8B1D-EB96B24438AD}"/>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8550-4331-8B1D-EB96B24438AD}"/>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8550-4331-8B1D-EB96B24438AD}"/>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8550-4331-8B1D-EB96B24438AD}"/>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8550-4331-8B1D-EB96B24438AD}"/>
                </c:ext>
              </c:extLst>
            </c:dLbl>
            <c:spPr>
              <a:solidFill>
                <a:srgbClr val="FFFFFF"/>
              </a:solidFill>
              <a:ln w="12600">
                <a:solidFill>
                  <a:srgbClr val="F07623"/>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Geometria!$Q$447:$Q$467</c:f>
              <c:numCache>
                <c:formatCode>0.0</c:formatCode>
                <c:ptCount val="21"/>
                <c:pt idx="0">
                  <c:v>2.8501384974246515</c:v>
                </c:pt>
                <c:pt idx="1">
                  <c:v>2.8501384974246515</c:v>
                </c:pt>
                <c:pt idx="2">
                  <c:v>2.8501384974246515</c:v>
                </c:pt>
                <c:pt idx="3">
                  <c:v>2.8501384974246515</c:v>
                </c:pt>
                <c:pt idx="4">
                  <c:v>2.8501384974246515</c:v>
                </c:pt>
                <c:pt idx="5">
                  <c:v>2.8501384974246515</c:v>
                </c:pt>
                <c:pt idx="6">
                  <c:v>2.8501384974246515</c:v>
                </c:pt>
                <c:pt idx="7">
                  <c:v>2.8501384974246515</c:v>
                </c:pt>
                <c:pt idx="8">
                  <c:v>2.8501384974246515</c:v>
                </c:pt>
                <c:pt idx="9">
                  <c:v>2.8501384974246515</c:v>
                </c:pt>
                <c:pt idx="10">
                  <c:v>2.8501384974246515</c:v>
                </c:pt>
                <c:pt idx="11">
                  <c:v>2.8501384974246515</c:v>
                </c:pt>
                <c:pt idx="12">
                  <c:v>2.8501384974246515</c:v>
                </c:pt>
                <c:pt idx="13">
                  <c:v>2.8501384974246515</c:v>
                </c:pt>
                <c:pt idx="14">
                  <c:v>2.8501384974246515</c:v>
                </c:pt>
                <c:pt idx="15">
                  <c:v>2.8501384974246515</c:v>
                </c:pt>
                <c:pt idx="16">
                  <c:v>2.8501384974246515</c:v>
                </c:pt>
                <c:pt idx="17">
                  <c:v>2.8501384974246515</c:v>
                </c:pt>
                <c:pt idx="18">
                  <c:v>2.8501384974246515</c:v>
                </c:pt>
                <c:pt idx="19">
                  <c:v>2.8501384974246515</c:v>
                </c:pt>
                <c:pt idx="20">
                  <c:v>2.8501384974246515</c:v>
                </c:pt>
              </c:numCache>
            </c:numRef>
          </c:val>
          <c:smooth val="1"/>
          <c:extLst>
            <c:ext xmlns:c16="http://schemas.microsoft.com/office/drawing/2014/chart" uri="{C3380CC4-5D6E-409C-BE32-E72D297353CC}">
              <c16:uniqueId val="{00000015-8550-4331-8B1D-EB96B24438AD}"/>
            </c:ext>
          </c:extLst>
        </c:ser>
        <c:ser>
          <c:idx val="3"/>
          <c:order val="3"/>
          <c:tx>
            <c:v>Série4</c:v>
          </c:tx>
          <c:spPr>
            <a:ln w="12600">
              <a:solidFill>
                <a:srgbClr val="369C54"/>
              </a:solidFill>
              <a:round/>
            </a:ln>
          </c:spPr>
          <c:marker>
            <c:symbol val="none"/>
          </c:marker>
          <c:dPt>
            <c:idx val="1"/>
            <c:bubble3D val="0"/>
            <c:extLst>
              <c:ext xmlns:c16="http://schemas.microsoft.com/office/drawing/2014/chart" uri="{C3380CC4-5D6E-409C-BE32-E72D297353CC}">
                <c16:uniqueId val="{00000016-8550-4331-8B1D-EB96B24438AD}"/>
              </c:ext>
            </c:extLst>
          </c:dPt>
          <c:dPt>
            <c:idx val="2"/>
            <c:bubble3D val="0"/>
            <c:extLst>
              <c:ext xmlns:c16="http://schemas.microsoft.com/office/drawing/2014/chart" uri="{C3380CC4-5D6E-409C-BE32-E72D297353CC}">
                <c16:uniqueId val="{00000017-8550-4331-8B1D-EB96B24438AD}"/>
              </c:ext>
            </c:extLst>
          </c:dPt>
          <c:dPt>
            <c:idx val="3"/>
            <c:bubble3D val="0"/>
            <c:extLst>
              <c:ext xmlns:c16="http://schemas.microsoft.com/office/drawing/2014/chart" uri="{C3380CC4-5D6E-409C-BE32-E72D297353CC}">
                <c16:uniqueId val="{00000018-8550-4331-8B1D-EB96B24438AD}"/>
              </c:ext>
            </c:extLst>
          </c:dPt>
          <c:dPt>
            <c:idx val="4"/>
            <c:bubble3D val="0"/>
            <c:extLst>
              <c:ext xmlns:c16="http://schemas.microsoft.com/office/drawing/2014/chart" uri="{C3380CC4-5D6E-409C-BE32-E72D297353CC}">
                <c16:uniqueId val="{00000019-8550-4331-8B1D-EB96B24438AD}"/>
              </c:ext>
            </c:extLst>
          </c:dPt>
          <c:dPt>
            <c:idx val="5"/>
            <c:bubble3D val="0"/>
            <c:extLst>
              <c:ext xmlns:c16="http://schemas.microsoft.com/office/drawing/2014/chart" uri="{C3380CC4-5D6E-409C-BE32-E72D297353CC}">
                <c16:uniqueId val="{0000001A-8550-4331-8B1D-EB96B24438AD}"/>
              </c:ext>
            </c:extLst>
          </c:dPt>
          <c:dPt>
            <c:idx val="6"/>
            <c:bubble3D val="0"/>
            <c:extLst>
              <c:ext xmlns:c16="http://schemas.microsoft.com/office/drawing/2014/chart" uri="{C3380CC4-5D6E-409C-BE32-E72D297353CC}">
                <c16:uniqueId val="{0000001B-8550-4331-8B1D-EB96B24438AD}"/>
              </c:ext>
            </c:extLst>
          </c:dPt>
          <c:dPt>
            <c:idx val="7"/>
            <c:bubble3D val="0"/>
            <c:extLst>
              <c:ext xmlns:c16="http://schemas.microsoft.com/office/drawing/2014/chart" uri="{C3380CC4-5D6E-409C-BE32-E72D297353CC}">
                <c16:uniqueId val="{0000001C-8550-4331-8B1D-EB96B24438AD}"/>
              </c:ext>
            </c:extLst>
          </c:dPt>
          <c:dPt>
            <c:idx val="8"/>
            <c:bubble3D val="0"/>
            <c:extLst>
              <c:ext xmlns:c16="http://schemas.microsoft.com/office/drawing/2014/chart" uri="{C3380CC4-5D6E-409C-BE32-E72D297353CC}">
                <c16:uniqueId val="{0000001D-8550-4331-8B1D-EB96B24438AD}"/>
              </c:ext>
            </c:extLst>
          </c:dPt>
          <c:dPt>
            <c:idx val="9"/>
            <c:bubble3D val="0"/>
            <c:extLst>
              <c:ext xmlns:c16="http://schemas.microsoft.com/office/drawing/2014/chart" uri="{C3380CC4-5D6E-409C-BE32-E72D297353CC}">
                <c16:uniqueId val="{0000001E-8550-4331-8B1D-EB96B24438AD}"/>
              </c:ext>
            </c:extLst>
          </c:dPt>
          <c:dPt>
            <c:idx val="10"/>
            <c:bubble3D val="0"/>
            <c:extLst>
              <c:ext xmlns:c16="http://schemas.microsoft.com/office/drawing/2014/chart" uri="{C3380CC4-5D6E-409C-BE32-E72D297353CC}">
                <c16:uniqueId val="{0000001F-8550-4331-8B1D-EB96B24438AD}"/>
              </c:ext>
            </c:extLst>
          </c:dPt>
          <c:dPt>
            <c:idx val="11"/>
            <c:bubble3D val="0"/>
            <c:extLst>
              <c:ext xmlns:c16="http://schemas.microsoft.com/office/drawing/2014/chart" uri="{C3380CC4-5D6E-409C-BE32-E72D297353CC}">
                <c16:uniqueId val="{00000020-8550-4331-8B1D-EB96B24438AD}"/>
              </c:ext>
            </c:extLst>
          </c:dPt>
          <c:dPt>
            <c:idx val="12"/>
            <c:bubble3D val="0"/>
            <c:extLst>
              <c:ext xmlns:c16="http://schemas.microsoft.com/office/drawing/2014/chart" uri="{C3380CC4-5D6E-409C-BE32-E72D297353CC}">
                <c16:uniqueId val="{00000021-8550-4331-8B1D-EB96B24438AD}"/>
              </c:ext>
            </c:extLst>
          </c:dPt>
          <c:dPt>
            <c:idx val="13"/>
            <c:bubble3D val="0"/>
            <c:extLst>
              <c:ext xmlns:c16="http://schemas.microsoft.com/office/drawing/2014/chart" uri="{C3380CC4-5D6E-409C-BE32-E72D297353CC}">
                <c16:uniqueId val="{00000022-8550-4331-8B1D-EB96B24438AD}"/>
              </c:ext>
            </c:extLst>
          </c:dPt>
          <c:dPt>
            <c:idx val="14"/>
            <c:bubble3D val="0"/>
            <c:extLst>
              <c:ext xmlns:c16="http://schemas.microsoft.com/office/drawing/2014/chart" uri="{C3380CC4-5D6E-409C-BE32-E72D297353CC}">
                <c16:uniqueId val="{00000023-8550-4331-8B1D-EB96B24438AD}"/>
              </c:ext>
            </c:extLst>
          </c:dPt>
          <c:dPt>
            <c:idx val="15"/>
            <c:bubble3D val="0"/>
            <c:extLst>
              <c:ext xmlns:c16="http://schemas.microsoft.com/office/drawing/2014/chart" uri="{C3380CC4-5D6E-409C-BE32-E72D297353CC}">
                <c16:uniqueId val="{00000024-8550-4331-8B1D-EB96B24438AD}"/>
              </c:ext>
            </c:extLst>
          </c:dPt>
          <c:dPt>
            <c:idx val="16"/>
            <c:bubble3D val="0"/>
            <c:extLst>
              <c:ext xmlns:c16="http://schemas.microsoft.com/office/drawing/2014/chart" uri="{C3380CC4-5D6E-409C-BE32-E72D297353CC}">
                <c16:uniqueId val="{00000025-8550-4331-8B1D-EB96B24438AD}"/>
              </c:ext>
            </c:extLst>
          </c:dPt>
          <c:dPt>
            <c:idx val="17"/>
            <c:bubble3D val="0"/>
            <c:extLst>
              <c:ext xmlns:c16="http://schemas.microsoft.com/office/drawing/2014/chart" uri="{C3380CC4-5D6E-409C-BE32-E72D297353CC}">
                <c16:uniqueId val="{00000026-8550-4331-8B1D-EB96B24438AD}"/>
              </c:ext>
            </c:extLst>
          </c:dPt>
          <c:dPt>
            <c:idx val="18"/>
            <c:bubble3D val="0"/>
            <c:extLst>
              <c:ext xmlns:c16="http://schemas.microsoft.com/office/drawing/2014/chart" uri="{C3380CC4-5D6E-409C-BE32-E72D297353CC}">
                <c16:uniqueId val="{00000027-8550-4331-8B1D-EB96B24438AD}"/>
              </c:ext>
            </c:extLst>
          </c:dPt>
          <c:dPt>
            <c:idx val="19"/>
            <c:bubble3D val="0"/>
            <c:extLst>
              <c:ext xmlns:c16="http://schemas.microsoft.com/office/drawing/2014/chart" uri="{C3380CC4-5D6E-409C-BE32-E72D297353CC}">
                <c16:uniqueId val="{00000028-8550-4331-8B1D-EB96B24438AD}"/>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8550-4331-8B1D-EB96B24438AD}"/>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8550-4331-8B1D-EB96B24438AD}"/>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8550-4331-8B1D-EB96B24438AD}"/>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8550-4331-8B1D-EB96B24438AD}"/>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8550-4331-8B1D-EB96B24438AD}"/>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8550-4331-8B1D-EB96B24438AD}"/>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8550-4331-8B1D-EB96B24438AD}"/>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8550-4331-8B1D-EB96B24438AD}"/>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8550-4331-8B1D-EB96B24438AD}"/>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8550-4331-8B1D-EB96B24438AD}"/>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8550-4331-8B1D-EB96B24438AD}"/>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8550-4331-8B1D-EB96B24438AD}"/>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8550-4331-8B1D-EB96B24438AD}"/>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8550-4331-8B1D-EB96B24438AD}"/>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8550-4331-8B1D-EB96B24438AD}"/>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8550-4331-8B1D-EB96B24438AD}"/>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8550-4331-8B1D-EB96B24438AD}"/>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8550-4331-8B1D-EB96B24438AD}"/>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8550-4331-8B1D-EB96B24438AD}"/>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Geometria!$Q$552:$Q$572</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29-8550-4331-8B1D-EB96B24438AD}"/>
            </c:ext>
          </c:extLst>
        </c:ser>
        <c:dLbls>
          <c:showLegendKey val="0"/>
          <c:showVal val="0"/>
          <c:showCatName val="0"/>
          <c:showSerName val="0"/>
          <c:showPercent val="0"/>
          <c:showBubbleSize val="0"/>
        </c:dLbls>
        <c:hiLowLines>
          <c:spPr>
            <a:ln w="0">
              <a:noFill/>
            </a:ln>
          </c:spPr>
        </c:hiLowLines>
        <c:smooth val="0"/>
        <c:axId val="7755122"/>
        <c:axId val="58415578"/>
      </c:lineChart>
      <c:catAx>
        <c:axId val="7755122"/>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58415578"/>
        <c:crosses val="autoZero"/>
        <c:auto val="1"/>
        <c:lblAlgn val="ctr"/>
        <c:lblOffset val="100"/>
        <c:noMultiLvlLbl val="0"/>
      </c:catAx>
      <c:valAx>
        <c:axId val="58415578"/>
        <c:scaling>
          <c:orientation val="minMax"/>
        </c:scaling>
        <c:delete val="1"/>
        <c:axPos val="l"/>
        <c:numFmt formatCode="0.0&quot; cm&quot;" sourceLinked="1"/>
        <c:majorTickMark val="out"/>
        <c:minorTickMark val="none"/>
        <c:tickLblPos val="nextTo"/>
        <c:crossAx val="7755122"/>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ELS-F Momento mínimo isolado</a:t>
            </a:r>
          </a:p>
        </c:rich>
      </c:tx>
      <c:overlay val="0"/>
      <c:spPr>
        <a:noFill/>
        <a:ln w="0">
          <a:noFill/>
        </a:ln>
      </c:spPr>
    </c:title>
    <c:autoTitleDeleted val="0"/>
    <c:plotArea>
      <c:layout>
        <c:manualLayout>
          <c:layoutTarget val="inner"/>
          <c:xMode val="edge"/>
          <c:yMode val="edge"/>
          <c:x val="1.7693185766043E-2"/>
          <c:y val="0.107078176878962"/>
          <c:w val="0.96836071269045598"/>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Alma'!$Q$137:$Q$157</c:f>
              <c:numCache>
                <c:formatCode>0.0" cm"</c:formatCode>
                <c:ptCount val="21"/>
                <c:pt idx="0">
                  <c:v>0</c:v>
                </c:pt>
                <c:pt idx="1">
                  <c:v>1.4971030713843581</c:v>
                </c:pt>
                <c:pt idx="2">
                  <c:v>2.4287734709768367</c:v>
                </c:pt>
                <c:pt idx="3">
                  <c:v>2.7950111987774373</c:v>
                </c:pt>
                <c:pt idx="4">
                  <c:v>-2.8949301393217146</c:v>
                </c:pt>
                <c:pt idx="5">
                  <c:v>-3.348923706718665</c:v>
                </c:pt>
                <c:pt idx="6">
                  <c:v>-4.2775601086543746</c:v>
                </c:pt>
                <c:pt idx="7">
                  <c:v>-5.5065533267007867</c:v>
                </c:pt>
                <c:pt idx="8">
                  <c:v>-4.8774847731402913</c:v>
                </c:pt>
                <c:pt idx="9">
                  <c:v>-4.392077436072066</c:v>
                </c:pt>
                <c:pt idx="10">
                  <c:v>-4.2418990280167179</c:v>
                </c:pt>
                <c:pt idx="11">
                  <c:v>-4.392077436072066</c:v>
                </c:pt>
                <c:pt idx="12">
                  <c:v>-4.8426126602381112</c:v>
                </c:pt>
                <c:pt idx="13">
                  <c:v>-5.5065533267007831</c:v>
                </c:pt>
                <c:pt idx="14">
                  <c:v>-4.2775601086543729</c:v>
                </c:pt>
                <c:pt idx="15">
                  <c:v>-3.3489237067186597</c:v>
                </c:pt>
                <c:pt idx="16">
                  <c:v>-2.8949301393217093</c:v>
                </c:pt>
                <c:pt idx="17">
                  <c:v>2.7950111987774533</c:v>
                </c:pt>
                <c:pt idx="18">
                  <c:v>2.4287734709768545</c:v>
                </c:pt>
                <c:pt idx="19">
                  <c:v>1.4971030713843774</c:v>
                </c:pt>
                <c:pt idx="20">
                  <c:v>0</c:v>
                </c:pt>
              </c:numCache>
            </c:numRef>
          </c:val>
          <c:smooth val="1"/>
          <c:extLst>
            <c:ext xmlns:c16="http://schemas.microsoft.com/office/drawing/2014/chart" uri="{C3380CC4-5D6E-409C-BE32-E72D297353CC}">
              <c16:uniqueId val="{00000000-9ED7-4BCA-80A5-F7186B6DBC0E}"/>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Alma'!$P$137:$P$157</c:f>
              <c:numCache>
                <c:formatCode>0.0" cm"</c:formatCode>
                <c:ptCount val="21"/>
                <c:pt idx="0">
                  <c:v>0</c:v>
                </c:pt>
                <c:pt idx="1">
                  <c:v>-0.57371836403524568</c:v>
                </c:pt>
                <c:pt idx="2">
                  <c:v>-0.94252259189468979</c:v>
                </c:pt>
                <c:pt idx="3">
                  <c:v>-0.79357027824306292</c:v>
                </c:pt>
                <c:pt idx="4">
                  <c:v>-2.1255108657957189</c:v>
                </c:pt>
                <c:pt idx="5">
                  <c:v>-3.1709895745905889</c:v>
                </c:pt>
                <c:pt idx="6">
                  <c:v>-4.004805551621418</c:v>
                </c:pt>
                <c:pt idx="7">
                  <c:v>-4.6337075921056847</c:v>
                </c:pt>
                <c:pt idx="8">
                  <c:v>-7.898457212131933</c:v>
                </c:pt>
                <c:pt idx="9">
                  <c:v>-5.4499963612903217</c:v>
                </c:pt>
                <c:pt idx="10">
                  <c:v>-5.5524533295636047</c:v>
                </c:pt>
                <c:pt idx="11">
                  <c:v>-5.4499963612903217</c:v>
                </c:pt>
                <c:pt idx="12">
                  <c:v>-5.1426254564704799</c:v>
                </c:pt>
                <c:pt idx="13">
                  <c:v>-4.6337075921056847</c:v>
                </c:pt>
                <c:pt idx="14">
                  <c:v>-4.0048055516214207</c:v>
                </c:pt>
                <c:pt idx="15">
                  <c:v>-3.1709895745905925</c:v>
                </c:pt>
                <c:pt idx="16">
                  <c:v>-2.1255108657957225</c:v>
                </c:pt>
                <c:pt idx="17">
                  <c:v>-0.79357027824306747</c:v>
                </c:pt>
                <c:pt idx="18">
                  <c:v>-0.94252259189469567</c:v>
                </c:pt>
                <c:pt idx="19">
                  <c:v>-0.57371836403525212</c:v>
                </c:pt>
                <c:pt idx="20">
                  <c:v>0</c:v>
                </c:pt>
              </c:numCache>
            </c:numRef>
          </c:val>
          <c:smooth val="1"/>
          <c:extLst>
            <c:ext xmlns:c16="http://schemas.microsoft.com/office/drawing/2014/chart" uri="{C3380CC4-5D6E-409C-BE32-E72D297353CC}">
              <c16:uniqueId val="{00000001-9ED7-4BCA-80A5-F7186B6DBC0E}"/>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9ED7-4BCA-80A5-F7186B6DBC0E}"/>
              </c:ext>
            </c:extLst>
          </c:dPt>
          <c:dPt>
            <c:idx val="2"/>
            <c:bubble3D val="0"/>
            <c:extLst>
              <c:ext xmlns:c16="http://schemas.microsoft.com/office/drawing/2014/chart" uri="{C3380CC4-5D6E-409C-BE32-E72D297353CC}">
                <c16:uniqueId val="{00000003-9ED7-4BCA-80A5-F7186B6DBC0E}"/>
              </c:ext>
            </c:extLst>
          </c:dPt>
          <c:dPt>
            <c:idx val="3"/>
            <c:bubble3D val="0"/>
            <c:extLst>
              <c:ext xmlns:c16="http://schemas.microsoft.com/office/drawing/2014/chart" uri="{C3380CC4-5D6E-409C-BE32-E72D297353CC}">
                <c16:uniqueId val="{00000004-9ED7-4BCA-80A5-F7186B6DBC0E}"/>
              </c:ext>
            </c:extLst>
          </c:dPt>
          <c:dPt>
            <c:idx val="4"/>
            <c:bubble3D val="0"/>
            <c:extLst>
              <c:ext xmlns:c16="http://schemas.microsoft.com/office/drawing/2014/chart" uri="{C3380CC4-5D6E-409C-BE32-E72D297353CC}">
                <c16:uniqueId val="{00000005-9ED7-4BCA-80A5-F7186B6DBC0E}"/>
              </c:ext>
            </c:extLst>
          </c:dPt>
          <c:dPt>
            <c:idx val="5"/>
            <c:bubble3D val="0"/>
            <c:extLst>
              <c:ext xmlns:c16="http://schemas.microsoft.com/office/drawing/2014/chart" uri="{C3380CC4-5D6E-409C-BE32-E72D297353CC}">
                <c16:uniqueId val="{00000006-9ED7-4BCA-80A5-F7186B6DBC0E}"/>
              </c:ext>
            </c:extLst>
          </c:dPt>
          <c:dPt>
            <c:idx val="6"/>
            <c:bubble3D val="0"/>
            <c:extLst>
              <c:ext xmlns:c16="http://schemas.microsoft.com/office/drawing/2014/chart" uri="{C3380CC4-5D6E-409C-BE32-E72D297353CC}">
                <c16:uniqueId val="{00000007-9ED7-4BCA-80A5-F7186B6DBC0E}"/>
              </c:ext>
            </c:extLst>
          </c:dPt>
          <c:dPt>
            <c:idx val="7"/>
            <c:bubble3D val="0"/>
            <c:extLst>
              <c:ext xmlns:c16="http://schemas.microsoft.com/office/drawing/2014/chart" uri="{C3380CC4-5D6E-409C-BE32-E72D297353CC}">
                <c16:uniqueId val="{00000008-9ED7-4BCA-80A5-F7186B6DBC0E}"/>
              </c:ext>
            </c:extLst>
          </c:dPt>
          <c:dPt>
            <c:idx val="8"/>
            <c:bubble3D val="0"/>
            <c:extLst>
              <c:ext xmlns:c16="http://schemas.microsoft.com/office/drawing/2014/chart" uri="{C3380CC4-5D6E-409C-BE32-E72D297353CC}">
                <c16:uniqueId val="{00000009-9ED7-4BCA-80A5-F7186B6DBC0E}"/>
              </c:ext>
            </c:extLst>
          </c:dPt>
          <c:dPt>
            <c:idx val="9"/>
            <c:bubble3D val="0"/>
            <c:extLst>
              <c:ext xmlns:c16="http://schemas.microsoft.com/office/drawing/2014/chart" uri="{C3380CC4-5D6E-409C-BE32-E72D297353CC}">
                <c16:uniqueId val="{0000000A-9ED7-4BCA-80A5-F7186B6DBC0E}"/>
              </c:ext>
            </c:extLst>
          </c:dPt>
          <c:dPt>
            <c:idx val="10"/>
            <c:bubble3D val="0"/>
            <c:extLst>
              <c:ext xmlns:c16="http://schemas.microsoft.com/office/drawing/2014/chart" uri="{C3380CC4-5D6E-409C-BE32-E72D297353CC}">
                <c16:uniqueId val="{0000000B-9ED7-4BCA-80A5-F7186B6DBC0E}"/>
              </c:ext>
            </c:extLst>
          </c:dPt>
          <c:dPt>
            <c:idx val="11"/>
            <c:bubble3D val="0"/>
            <c:extLst>
              <c:ext xmlns:c16="http://schemas.microsoft.com/office/drawing/2014/chart" uri="{C3380CC4-5D6E-409C-BE32-E72D297353CC}">
                <c16:uniqueId val="{0000000C-9ED7-4BCA-80A5-F7186B6DBC0E}"/>
              </c:ext>
            </c:extLst>
          </c:dPt>
          <c:dPt>
            <c:idx val="12"/>
            <c:bubble3D val="0"/>
            <c:extLst>
              <c:ext xmlns:c16="http://schemas.microsoft.com/office/drawing/2014/chart" uri="{C3380CC4-5D6E-409C-BE32-E72D297353CC}">
                <c16:uniqueId val="{0000000D-9ED7-4BCA-80A5-F7186B6DBC0E}"/>
              </c:ext>
            </c:extLst>
          </c:dPt>
          <c:dPt>
            <c:idx val="13"/>
            <c:bubble3D val="0"/>
            <c:extLst>
              <c:ext xmlns:c16="http://schemas.microsoft.com/office/drawing/2014/chart" uri="{C3380CC4-5D6E-409C-BE32-E72D297353CC}">
                <c16:uniqueId val="{0000000E-9ED7-4BCA-80A5-F7186B6DBC0E}"/>
              </c:ext>
            </c:extLst>
          </c:dPt>
          <c:dPt>
            <c:idx val="14"/>
            <c:bubble3D val="0"/>
            <c:extLst>
              <c:ext xmlns:c16="http://schemas.microsoft.com/office/drawing/2014/chart" uri="{C3380CC4-5D6E-409C-BE32-E72D297353CC}">
                <c16:uniqueId val="{0000000F-9ED7-4BCA-80A5-F7186B6DBC0E}"/>
              </c:ext>
            </c:extLst>
          </c:dPt>
          <c:dPt>
            <c:idx val="15"/>
            <c:bubble3D val="0"/>
            <c:extLst>
              <c:ext xmlns:c16="http://schemas.microsoft.com/office/drawing/2014/chart" uri="{C3380CC4-5D6E-409C-BE32-E72D297353CC}">
                <c16:uniqueId val="{00000010-9ED7-4BCA-80A5-F7186B6DBC0E}"/>
              </c:ext>
            </c:extLst>
          </c:dPt>
          <c:dPt>
            <c:idx val="16"/>
            <c:bubble3D val="0"/>
            <c:extLst>
              <c:ext xmlns:c16="http://schemas.microsoft.com/office/drawing/2014/chart" uri="{C3380CC4-5D6E-409C-BE32-E72D297353CC}">
                <c16:uniqueId val="{00000011-9ED7-4BCA-80A5-F7186B6DBC0E}"/>
              </c:ext>
            </c:extLst>
          </c:dPt>
          <c:dPt>
            <c:idx val="17"/>
            <c:bubble3D val="0"/>
            <c:extLst>
              <c:ext xmlns:c16="http://schemas.microsoft.com/office/drawing/2014/chart" uri="{C3380CC4-5D6E-409C-BE32-E72D297353CC}">
                <c16:uniqueId val="{00000012-9ED7-4BCA-80A5-F7186B6DBC0E}"/>
              </c:ext>
            </c:extLst>
          </c:dPt>
          <c:dPt>
            <c:idx val="18"/>
            <c:bubble3D val="0"/>
            <c:extLst>
              <c:ext xmlns:c16="http://schemas.microsoft.com/office/drawing/2014/chart" uri="{C3380CC4-5D6E-409C-BE32-E72D297353CC}">
                <c16:uniqueId val="{00000013-9ED7-4BCA-80A5-F7186B6DBC0E}"/>
              </c:ext>
            </c:extLst>
          </c:dPt>
          <c:dPt>
            <c:idx val="19"/>
            <c:bubble3D val="0"/>
            <c:extLst>
              <c:ext xmlns:c16="http://schemas.microsoft.com/office/drawing/2014/chart" uri="{C3380CC4-5D6E-409C-BE32-E72D297353CC}">
                <c16:uniqueId val="{00000014-9ED7-4BCA-80A5-F7186B6DBC0E}"/>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9ED7-4BCA-80A5-F7186B6DBC0E}"/>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9ED7-4BCA-80A5-F7186B6DBC0E}"/>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9ED7-4BCA-80A5-F7186B6DBC0E}"/>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9ED7-4BCA-80A5-F7186B6DBC0E}"/>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9ED7-4BCA-80A5-F7186B6DBC0E}"/>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9ED7-4BCA-80A5-F7186B6DBC0E}"/>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9ED7-4BCA-80A5-F7186B6DBC0E}"/>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9ED7-4BCA-80A5-F7186B6DBC0E}"/>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9ED7-4BCA-80A5-F7186B6DBC0E}"/>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9ED7-4BCA-80A5-F7186B6DBC0E}"/>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9ED7-4BCA-80A5-F7186B6DBC0E}"/>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9ED7-4BCA-80A5-F7186B6DBC0E}"/>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9ED7-4BCA-80A5-F7186B6DBC0E}"/>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9ED7-4BCA-80A5-F7186B6DBC0E}"/>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9ED7-4BCA-80A5-F7186B6DBC0E}"/>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9ED7-4BCA-80A5-F7186B6DBC0E}"/>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9ED7-4BCA-80A5-F7186B6DBC0E}"/>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9ED7-4BCA-80A5-F7186B6DBC0E}"/>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9ED7-4BCA-80A5-F7186B6DBC0E}"/>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9ED7-4BCA-80A5-F7186B6DBC0E}"/>
            </c:ext>
          </c:extLst>
        </c:ser>
        <c:dLbls>
          <c:showLegendKey val="0"/>
          <c:showVal val="0"/>
          <c:showCatName val="0"/>
          <c:showSerName val="0"/>
          <c:showPercent val="0"/>
          <c:showBubbleSize val="0"/>
        </c:dLbls>
        <c:hiLowLines>
          <c:spPr>
            <a:ln w="0">
              <a:noFill/>
            </a:ln>
          </c:spPr>
        </c:hiLowLines>
        <c:smooth val="0"/>
        <c:axId val="63482923"/>
        <c:axId val="58001793"/>
      </c:lineChart>
      <c:catAx>
        <c:axId val="63482923"/>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58001793"/>
        <c:crosses val="autoZero"/>
        <c:auto val="1"/>
        <c:lblAlgn val="ctr"/>
        <c:lblOffset val="100"/>
        <c:noMultiLvlLbl val="0"/>
      </c:catAx>
      <c:valAx>
        <c:axId val="58001793"/>
        <c:scaling>
          <c:orientation val="minMax"/>
        </c:scaling>
        <c:delete val="1"/>
        <c:axPos val="l"/>
        <c:numFmt formatCode="0.0&quot; cm&quot;" sourceLinked="1"/>
        <c:majorTickMark val="out"/>
        <c:minorTickMark val="none"/>
        <c:tickLblPos val="nextTo"/>
        <c:crossAx val="63482923"/>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ELS-D Momento máximo isolado</a:t>
            </a:r>
          </a:p>
        </c:rich>
      </c:tx>
      <c:overlay val="0"/>
      <c:spPr>
        <a:noFill/>
        <a:ln w="0">
          <a:noFill/>
        </a:ln>
      </c:spPr>
    </c:title>
    <c:autoTitleDeleted val="0"/>
    <c:plotArea>
      <c:layout>
        <c:manualLayout>
          <c:layoutTarget val="inner"/>
          <c:xMode val="edge"/>
          <c:yMode val="edge"/>
          <c:x val="1.7693185766043E-2"/>
          <c:y val="0.107002716571084"/>
          <c:w val="0.96836071269045598"/>
          <c:h val="0.85398430425596095"/>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Alma'!$S$137:$S$157</c:f>
              <c:numCache>
                <c:formatCode>0.0" cm"</c:formatCode>
                <c:ptCount val="21"/>
                <c:pt idx="0">
                  <c:v>0</c:v>
                </c:pt>
                <c:pt idx="1">
                  <c:v>1.4971030713843581</c:v>
                </c:pt>
                <c:pt idx="2">
                  <c:v>2.4287734709768367</c:v>
                </c:pt>
                <c:pt idx="3">
                  <c:v>2.7950111987774373</c:v>
                </c:pt>
                <c:pt idx="4">
                  <c:v>2.7600214485435326</c:v>
                </c:pt>
                <c:pt idx="5">
                  <c:v>3.2779726853109215</c:v>
                </c:pt>
                <c:pt idx="6">
                  <c:v>3.1445638504187627</c:v>
                </c:pt>
                <c:pt idx="7">
                  <c:v>2.5340809622951128</c:v>
                </c:pt>
                <c:pt idx="8">
                  <c:v>16.269680307978717</c:v>
                </c:pt>
                <c:pt idx="9">
                  <c:v>4.3554258014069891</c:v>
                </c:pt>
                <c:pt idx="10">
                  <c:v>4.5939628280227334</c:v>
                </c:pt>
                <c:pt idx="11">
                  <c:v>4.3554258014069909</c:v>
                </c:pt>
                <c:pt idx="12">
                  <c:v>3.6398147215597647</c:v>
                </c:pt>
                <c:pt idx="13">
                  <c:v>2.5340809622951199</c:v>
                </c:pt>
                <c:pt idx="14">
                  <c:v>3.144563850418769</c:v>
                </c:pt>
                <c:pt idx="15">
                  <c:v>3.2779726853109334</c:v>
                </c:pt>
                <c:pt idx="16">
                  <c:v>2.7600214485435437</c:v>
                </c:pt>
                <c:pt idx="17">
                  <c:v>2.7950111987774533</c:v>
                </c:pt>
                <c:pt idx="18">
                  <c:v>2.4287734709768545</c:v>
                </c:pt>
                <c:pt idx="19">
                  <c:v>1.4971030713843774</c:v>
                </c:pt>
                <c:pt idx="20">
                  <c:v>0</c:v>
                </c:pt>
              </c:numCache>
            </c:numRef>
          </c:val>
          <c:smooth val="1"/>
          <c:extLst>
            <c:ext xmlns:c16="http://schemas.microsoft.com/office/drawing/2014/chart" uri="{C3380CC4-5D6E-409C-BE32-E72D297353CC}">
              <c16:uniqueId val="{00000000-901E-402B-BCF2-5A1CEC45B3D2}"/>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Alma'!$R$137:$R$157</c:f>
              <c:numCache>
                <c:formatCode>0.0" cm"</c:formatCode>
                <c:ptCount val="21"/>
                <c:pt idx="0">
                  <c:v>0</c:v>
                </c:pt>
                <c:pt idx="1">
                  <c:v>-0.57371836403524568</c:v>
                </c:pt>
                <c:pt idx="2">
                  <c:v>-0.94252259189468979</c:v>
                </c:pt>
                <c:pt idx="3">
                  <c:v>-0.79357367194012729</c:v>
                </c:pt>
                <c:pt idx="4">
                  <c:v>-2.1255151245528192</c:v>
                </c:pt>
                <c:pt idx="5">
                  <c:v>-3.1709945653215654</c:v>
                </c:pt>
                <c:pt idx="6">
                  <c:v>-4.0048111412401122</c:v>
                </c:pt>
                <c:pt idx="7">
                  <c:v>-4.6337136475259371</c:v>
                </c:pt>
                <c:pt idx="8">
                  <c:v>-22.540025814741984</c:v>
                </c:pt>
                <c:pt idx="9">
                  <c:v>-5.4500029490552118</c:v>
                </c:pt>
                <c:pt idx="10">
                  <c:v>-5.5524599838715742</c:v>
                </c:pt>
                <c:pt idx="11">
                  <c:v>-5.4500029490552118</c:v>
                </c:pt>
                <c:pt idx="12">
                  <c:v>-5.1426318446061297</c:v>
                </c:pt>
                <c:pt idx="13">
                  <c:v>-4.6337136475259371</c:v>
                </c:pt>
                <c:pt idx="14">
                  <c:v>-4.0048111412401148</c:v>
                </c:pt>
                <c:pt idx="15">
                  <c:v>-3.170994565321569</c:v>
                </c:pt>
                <c:pt idx="16">
                  <c:v>-2.1255151245528228</c:v>
                </c:pt>
                <c:pt idx="17">
                  <c:v>-0.79357367194013184</c:v>
                </c:pt>
                <c:pt idx="18">
                  <c:v>-0.94252259189469567</c:v>
                </c:pt>
                <c:pt idx="19">
                  <c:v>-0.57371836403525212</c:v>
                </c:pt>
                <c:pt idx="20">
                  <c:v>0</c:v>
                </c:pt>
              </c:numCache>
            </c:numRef>
          </c:val>
          <c:smooth val="1"/>
          <c:extLst>
            <c:ext xmlns:c16="http://schemas.microsoft.com/office/drawing/2014/chart" uri="{C3380CC4-5D6E-409C-BE32-E72D297353CC}">
              <c16:uniqueId val="{00000001-901E-402B-BCF2-5A1CEC45B3D2}"/>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901E-402B-BCF2-5A1CEC45B3D2}"/>
              </c:ext>
            </c:extLst>
          </c:dPt>
          <c:dPt>
            <c:idx val="2"/>
            <c:bubble3D val="0"/>
            <c:extLst>
              <c:ext xmlns:c16="http://schemas.microsoft.com/office/drawing/2014/chart" uri="{C3380CC4-5D6E-409C-BE32-E72D297353CC}">
                <c16:uniqueId val="{00000003-901E-402B-BCF2-5A1CEC45B3D2}"/>
              </c:ext>
            </c:extLst>
          </c:dPt>
          <c:dPt>
            <c:idx val="3"/>
            <c:bubble3D val="0"/>
            <c:extLst>
              <c:ext xmlns:c16="http://schemas.microsoft.com/office/drawing/2014/chart" uri="{C3380CC4-5D6E-409C-BE32-E72D297353CC}">
                <c16:uniqueId val="{00000004-901E-402B-BCF2-5A1CEC45B3D2}"/>
              </c:ext>
            </c:extLst>
          </c:dPt>
          <c:dPt>
            <c:idx val="4"/>
            <c:bubble3D val="0"/>
            <c:extLst>
              <c:ext xmlns:c16="http://schemas.microsoft.com/office/drawing/2014/chart" uri="{C3380CC4-5D6E-409C-BE32-E72D297353CC}">
                <c16:uniqueId val="{00000005-901E-402B-BCF2-5A1CEC45B3D2}"/>
              </c:ext>
            </c:extLst>
          </c:dPt>
          <c:dPt>
            <c:idx val="5"/>
            <c:bubble3D val="0"/>
            <c:extLst>
              <c:ext xmlns:c16="http://schemas.microsoft.com/office/drawing/2014/chart" uri="{C3380CC4-5D6E-409C-BE32-E72D297353CC}">
                <c16:uniqueId val="{00000006-901E-402B-BCF2-5A1CEC45B3D2}"/>
              </c:ext>
            </c:extLst>
          </c:dPt>
          <c:dPt>
            <c:idx val="6"/>
            <c:bubble3D val="0"/>
            <c:extLst>
              <c:ext xmlns:c16="http://schemas.microsoft.com/office/drawing/2014/chart" uri="{C3380CC4-5D6E-409C-BE32-E72D297353CC}">
                <c16:uniqueId val="{00000007-901E-402B-BCF2-5A1CEC45B3D2}"/>
              </c:ext>
            </c:extLst>
          </c:dPt>
          <c:dPt>
            <c:idx val="7"/>
            <c:bubble3D val="0"/>
            <c:extLst>
              <c:ext xmlns:c16="http://schemas.microsoft.com/office/drawing/2014/chart" uri="{C3380CC4-5D6E-409C-BE32-E72D297353CC}">
                <c16:uniqueId val="{00000008-901E-402B-BCF2-5A1CEC45B3D2}"/>
              </c:ext>
            </c:extLst>
          </c:dPt>
          <c:dPt>
            <c:idx val="8"/>
            <c:bubble3D val="0"/>
            <c:extLst>
              <c:ext xmlns:c16="http://schemas.microsoft.com/office/drawing/2014/chart" uri="{C3380CC4-5D6E-409C-BE32-E72D297353CC}">
                <c16:uniqueId val="{00000009-901E-402B-BCF2-5A1CEC45B3D2}"/>
              </c:ext>
            </c:extLst>
          </c:dPt>
          <c:dPt>
            <c:idx val="9"/>
            <c:bubble3D val="0"/>
            <c:extLst>
              <c:ext xmlns:c16="http://schemas.microsoft.com/office/drawing/2014/chart" uri="{C3380CC4-5D6E-409C-BE32-E72D297353CC}">
                <c16:uniqueId val="{0000000A-901E-402B-BCF2-5A1CEC45B3D2}"/>
              </c:ext>
            </c:extLst>
          </c:dPt>
          <c:dPt>
            <c:idx val="10"/>
            <c:bubble3D val="0"/>
            <c:extLst>
              <c:ext xmlns:c16="http://schemas.microsoft.com/office/drawing/2014/chart" uri="{C3380CC4-5D6E-409C-BE32-E72D297353CC}">
                <c16:uniqueId val="{0000000B-901E-402B-BCF2-5A1CEC45B3D2}"/>
              </c:ext>
            </c:extLst>
          </c:dPt>
          <c:dPt>
            <c:idx val="11"/>
            <c:bubble3D val="0"/>
            <c:extLst>
              <c:ext xmlns:c16="http://schemas.microsoft.com/office/drawing/2014/chart" uri="{C3380CC4-5D6E-409C-BE32-E72D297353CC}">
                <c16:uniqueId val="{0000000C-901E-402B-BCF2-5A1CEC45B3D2}"/>
              </c:ext>
            </c:extLst>
          </c:dPt>
          <c:dPt>
            <c:idx val="12"/>
            <c:bubble3D val="0"/>
            <c:extLst>
              <c:ext xmlns:c16="http://schemas.microsoft.com/office/drawing/2014/chart" uri="{C3380CC4-5D6E-409C-BE32-E72D297353CC}">
                <c16:uniqueId val="{0000000D-901E-402B-BCF2-5A1CEC45B3D2}"/>
              </c:ext>
            </c:extLst>
          </c:dPt>
          <c:dPt>
            <c:idx val="13"/>
            <c:bubble3D val="0"/>
            <c:extLst>
              <c:ext xmlns:c16="http://schemas.microsoft.com/office/drawing/2014/chart" uri="{C3380CC4-5D6E-409C-BE32-E72D297353CC}">
                <c16:uniqueId val="{0000000E-901E-402B-BCF2-5A1CEC45B3D2}"/>
              </c:ext>
            </c:extLst>
          </c:dPt>
          <c:dPt>
            <c:idx val="14"/>
            <c:bubble3D val="0"/>
            <c:extLst>
              <c:ext xmlns:c16="http://schemas.microsoft.com/office/drawing/2014/chart" uri="{C3380CC4-5D6E-409C-BE32-E72D297353CC}">
                <c16:uniqueId val="{0000000F-901E-402B-BCF2-5A1CEC45B3D2}"/>
              </c:ext>
            </c:extLst>
          </c:dPt>
          <c:dPt>
            <c:idx val="15"/>
            <c:bubble3D val="0"/>
            <c:extLst>
              <c:ext xmlns:c16="http://schemas.microsoft.com/office/drawing/2014/chart" uri="{C3380CC4-5D6E-409C-BE32-E72D297353CC}">
                <c16:uniqueId val="{00000010-901E-402B-BCF2-5A1CEC45B3D2}"/>
              </c:ext>
            </c:extLst>
          </c:dPt>
          <c:dPt>
            <c:idx val="16"/>
            <c:bubble3D val="0"/>
            <c:extLst>
              <c:ext xmlns:c16="http://schemas.microsoft.com/office/drawing/2014/chart" uri="{C3380CC4-5D6E-409C-BE32-E72D297353CC}">
                <c16:uniqueId val="{00000011-901E-402B-BCF2-5A1CEC45B3D2}"/>
              </c:ext>
            </c:extLst>
          </c:dPt>
          <c:dPt>
            <c:idx val="17"/>
            <c:bubble3D val="0"/>
            <c:extLst>
              <c:ext xmlns:c16="http://schemas.microsoft.com/office/drawing/2014/chart" uri="{C3380CC4-5D6E-409C-BE32-E72D297353CC}">
                <c16:uniqueId val="{00000012-901E-402B-BCF2-5A1CEC45B3D2}"/>
              </c:ext>
            </c:extLst>
          </c:dPt>
          <c:dPt>
            <c:idx val="18"/>
            <c:bubble3D val="0"/>
            <c:extLst>
              <c:ext xmlns:c16="http://schemas.microsoft.com/office/drawing/2014/chart" uri="{C3380CC4-5D6E-409C-BE32-E72D297353CC}">
                <c16:uniqueId val="{00000013-901E-402B-BCF2-5A1CEC45B3D2}"/>
              </c:ext>
            </c:extLst>
          </c:dPt>
          <c:dPt>
            <c:idx val="19"/>
            <c:bubble3D val="0"/>
            <c:extLst>
              <c:ext xmlns:c16="http://schemas.microsoft.com/office/drawing/2014/chart" uri="{C3380CC4-5D6E-409C-BE32-E72D297353CC}">
                <c16:uniqueId val="{00000014-901E-402B-BCF2-5A1CEC45B3D2}"/>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901E-402B-BCF2-5A1CEC45B3D2}"/>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901E-402B-BCF2-5A1CEC45B3D2}"/>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901E-402B-BCF2-5A1CEC45B3D2}"/>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901E-402B-BCF2-5A1CEC45B3D2}"/>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901E-402B-BCF2-5A1CEC45B3D2}"/>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901E-402B-BCF2-5A1CEC45B3D2}"/>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901E-402B-BCF2-5A1CEC45B3D2}"/>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901E-402B-BCF2-5A1CEC45B3D2}"/>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901E-402B-BCF2-5A1CEC45B3D2}"/>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901E-402B-BCF2-5A1CEC45B3D2}"/>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901E-402B-BCF2-5A1CEC45B3D2}"/>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901E-402B-BCF2-5A1CEC45B3D2}"/>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901E-402B-BCF2-5A1CEC45B3D2}"/>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901E-402B-BCF2-5A1CEC45B3D2}"/>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901E-402B-BCF2-5A1CEC45B3D2}"/>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901E-402B-BCF2-5A1CEC45B3D2}"/>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901E-402B-BCF2-5A1CEC45B3D2}"/>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901E-402B-BCF2-5A1CEC45B3D2}"/>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901E-402B-BCF2-5A1CEC45B3D2}"/>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901E-402B-BCF2-5A1CEC45B3D2}"/>
            </c:ext>
          </c:extLst>
        </c:ser>
        <c:dLbls>
          <c:showLegendKey val="0"/>
          <c:showVal val="0"/>
          <c:showCatName val="0"/>
          <c:showSerName val="0"/>
          <c:showPercent val="0"/>
          <c:showBubbleSize val="0"/>
        </c:dLbls>
        <c:hiLowLines>
          <c:spPr>
            <a:ln w="0">
              <a:noFill/>
            </a:ln>
          </c:spPr>
        </c:hiLowLines>
        <c:smooth val="0"/>
        <c:axId val="85444503"/>
        <c:axId val="64614423"/>
      </c:lineChart>
      <c:catAx>
        <c:axId val="85444503"/>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64614423"/>
        <c:crosses val="autoZero"/>
        <c:auto val="1"/>
        <c:lblAlgn val="ctr"/>
        <c:lblOffset val="100"/>
        <c:noMultiLvlLbl val="0"/>
      </c:catAx>
      <c:valAx>
        <c:axId val="64614423"/>
        <c:scaling>
          <c:orientation val="minMax"/>
        </c:scaling>
        <c:delete val="1"/>
        <c:axPos val="l"/>
        <c:numFmt formatCode="0.0&quot; cm&quot;" sourceLinked="1"/>
        <c:majorTickMark val="out"/>
        <c:minorTickMark val="none"/>
        <c:tickLblPos val="nextTo"/>
        <c:crossAx val="85444503"/>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400" b="0" strike="noStrike" spc="-1">
                <a:solidFill>
                  <a:srgbClr val="595959"/>
                </a:solidFill>
                <a:latin typeface="Aptos Narrow"/>
                <a:ea typeface="Aptos Narrow"/>
              </a:defRPr>
            </a:pPr>
            <a:r>
              <a:rPr lang="pt-BR" sz="1400" b="0" strike="noStrike" spc="-1">
                <a:solidFill>
                  <a:srgbClr val="595959"/>
                </a:solidFill>
                <a:latin typeface="Aptos Narrow"/>
                <a:ea typeface="Aptos Narrow"/>
              </a:rPr>
              <a:t>ELS-D Momento mínimo isolado</a:t>
            </a:r>
          </a:p>
        </c:rich>
      </c:tx>
      <c:overlay val="0"/>
      <c:spPr>
        <a:noFill/>
        <a:ln w="0">
          <a:noFill/>
        </a:ln>
      </c:spPr>
    </c:title>
    <c:autoTitleDeleted val="0"/>
    <c:plotArea>
      <c:layout>
        <c:manualLayout>
          <c:layoutTarget val="inner"/>
          <c:xMode val="edge"/>
          <c:yMode val="edge"/>
          <c:x val="1.76701047413448E-2"/>
          <c:y val="0.10707009733645199"/>
          <c:w val="0.96836438261240398"/>
          <c:h val="0.85399532181392901"/>
        </c:manualLayout>
      </c:layout>
      <c:lineChart>
        <c:grouping val="standard"/>
        <c:varyColors val="0"/>
        <c:ser>
          <c:idx val="0"/>
          <c:order val="0"/>
          <c:spPr>
            <a:ln w="3240">
              <a:solidFill>
                <a:srgbClr val="156082"/>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Alma'!$U$137:$U$157</c:f>
              <c:numCache>
                <c:formatCode>0.0" cm"</c:formatCode>
                <c:ptCount val="21"/>
                <c:pt idx="0">
                  <c:v>0</c:v>
                </c:pt>
                <c:pt idx="1">
                  <c:v>1.4971030713843581</c:v>
                </c:pt>
                <c:pt idx="2">
                  <c:v>2.4287734709768367</c:v>
                </c:pt>
                <c:pt idx="3">
                  <c:v>2.7950111987774373</c:v>
                </c:pt>
                <c:pt idx="4">
                  <c:v>-2.8949301393217146</c:v>
                </c:pt>
                <c:pt idx="5">
                  <c:v>-3.348923706718665</c:v>
                </c:pt>
                <c:pt idx="6">
                  <c:v>-4.2775601086543746</c:v>
                </c:pt>
                <c:pt idx="7">
                  <c:v>-5.5065533267007867</c:v>
                </c:pt>
                <c:pt idx="8">
                  <c:v>-4.8774847731402913</c:v>
                </c:pt>
                <c:pt idx="9">
                  <c:v>-4.392077436072066</c:v>
                </c:pt>
                <c:pt idx="10">
                  <c:v>-4.2418990280167179</c:v>
                </c:pt>
                <c:pt idx="11">
                  <c:v>-4.392077436072066</c:v>
                </c:pt>
                <c:pt idx="12">
                  <c:v>-4.8426126602381112</c:v>
                </c:pt>
                <c:pt idx="13">
                  <c:v>-5.5065533267007831</c:v>
                </c:pt>
                <c:pt idx="14">
                  <c:v>-4.2775601086543729</c:v>
                </c:pt>
                <c:pt idx="15">
                  <c:v>-3.3489237067186597</c:v>
                </c:pt>
                <c:pt idx="16">
                  <c:v>-2.8949301393217093</c:v>
                </c:pt>
                <c:pt idx="17">
                  <c:v>2.7950111987774533</c:v>
                </c:pt>
                <c:pt idx="18">
                  <c:v>2.4287734709768545</c:v>
                </c:pt>
                <c:pt idx="19">
                  <c:v>1.4971030713843774</c:v>
                </c:pt>
                <c:pt idx="20">
                  <c:v>0</c:v>
                </c:pt>
              </c:numCache>
            </c:numRef>
          </c:val>
          <c:smooth val="1"/>
          <c:extLst>
            <c:ext xmlns:c16="http://schemas.microsoft.com/office/drawing/2014/chart" uri="{C3380CC4-5D6E-409C-BE32-E72D297353CC}">
              <c16:uniqueId val="{00000000-501C-41DE-B63E-CEB0E3B9EFC0}"/>
            </c:ext>
          </c:extLst>
        </c:ser>
        <c:ser>
          <c:idx val="1"/>
          <c:order val="1"/>
          <c:spPr>
            <a:ln w="3240">
              <a:solidFill>
                <a:srgbClr val="F07623"/>
              </a:solidFill>
              <a:round/>
            </a:ln>
          </c:spPr>
          <c:marker>
            <c:symbol val="none"/>
          </c:marker>
          <c:dLbls>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'Aberturas na Alma'!$T$137:$T$157</c:f>
              <c:numCache>
                <c:formatCode>0.0" cm"</c:formatCode>
                <c:ptCount val="21"/>
                <c:pt idx="0">
                  <c:v>0</c:v>
                </c:pt>
                <c:pt idx="1">
                  <c:v>-0.57371836403524568</c:v>
                </c:pt>
                <c:pt idx="2">
                  <c:v>-0.94252259189468979</c:v>
                </c:pt>
                <c:pt idx="3">
                  <c:v>-0.79357027824306292</c:v>
                </c:pt>
                <c:pt idx="4">
                  <c:v>-2.1255108657957189</c:v>
                </c:pt>
                <c:pt idx="5">
                  <c:v>-3.1709895745905889</c:v>
                </c:pt>
                <c:pt idx="6">
                  <c:v>-4.004805551621418</c:v>
                </c:pt>
                <c:pt idx="7">
                  <c:v>-4.6337075921056847</c:v>
                </c:pt>
                <c:pt idx="8">
                  <c:v>-7.898457212131933</c:v>
                </c:pt>
                <c:pt idx="9">
                  <c:v>-5.4499963612903217</c:v>
                </c:pt>
                <c:pt idx="10">
                  <c:v>-5.5524533295636047</c:v>
                </c:pt>
                <c:pt idx="11">
                  <c:v>-5.4499963612903217</c:v>
                </c:pt>
                <c:pt idx="12">
                  <c:v>-5.1426254564704799</c:v>
                </c:pt>
                <c:pt idx="13">
                  <c:v>-4.6337075921056847</c:v>
                </c:pt>
                <c:pt idx="14">
                  <c:v>-4.0048055516214207</c:v>
                </c:pt>
                <c:pt idx="15">
                  <c:v>-3.1709895745905925</c:v>
                </c:pt>
                <c:pt idx="16">
                  <c:v>-2.1255108657957225</c:v>
                </c:pt>
                <c:pt idx="17">
                  <c:v>-0.79357027824306747</c:v>
                </c:pt>
                <c:pt idx="18">
                  <c:v>-0.94252259189469567</c:v>
                </c:pt>
                <c:pt idx="19">
                  <c:v>-0.57371836403525212</c:v>
                </c:pt>
                <c:pt idx="20">
                  <c:v>0</c:v>
                </c:pt>
              </c:numCache>
            </c:numRef>
          </c:val>
          <c:smooth val="1"/>
          <c:extLst>
            <c:ext xmlns:c16="http://schemas.microsoft.com/office/drawing/2014/chart" uri="{C3380CC4-5D6E-409C-BE32-E72D297353CC}">
              <c16:uniqueId val="{00000001-501C-41DE-B63E-CEB0E3B9EFC0}"/>
            </c:ext>
          </c:extLst>
        </c:ser>
        <c:ser>
          <c:idx val="2"/>
          <c:order val="2"/>
          <c:tx>
            <c:v>Série3</c:v>
          </c:tx>
          <c:spPr>
            <a:ln w="12600">
              <a:solidFill>
                <a:srgbClr val="369C54"/>
              </a:solidFill>
              <a:round/>
            </a:ln>
          </c:spPr>
          <c:marker>
            <c:symbol val="none"/>
          </c:marker>
          <c:dPt>
            <c:idx val="1"/>
            <c:bubble3D val="0"/>
            <c:extLst>
              <c:ext xmlns:c16="http://schemas.microsoft.com/office/drawing/2014/chart" uri="{C3380CC4-5D6E-409C-BE32-E72D297353CC}">
                <c16:uniqueId val="{00000002-501C-41DE-B63E-CEB0E3B9EFC0}"/>
              </c:ext>
            </c:extLst>
          </c:dPt>
          <c:dPt>
            <c:idx val="2"/>
            <c:bubble3D val="0"/>
            <c:extLst>
              <c:ext xmlns:c16="http://schemas.microsoft.com/office/drawing/2014/chart" uri="{C3380CC4-5D6E-409C-BE32-E72D297353CC}">
                <c16:uniqueId val="{00000003-501C-41DE-B63E-CEB0E3B9EFC0}"/>
              </c:ext>
            </c:extLst>
          </c:dPt>
          <c:dPt>
            <c:idx val="3"/>
            <c:bubble3D val="0"/>
            <c:extLst>
              <c:ext xmlns:c16="http://schemas.microsoft.com/office/drawing/2014/chart" uri="{C3380CC4-5D6E-409C-BE32-E72D297353CC}">
                <c16:uniqueId val="{00000004-501C-41DE-B63E-CEB0E3B9EFC0}"/>
              </c:ext>
            </c:extLst>
          </c:dPt>
          <c:dPt>
            <c:idx val="4"/>
            <c:bubble3D val="0"/>
            <c:extLst>
              <c:ext xmlns:c16="http://schemas.microsoft.com/office/drawing/2014/chart" uri="{C3380CC4-5D6E-409C-BE32-E72D297353CC}">
                <c16:uniqueId val="{00000005-501C-41DE-B63E-CEB0E3B9EFC0}"/>
              </c:ext>
            </c:extLst>
          </c:dPt>
          <c:dPt>
            <c:idx val="5"/>
            <c:bubble3D val="0"/>
            <c:extLst>
              <c:ext xmlns:c16="http://schemas.microsoft.com/office/drawing/2014/chart" uri="{C3380CC4-5D6E-409C-BE32-E72D297353CC}">
                <c16:uniqueId val="{00000006-501C-41DE-B63E-CEB0E3B9EFC0}"/>
              </c:ext>
            </c:extLst>
          </c:dPt>
          <c:dPt>
            <c:idx val="6"/>
            <c:bubble3D val="0"/>
            <c:extLst>
              <c:ext xmlns:c16="http://schemas.microsoft.com/office/drawing/2014/chart" uri="{C3380CC4-5D6E-409C-BE32-E72D297353CC}">
                <c16:uniqueId val="{00000007-501C-41DE-B63E-CEB0E3B9EFC0}"/>
              </c:ext>
            </c:extLst>
          </c:dPt>
          <c:dPt>
            <c:idx val="7"/>
            <c:bubble3D val="0"/>
            <c:extLst>
              <c:ext xmlns:c16="http://schemas.microsoft.com/office/drawing/2014/chart" uri="{C3380CC4-5D6E-409C-BE32-E72D297353CC}">
                <c16:uniqueId val="{00000008-501C-41DE-B63E-CEB0E3B9EFC0}"/>
              </c:ext>
            </c:extLst>
          </c:dPt>
          <c:dPt>
            <c:idx val="8"/>
            <c:bubble3D val="0"/>
            <c:extLst>
              <c:ext xmlns:c16="http://schemas.microsoft.com/office/drawing/2014/chart" uri="{C3380CC4-5D6E-409C-BE32-E72D297353CC}">
                <c16:uniqueId val="{00000009-501C-41DE-B63E-CEB0E3B9EFC0}"/>
              </c:ext>
            </c:extLst>
          </c:dPt>
          <c:dPt>
            <c:idx val="9"/>
            <c:bubble3D val="0"/>
            <c:extLst>
              <c:ext xmlns:c16="http://schemas.microsoft.com/office/drawing/2014/chart" uri="{C3380CC4-5D6E-409C-BE32-E72D297353CC}">
                <c16:uniqueId val="{0000000A-501C-41DE-B63E-CEB0E3B9EFC0}"/>
              </c:ext>
            </c:extLst>
          </c:dPt>
          <c:dPt>
            <c:idx val="10"/>
            <c:bubble3D val="0"/>
            <c:extLst>
              <c:ext xmlns:c16="http://schemas.microsoft.com/office/drawing/2014/chart" uri="{C3380CC4-5D6E-409C-BE32-E72D297353CC}">
                <c16:uniqueId val="{0000000B-501C-41DE-B63E-CEB0E3B9EFC0}"/>
              </c:ext>
            </c:extLst>
          </c:dPt>
          <c:dPt>
            <c:idx val="11"/>
            <c:bubble3D val="0"/>
            <c:extLst>
              <c:ext xmlns:c16="http://schemas.microsoft.com/office/drawing/2014/chart" uri="{C3380CC4-5D6E-409C-BE32-E72D297353CC}">
                <c16:uniqueId val="{0000000C-501C-41DE-B63E-CEB0E3B9EFC0}"/>
              </c:ext>
            </c:extLst>
          </c:dPt>
          <c:dPt>
            <c:idx val="12"/>
            <c:bubble3D val="0"/>
            <c:extLst>
              <c:ext xmlns:c16="http://schemas.microsoft.com/office/drawing/2014/chart" uri="{C3380CC4-5D6E-409C-BE32-E72D297353CC}">
                <c16:uniqueId val="{0000000D-501C-41DE-B63E-CEB0E3B9EFC0}"/>
              </c:ext>
            </c:extLst>
          </c:dPt>
          <c:dPt>
            <c:idx val="13"/>
            <c:bubble3D val="0"/>
            <c:extLst>
              <c:ext xmlns:c16="http://schemas.microsoft.com/office/drawing/2014/chart" uri="{C3380CC4-5D6E-409C-BE32-E72D297353CC}">
                <c16:uniqueId val="{0000000E-501C-41DE-B63E-CEB0E3B9EFC0}"/>
              </c:ext>
            </c:extLst>
          </c:dPt>
          <c:dPt>
            <c:idx val="14"/>
            <c:bubble3D val="0"/>
            <c:extLst>
              <c:ext xmlns:c16="http://schemas.microsoft.com/office/drawing/2014/chart" uri="{C3380CC4-5D6E-409C-BE32-E72D297353CC}">
                <c16:uniqueId val="{0000000F-501C-41DE-B63E-CEB0E3B9EFC0}"/>
              </c:ext>
            </c:extLst>
          </c:dPt>
          <c:dPt>
            <c:idx val="15"/>
            <c:bubble3D val="0"/>
            <c:extLst>
              <c:ext xmlns:c16="http://schemas.microsoft.com/office/drawing/2014/chart" uri="{C3380CC4-5D6E-409C-BE32-E72D297353CC}">
                <c16:uniqueId val="{00000010-501C-41DE-B63E-CEB0E3B9EFC0}"/>
              </c:ext>
            </c:extLst>
          </c:dPt>
          <c:dPt>
            <c:idx val="16"/>
            <c:bubble3D val="0"/>
            <c:extLst>
              <c:ext xmlns:c16="http://schemas.microsoft.com/office/drawing/2014/chart" uri="{C3380CC4-5D6E-409C-BE32-E72D297353CC}">
                <c16:uniqueId val="{00000011-501C-41DE-B63E-CEB0E3B9EFC0}"/>
              </c:ext>
            </c:extLst>
          </c:dPt>
          <c:dPt>
            <c:idx val="17"/>
            <c:bubble3D val="0"/>
            <c:extLst>
              <c:ext xmlns:c16="http://schemas.microsoft.com/office/drawing/2014/chart" uri="{C3380CC4-5D6E-409C-BE32-E72D297353CC}">
                <c16:uniqueId val="{00000012-501C-41DE-B63E-CEB0E3B9EFC0}"/>
              </c:ext>
            </c:extLst>
          </c:dPt>
          <c:dPt>
            <c:idx val="18"/>
            <c:bubble3D val="0"/>
            <c:extLst>
              <c:ext xmlns:c16="http://schemas.microsoft.com/office/drawing/2014/chart" uri="{C3380CC4-5D6E-409C-BE32-E72D297353CC}">
                <c16:uniqueId val="{00000013-501C-41DE-B63E-CEB0E3B9EFC0}"/>
              </c:ext>
            </c:extLst>
          </c:dPt>
          <c:dPt>
            <c:idx val="19"/>
            <c:bubble3D val="0"/>
            <c:extLst>
              <c:ext xmlns:c16="http://schemas.microsoft.com/office/drawing/2014/chart" uri="{C3380CC4-5D6E-409C-BE32-E72D297353CC}">
                <c16:uniqueId val="{00000014-501C-41DE-B63E-CEB0E3B9EFC0}"/>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501C-41DE-B63E-CEB0E3B9EFC0}"/>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501C-41DE-B63E-CEB0E3B9EFC0}"/>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501C-41DE-B63E-CEB0E3B9EFC0}"/>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501C-41DE-B63E-CEB0E3B9EFC0}"/>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501C-41DE-B63E-CEB0E3B9EFC0}"/>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501C-41DE-B63E-CEB0E3B9EFC0}"/>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501C-41DE-B63E-CEB0E3B9EFC0}"/>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501C-41DE-B63E-CEB0E3B9EFC0}"/>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501C-41DE-B63E-CEB0E3B9EFC0}"/>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501C-41DE-B63E-CEB0E3B9EFC0}"/>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501C-41DE-B63E-CEB0E3B9EFC0}"/>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501C-41DE-B63E-CEB0E3B9EFC0}"/>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501C-41DE-B63E-CEB0E3B9EFC0}"/>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501C-41DE-B63E-CEB0E3B9EFC0}"/>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501C-41DE-B63E-CEB0E3B9EFC0}"/>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501C-41DE-B63E-CEB0E3B9EFC0}"/>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501C-41DE-B63E-CEB0E3B9EFC0}"/>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501C-41DE-B63E-CEB0E3B9EFC0}"/>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501C-41DE-B63E-CEB0E3B9EFC0}"/>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Geometria!$Q$737:$Q$757</c:f>
              <c:numCache>
                <c:formatCode>0.0</c:formatCode>
                <c:ptCount val="2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numCache>
            </c:numRef>
          </c:val>
          <c:smooth val="1"/>
          <c:extLst>
            <c:ext xmlns:c16="http://schemas.microsoft.com/office/drawing/2014/chart" uri="{C3380CC4-5D6E-409C-BE32-E72D297353CC}">
              <c16:uniqueId val="{00000015-501C-41DE-B63E-CEB0E3B9EFC0}"/>
            </c:ext>
          </c:extLst>
        </c:ser>
        <c:dLbls>
          <c:showLegendKey val="0"/>
          <c:showVal val="0"/>
          <c:showCatName val="0"/>
          <c:showSerName val="0"/>
          <c:showPercent val="0"/>
          <c:showBubbleSize val="0"/>
        </c:dLbls>
        <c:hiLowLines>
          <c:spPr>
            <a:ln w="0">
              <a:noFill/>
            </a:ln>
          </c:spPr>
        </c:hiLowLines>
        <c:smooth val="0"/>
        <c:axId val="2784920"/>
        <c:axId val="53649790"/>
      </c:lineChart>
      <c:catAx>
        <c:axId val="2784920"/>
        <c:scaling>
          <c:orientation val="minMax"/>
        </c:scaling>
        <c:delete val="0"/>
        <c:axPos val="b"/>
        <c:numFmt formatCode="General" sourceLinked="0"/>
        <c:majorTickMark val="out"/>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53649790"/>
        <c:crosses val="autoZero"/>
        <c:auto val="1"/>
        <c:lblAlgn val="ctr"/>
        <c:lblOffset val="100"/>
        <c:noMultiLvlLbl val="0"/>
      </c:catAx>
      <c:valAx>
        <c:axId val="53649790"/>
        <c:scaling>
          <c:orientation val="minMax"/>
        </c:scaling>
        <c:delete val="1"/>
        <c:axPos val="l"/>
        <c:numFmt formatCode="0.0&quot; cm&quot;" sourceLinked="1"/>
        <c:majorTickMark val="out"/>
        <c:minorTickMark val="none"/>
        <c:tickLblPos val="nextTo"/>
        <c:crossAx val="2784920"/>
        <c:crosses val="autoZero"/>
        <c:crossBetween val="between"/>
      </c:valAx>
      <c:spPr>
        <a:noFill/>
        <a:ln w="25560">
          <a:noFill/>
        </a:ln>
      </c:spPr>
    </c:plotArea>
    <c:plotVisOnly val="1"/>
    <c:dispBlanksAs val="gap"/>
    <c:showDLblsOverMax val="1"/>
  </c:chart>
  <c:spPr>
    <a:solidFill>
      <a:srgbClr val="FFFFFF"/>
    </a:solidFill>
    <a:ln w="324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c:date1904 val="0"/>
  <c:lang val="pt-BR"/>
  <c:roundedCorners val="0"/>
  <c:chart>
    <c:title>
      <c:tx>
        <c:rich>
          <a:bodyPr/>
          <a:lstStyle/>
          <a:p>
            <a:pPr>
              <a:defRPr sz="1000" b="1"/>
            </a:pPr>
            <a:r>
              <a:rPr lang="pt-BR" sz="1000" b="1"/>
              <a:t>Meia viga – elevação com estribos por trecho e armaduras do apoio (escala real)</a:t>
            </a:r>
          </a:p>
        </c:rich>
      </c:tx>
      <c:overlay val="0"/>
    </c:title>
    <c:autoTitleDeleted val="0"/>
    <c:plotArea>
      <c:layout>
        <c:manualLayout>
          <c:layoutTarget val="inner"/>
          <c:xMode val="edge"/>
          <c:yMode val="edge"/>
          <c:x val="0.01"/>
          <c:y val="0.08"/>
          <c:w val="0.98"/>
          <c:h val="0.7"/>
        </c:manualLayout>
      </c:layout>
      <c:scatterChart>
        <c:scatterStyle val="lineMarker"/>
        <c:varyColors val="0"/>
        <c:ser>
          <c:idx val="0"/>
          <c:order val="0"/>
          <c:tx>
            <c:v>Viga pré-fabricada</c:v>
          </c:tx>
          <c:spPr>
            <a:ln w="19050" cap="flat">
              <a:solidFill>
                <a:srgbClr val="000000"/>
              </a:solidFill>
              <a:round/>
            </a:ln>
          </c:spPr>
          <c:marker>
            <c:symbol val="none"/>
          </c:marker>
          <c:xVal>
            <c:numRef>
              <c:f>'Desenho (dados)'!$H$71:$H$77</c:f>
            </c:numRef>
          </c:xVal>
          <c:yVal>
            <c:numRef>
              <c:f>'Desenho (dados)'!$I$71:$I$77</c:f>
            </c:numRef>
          </c:yVal>
          <c:smooth val="0"/>
        </c:ser>
        <c:ser>
          <c:idx val="1"/>
          <c:order val="1"/>
          <c:tx>
            <c:v>Laje + capa</c:v>
          </c:tx>
          <c:spPr>
            <a:ln w="12700" cap="flat">
              <a:solidFill>
                <a:srgbClr val="7F7F7F"/>
              </a:solidFill>
              <a:prstDash val="dash"/>
              <a:round/>
            </a:ln>
          </c:spPr>
          <c:marker>
            <c:symbol val="none"/>
          </c:marker>
          <c:xVal>
            <c:numRef>
              <c:f>'Desenho (dados)'!$H$86:$H$89</c:f>
            </c:numRef>
          </c:xVal>
          <c:yVal>
            <c:numRef>
              <c:f>'Desenho (dados)'!$I$86:$I$89</c:f>
            </c:numRef>
          </c:yVal>
          <c:smooth val="0"/>
        </c:ser>
        <c:ser>
          <c:idx val="2"/>
          <c:order val="2"/>
          <c:tx>
            <c:v>Eixo do apoio</c:v>
          </c:tx>
          <c:spPr>
            <a:ln w="9525" cap="flat">
              <a:solidFill>
                <a:srgbClr val="7F7F7F"/>
              </a:solidFill>
              <a:prstDash val="dashDot"/>
              <a:round/>
            </a:ln>
          </c:spPr>
          <c:marker>
            <c:symbol val="none"/>
          </c:marker>
          <c:xVal>
            <c:numRef>
              <c:f>'Desenho (dados)'!$H$92:$H$93</c:f>
            </c:numRef>
          </c:xVal>
          <c:yVal>
            <c:numRef>
              <c:f>'Desenho (dados)'!$I$92:$I$93</c:f>
            </c:numRef>
          </c:yVal>
          <c:smooth val="0"/>
        </c:ser>
        <c:ser>
          <c:idx val="3"/>
          <c:order val="3"/>
          <c:tx>
            <c:v>Consolo / pilar</c:v>
          </c:tx>
          <c:spPr>
            <a:ln w="12700" cap="flat">
              <a:solidFill>
                <a:srgbClr val="A6A6A6"/>
              </a:solidFill>
              <a:round/>
            </a:ln>
          </c:spPr>
          <c:marker>
            <c:symbol val="none"/>
          </c:marker>
          <c:xVal>
            <c:numRef>
              <c:f>'Desenho (dados)'!$H$112:$H$115</c:f>
            </c:numRef>
          </c:xVal>
          <c:yVal>
            <c:numRef>
              <c:f>'Desenho (dados)'!$I$112:$I$115</c:f>
            </c:numRef>
          </c:yVal>
          <c:smooth val="0"/>
        </c:ser>
        <c:ser>
          <c:idx val="4"/>
          <c:order val="4"/>
          <c:tx>
            <c:v>Aparelho de apoio</c:v>
          </c:tx>
          <c:spPr>
            <a:ln w="25400" cap="flat">
              <a:solidFill>
                <a:srgbClr val="404040"/>
              </a:solidFill>
              <a:round/>
            </a:ln>
          </c:spPr>
          <c:marker>
            <c:symbol val="none"/>
          </c:marker>
          <c:xVal>
            <c:numRef>
              <c:f>'Desenho (dados)'!$H$99:$H$103</c:f>
            </c:numRef>
          </c:xVal>
          <c:yVal>
            <c:numRef>
              <c:f>'Desenho (dados)'!$I$99:$I$103</c:f>
            </c:numRef>
          </c:yVal>
          <c:smooth val="0"/>
        </c:ser>
        <c:ser>
          <c:idx val="5"/>
          <c:order val="5"/>
          <c:tx>
            <c:v>Cordoalhas</c:v>
          </c:tx>
          <c:spPr>
            <a:ln w="19050" cap="flat">
              <a:solidFill>
                <a:srgbClr val="00B050"/>
              </a:solidFill>
              <a:round/>
            </a:ln>
          </c:spPr>
          <c:marker>
            <c:symbol val="none"/>
          </c:marker>
          <c:xVal>
            <c:numRef>
              <c:f>'Desenho (dados)'!$H$148:$H$170</c:f>
            </c:numRef>
          </c:xVal>
          <c:yVal>
            <c:numRef>
              <c:f>'Desenho (dados)'!$I$148:$I$170</c:f>
            </c:numRef>
          </c:yVal>
          <c:smooth val="0"/>
        </c:ser>
        <c:ser>
          <c:idx val="6"/>
          <c:order val="6"/>
          <c:tx>
            <c:v>As inferior</c:v>
          </c:tx>
          <c:spPr>
            <a:ln w="19050" cap="flat">
              <a:solidFill>
                <a:srgbClr val="1F4E79"/>
              </a:solidFill>
              <a:round/>
            </a:ln>
          </c:spPr>
          <c:marker>
            <c:symbol val="none"/>
          </c:marker>
          <c:xVal>
            <c:numRef>
              <c:f>'Desenho (dados)'!$H$231:$H$232</c:f>
            </c:numRef>
          </c:xVal>
          <c:yVal>
            <c:numRef>
              <c:f>'Desenho (dados)'!$I$231:$I$232</c:f>
            </c:numRef>
          </c:yVal>
          <c:smooth val="0"/>
        </c:ser>
        <c:ser>
          <c:idx val="7"/>
          <c:order val="7"/>
          <c:tx>
            <c:v>As' superior</c:v>
          </c:tx>
          <c:spPr>
            <a:ln w="15875" cap="flat">
              <a:solidFill>
                <a:srgbClr val="1F4E79"/>
              </a:solidFill>
              <a:round/>
            </a:ln>
          </c:spPr>
          <c:marker>
            <c:symbol val="none"/>
          </c:marker>
          <c:xVal>
            <c:numRef>
              <c:f>'Desenho (dados)'!$H$235:$H$236</c:f>
            </c:numRef>
          </c:xVal>
          <c:yVal>
            <c:numRef>
              <c:f>'Desenho (dados)'!$I$235:$I$236</c:f>
            </c:numRef>
          </c:yVal>
          <c:smooth val="0"/>
        </c:ser>
        <c:ser>
          <c:idx val="8"/>
          <c:order val="8"/>
          <c:tx>
            <c:strRef>
              <c:f>'Cisalhamento e Apoios'!$I$61</c:f>
            </c:strRef>
          </c:tx>
          <c:spPr>
            <a:ln w="12700" cap="flat">
              <a:solidFill>
                <a:srgbClr val="C00000"/>
              </a:solidFill>
              <a:round/>
            </a:ln>
          </c:spPr>
          <c:marker>
            <c:symbol val="none"/>
          </c:marker>
          <c:xVal>
            <c:numRef>
              <c:f>'Desenho (dados)'!$H$239:$H$387</c:f>
            </c:numRef>
          </c:xVal>
          <c:yVal>
            <c:numRef>
              <c:f>'Desenho (dados)'!$I$239:$I$387</c:f>
            </c:numRef>
          </c:yVal>
          <c:smooth val="0"/>
        </c:ser>
        <c:ser>
          <c:idx val="9"/>
          <c:order val="9"/>
          <c:tx>
            <c:strRef>
              <c:f>'Cisalhamento e Apoios'!$I$62</c:f>
            </c:strRef>
          </c:tx>
          <c:spPr>
            <a:ln w="12700" cap="flat">
              <a:solidFill>
                <a:srgbClr val="ED7D31"/>
              </a:solidFill>
              <a:round/>
            </a:ln>
          </c:spPr>
          <c:marker>
            <c:symbol val="none"/>
          </c:marker>
          <c:xVal>
            <c:numRef>
              <c:f>'Desenho (dados)'!$H$540:$H$688</c:f>
            </c:numRef>
          </c:xVal>
          <c:yVal>
            <c:numRef>
              <c:f>'Desenho (dados)'!$I$540:$I$688</c:f>
            </c:numRef>
          </c:yVal>
          <c:smooth val="0"/>
        </c:ser>
        <c:ser>
          <c:idx val="10"/>
          <c:order val="10"/>
          <c:tx>
            <c:strRef>
              <c:f>'Cisalhamento e Apoios'!$I$63</c:f>
            </c:strRef>
          </c:tx>
          <c:spPr>
            <a:ln w="12700" cap="flat">
              <a:solidFill>
                <a:srgbClr val="2E9E5B"/>
              </a:solidFill>
              <a:round/>
            </a:ln>
          </c:spPr>
          <c:marker>
            <c:symbol val="none"/>
          </c:marker>
          <c:xVal>
            <c:numRef>
              <c:f>'Desenho (dados)'!$H$841:$H$1019</c:f>
            </c:numRef>
          </c:xVal>
          <c:yVal>
            <c:numRef>
              <c:f>'Desenho (dados)'!$I$841:$I$1019</c:f>
            </c:numRef>
          </c:yVal>
          <c:smooth val="0"/>
        </c:ser>
        <c:ser>
          <c:idx val="11"/>
          <c:order val="11"/>
          <c:tx>
            <c:v>Grampos (tirante do apoio)</c:v>
          </c:tx>
          <c:spPr>
            <a:ln w="28575" cap="flat">
              <a:solidFill>
                <a:srgbClr val="0070C0"/>
              </a:solidFill>
              <a:round/>
            </a:ln>
          </c:spPr>
          <c:marker>
            <c:symbol val="none"/>
          </c:marker>
          <c:xVal>
            <c:numRef>
              <c:f>'Desenho (dados)'!$H$1202:$H$1203</c:f>
            </c:numRef>
          </c:xVal>
          <c:yVal>
            <c:numRef>
              <c:f>'Desenho (dados)'!$I$1202:$I$1203</c:f>
            </c:numRef>
          </c:yVal>
          <c:smooth val="0"/>
        </c:ser>
        <c:ser>
          <c:idx val="12"/>
          <c:order val="12"/>
          <c:tx>
            <c:v>Grampos de ancoragem</c:v>
          </c:tx>
          <c:spPr>
            <a:ln w="28575" cap="flat">
              <a:solidFill>
                <a:srgbClr val="00B0F0"/>
              </a:solidFill>
              <a:round/>
            </a:ln>
          </c:spPr>
          <c:marker>
            <c:symbol val="none"/>
          </c:marker>
          <c:xVal>
            <c:numRef>
              <c:f>'Desenho (dados)'!$H$1209:$H$1210</c:f>
            </c:numRef>
          </c:xVal>
          <c:yVal>
            <c:numRef>
              <c:f>'Desenho (dados)'!$I$1209:$I$1210</c:f>
            </c:numRef>
          </c:yVal>
          <c:smooth val="0"/>
        </c:ser>
        <c:ser>
          <c:idx val="13"/>
          <c:order val="13"/>
          <c:tx>
            <c:v>Costura do apoio</c:v>
          </c:tx>
          <c:spPr>
            <a:ln w="15875" cap="flat">
              <a:solidFill>
                <a:srgbClr val="7030A0"/>
              </a:solidFill>
              <a:round/>
            </a:ln>
          </c:spPr>
          <c:marker>
            <c:symbol val="none"/>
          </c:marker>
          <c:xVal>
            <c:numRef>
              <c:f>'Desenho (dados)'!$H$1216:$H$1232</c:f>
            </c:numRef>
          </c:xVal>
          <c:yVal>
            <c:numRef>
              <c:f>'Desenho (dados)'!$I$1216:$I$1232</c:f>
            </c:numRef>
          </c:yVal>
          <c:smooth val="0"/>
        </c:ser>
        <c:ser>
          <c:idx val="14"/>
          <c:order val="14"/>
          <c:tx>
            <c:v>Suspensão</c:v>
          </c:tx>
          <c:spPr>
            <a:ln w="22225" cap="flat">
              <a:solidFill>
                <a:srgbClr val="0000FF"/>
              </a:solidFill>
              <a:round/>
            </a:ln>
          </c:spPr>
          <c:marker>
            <c:symbol val="none"/>
          </c:marker>
          <c:xVal>
            <c:numRef>
              <c:f>'Desenho (dados)'!$H$1253:$H$1299</c:f>
            </c:numRef>
          </c:xVal>
          <c:yVal>
            <c:numRef>
              <c:f>'Desenho (dados)'!$I$1253:$I$1299</c:f>
            </c:numRef>
          </c:yVal>
          <c:smooth val="0"/>
        </c:ser>
        <c:ser>
          <c:idx val="15"/>
          <c:order val="15"/>
          <c:tx>
            <c:v>Tirante do dente</c:v>
          </c:tx>
          <c:spPr>
            <a:ln w="28575" cap="flat">
              <a:solidFill>
                <a:srgbClr val="FF0000"/>
              </a:solidFill>
              <a:round/>
            </a:ln>
          </c:spPr>
          <c:marker>
            <c:symbol val="none"/>
          </c:marker>
          <c:xVal>
            <c:numRef>
              <c:f>'Desenho (dados)'!$H$1350:$H$1351</c:f>
            </c:numRef>
          </c:xVal>
          <c:yVal>
            <c:numRef>
              <c:f>'Desenho (dados)'!$I$1350:$I$1351</c:f>
            </c:numRef>
          </c:yVal>
          <c:smooth val="0"/>
        </c:ser>
        <c:ser>
          <c:idx val="16"/>
          <c:order val="16"/>
          <c:tx>
            <c:v>Costura do dente</c:v>
          </c:tx>
          <c:spPr>
            <a:ln w="15875" cap="flat">
              <a:solidFill>
                <a:srgbClr val="7030A0"/>
              </a:solidFill>
              <a:round/>
            </a:ln>
          </c:spPr>
          <c:marker>
            <c:symbol val="none"/>
          </c:marker>
          <c:xVal>
            <c:numRef>
              <c:f>'Desenho (dados)'!$H$1374:$H$1396</c:f>
            </c:numRef>
          </c:xVal>
          <c:yVal>
            <c:numRef>
              <c:f>'Desenho (dados)'!$I$1374:$I$1396</c:f>
            </c:numRef>
          </c:yVal>
          <c:smooth val="0"/>
        </c:ser>
        <c:ser>
          <c:idx val="17"/>
          <c:order val="17"/>
          <c:tx>
            <c:v>Tirante do dente – planta (laço)</c:v>
          </c:tx>
          <c:spPr>
            <a:ln w="25400" cap="flat">
              <a:solidFill>
                <a:srgbClr val="FF0000"/>
              </a:solidFill>
              <a:round/>
            </a:ln>
          </c:spPr>
          <c:marker>
            <c:symbol val="none"/>
          </c:marker>
          <c:xVal>
            <c:numRef>
              <c:f>'Desenho (dados)'!$H$1357:$H$1361</c:f>
            </c:numRef>
          </c:xVal>
          <c:yVal>
            <c:numRef>
              <c:f>'Desenho (dados)'!$I$1357:$I$1361</c:f>
            </c:numRef>
          </c:yVal>
          <c:smooth val="0"/>
        </c:ser>
        <c:ser>
          <c:idx val="18"/>
          <c:order val="18"/>
          <c:tx>
            <c:v>Dente em planta</c:v>
          </c:tx>
          <c:spPr>
            <a:ln w="9525" cap="flat">
              <a:solidFill>
                <a:srgbClr val="7F7F7F"/>
              </a:solidFill>
              <a:prstDash val="dash"/>
              <a:round/>
            </a:ln>
          </c:spPr>
          <c:marker>
            <c:symbol val="none"/>
          </c:marker>
          <c:xVal>
            <c:numRef>
              <c:f>'Desenho (dados)'!$H$1364:$H$1371</c:f>
            </c:numRef>
          </c:xVal>
          <c:yVal>
            <c:numRef>
              <c:f>'Desenho (dados)'!$I$1364:$I$1371</c:f>
            </c:numRef>
          </c:yVal>
          <c:smooth val="0"/>
        </c:ser>
        <c:ser>
          <c:idx val="19"/>
          <c:order val="19"/>
          <c:tx>
            <c:v>Laços de fendilhamento</c:v>
          </c:tx>
          <c:spPr>
            <a:ln w="22225" cap="flat">
              <a:solidFill>
                <a:srgbClr val="FFC000"/>
              </a:solidFill>
              <a:round/>
            </a:ln>
          </c:spPr>
          <c:marker>
            <c:symbol val="none"/>
          </c:marker>
          <c:xVal>
            <c:numRef>
              <c:f>'Desenho (dados)'!$H$1423:$H$1436</c:f>
            </c:numRef>
          </c:xVal>
          <c:yVal>
            <c:numRef>
              <c:f>'Desenho (dados)'!$I$1423:$I$1436</c:f>
            </c:numRef>
          </c:yVal>
          <c:smooth val="0"/>
        </c:ser>
        <c:ser>
          <c:idx val="20"/>
          <c:order val="20"/>
          <c:tx>
            <c:v>x1, x2 e d/2</c:v>
          </c:tx>
          <c:spPr>
            <a:ln w="9525" cap="flat">
              <a:solidFill>
                <a:srgbClr val="1F3864"/>
              </a:solidFill>
              <a:prstDash val="dash"/>
              <a:round/>
            </a:ln>
          </c:spPr>
          <c:marker>
            <c:symbol val="none"/>
          </c:marker>
          <c:xVal>
            <c:numRef>
              <c:f>'Desenho (dados)'!$H$1454:$H$1461</c:f>
            </c:numRef>
          </c:xVal>
          <c:yVal>
            <c:numRef>
              <c:f>'Desenho (dados)'!$I$1454:$I$1461</c:f>
            </c:numRef>
          </c:yVal>
          <c:smooth val="0"/>
        </c:ser>
        <c:axId val="500000001"/>
        <c:axId val="500000002"/>
      </c:scatterChart>
      <c:valAx>
        <c:axId val="500000001"/>
        <c:scaling>
          <c:orientation val="minMax"/>
          <c:max val="1000.0"/>
          <c:min val="0"/>
        </c:scaling>
        <c:delete val="1"/>
        <c:axPos val="b"/>
        <c:numFmt formatCode="General" sourceLinked="0"/>
        <c:majorTickMark val="out"/>
        <c:minorTickMark val="none"/>
        <c:tickLblPos val="low"/>
        <c:spPr>
          <a:ln w="6350">
            <a:solidFill>
              <a:srgbClr val="808080"/>
            </a:solidFill>
          </a:ln>
        </c:spPr>
        <c:txPr>
          <a:bodyPr rot="0" spcFirstLastPara="1" vertOverflow="overflow" horzOverflow="overflow" vert="horz" wrap="none" anchor="ctr" anchorCtr="1"/>
          <a:lstStyle/>
          <a:p>
            <a:pPr>
              <a:defRPr sz="700" b="0" i="0">
                <a:solidFill>
                  <a:srgbClr val="404040"/>
                </a:solidFill>
                <a:latin typeface="Arial"/>
                <a:cs typeface="Arial"/>
              </a:defRPr>
            </a:pPr>
            <a:endParaRPr lang="pt-BR"/>
          </a:p>
        </c:txPr>
        <c:crossAx val="500000002"/>
        <c:crosses val="autoZero"/>
        <c:crossBetween val="midCat"/>
      </c:valAx>
      <c:valAx>
        <c:axId val="500000002"/>
        <c:scaling>
          <c:orientation val="minMax"/>
          <c:max val="247.813"/>
          <c:min val="0"/>
        </c:scaling>
        <c:delete val="1"/>
        <c:axPos val="l"/>
        <c:numFmt formatCode="General" sourceLinked="0"/>
        <c:majorTickMark val="out"/>
        <c:minorTickMark val="none"/>
        <c:tickLblPos val="low"/>
        <c:spPr>
          <a:ln w="6350">
            <a:solidFill>
              <a:srgbClr val="808080"/>
            </a:solidFill>
          </a:ln>
        </c:spPr>
        <c:txPr>
          <a:bodyPr rot="0" spcFirstLastPara="1" vertOverflow="overflow" horzOverflow="overflow" vert="horz" wrap="none" anchor="ctr" anchorCtr="1"/>
          <a:lstStyle/>
          <a:p>
            <a:pPr>
              <a:defRPr sz="700" b="0" i="0">
                <a:solidFill>
                  <a:srgbClr val="404040"/>
                </a:solidFill>
                <a:latin typeface="Arial"/>
                <a:cs typeface="Arial"/>
              </a:defRPr>
            </a:pPr>
            <a:endParaRPr lang="pt-BR"/>
          </a:p>
        </c:txPr>
        <c:crossAx val="500000001"/>
        <c:crosses val="autoZero"/>
        <c:crossBetween val="midCat"/>
      </c:valAx>
      <c:spPr>
        <a:noFill/>
        <a:ln>
          <a:noFill/>
        </a:ln>
      </c:spPr>
    </c:plotArea>
    <c:legend>
      <c:legendPos val="b"/>
      <c:overlay val="0"/>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legend>
    <c:plotVisOnly val="1"/>
    <c:dispBlanksAs val="gap"/>
  </c:chart>
  <c:spPr>
    <a:solidFill>
      <a:srgbClr val="FFFFFF"/>
    </a:solidFill>
    <a:ln>
      <a:noFill/>
    </a:ln>
  </c:spPr>
  <c:txPr>
    <a:bodyPr rot="0" spcFirstLastPara="1" vertOverflow="overflow" horzOverflow="overflow" vert="horz" wrap="none" anchor="ctr" anchorCtr="1"/>
    <a:lstStyle/>
    <a:p>
      <a:pPr>
        <a:defRPr sz="800" b="0" i="0">
          <a:solidFill>
            <a:srgbClr val="000000"/>
          </a:solidFill>
          <a:latin typeface="Arial"/>
          <a:cs typeface="Arial"/>
        </a:defRPr>
      </a:pPr>
      <a:endParaRPr lang="pt-B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lang="pt-BR" sz="1000" b="0" strike="noStrike" spc="-1">
                <a:solidFill>
                  <a:srgbClr val="595959"/>
                </a:solidFill>
                <a:latin typeface="Aptos Narrow"/>
                <a:ea typeface="Aptos Narrow"/>
              </a:defRPr>
            </a:pPr>
            <a:r>
              <a:rPr lang="pt-BR" sz="1000" b="0" strike="noStrike" spc="-1">
                <a:solidFill>
                  <a:srgbClr val="595959"/>
                </a:solidFill>
                <a:latin typeface="Aptos Narrow"/>
                <a:ea typeface="Aptos Narrow"/>
              </a:rPr>
              <a:t>Içamento – com isolamento</a:t>
            </a:r>
          </a:p>
        </c:rich>
      </c:tx>
      <c:overlay val="0"/>
      <c:spPr>
        <a:noFill/>
        <a:ln w="0">
          <a:noFill/>
        </a:ln>
      </c:spPr>
    </c:title>
    <c:autoTitleDeleted val="0"/>
    <c:plotArea>
      <c:layout>
        <c:manualLayout>
          <c:layoutTarget val="inner"/>
          <c:xMode val="edge"/>
          <c:yMode val="edge"/>
          <c:x val="5.5526315789473698E-3"/>
          <c:y val="6.6780968709815702E-2"/>
          <c:w val="0.99068421052631594"/>
          <c:h val="0.87561080154307802"/>
        </c:manualLayout>
      </c:layout>
      <c:lineChart>
        <c:grouping val="standard"/>
        <c:varyColors val="0"/>
        <c:ser>
          <c:idx val="0"/>
          <c:order val="0"/>
          <c:spPr>
            <a:ln w="3240">
              <a:solidFill>
                <a:srgbClr val="156082"/>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cabos'!$U$175:$U$195</c:f>
              <c:numCache>
                <c:formatCode>0.0</c:formatCode>
                <c:ptCount val="21"/>
                <c:pt idx="0">
                  <c:v>0</c:v>
                </c:pt>
                <c:pt idx="1">
                  <c:v>-4.2168786119730894</c:v>
                </c:pt>
                <c:pt idx="2">
                  <c:v>-8.8925880615846005</c:v>
                </c:pt>
                <c:pt idx="3">
                  <c:v>-13.568297511196109</c:v>
                </c:pt>
                <c:pt idx="4">
                  <c:v>-13.546977227117871</c:v>
                </c:pt>
                <c:pt idx="5">
                  <c:v>-15.687731076426157</c:v>
                </c:pt>
                <c:pt idx="6">
                  <c:v>-18.075932653910744</c:v>
                </c:pt>
                <c:pt idx="7">
                  <c:v>-20.512432214304638</c:v>
                </c:pt>
                <c:pt idx="8">
                  <c:v>-20.491043155466983</c:v>
                </c:pt>
                <c:pt idx="9">
                  <c:v>-20.41859618110302</c:v>
                </c:pt>
                <c:pt idx="10">
                  <c:v>-20.394447189648368</c:v>
                </c:pt>
                <c:pt idx="11">
                  <c:v>-20.41859618110302</c:v>
                </c:pt>
                <c:pt idx="12">
                  <c:v>-20.491043155466983</c:v>
                </c:pt>
                <c:pt idx="13">
                  <c:v>-20.512432214304635</c:v>
                </c:pt>
                <c:pt idx="14">
                  <c:v>-18.075932653910744</c:v>
                </c:pt>
                <c:pt idx="15">
                  <c:v>-15.687731076426157</c:v>
                </c:pt>
                <c:pt idx="16">
                  <c:v>-13.546977227117871</c:v>
                </c:pt>
                <c:pt idx="17">
                  <c:v>-13.568297511196109</c:v>
                </c:pt>
                <c:pt idx="18">
                  <c:v>-8.8925880615846005</c:v>
                </c:pt>
                <c:pt idx="19">
                  <c:v>-4.2168786119730903</c:v>
                </c:pt>
                <c:pt idx="20">
                  <c:v>0</c:v>
                </c:pt>
              </c:numCache>
            </c:numRef>
          </c:val>
          <c:smooth val="1"/>
          <c:extLst>
            <c:ext xmlns:c16="http://schemas.microsoft.com/office/drawing/2014/chart" uri="{C3380CC4-5D6E-409C-BE32-E72D297353CC}">
              <c16:uniqueId val="{00000000-ED5E-454A-85DA-4C36BAE3431F}"/>
            </c:ext>
          </c:extLst>
        </c:ser>
        <c:ser>
          <c:idx val="1"/>
          <c:order val="1"/>
          <c:spPr>
            <a:ln w="3240">
              <a:solidFill>
                <a:srgbClr val="F07623"/>
              </a:solidFill>
              <a:round/>
            </a:ln>
          </c:spPr>
          <c:marker>
            <c:symbol val="none"/>
          </c:marker>
          <c:dLbls>
            <c:numFmt formatCode="#,##0.0" sourceLinked="0"/>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'Isolamento de cabos'!$U$152:$U$172</c:f>
              <c:numCache>
                <c:formatCode>0.0</c:formatCode>
                <c:ptCount val="21"/>
                <c:pt idx="0">
                  <c:v>0</c:v>
                </c:pt>
                <c:pt idx="1">
                  <c:v>1.3242798232040121</c:v>
                </c:pt>
                <c:pt idx="2">
                  <c:v>2.9811588161953799</c:v>
                </c:pt>
                <c:pt idx="3">
                  <c:v>5.1243884247334117</c:v>
                </c:pt>
                <c:pt idx="4">
                  <c:v>4.89682057172101</c:v>
                </c:pt>
                <c:pt idx="5">
                  <c:v>4.7697650455906695</c:v>
                </c:pt>
                <c:pt idx="6">
                  <c:v>4.683140804285209</c:v>
                </c:pt>
                <c:pt idx="7">
                  <c:v>4.6315270019047325</c:v>
                </c:pt>
                <c:pt idx="8">
                  <c:v>4.5467053670757336</c:v>
                </c:pt>
                <c:pt idx="9">
                  <c:v>4.4941897086882561</c:v>
                </c:pt>
                <c:pt idx="10">
                  <c:v>4.4766844892257636</c:v>
                </c:pt>
                <c:pt idx="11">
                  <c:v>4.4941897086882561</c:v>
                </c:pt>
                <c:pt idx="12">
                  <c:v>4.5467053670757336</c:v>
                </c:pt>
                <c:pt idx="13">
                  <c:v>4.6315270019047325</c:v>
                </c:pt>
                <c:pt idx="14">
                  <c:v>4.6831408042852107</c:v>
                </c:pt>
                <c:pt idx="15">
                  <c:v>4.7697650455906713</c:v>
                </c:pt>
                <c:pt idx="16">
                  <c:v>4.89682057172101</c:v>
                </c:pt>
                <c:pt idx="17">
                  <c:v>5.1243884247334126</c:v>
                </c:pt>
                <c:pt idx="18">
                  <c:v>2.9811588161953799</c:v>
                </c:pt>
                <c:pt idx="19">
                  <c:v>1.3242798232040121</c:v>
                </c:pt>
                <c:pt idx="20">
                  <c:v>0</c:v>
                </c:pt>
              </c:numCache>
            </c:numRef>
          </c:val>
          <c:smooth val="1"/>
          <c:extLst>
            <c:ext xmlns:c16="http://schemas.microsoft.com/office/drawing/2014/chart" uri="{C3380CC4-5D6E-409C-BE32-E72D297353CC}">
              <c16:uniqueId val="{00000001-ED5E-454A-85DA-4C36BAE3431F}"/>
            </c:ext>
          </c:extLst>
        </c:ser>
        <c:ser>
          <c:idx val="2"/>
          <c:order val="2"/>
          <c:spPr>
            <a:ln w="12600">
              <a:solidFill>
                <a:srgbClr val="C00000"/>
              </a:solidFill>
              <a:round/>
            </a:ln>
          </c:spPr>
          <c:marker>
            <c:symbol val="none"/>
          </c:marker>
          <c:dPt>
            <c:idx val="1"/>
            <c:bubble3D val="0"/>
            <c:extLst>
              <c:ext xmlns:c16="http://schemas.microsoft.com/office/drawing/2014/chart" uri="{C3380CC4-5D6E-409C-BE32-E72D297353CC}">
                <c16:uniqueId val="{00000002-ED5E-454A-85DA-4C36BAE3431F}"/>
              </c:ext>
            </c:extLst>
          </c:dPt>
          <c:dPt>
            <c:idx val="2"/>
            <c:bubble3D val="0"/>
            <c:extLst>
              <c:ext xmlns:c16="http://schemas.microsoft.com/office/drawing/2014/chart" uri="{C3380CC4-5D6E-409C-BE32-E72D297353CC}">
                <c16:uniqueId val="{00000003-ED5E-454A-85DA-4C36BAE3431F}"/>
              </c:ext>
            </c:extLst>
          </c:dPt>
          <c:dPt>
            <c:idx val="3"/>
            <c:bubble3D val="0"/>
            <c:extLst>
              <c:ext xmlns:c16="http://schemas.microsoft.com/office/drawing/2014/chart" uri="{C3380CC4-5D6E-409C-BE32-E72D297353CC}">
                <c16:uniqueId val="{00000004-ED5E-454A-85DA-4C36BAE3431F}"/>
              </c:ext>
            </c:extLst>
          </c:dPt>
          <c:dPt>
            <c:idx val="4"/>
            <c:bubble3D val="0"/>
            <c:extLst>
              <c:ext xmlns:c16="http://schemas.microsoft.com/office/drawing/2014/chart" uri="{C3380CC4-5D6E-409C-BE32-E72D297353CC}">
                <c16:uniqueId val="{00000005-ED5E-454A-85DA-4C36BAE3431F}"/>
              </c:ext>
            </c:extLst>
          </c:dPt>
          <c:dPt>
            <c:idx val="5"/>
            <c:bubble3D val="0"/>
            <c:extLst>
              <c:ext xmlns:c16="http://schemas.microsoft.com/office/drawing/2014/chart" uri="{C3380CC4-5D6E-409C-BE32-E72D297353CC}">
                <c16:uniqueId val="{00000006-ED5E-454A-85DA-4C36BAE3431F}"/>
              </c:ext>
            </c:extLst>
          </c:dPt>
          <c:dPt>
            <c:idx val="6"/>
            <c:bubble3D val="0"/>
            <c:extLst>
              <c:ext xmlns:c16="http://schemas.microsoft.com/office/drawing/2014/chart" uri="{C3380CC4-5D6E-409C-BE32-E72D297353CC}">
                <c16:uniqueId val="{00000007-ED5E-454A-85DA-4C36BAE3431F}"/>
              </c:ext>
            </c:extLst>
          </c:dPt>
          <c:dPt>
            <c:idx val="7"/>
            <c:bubble3D val="0"/>
            <c:extLst>
              <c:ext xmlns:c16="http://schemas.microsoft.com/office/drawing/2014/chart" uri="{C3380CC4-5D6E-409C-BE32-E72D297353CC}">
                <c16:uniqueId val="{00000008-ED5E-454A-85DA-4C36BAE3431F}"/>
              </c:ext>
            </c:extLst>
          </c:dPt>
          <c:dPt>
            <c:idx val="8"/>
            <c:bubble3D val="0"/>
            <c:extLst>
              <c:ext xmlns:c16="http://schemas.microsoft.com/office/drawing/2014/chart" uri="{C3380CC4-5D6E-409C-BE32-E72D297353CC}">
                <c16:uniqueId val="{00000009-ED5E-454A-85DA-4C36BAE3431F}"/>
              </c:ext>
            </c:extLst>
          </c:dPt>
          <c:dPt>
            <c:idx val="9"/>
            <c:bubble3D val="0"/>
            <c:extLst>
              <c:ext xmlns:c16="http://schemas.microsoft.com/office/drawing/2014/chart" uri="{C3380CC4-5D6E-409C-BE32-E72D297353CC}">
                <c16:uniqueId val="{0000000A-ED5E-454A-85DA-4C36BAE3431F}"/>
              </c:ext>
            </c:extLst>
          </c:dPt>
          <c:dPt>
            <c:idx val="10"/>
            <c:bubble3D val="0"/>
            <c:extLst>
              <c:ext xmlns:c16="http://schemas.microsoft.com/office/drawing/2014/chart" uri="{C3380CC4-5D6E-409C-BE32-E72D297353CC}">
                <c16:uniqueId val="{0000000B-ED5E-454A-85DA-4C36BAE3431F}"/>
              </c:ext>
            </c:extLst>
          </c:dPt>
          <c:dPt>
            <c:idx val="11"/>
            <c:bubble3D val="0"/>
            <c:extLst>
              <c:ext xmlns:c16="http://schemas.microsoft.com/office/drawing/2014/chart" uri="{C3380CC4-5D6E-409C-BE32-E72D297353CC}">
                <c16:uniqueId val="{0000000C-ED5E-454A-85DA-4C36BAE3431F}"/>
              </c:ext>
            </c:extLst>
          </c:dPt>
          <c:dPt>
            <c:idx val="12"/>
            <c:bubble3D val="0"/>
            <c:extLst>
              <c:ext xmlns:c16="http://schemas.microsoft.com/office/drawing/2014/chart" uri="{C3380CC4-5D6E-409C-BE32-E72D297353CC}">
                <c16:uniqueId val="{0000000D-ED5E-454A-85DA-4C36BAE3431F}"/>
              </c:ext>
            </c:extLst>
          </c:dPt>
          <c:dPt>
            <c:idx val="13"/>
            <c:bubble3D val="0"/>
            <c:extLst>
              <c:ext xmlns:c16="http://schemas.microsoft.com/office/drawing/2014/chart" uri="{C3380CC4-5D6E-409C-BE32-E72D297353CC}">
                <c16:uniqueId val="{0000000E-ED5E-454A-85DA-4C36BAE3431F}"/>
              </c:ext>
            </c:extLst>
          </c:dPt>
          <c:dPt>
            <c:idx val="14"/>
            <c:bubble3D val="0"/>
            <c:extLst>
              <c:ext xmlns:c16="http://schemas.microsoft.com/office/drawing/2014/chart" uri="{C3380CC4-5D6E-409C-BE32-E72D297353CC}">
                <c16:uniqueId val="{0000000F-ED5E-454A-85DA-4C36BAE3431F}"/>
              </c:ext>
            </c:extLst>
          </c:dPt>
          <c:dPt>
            <c:idx val="15"/>
            <c:bubble3D val="0"/>
            <c:extLst>
              <c:ext xmlns:c16="http://schemas.microsoft.com/office/drawing/2014/chart" uri="{C3380CC4-5D6E-409C-BE32-E72D297353CC}">
                <c16:uniqueId val="{00000010-ED5E-454A-85DA-4C36BAE3431F}"/>
              </c:ext>
            </c:extLst>
          </c:dPt>
          <c:dPt>
            <c:idx val="16"/>
            <c:bubble3D val="0"/>
            <c:extLst>
              <c:ext xmlns:c16="http://schemas.microsoft.com/office/drawing/2014/chart" uri="{C3380CC4-5D6E-409C-BE32-E72D297353CC}">
                <c16:uniqueId val="{00000011-ED5E-454A-85DA-4C36BAE3431F}"/>
              </c:ext>
            </c:extLst>
          </c:dPt>
          <c:dPt>
            <c:idx val="17"/>
            <c:bubble3D val="0"/>
            <c:extLst>
              <c:ext xmlns:c16="http://schemas.microsoft.com/office/drawing/2014/chart" uri="{C3380CC4-5D6E-409C-BE32-E72D297353CC}">
                <c16:uniqueId val="{00000012-ED5E-454A-85DA-4C36BAE3431F}"/>
              </c:ext>
            </c:extLst>
          </c:dPt>
          <c:dPt>
            <c:idx val="18"/>
            <c:bubble3D val="0"/>
            <c:extLst>
              <c:ext xmlns:c16="http://schemas.microsoft.com/office/drawing/2014/chart" uri="{C3380CC4-5D6E-409C-BE32-E72D297353CC}">
                <c16:uniqueId val="{00000013-ED5E-454A-85DA-4C36BAE3431F}"/>
              </c:ext>
            </c:extLst>
          </c:dPt>
          <c:dPt>
            <c:idx val="19"/>
            <c:bubble3D val="0"/>
            <c:extLst>
              <c:ext xmlns:c16="http://schemas.microsoft.com/office/drawing/2014/chart" uri="{C3380CC4-5D6E-409C-BE32-E72D297353CC}">
                <c16:uniqueId val="{00000014-ED5E-454A-85DA-4C36BAE3431F}"/>
              </c:ext>
            </c:extLst>
          </c:dPt>
          <c:dLbls>
            <c:dLbl>
              <c:idx val="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ED5E-454A-85DA-4C36BAE3431F}"/>
                </c:ext>
              </c:extLst>
            </c:dLbl>
            <c:dLbl>
              <c:idx val="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ED5E-454A-85DA-4C36BAE3431F}"/>
                </c:ext>
              </c:extLst>
            </c:dLbl>
            <c:dLbl>
              <c:idx val="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ED5E-454A-85DA-4C36BAE3431F}"/>
                </c:ext>
              </c:extLst>
            </c:dLbl>
            <c:dLbl>
              <c:idx val="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ED5E-454A-85DA-4C36BAE3431F}"/>
                </c:ext>
              </c:extLst>
            </c:dLbl>
            <c:dLbl>
              <c:idx val="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ED5E-454A-85DA-4C36BAE3431F}"/>
                </c:ext>
              </c:extLst>
            </c:dLbl>
            <c:dLbl>
              <c:idx val="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7-ED5E-454A-85DA-4C36BAE3431F}"/>
                </c:ext>
              </c:extLst>
            </c:dLbl>
            <c:dLbl>
              <c:idx val="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8-ED5E-454A-85DA-4C36BAE3431F}"/>
                </c:ext>
              </c:extLst>
            </c:dLbl>
            <c:dLbl>
              <c:idx val="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ED5E-454A-85DA-4C36BAE3431F}"/>
                </c:ext>
              </c:extLst>
            </c:dLbl>
            <c:dLbl>
              <c:idx val="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A-ED5E-454A-85DA-4C36BAE3431F}"/>
                </c:ext>
              </c:extLst>
            </c:dLbl>
            <c:dLbl>
              <c:idx val="10"/>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ED5E-454A-85DA-4C36BAE3431F}"/>
                </c:ext>
              </c:extLst>
            </c:dLbl>
            <c:dLbl>
              <c:idx val="11"/>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ED5E-454A-85DA-4C36BAE3431F}"/>
                </c:ext>
              </c:extLst>
            </c:dLbl>
            <c:dLbl>
              <c:idx val="12"/>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D-ED5E-454A-85DA-4C36BAE3431F}"/>
                </c:ext>
              </c:extLst>
            </c:dLbl>
            <c:dLbl>
              <c:idx val="13"/>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E-ED5E-454A-85DA-4C36BAE3431F}"/>
                </c:ext>
              </c:extLst>
            </c:dLbl>
            <c:dLbl>
              <c:idx val="14"/>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ED5E-454A-85DA-4C36BAE3431F}"/>
                </c:ext>
              </c:extLst>
            </c:dLbl>
            <c:dLbl>
              <c:idx val="15"/>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0-ED5E-454A-85DA-4C36BAE3431F}"/>
                </c:ext>
              </c:extLst>
            </c:dLbl>
            <c:dLbl>
              <c:idx val="16"/>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ED5E-454A-85DA-4C36BAE3431F}"/>
                </c:ext>
              </c:extLst>
            </c:dLbl>
            <c:dLbl>
              <c:idx val="17"/>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2-ED5E-454A-85DA-4C36BAE3431F}"/>
                </c:ext>
              </c:extLst>
            </c:dLbl>
            <c:dLbl>
              <c:idx val="18"/>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3-ED5E-454A-85DA-4C36BAE3431F}"/>
                </c:ext>
              </c:extLst>
            </c:dLbl>
            <c:dLbl>
              <c:idx val="19"/>
              <c:spPr/>
              <c:txPr>
                <a:bodyPr wrap="square"/>
                <a:lstStyle/>
                <a:p>
                  <a:pPr>
                    <a:defRPr sz="900" b="0" strike="noStrike" spc="-1">
                      <a:solidFill>
                        <a:srgbClr val="404040"/>
                      </a:solidFill>
                      <a:latin typeface="Aptos Narrow"/>
                    </a:defRPr>
                  </a:pPr>
                  <a:endParaRPr lang="pt-BR"/>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4-ED5E-454A-85DA-4C36BAE3431F}"/>
                </c:ext>
              </c:extLst>
            </c:dLbl>
            <c:spPr>
              <a:noFill/>
              <a:ln>
                <a:noFill/>
              </a:ln>
              <a:effectLst/>
            </c:spPr>
            <c:txPr>
              <a:bodyPr wrap="square"/>
              <a:lstStyle/>
              <a:p>
                <a:pPr>
                  <a:defRPr sz="900" b="0" strike="noStrike" spc="-1">
                    <a:solidFill>
                      <a:srgbClr val="404040"/>
                    </a:solidFill>
                    <a:latin typeface="Aptos Narrow"/>
                    <a:ea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Geometria!$Q$913:$Q$933</c:f>
              <c:numCache>
                <c:formatCode>0.0</c:formatCode>
                <c:ptCount val="21"/>
                <c:pt idx="0">
                  <c:v>3.8519549300342844</c:v>
                </c:pt>
                <c:pt idx="1">
                  <c:v>3.8519549300342844</c:v>
                </c:pt>
                <c:pt idx="2">
                  <c:v>3.8519549300342844</c:v>
                </c:pt>
                <c:pt idx="3">
                  <c:v>3.8519549300342844</c:v>
                </c:pt>
                <c:pt idx="4">
                  <c:v>3.8519549300342844</c:v>
                </c:pt>
                <c:pt idx="5">
                  <c:v>3.8519549300342844</c:v>
                </c:pt>
                <c:pt idx="6">
                  <c:v>3.8519549300342844</c:v>
                </c:pt>
                <c:pt idx="7">
                  <c:v>3.8519549300342844</c:v>
                </c:pt>
                <c:pt idx="8">
                  <c:v>3.8519549300342844</c:v>
                </c:pt>
                <c:pt idx="9">
                  <c:v>3.8519549300342844</c:v>
                </c:pt>
                <c:pt idx="10">
                  <c:v>3.8519549300342844</c:v>
                </c:pt>
                <c:pt idx="11">
                  <c:v>3.8519549300342844</c:v>
                </c:pt>
                <c:pt idx="12">
                  <c:v>3.8519549300342844</c:v>
                </c:pt>
                <c:pt idx="13">
                  <c:v>3.8519549300342844</c:v>
                </c:pt>
                <c:pt idx="14">
                  <c:v>3.8519549300342844</c:v>
                </c:pt>
                <c:pt idx="15">
                  <c:v>3.8519549300342844</c:v>
                </c:pt>
                <c:pt idx="16">
                  <c:v>3.8519549300342844</c:v>
                </c:pt>
                <c:pt idx="17">
                  <c:v>3.8519549300342844</c:v>
                </c:pt>
                <c:pt idx="18">
                  <c:v>3.8519549300342844</c:v>
                </c:pt>
                <c:pt idx="19">
                  <c:v>3.8519549300342844</c:v>
                </c:pt>
                <c:pt idx="20">
                  <c:v>3.8519549300342844</c:v>
                </c:pt>
              </c:numCache>
            </c:numRef>
          </c:val>
          <c:smooth val="1"/>
          <c:extLst>
            <c:ext xmlns:c16="http://schemas.microsoft.com/office/drawing/2014/chart" uri="{C3380CC4-5D6E-409C-BE32-E72D297353CC}">
              <c16:uniqueId val="{00000015-ED5E-454A-85DA-4C36BAE3431F}"/>
            </c:ext>
          </c:extLst>
        </c:ser>
        <c:ser>
          <c:idx val="3"/>
          <c:order val="3"/>
          <c:tx>
            <c:v>série 4</c:v>
          </c:tx>
          <c:spPr>
            <a:ln w="12600">
              <a:solidFill>
                <a:srgbClr val="369C54"/>
              </a:solidFill>
              <a:round/>
            </a:ln>
          </c:spPr>
          <c:marker>
            <c:symbol val="none"/>
          </c:marker>
          <c:dPt>
            <c:idx val="1"/>
            <c:bubble3D val="0"/>
            <c:extLst>
              <c:ext xmlns:c16="http://schemas.microsoft.com/office/drawing/2014/chart" uri="{C3380CC4-5D6E-409C-BE32-E72D297353CC}">
                <c16:uniqueId val="{00000016-ED5E-454A-85DA-4C36BAE3431F}"/>
              </c:ext>
            </c:extLst>
          </c:dPt>
          <c:dPt>
            <c:idx val="2"/>
            <c:bubble3D val="0"/>
            <c:extLst>
              <c:ext xmlns:c16="http://schemas.microsoft.com/office/drawing/2014/chart" uri="{C3380CC4-5D6E-409C-BE32-E72D297353CC}">
                <c16:uniqueId val="{00000017-ED5E-454A-85DA-4C36BAE3431F}"/>
              </c:ext>
            </c:extLst>
          </c:dPt>
          <c:dPt>
            <c:idx val="3"/>
            <c:bubble3D val="0"/>
            <c:extLst>
              <c:ext xmlns:c16="http://schemas.microsoft.com/office/drawing/2014/chart" uri="{C3380CC4-5D6E-409C-BE32-E72D297353CC}">
                <c16:uniqueId val="{00000018-ED5E-454A-85DA-4C36BAE3431F}"/>
              </c:ext>
            </c:extLst>
          </c:dPt>
          <c:dPt>
            <c:idx val="4"/>
            <c:bubble3D val="0"/>
            <c:extLst>
              <c:ext xmlns:c16="http://schemas.microsoft.com/office/drawing/2014/chart" uri="{C3380CC4-5D6E-409C-BE32-E72D297353CC}">
                <c16:uniqueId val="{00000019-ED5E-454A-85DA-4C36BAE3431F}"/>
              </c:ext>
            </c:extLst>
          </c:dPt>
          <c:dPt>
            <c:idx val="5"/>
            <c:bubble3D val="0"/>
            <c:extLst>
              <c:ext xmlns:c16="http://schemas.microsoft.com/office/drawing/2014/chart" uri="{C3380CC4-5D6E-409C-BE32-E72D297353CC}">
                <c16:uniqueId val="{0000001A-ED5E-454A-85DA-4C36BAE3431F}"/>
              </c:ext>
            </c:extLst>
          </c:dPt>
          <c:dPt>
            <c:idx val="6"/>
            <c:bubble3D val="0"/>
            <c:extLst>
              <c:ext xmlns:c16="http://schemas.microsoft.com/office/drawing/2014/chart" uri="{C3380CC4-5D6E-409C-BE32-E72D297353CC}">
                <c16:uniqueId val="{0000001B-ED5E-454A-85DA-4C36BAE3431F}"/>
              </c:ext>
            </c:extLst>
          </c:dPt>
          <c:dPt>
            <c:idx val="7"/>
            <c:bubble3D val="0"/>
            <c:extLst>
              <c:ext xmlns:c16="http://schemas.microsoft.com/office/drawing/2014/chart" uri="{C3380CC4-5D6E-409C-BE32-E72D297353CC}">
                <c16:uniqueId val="{0000001C-ED5E-454A-85DA-4C36BAE3431F}"/>
              </c:ext>
            </c:extLst>
          </c:dPt>
          <c:dPt>
            <c:idx val="8"/>
            <c:bubble3D val="0"/>
            <c:extLst>
              <c:ext xmlns:c16="http://schemas.microsoft.com/office/drawing/2014/chart" uri="{C3380CC4-5D6E-409C-BE32-E72D297353CC}">
                <c16:uniqueId val="{0000001D-ED5E-454A-85DA-4C36BAE3431F}"/>
              </c:ext>
            </c:extLst>
          </c:dPt>
          <c:dPt>
            <c:idx val="9"/>
            <c:bubble3D val="0"/>
            <c:extLst>
              <c:ext xmlns:c16="http://schemas.microsoft.com/office/drawing/2014/chart" uri="{C3380CC4-5D6E-409C-BE32-E72D297353CC}">
                <c16:uniqueId val="{0000001E-ED5E-454A-85DA-4C36BAE3431F}"/>
              </c:ext>
            </c:extLst>
          </c:dPt>
          <c:dPt>
            <c:idx val="10"/>
            <c:bubble3D val="0"/>
            <c:extLst>
              <c:ext xmlns:c16="http://schemas.microsoft.com/office/drawing/2014/chart" uri="{C3380CC4-5D6E-409C-BE32-E72D297353CC}">
                <c16:uniqueId val="{0000001F-ED5E-454A-85DA-4C36BAE3431F}"/>
              </c:ext>
            </c:extLst>
          </c:dPt>
          <c:dPt>
            <c:idx val="11"/>
            <c:bubble3D val="0"/>
            <c:extLst>
              <c:ext xmlns:c16="http://schemas.microsoft.com/office/drawing/2014/chart" uri="{C3380CC4-5D6E-409C-BE32-E72D297353CC}">
                <c16:uniqueId val="{00000020-ED5E-454A-85DA-4C36BAE3431F}"/>
              </c:ext>
            </c:extLst>
          </c:dPt>
          <c:dPt>
            <c:idx val="12"/>
            <c:bubble3D val="0"/>
            <c:extLst>
              <c:ext xmlns:c16="http://schemas.microsoft.com/office/drawing/2014/chart" uri="{C3380CC4-5D6E-409C-BE32-E72D297353CC}">
                <c16:uniqueId val="{00000021-ED5E-454A-85DA-4C36BAE3431F}"/>
              </c:ext>
            </c:extLst>
          </c:dPt>
          <c:dPt>
            <c:idx val="13"/>
            <c:bubble3D val="0"/>
            <c:extLst>
              <c:ext xmlns:c16="http://schemas.microsoft.com/office/drawing/2014/chart" uri="{C3380CC4-5D6E-409C-BE32-E72D297353CC}">
                <c16:uniqueId val="{00000022-ED5E-454A-85DA-4C36BAE3431F}"/>
              </c:ext>
            </c:extLst>
          </c:dPt>
          <c:dPt>
            <c:idx val="14"/>
            <c:bubble3D val="0"/>
            <c:extLst>
              <c:ext xmlns:c16="http://schemas.microsoft.com/office/drawing/2014/chart" uri="{C3380CC4-5D6E-409C-BE32-E72D297353CC}">
                <c16:uniqueId val="{00000023-ED5E-454A-85DA-4C36BAE3431F}"/>
              </c:ext>
            </c:extLst>
          </c:dPt>
          <c:dPt>
            <c:idx val="15"/>
            <c:bubble3D val="0"/>
            <c:extLst>
              <c:ext xmlns:c16="http://schemas.microsoft.com/office/drawing/2014/chart" uri="{C3380CC4-5D6E-409C-BE32-E72D297353CC}">
                <c16:uniqueId val="{00000024-ED5E-454A-85DA-4C36BAE3431F}"/>
              </c:ext>
            </c:extLst>
          </c:dPt>
          <c:dPt>
            <c:idx val="16"/>
            <c:bubble3D val="0"/>
            <c:extLst>
              <c:ext xmlns:c16="http://schemas.microsoft.com/office/drawing/2014/chart" uri="{C3380CC4-5D6E-409C-BE32-E72D297353CC}">
                <c16:uniqueId val="{00000025-ED5E-454A-85DA-4C36BAE3431F}"/>
              </c:ext>
            </c:extLst>
          </c:dPt>
          <c:dPt>
            <c:idx val="17"/>
            <c:bubble3D val="0"/>
            <c:extLst>
              <c:ext xmlns:c16="http://schemas.microsoft.com/office/drawing/2014/chart" uri="{C3380CC4-5D6E-409C-BE32-E72D297353CC}">
                <c16:uniqueId val="{00000026-ED5E-454A-85DA-4C36BAE3431F}"/>
              </c:ext>
            </c:extLst>
          </c:dPt>
          <c:dPt>
            <c:idx val="18"/>
            <c:bubble3D val="0"/>
            <c:extLst>
              <c:ext xmlns:c16="http://schemas.microsoft.com/office/drawing/2014/chart" uri="{C3380CC4-5D6E-409C-BE32-E72D297353CC}">
                <c16:uniqueId val="{00000027-ED5E-454A-85DA-4C36BAE3431F}"/>
              </c:ext>
            </c:extLst>
          </c:dPt>
          <c:dPt>
            <c:idx val="19"/>
            <c:bubble3D val="0"/>
            <c:extLst>
              <c:ext xmlns:c16="http://schemas.microsoft.com/office/drawing/2014/chart" uri="{C3380CC4-5D6E-409C-BE32-E72D297353CC}">
                <c16:uniqueId val="{00000028-ED5E-454A-85DA-4C36BAE3431F}"/>
              </c:ext>
            </c:extLst>
          </c:dPt>
          <c:dLbls>
            <c:dLbl>
              <c:idx val="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6-ED5E-454A-85DA-4C36BAE3431F}"/>
                </c:ext>
              </c:extLst>
            </c:dLbl>
            <c:dLbl>
              <c:idx val="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7-ED5E-454A-85DA-4C36BAE3431F}"/>
                </c:ext>
              </c:extLst>
            </c:dLbl>
            <c:dLbl>
              <c:idx val="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8-ED5E-454A-85DA-4C36BAE3431F}"/>
                </c:ext>
              </c:extLst>
            </c:dLbl>
            <c:dLbl>
              <c:idx val="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9-ED5E-454A-85DA-4C36BAE3431F}"/>
                </c:ext>
              </c:extLst>
            </c:dLbl>
            <c:dLbl>
              <c:idx val="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A-ED5E-454A-85DA-4C36BAE3431F}"/>
                </c:ext>
              </c:extLst>
            </c:dLbl>
            <c:dLbl>
              <c:idx val="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B-ED5E-454A-85DA-4C36BAE3431F}"/>
                </c:ext>
              </c:extLst>
            </c:dLbl>
            <c:dLbl>
              <c:idx val="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C-ED5E-454A-85DA-4C36BAE3431F}"/>
                </c:ext>
              </c:extLst>
            </c:dLbl>
            <c:dLbl>
              <c:idx val="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D-ED5E-454A-85DA-4C36BAE3431F}"/>
                </c:ext>
              </c:extLst>
            </c:dLbl>
            <c:dLbl>
              <c:idx val="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E-ED5E-454A-85DA-4C36BAE3431F}"/>
                </c:ext>
              </c:extLst>
            </c:dLbl>
            <c:dLbl>
              <c:idx val="10"/>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F-ED5E-454A-85DA-4C36BAE3431F}"/>
                </c:ext>
              </c:extLst>
            </c:dLbl>
            <c:dLbl>
              <c:idx val="11"/>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0-ED5E-454A-85DA-4C36BAE3431F}"/>
                </c:ext>
              </c:extLst>
            </c:dLbl>
            <c:dLbl>
              <c:idx val="12"/>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1-ED5E-454A-85DA-4C36BAE3431F}"/>
                </c:ext>
              </c:extLst>
            </c:dLbl>
            <c:dLbl>
              <c:idx val="13"/>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2-ED5E-454A-85DA-4C36BAE3431F}"/>
                </c:ext>
              </c:extLst>
            </c:dLbl>
            <c:dLbl>
              <c:idx val="14"/>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3-ED5E-454A-85DA-4C36BAE3431F}"/>
                </c:ext>
              </c:extLst>
            </c:dLbl>
            <c:dLbl>
              <c:idx val="15"/>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4-ED5E-454A-85DA-4C36BAE3431F}"/>
                </c:ext>
              </c:extLst>
            </c:dLbl>
            <c:dLbl>
              <c:idx val="16"/>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5-ED5E-454A-85DA-4C36BAE3431F}"/>
                </c:ext>
              </c:extLst>
            </c:dLbl>
            <c:dLbl>
              <c:idx val="17"/>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6-ED5E-454A-85DA-4C36BAE3431F}"/>
                </c:ext>
              </c:extLst>
            </c:dLbl>
            <c:dLbl>
              <c:idx val="18"/>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7-ED5E-454A-85DA-4C36BAE3431F}"/>
                </c:ext>
              </c:extLst>
            </c:dLbl>
            <c:dLbl>
              <c:idx val="19"/>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28-ED5E-454A-85DA-4C36BAE3431F}"/>
                </c:ext>
              </c:extLst>
            </c:dLbl>
            <c:spPr>
              <a:solidFill>
                <a:srgbClr val="FFFFFF"/>
              </a:solidFill>
              <a:ln w="12600">
                <a:solidFill>
                  <a:srgbClr val="369C54"/>
                </a:solidFill>
              </a:ln>
            </c:spPr>
            <c:txPr>
              <a:bodyPr wrap="square"/>
              <a:lstStyle/>
              <a:p>
                <a:pPr>
                  <a:defRPr sz="900" b="0" strike="noStrike" spc="-1">
                    <a:solidFill>
                      <a:srgbClr val="000000"/>
                    </a:solidFill>
                    <a:latin typeface="Aptos Narrow"/>
                  </a:defRPr>
                </a:pPr>
                <a:endParaRPr lang="pt-BR"/>
              </a:p>
            </c:txPr>
            <c:dLblPos val="t"/>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Geometria!$Q$936:$Q$956</c:f>
              <c:numCache>
                <c:formatCode>0.0</c:formatCode>
                <c:ptCount val="21"/>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-24.5</c:v>
                </c:pt>
                <c:pt idx="14">
                  <c:v>-24.5</c:v>
                </c:pt>
                <c:pt idx="15">
                  <c:v>-24.5</c:v>
                </c:pt>
                <c:pt idx="16">
                  <c:v>-24.5</c:v>
                </c:pt>
                <c:pt idx="17">
                  <c:v>-24.5</c:v>
                </c:pt>
                <c:pt idx="18">
                  <c:v>-24.5</c:v>
                </c:pt>
                <c:pt idx="19">
                  <c:v>-24.5</c:v>
                </c:pt>
                <c:pt idx="20">
                  <c:v>-24.5</c:v>
                </c:pt>
              </c:numCache>
            </c:numRef>
          </c:val>
          <c:smooth val="1"/>
          <c:extLst>
            <c:ext xmlns:c16="http://schemas.microsoft.com/office/drawing/2014/chart" uri="{C3380CC4-5D6E-409C-BE32-E72D297353CC}">
              <c16:uniqueId val="{00000029-ED5E-454A-85DA-4C36BAE3431F}"/>
            </c:ext>
          </c:extLst>
        </c:ser>
        <c:dLbls>
          <c:showLegendKey val="0"/>
          <c:showVal val="0"/>
          <c:showCatName val="0"/>
          <c:showSerName val="0"/>
          <c:showPercent val="0"/>
          <c:showBubbleSize val="0"/>
        </c:dLbls>
        <c:hiLowLines>
          <c:spPr>
            <a:ln w="0">
              <a:noFill/>
            </a:ln>
          </c:spPr>
        </c:hiLowLines>
        <c:smooth val="0"/>
        <c:axId val="94552952"/>
        <c:axId val="77863793"/>
      </c:lineChart>
      <c:catAx>
        <c:axId val="94552952"/>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sz="900" b="0" strike="noStrike" spc="-1">
                <a:solidFill>
                  <a:srgbClr val="595959"/>
                </a:solidFill>
                <a:latin typeface="Aptos Narrow"/>
                <a:ea typeface="Aptos Narrow"/>
              </a:defRPr>
            </a:pPr>
            <a:endParaRPr lang="pt-BR"/>
          </a:p>
        </c:txPr>
        <c:crossAx val="77863793"/>
        <c:crosses val="autoZero"/>
        <c:auto val="1"/>
        <c:lblAlgn val="ctr"/>
        <c:lblOffset val="100"/>
        <c:noMultiLvlLbl val="0"/>
      </c:catAx>
      <c:valAx>
        <c:axId val="77863793"/>
        <c:scaling>
          <c:orientation val="minMax"/>
        </c:scaling>
        <c:delete val="1"/>
        <c:axPos val="l"/>
        <c:numFmt formatCode="0.0" sourceLinked="1"/>
        <c:majorTickMark val="out"/>
        <c:minorTickMark val="none"/>
        <c:tickLblPos val="nextTo"/>
        <c:crossAx val="94552952"/>
        <c:crosses val="autoZero"/>
        <c:crossBetween val="between"/>
      </c:valAx>
      <c:spPr>
        <a:noFill/>
        <a:ln w="25560">
          <a:noFill/>
        </a:ln>
      </c:spPr>
    </c:plotArea>
    <c:plotVisOnly val="1"/>
    <c:dispBlanksAs val="gap"/>
    <c:showDLblsOverMax val="1"/>
  </c:chart>
  <c:spPr>
    <a:solidFill>
      <a:srgbClr val="FFFFFF"/>
    </a:solidFill>
    <a:ln w="9360">
      <a:noFill/>
    </a:ln>
  </c:spPr>
  <c:printSettings>
    <c:headerFooter/>
    <c:pageMargins b="0.78740157499999996" l="0.511811024" r="0.511811024" t="0.78740157499999996" header="0.31496062000000002" footer="0.31496062000000002"/>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c:date1904 val="0"/>
  <c:lang val="pt-BR"/>
  <c:roundedCorners val="0"/>
  <c:chart>
    <c:autoTitleDeleted val="1"/>
    <c:plotArea>
      <c:layout>
        <c:manualLayout>
          <c:layoutTarget val="inner"/>
          <c:xMode val="edge"/>
          <c:yMode val="edge"/>
          <c:x val="0.0"/>
          <c:y val="0.0"/>
          <c:w val="1.0"/>
          <c:h val="1.0"/>
        </c:manualLayout>
      </c:layout>
      <c:scatterChart>
        <c:scatterStyle val="lineMarker"/>
        <c:varyColors val="0"/>
        <c:ser>
          <c:idx val="0"/>
          <c:order val="0"/>
          <c:tx>
            <c:v>Laje + capa</c:v>
          </c:tx>
          <c:spPr>
            <a:ln w="7620" cap="flat">
              <a:solidFill>
                <a:srgbClr val="808080"/>
              </a:solidFill>
              <a:prstDash val="dash"/>
              <a:round/>
            </a:ln>
          </c:spPr>
          <c:marker>
            <c:symbol val="none"/>
          </c:marker>
          <c:xVal>
            <c:numRef>
              <c:f>'Desenho (dados)'!$D$80:$D$83</c:f>
            </c:numRef>
          </c:xVal>
          <c:yVal>
            <c:numRef>
              <c:f>'Desenho (dados)'!$E$80:$E$83</c:f>
            </c:numRef>
          </c:yVal>
          <c:smooth val="0"/>
        </c:ser>
        <c:ser>
          <c:idx val="1"/>
          <c:order val="1"/>
          <c:tx>
            <c:v>Apoio</c:v>
          </c:tx>
          <c:spPr>
            <a:ln w="9525" cap="flat">
              <a:solidFill>
                <a:srgbClr val="A6A6A6"/>
              </a:solidFill>
              <a:round/>
            </a:ln>
          </c:spPr>
          <c:marker>
            <c:symbol val="none"/>
          </c:marker>
          <c:xVal>
            <c:numRef>
              <c:f>'Desenho (dados)'!$D$112:$D$120</c:f>
            </c:numRef>
          </c:xVal>
          <c:yVal>
            <c:numRef>
              <c:f>'Desenho (dados)'!$E$112:$E$120</c:f>
            </c:numRef>
          </c:yVal>
          <c:smooth val="0"/>
        </c:ser>
        <c:ser>
          <c:idx val="2"/>
          <c:order val="2"/>
          <c:tx>
            <c:v>Eixo</c:v>
          </c:tx>
          <c:spPr>
            <a:ln w="6350" cap="flat">
              <a:solidFill>
                <a:srgbClr val="808080"/>
              </a:solidFill>
              <a:prstDash val="dashDot"/>
              <a:round/>
            </a:ln>
          </c:spPr>
          <c:marker>
            <c:symbol val="none"/>
          </c:marker>
          <c:xVal>
            <c:numRef>
              <c:f>'Desenho (dados)'!$D$92:$D$96</c:f>
            </c:numRef>
          </c:xVal>
          <c:yVal>
            <c:numRef>
              <c:f>'Desenho (dados)'!$E$92:$E$96</c:f>
            </c:numRef>
          </c:yVal>
          <c:smooth val="0"/>
        </c:ser>
        <c:ser>
          <c:idx val="3"/>
          <c:order val="3"/>
          <c:tx>
            <c:v>Viga</c:v>
          </c:tx>
          <c:spPr>
            <a:ln w="15875" cap="flat">
              <a:solidFill>
                <a:srgbClr val="000000"/>
              </a:solidFill>
              <a:round/>
            </a:ln>
          </c:spPr>
          <c:marker>
            <c:symbol val="none"/>
          </c:marker>
          <c:xVal>
            <c:numRef>
              <c:f>'Desenho (dados)'!$D$60:$D$68</c:f>
            </c:numRef>
          </c:xVal>
          <c:yVal>
            <c:numRef>
              <c:f>'Desenho (dados)'!$E$60:$E$68</c:f>
            </c:numRef>
          </c:yVal>
          <c:smooth val="0"/>
        </c:ser>
        <c:ser>
          <c:idx val="4"/>
          <c:order val="4"/>
          <c:tx>
            <c:v>Aparelho</c:v>
          </c:tx>
          <c:spPr>
            <a:ln w="19050" cap="flat">
              <a:solidFill>
                <a:srgbClr val="404040"/>
              </a:solidFill>
              <a:round/>
            </a:ln>
          </c:spPr>
          <c:marker>
            <c:symbol val="none"/>
          </c:marker>
          <c:xVal>
            <c:numRef>
              <c:f>'Desenho (dados)'!$D$99:$D$109</c:f>
            </c:numRef>
          </c:xVal>
          <c:yVal>
            <c:numRef>
              <c:f>'Desenho (dados)'!$E$99:$E$109</c:f>
            </c:numRef>
          </c:yVal>
          <c:smooth val="0"/>
        </c:ser>
        <c:ser>
          <c:idx val="5"/>
          <c:order val="5"/>
          <c:tx>
            <c:v>Cordoalhas</c:v>
          </c:tx>
          <c:spPr>
            <a:ln w="12700" cap="flat">
              <a:solidFill>
                <a:srgbClr val="00A650"/>
              </a:solidFill>
              <a:prstDash val="dash"/>
              <a:round/>
            </a:ln>
          </c:spPr>
          <c:marker>
            <c:symbol val="none"/>
          </c:marker>
          <c:xVal>
            <c:numRef>
              <c:f>'Desenho (dados)'!$D$123:$D$145</c:f>
            </c:numRef>
          </c:xVal>
          <c:yVal>
            <c:numRef>
              <c:f>'Desenho (dados)'!$E$123:$E$145</c:f>
            </c:numRef>
          </c:yVal>
          <c:smooth val="0"/>
        </c:ser>
        <c:ser>
          <c:idx val="6"/>
          <c:order val="6"/>
          <c:tx>
            <c:v>As inf</c:v>
          </c:tx>
          <c:spPr>
            <a:ln w="15875" cap="flat">
              <a:solidFill>
                <a:srgbClr val="1F4E79"/>
              </a:solidFill>
              <a:round/>
            </a:ln>
          </c:spPr>
          <c:marker>
            <c:symbol val="none"/>
          </c:marker>
          <c:xVal>
            <c:numRef>
              <c:f>'Desenho (dados)'!$D$223:$D$224</c:f>
            </c:numRef>
          </c:xVal>
          <c:yVal>
            <c:numRef>
              <c:f>'Desenho (dados)'!$E$223:$E$224</c:f>
            </c:numRef>
          </c:yVal>
          <c:smooth val="0"/>
        </c:ser>
        <c:ser>
          <c:idx val="7"/>
          <c:order val="7"/>
          <c:tx>
            <c:v>As' sup</c:v>
          </c:tx>
          <c:spPr>
            <a:ln w="12700" cap="flat">
              <a:solidFill>
                <a:srgbClr val="1F4E79"/>
              </a:solidFill>
              <a:round/>
            </a:ln>
          </c:spPr>
          <c:marker>
            <c:symbol val="none"/>
          </c:marker>
          <c:xVal>
            <c:numRef>
              <c:f>'Desenho (dados)'!$D$227:$D$228</c:f>
            </c:numRef>
          </c:xVal>
          <c:yVal>
            <c:numRef>
              <c:f>'Desenho (dados)'!$E$227:$E$228</c:f>
            </c:numRef>
          </c:yVal>
          <c:smooth val="0"/>
        </c:ser>
        <c:ser>
          <c:idx val="8"/>
          <c:order val="8"/>
          <c:tx>
            <c:v>T1</c:v>
          </c:tx>
          <c:spPr>
            <a:ln w="6350" cap="flat">
              <a:solidFill>
                <a:srgbClr val="C00000"/>
              </a:solidFill>
              <a:round/>
            </a:ln>
          </c:spPr>
          <c:marker>
            <c:symbol val="none"/>
          </c:marker>
          <c:xVal>
            <c:numRef>
              <c:f>'Desenho (dados)'!$D$239:$D$537</c:f>
            </c:numRef>
          </c:xVal>
          <c:yVal>
            <c:numRef>
              <c:f>'Desenho (dados)'!$E$239:$E$537</c:f>
            </c:numRef>
          </c:yVal>
          <c:smooth val="0"/>
        </c:ser>
        <c:ser>
          <c:idx val="9"/>
          <c:order val="9"/>
          <c:tx>
            <c:v>T2</c:v>
          </c:tx>
          <c:spPr>
            <a:ln w="6350" cap="flat">
              <a:solidFill>
                <a:srgbClr val="C00000"/>
              </a:solidFill>
              <a:round/>
            </a:ln>
          </c:spPr>
          <c:marker>
            <c:symbol val="none"/>
          </c:marker>
          <c:xVal>
            <c:numRef>
              <c:f>'Desenho (dados)'!$D$540:$D$838</c:f>
            </c:numRef>
          </c:xVal>
          <c:yVal>
            <c:numRef>
              <c:f>'Desenho (dados)'!$E$540:$E$838</c:f>
            </c:numRef>
          </c:yVal>
          <c:smooth val="0"/>
        </c:ser>
        <c:ser>
          <c:idx val="10"/>
          <c:order val="10"/>
          <c:tx>
            <c:v>T3</c:v>
          </c:tx>
          <c:spPr>
            <a:ln w="6350" cap="flat">
              <a:solidFill>
                <a:srgbClr val="C00000"/>
              </a:solidFill>
              <a:round/>
            </a:ln>
          </c:spPr>
          <c:marker>
            <c:symbol val="none"/>
          </c:marker>
          <c:xVal>
            <c:numRef>
              <c:f>'Desenho (dados)'!$D$841:$D$1199</c:f>
            </c:numRef>
          </c:xVal>
          <c:yVal>
            <c:numRef>
              <c:f>'Desenho (dados)'!$E$841:$E$1199</c:f>
            </c:numRef>
          </c:yVal>
          <c:smooth val="0"/>
        </c:ser>
        <c:ser>
          <c:idx val="11"/>
          <c:order val="11"/>
          <c:tx>
            <c:v>Grampos tirante</c:v>
          </c:tx>
          <c:spPr>
            <a:ln w="19050" cap="flat">
              <a:solidFill>
                <a:srgbClr val="0070C0"/>
              </a:solidFill>
              <a:round/>
            </a:ln>
          </c:spPr>
          <c:marker>
            <c:symbol val="none"/>
          </c:marker>
          <c:xVal>
            <c:numRef>
              <c:f>'Desenho (dados)'!$D$1202:$D$1206</c:f>
            </c:numRef>
          </c:xVal>
          <c:yVal>
            <c:numRef>
              <c:f>'Desenho (dados)'!$E$1202:$E$1206</c:f>
            </c:numRef>
          </c:yVal>
          <c:smooth val="0"/>
        </c:ser>
        <c:ser>
          <c:idx val="12"/>
          <c:order val="12"/>
          <c:tx>
            <c:v>Grampos anc.</c:v>
          </c:tx>
          <c:spPr>
            <a:ln w="19050" cap="flat">
              <a:solidFill>
                <a:srgbClr val="00B0F0"/>
              </a:solidFill>
              <a:round/>
            </a:ln>
          </c:spPr>
          <c:marker>
            <c:symbol val="none"/>
          </c:marker>
          <c:xVal>
            <c:numRef>
              <c:f>'Desenho (dados)'!$D$1209:$D$1213</c:f>
            </c:numRef>
          </c:xVal>
          <c:yVal>
            <c:numRef>
              <c:f>'Desenho (dados)'!$E$1209:$E$1213</c:f>
            </c:numRef>
          </c:yVal>
          <c:smooth val="0"/>
        </c:ser>
        <c:ser>
          <c:idx val="13"/>
          <c:order val="13"/>
          <c:tx>
            <c:v>Costura</c:v>
          </c:tx>
          <c:spPr>
            <a:ln w="9525" cap="flat">
              <a:solidFill>
                <a:srgbClr val="7030A0"/>
              </a:solidFill>
              <a:round/>
            </a:ln>
          </c:spPr>
          <c:marker>
            <c:symbol val="none"/>
          </c:marker>
          <c:xVal>
            <c:numRef>
              <c:f>'Desenho (dados)'!$D$1216:$D$1250</c:f>
            </c:numRef>
          </c:xVal>
          <c:yVal>
            <c:numRef>
              <c:f>'Desenho (dados)'!$E$1216:$E$1250</c:f>
            </c:numRef>
          </c:yVal>
          <c:smooth val="0"/>
        </c:ser>
        <c:ser>
          <c:idx val="14"/>
          <c:order val="14"/>
          <c:tx>
            <c:v>Suspensão</c:v>
          </c:tx>
          <c:spPr>
            <a:ln w="12700" cap="flat">
              <a:solidFill>
                <a:srgbClr val="0000FF"/>
              </a:solidFill>
              <a:round/>
            </a:ln>
          </c:spPr>
          <c:marker>
            <c:symbol val="none"/>
          </c:marker>
          <c:xVal>
            <c:numRef>
              <c:f>'Desenho (dados)'!$D$1253:$D$1347</c:f>
            </c:numRef>
          </c:xVal>
          <c:yVal>
            <c:numRef>
              <c:f>'Desenho (dados)'!$E$1253:$E$1347</c:f>
            </c:numRef>
          </c:yVal>
          <c:smooth val="0"/>
        </c:ser>
        <c:ser>
          <c:idx val="15"/>
          <c:order val="15"/>
          <c:tx>
            <c:v>Tirante dente</c:v>
          </c:tx>
          <c:spPr>
            <a:ln w="19050" cap="flat">
              <a:solidFill>
                <a:srgbClr val="FF0000"/>
              </a:solidFill>
              <a:round/>
            </a:ln>
          </c:spPr>
          <c:marker>
            <c:symbol val="none"/>
          </c:marker>
          <c:xVal>
            <c:numRef>
              <c:f>'Desenho (dados)'!$D$1350:$D$1354</c:f>
            </c:numRef>
          </c:xVal>
          <c:yVal>
            <c:numRef>
              <c:f>'Desenho (dados)'!$E$1350:$E$1354</c:f>
            </c:numRef>
          </c:yVal>
          <c:smooth val="0"/>
        </c:ser>
        <c:ser>
          <c:idx val="16"/>
          <c:order val="16"/>
          <c:tx>
            <c:v>Costura dente</c:v>
          </c:tx>
          <c:spPr>
            <a:ln w="9525" cap="flat">
              <a:solidFill>
                <a:srgbClr val="7030A0"/>
              </a:solidFill>
              <a:round/>
            </a:ln>
          </c:spPr>
          <c:marker>
            <c:symbol val="none"/>
          </c:marker>
          <c:xVal>
            <c:numRef>
              <c:f>'Desenho (dados)'!$D$1374:$D$1420</c:f>
            </c:numRef>
          </c:xVal>
          <c:yVal>
            <c:numRef>
              <c:f>'Desenho (dados)'!$E$1374:$E$1420</c:f>
            </c:numRef>
          </c:yVal>
          <c:smooth val="0"/>
        </c:ser>
        <c:ser>
          <c:idx val="17"/>
          <c:order val="17"/>
          <c:tx>
            <c:v>Laços</c:v>
          </c:tx>
          <c:spPr>
            <a:ln w="12700" cap="flat">
              <a:solidFill>
                <a:srgbClr val="ED7D31"/>
              </a:solidFill>
              <a:round/>
            </a:ln>
          </c:spPr>
          <c:marker>
            <c:symbol val="none"/>
          </c:marker>
          <c:xVal>
            <c:numRef>
              <c:f>'Desenho (dados)'!$D$1423:$D$1451</c:f>
            </c:numRef>
          </c:xVal>
          <c:yVal>
            <c:numRef>
              <c:f>'Desenho (dados)'!$E$1423:$E$1451</c:f>
            </c:numRef>
          </c:yVal>
          <c:smooth val="0"/>
        </c:ser>
        <c:ser>
          <c:idx val="18"/>
          <c:order val="18"/>
          <c:tx>
            <c:v>cota</c:v>
          </c:tx>
          <c:spPr>
            <a:ln w="6350" cap="flat">
              <a:solidFill>
                <a:srgbClr val="000000"/>
              </a:solidFill>
              <a:round/>
            </a:ln>
          </c:spPr>
          <c:marker>
            <c:symbol val="none"/>
          </c:marker>
          <c:xVal>
            <c:numRef>
              <c:f>'Desenho (dados)'!$D$1464:$D$1471</c:f>
            </c:numRef>
          </c:xVal>
          <c:yVal>
            <c:numRef>
              <c:f>'Desenho (dados)'!$E$1464:$E$1471</c:f>
            </c:numRef>
          </c:yVal>
          <c:smooth val="0"/>
        </c:ser>
        <c:ser>
          <c:idx val="19"/>
          <c:order val="19"/>
          <c:tx>
            <c:v>cota</c:v>
          </c:tx>
          <c:spPr>
            <a:ln w="6350" cap="flat">
              <a:solidFill>
                <a:srgbClr val="000000"/>
              </a:solidFill>
              <a:round/>
            </a:ln>
          </c:spPr>
          <c:marker>
            <c:symbol val="none"/>
          </c:marker>
          <c:xVal>
            <c:numRef>
              <c:f>'Desenho (dados)'!$D$1474:$D$1481</c:f>
            </c:numRef>
          </c:xVal>
          <c:yVal>
            <c:numRef>
              <c:f>'Desenho (dados)'!$E$1474:$E$1481</c:f>
            </c:numRef>
          </c:yVal>
          <c:smooth val="0"/>
        </c:ser>
        <c:ser>
          <c:idx val="20"/>
          <c:order val="20"/>
          <c:tx>
            <c:v>cota</c:v>
          </c:tx>
          <c:spPr>
            <a:ln w="6350" cap="flat">
              <a:solidFill>
                <a:srgbClr val="000000"/>
              </a:solidFill>
              <a:round/>
            </a:ln>
          </c:spPr>
          <c:marker>
            <c:symbol val="none"/>
          </c:marker>
          <c:xVal>
            <c:numRef>
              <c:f>'Desenho (dados)'!$D$1484:$D$1503</c:f>
            </c:numRef>
          </c:xVal>
          <c:yVal>
            <c:numRef>
              <c:f>'Desenho (dados)'!$E$1484:$E$1503</c:f>
            </c:numRef>
          </c:yVal>
          <c:smooth val="0"/>
        </c:ser>
        <c:ser>
          <c:idx val="21"/>
          <c:order val="21"/>
          <c:tx>
            <c:v>cota</c:v>
          </c:tx>
          <c:spPr>
            <a:ln w="6350" cap="flat">
              <a:solidFill>
                <a:srgbClr val="000000"/>
              </a:solidFill>
              <a:round/>
            </a:ln>
          </c:spPr>
          <c:marker>
            <c:symbol val="none"/>
          </c:marker>
          <c:xVal>
            <c:numRef>
              <c:f>'Desenho (dados)'!$D$1506:$D$1513</c:f>
            </c:numRef>
          </c:xVal>
          <c:yVal>
            <c:numRef>
              <c:f>'Desenho (dados)'!$E$1506:$E$1513</c:f>
            </c:numRef>
          </c:yVal>
          <c:smooth val="0"/>
        </c:ser>
        <c:ser>
          <c:idx val="22"/>
          <c:order val="22"/>
          <c:tx>
            <c:v>corte</c:v>
          </c:tx>
          <c:spPr>
            <a:ln w="19050" cap="flat">
              <a:solidFill>
                <a:srgbClr val="000000"/>
              </a:solidFill>
              <a:round/>
            </a:ln>
          </c:spPr>
          <c:marker>
            <c:symbol val="none"/>
          </c:marker>
          <c:xVal>
            <c:numRef>
              <c:f>'Desenho (dados)'!$D$1516:$D$1520</c:f>
            </c:numRef>
          </c:xVal>
          <c:yVal>
            <c:numRef>
              <c:f>'Desenho (dados)'!$E$1516:$E$1520</c:f>
            </c:numRef>
          </c:yVal>
          <c:smooth val="0"/>
        </c:ser>
        <c:ser>
          <c:idx val="23"/>
          <c:order val="23"/>
          <c:tx>
            <c:strRef>
              <c:f>'Desenho (dados)'!$A$1539</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t"/>
            <c:showLegendKey val="0"/>
            <c:showVal val="0"/>
            <c:showCatName val="0"/>
            <c:showSerName val="1"/>
            <c:showPercent val="0"/>
            <c:showBubbleSize val="0"/>
          </c:dLbls>
          <c:xVal>
            <c:numRef>
              <c:f>'Desenho (dados)'!$D$1539:$D$1539</c:f>
            </c:numRef>
          </c:xVal>
          <c:yVal>
            <c:numRef>
              <c:f>'Desenho (dados)'!$E$1539:$E$1539</c:f>
            </c:numRef>
          </c:yVal>
          <c:smooth val="0"/>
        </c:ser>
        <c:ser>
          <c:idx val="24"/>
          <c:order val="24"/>
          <c:tx>
            <c:strRef>
              <c:f>'Desenho (dados)'!$A$1541</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t"/>
            <c:showLegendKey val="0"/>
            <c:showVal val="0"/>
            <c:showCatName val="0"/>
            <c:showSerName val="1"/>
            <c:showPercent val="0"/>
            <c:showBubbleSize val="0"/>
          </c:dLbls>
          <c:xVal>
            <c:numRef>
              <c:f>'Desenho (dados)'!$D$1541:$D$1541</c:f>
            </c:numRef>
          </c:xVal>
          <c:yVal>
            <c:numRef>
              <c:f>'Desenho (dados)'!$E$1541:$E$1541</c:f>
            </c:numRef>
          </c:yVal>
          <c:smooth val="0"/>
        </c:ser>
        <c:ser>
          <c:idx val="25"/>
          <c:order val="25"/>
          <c:tx>
            <c:strRef>
              <c:f>'Desenho (dados)'!$A$1543</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t"/>
            <c:showLegendKey val="0"/>
            <c:showVal val="0"/>
            <c:showCatName val="0"/>
            <c:showSerName val="1"/>
            <c:showPercent val="0"/>
            <c:showBubbleSize val="0"/>
          </c:dLbls>
          <c:xVal>
            <c:numRef>
              <c:f>'Desenho (dados)'!$D$1543:$D$1543</c:f>
            </c:numRef>
          </c:xVal>
          <c:yVal>
            <c:numRef>
              <c:f>'Desenho (dados)'!$E$1543:$E$1543</c:f>
            </c:numRef>
          </c:yVal>
          <c:smooth val="0"/>
        </c:ser>
        <c:ser>
          <c:idx val="26"/>
          <c:order val="26"/>
          <c:tx>
            <c:strRef>
              <c:f>'Desenho (dados)'!$A$1545</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t"/>
            <c:showLegendKey val="0"/>
            <c:showVal val="0"/>
            <c:showCatName val="0"/>
            <c:showSerName val="1"/>
            <c:showPercent val="0"/>
            <c:showBubbleSize val="0"/>
          </c:dLbls>
          <c:xVal>
            <c:numRef>
              <c:f>'Desenho (dados)'!$D$1545:$D$1545</c:f>
            </c:numRef>
          </c:xVal>
          <c:yVal>
            <c:numRef>
              <c:f>'Desenho (dados)'!$E$1545:$E$1545</c:f>
            </c:numRef>
          </c:yVal>
          <c:smooth val="0"/>
        </c:ser>
        <c:ser>
          <c:idx val="27"/>
          <c:order val="27"/>
          <c:tx>
            <c:strRef>
              <c:f>'Desenho (dados)'!$A$1547</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t"/>
            <c:showLegendKey val="0"/>
            <c:showVal val="0"/>
            <c:showCatName val="0"/>
            <c:showSerName val="1"/>
            <c:showPercent val="0"/>
            <c:showBubbleSize val="0"/>
          </c:dLbls>
          <c:xVal>
            <c:numRef>
              <c:f>'Desenho (dados)'!$D$1547:$D$1547</c:f>
            </c:numRef>
          </c:xVal>
          <c:yVal>
            <c:numRef>
              <c:f>'Desenho (dados)'!$E$1547:$E$1547</c:f>
            </c:numRef>
          </c:yVal>
          <c:smooth val="0"/>
        </c:ser>
        <c:ser>
          <c:idx val="28"/>
          <c:order val="28"/>
          <c:tx>
            <c:strRef>
              <c:f>'Desenho (dados)'!$A$1549</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t"/>
            <c:showLegendKey val="0"/>
            <c:showVal val="0"/>
            <c:showCatName val="0"/>
            <c:showSerName val="1"/>
            <c:showPercent val="0"/>
            <c:showBubbleSize val="0"/>
          </c:dLbls>
          <c:xVal>
            <c:numRef>
              <c:f>'Desenho (dados)'!$D$1549:$D$1549</c:f>
            </c:numRef>
          </c:xVal>
          <c:yVal>
            <c:numRef>
              <c:f>'Desenho (dados)'!$E$1549:$E$1549</c:f>
            </c:numRef>
          </c:yVal>
          <c:smooth val="0"/>
        </c:ser>
        <c:ser>
          <c:idx val="29"/>
          <c:order val="29"/>
          <c:tx>
            <c:strRef>
              <c:f>'Desenho (dados)'!$A$1551</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t"/>
            <c:showLegendKey val="0"/>
            <c:showVal val="0"/>
            <c:showCatName val="0"/>
            <c:showSerName val="1"/>
            <c:showPercent val="0"/>
            <c:showBubbleSize val="0"/>
          </c:dLbls>
          <c:xVal>
            <c:numRef>
              <c:f>'Desenho (dados)'!$D$1551:$D$1551</c:f>
            </c:numRef>
          </c:xVal>
          <c:yVal>
            <c:numRef>
              <c:f>'Desenho (dados)'!$E$1551:$E$1551</c:f>
            </c:numRef>
          </c:yVal>
          <c:smooth val="0"/>
        </c:ser>
        <c:ser>
          <c:idx val="30"/>
          <c:order val="30"/>
          <c:tx>
            <c:strRef>
              <c:f>'Desenho (dados)'!$A$1553</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r"/>
            <c:showLegendKey val="0"/>
            <c:showVal val="0"/>
            <c:showCatName val="0"/>
            <c:showSerName val="1"/>
            <c:showPercent val="0"/>
            <c:showBubbleSize val="0"/>
          </c:dLbls>
          <c:xVal>
            <c:numRef>
              <c:f>'Desenho (dados)'!$D$1553:$D$1553</c:f>
            </c:numRef>
          </c:xVal>
          <c:yVal>
            <c:numRef>
              <c:f>'Desenho (dados)'!$E$1553:$E$1553</c:f>
            </c:numRef>
          </c:yVal>
          <c:smooth val="0"/>
        </c:ser>
        <c:ser>
          <c:idx val="31"/>
          <c:order val="31"/>
          <c:tx>
            <c:strRef>
              <c:f>'Desenho (dados)'!$A$1555</c:f>
            </c:strRef>
          </c:tx>
          <c:spPr>
            <a:ln>
              <a:noFill/>
            </a:ln>
          </c:spPr>
          <c:marker>
            <c:symbol val="none"/>
          </c:marker>
          <c:dLbls>
            <c:spPr>
              <a:noFill/>
              <a:ln>
                <a:noFill/>
              </a:ln>
            </c:spPr>
            <c:txPr>
              <a:bodyPr rot="0" spcFirstLastPara="1" vertOverflow="overflow" horzOverflow="overflow" vert="horz" wrap="none" anchor="ctr" anchorCtr="1"/>
              <a:lstStyle/>
              <a:p>
                <a:pPr>
                  <a:defRPr sz="700" b="1" i="0">
                    <a:solidFill>
                      <a:srgbClr val="000000"/>
                    </a:solidFill>
                    <a:latin typeface="Arial"/>
                    <a:cs typeface="Arial"/>
                  </a:defRPr>
                </a:pPr>
                <a:endParaRPr lang="pt-BR"/>
              </a:p>
            </c:txPr>
            <c:dLblPos val="r"/>
            <c:showLegendKey val="0"/>
            <c:showVal val="0"/>
            <c:showCatName val="0"/>
            <c:showSerName val="1"/>
            <c:showPercent val="0"/>
            <c:showBubbleSize val="0"/>
          </c:dLbls>
          <c:xVal>
            <c:numRef>
              <c:f>'Desenho (dados)'!$D$1555:$D$1555</c:f>
            </c:numRef>
          </c:xVal>
          <c:yVal>
            <c:numRef>
              <c:f>'Desenho (dados)'!$E$1555:$E$1555</c:f>
            </c:numRef>
          </c:yVal>
          <c:smooth val="0"/>
        </c:ser>
        <c:ser>
          <c:idx val="32"/>
          <c:order val="32"/>
          <c:tx>
            <c:strRef>
              <c:f>'Desenho (dados)'!$A$1557</c:f>
            </c:strRef>
          </c:tx>
          <c:spPr>
            <a:ln>
              <a:noFill/>
            </a:ln>
          </c:spPr>
          <c:marker>
            <c:symbol val="none"/>
          </c:marker>
          <c:dLbls>
            <c:spPr>
              <a:noFill/>
              <a:ln>
                <a:noFill/>
              </a:ln>
            </c:spPr>
            <c:txPr>
              <a:bodyPr rot="0" spcFirstLastPara="1" vertOverflow="overflow" horzOverflow="overflow" vert="horz" wrap="none" anchor="ctr" anchorCtr="1"/>
              <a:lstStyle/>
              <a:p>
                <a:pPr>
                  <a:defRPr sz="700" b="1" i="0">
                    <a:solidFill>
                      <a:srgbClr val="000000"/>
                    </a:solidFill>
                    <a:latin typeface="Arial"/>
                    <a:cs typeface="Arial"/>
                  </a:defRPr>
                </a:pPr>
                <a:endParaRPr lang="pt-BR"/>
              </a:p>
            </c:txPr>
            <c:dLblPos val="r"/>
            <c:showLegendKey val="0"/>
            <c:showVal val="0"/>
            <c:showCatName val="0"/>
            <c:showSerName val="1"/>
            <c:showPercent val="0"/>
            <c:showBubbleSize val="0"/>
          </c:dLbls>
          <c:xVal>
            <c:numRef>
              <c:f>'Desenho (dados)'!$D$1557:$D$1557</c:f>
            </c:numRef>
          </c:xVal>
          <c:yVal>
            <c:numRef>
              <c:f>'Desenho (dados)'!$E$1557:$E$1557</c:f>
            </c:numRef>
          </c:yVal>
          <c:smooth val="0"/>
        </c:ser>
        <c:ser>
          <c:idx val="33"/>
          <c:order val="33"/>
          <c:tx>
            <c:strRef>
              <c:f>'Desenho (dados)'!$A$1559</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1F4E79"/>
                    </a:solidFill>
                    <a:latin typeface="Arial"/>
                    <a:cs typeface="Arial"/>
                  </a:defRPr>
                </a:pPr>
                <a:endParaRPr lang="pt-BR"/>
              </a:p>
            </c:txPr>
            <c:dLblPos val="t"/>
            <c:showLegendKey val="0"/>
            <c:showVal val="0"/>
            <c:showCatName val="0"/>
            <c:showSerName val="1"/>
            <c:showPercent val="0"/>
            <c:showBubbleSize val="0"/>
          </c:dLbls>
          <c:xVal>
            <c:numRef>
              <c:f>'Desenho (dados)'!$D$1559:$D$1559</c:f>
            </c:numRef>
          </c:xVal>
          <c:yVal>
            <c:numRef>
              <c:f>'Desenho (dados)'!$E$1559:$E$1559</c:f>
            </c:numRef>
          </c:yVal>
          <c:smooth val="0"/>
        </c:ser>
        <c:ser>
          <c:idx val="34"/>
          <c:order val="34"/>
          <c:tx>
            <c:strRef>
              <c:f>'Desenho (dados)'!$A$1561</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1F4E79"/>
                    </a:solidFill>
                    <a:latin typeface="Arial"/>
                    <a:cs typeface="Arial"/>
                  </a:defRPr>
                </a:pPr>
                <a:endParaRPr lang="pt-BR"/>
              </a:p>
            </c:txPr>
            <c:dLblPos val="b"/>
            <c:showLegendKey val="0"/>
            <c:showVal val="0"/>
            <c:showCatName val="0"/>
            <c:showSerName val="1"/>
            <c:showPercent val="0"/>
            <c:showBubbleSize val="0"/>
          </c:dLbls>
          <c:xVal>
            <c:numRef>
              <c:f>'Desenho (dados)'!$D$1561:$D$1561</c:f>
            </c:numRef>
          </c:xVal>
          <c:yVal>
            <c:numRef>
              <c:f>'Desenho (dados)'!$E$1561:$E$1561</c:f>
            </c:numRef>
          </c:yVal>
          <c:smooth val="0"/>
        </c:ser>
        <c:ser>
          <c:idx val="35"/>
          <c:order val="35"/>
          <c:tx>
            <c:strRef>
              <c:f>'Desenho (dados)'!$A$1563</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A650"/>
                    </a:solidFill>
                    <a:latin typeface="Arial"/>
                    <a:cs typeface="Arial"/>
                  </a:defRPr>
                </a:pPr>
                <a:endParaRPr lang="pt-BR"/>
              </a:p>
            </c:txPr>
            <c:dLblPos val="t"/>
            <c:showLegendKey val="0"/>
            <c:showVal val="0"/>
            <c:showCatName val="0"/>
            <c:showSerName val="1"/>
            <c:showPercent val="0"/>
            <c:showBubbleSize val="0"/>
          </c:dLbls>
          <c:xVal>
            <c:numRef>
              <c:f>'Desenho (dados)'!$D$1563:$D$1563</c:f>
            </c:numRef>
          </c:xVal>
          <c:yVal>
            <c:numRef>
              <c:f>'Desenho (dados)'!$E$1563:$E$1563</c:f>
            </c:numRef>
          </c:yVal>
          <c:smooth val="0"/>
        </c:ser>
        <c:axId val="500000001"/>
        <c:axId val="500000002"/>
      </c:scatterChart>
      <c:valAx>
        <c:axId val="500000001"/>
        <c:scaling>
          <c:orientation val="minMax"/>
          <c:max val="1000.0"/>
          <c:min val="0"/>
        </c:scaling>
        <c:delete val="1"/>
        <c:axPos val="b"/>
        <c:numFmt formatCode="General" sourceLinked="0"/>
        <c:majorTickMark val="out"/>
        <c:minorTickMark val="none"/>
        <c:tickLblPos val="low"/>
        <c:spPr>
          <a:ln w="6350">
            <a:solidFill>
              <a:srgbClr val="808080"/>
            </a:solidFill>
          </a:ln>
        </c:spPr>
        <c:txPr>
          <a:bodyPr rot="0" spcFirstLastPara="1" vertOverflow="overflow" horzOverflow="overflow" vert="horz" wrap="none" anchor="ctr" anchorCtr="1"/>
          <a:lstStyle/>
          <a:p>
            <a:pPr>
              <a:defRPr sz="700" b="0" i="0">
                <a:solidFill>
                  <a:srgbClr val="404040"/>
                </a:solidFill>
                <a:latin typeface="Arial"/>
                <a:cs typeface="Arial"/>
              </a:defRPr>
            </a:pPr>
            <a:endParaRPr lang="pt-BR"/>
          </a:p>
        </c:txPr>
        <c:crossAx val="500000002"/>
        <c:crosses val="autoZero"/>
        <c:crossBetween val="midCat"/>
      </c:valAx>
      <c:valAx>
        <c:axId val="500000002"/>
        <c:scaling>
          <c:orientation val="minMax"/>
          <c:max val="210.432"/>
          <c:min val="0"/>
        </c:scaling>
        <c:delete val="1"/>
        <c:axPos val="l"/>
        <c:numFmt formatCode="General" sourceLinked="0"/>
        <c:majorTickMark val="out"/>
        <c:minorTickMark val="none"/>
        <c:tickLblPos val="low"/>
        <c:spPr>
          <a:ln w="6350">
            <a:solidFill>
              <a:srgbClr val="808080"/>
            </a:solidFill>
          </a:ln>
        </c:spPr>
        <c:txPr>
          <a:bodyPr rot="0" spcFirstLastPara="1" vertOverflow="overflow" horzOverflow="overflow" vert="horz" wrap="none" anchor="ctr" anchorCtr="1"/>
          <a:lstStyle/>
          <a:p>
            <a:pPr>
              <a:defRPr sz="700" b="0" i="0">
                <a:solidFill>
                  <a:srgbClr val="404040"/>
                </a:solidFill>
                <a:latin typeface="Arial"/>
                <a:cs typeface="Arial"/>
              </a:defRPr>
            </a:pPr>
            <a:endParaRPr lang="pt-BR"/>
          </a:p>
        </c:txPr>
        <c:crossAx val="500000001"/>
        <c:crosses val="autoZero"/>
        <c:crossBetween val="midCat"/>
      </c:valAx>
      <c:spPr>
        <a:noFill/>
        <a:ln>
          <a:noFill/>
        </a:ln>
      </c:spPr>
    </c:plotArea>
    <c:plotVisOnly val="1"/>
    <c:dispBlanksAs val="gap"/>
  </c:chart>
  <c:spPr>
    <a:solidFill>
      <a:srgbClr val="FFFFFF"/>
    </a:solidFill>
    <a:ln>
      <a:noFill/>
    </a:ln>
  </c:spPr>
  <c:txPr>
    <a:bodyPr rot="0" spcFirstLastPara="1" vertOverflow="overflow" horzOverflow="overflow" vert="horz" wrap="none" anchor="ctr" anchorCtr="1"/>
    <a:lstStyle/>
    <a:p>
      <a:pPr>
        <a:defRPr sz="800" b="0" i="0">
          <a:solidFill>
            <a:srgbClr val="000000"/>
          </a:solidFill>
          <a:latin typeface="Arial"/>
          <a:cs typeface="Arial"/>
        </a:defRPr>
      </a:pPr>
      <a:endParaRPr lang="pt-B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c:date1904 val="0"/>
  <c:lang val="pt-BR"/>
  <c:roundedCorners val="0"/>
  <c:chart>
    <c:autoTitleDeleted val="1"/>
    <c:plotArea>
      <c:layout>
        <c:manualLayout>
          <c:layoutTarget val="inner"/>
          <c:xMode val="edge"/>
          <c:yMode val="edge"/>
          <c:x val="0.0"/>
          <c:y val="0.0"/>
          <c:w val="1.0"/>
          <c:h val="1.0"/>
        </c:manualLayout>
      </c:layout>
      <c:scatterChart>
        <c:scatterStyle val="lineMarker"/>
        <c:varyColors val="0"/>
        <c:ser>
          <c:idx val="0"/>
          <c:order val="0"/>
          <c:tx>
            <c:v>Laje + capa</c:v>
          </c:tx>
          <c:spPr>
            <a:ln w="7620" cap="flat">
              <a:solidFill>
                <a:srgbClr val="808080"/>
              </a:solidFill>
              <a:prstDash val="dash"/>
              <a:round/>
            </a:ln>
          </c:spPr>
          <c:marker>
            <c:symbol val="none"/>
          </c:marker>
          <c:xVal>
            <c:numRef>
              <c:f>'Desenho (dados)'!$F$80:$F$83</c:f>
            </c:numRef>
          </c:xVal>
          <c:yVal>
            <c:numRef>
              <c:f>'Desenho (dados)'!$G$80:$G$83</c:f>
            </c:numRef>
          </c:yVal>
          <c:smooth val="0"/>
        </c:ser>
        <c:ser>
          <c:idx val="1"/>
          <c:order val="1"/>
          <c:tx>
            <c:v>Apoio</c:v>
          </c:tx>
          <c:spPr>
            <a:ln w="13334" cap="flat">
              <a:solidFill>
                <a:srgbClr val="A6A6A6"/>
              </a:solidFill>
              <a:round/>
            </a:ln>
          </c:spPr>
          <c:marker>
            <c:symbol val="none"/>
          </c:marker>
          <c:xVal>
            <c:numRef>
              <c:f>'Desenho (dados)'!$F$112:$F$115</c:f>
            </c:numRef>
          </c:xVal>
          <c:yVal>
            <c:numRef>
              <c:f>'Desenho (dados)'!$G$112:$G$115</c:f>
            </c:numRef>
          </c:yVal>
          <c:smooth val="0"/>
        </c:ser>
        <c:ser>
          <c:idx val="2"/>
          <c:order val="2"/>
          <c:tx>
            <c:v>Eixo</c:v>
          </c:tx>
          <c:spPr>
            <a:ln w="6350" cap="flat">
              <a:solidFill>
                <a:srgbClr val="808080"/>
              </a:solidFill>
              <a:prstDash val="dashDot"/>
              <a:round/>
            </a:ln>
          </c:spPr>
          <c:marker>
            <c:symbol val="none"/>
          </c:marker>
          <c:xVal>
            <c:numRef>
              <c:f>'Desenho (dados)'!$F$92:$F$93</c:f>
            </c:numRef>
          </c:xVal>
          <c:yVal>
            <c:numRef>
              <c:f>'Desenho (dados)'!$G$92:$G$93</c:f>
            </c:numRef>
          </c:yVal>
          <c:smooth val="0"/>
        </c:ser>
        <c:ser>
          <c:idx val="3"/>
          <c:order val="3"/>
          <c:tx>
            <c:v>Viga</c:v>
          </c:tx>
          <c:spPr>
            <a:ln w="22225" cap="flat">
              <a:solidFill>
                <a:srgbClr val="000000"/>
              </a:solidFill>
              <a:round/>
            </a:ln>
          </c:spPr>
          <c:marker>
            <c:symbol val="none"/>
          </c:marker>
          <c:xVal>
            <c:numRef>
              <c:f>'Desenho (dados)'!$F$60:$F$68</c:f>
            </c:numRef>
          </c:xVal>
          <c:yVal>
            <c:numRef>
              <c:f>'Desenho (dados)'!$G$60:$G$68</c:f>
            </c:numRef>
          </c:yVal>
          <c:smooth val="0"/>
        </c:ser>
        <c:ser>
          <c:idx val="4"/>
          <c:order val="4"/>
          <c:tx>
            <c:v>Aparelho</c:v>
          </c:tx>
          <c:spPr>
            <a:ln w="26669" cap="flat">
              <a:solidFill>
                <a:srgbClr val="404040"/>
              </a:solidFill>
              <a:round/>
            </a:ln>
          </c:spPr>
          <c:marker>
            <c:symbol val="none"/>
          </c:marker>
          <c:xVal>
            <c:numRef>
              <c:f>'Desenho (dados)'!$F$99:$F$103</c:f>
            </c:numRef>
          </c:xVal>
          <c:yVal>
            <c:numRef>
              <c:f>'Desenho (dados)'!$G$99:$G$103</c:f>
            </c:numRef>
          </c:yVal>
          <c:smooth val="0"/>
        </c:ser>
        <c:ser>
          <c:idx val="5"/>
          <c:order val="5"/>
          <c:tx>
            <c:v>Cordoalhas</c:v>
          </c:tx>
          <c:spPr>
            <a:ln w="17780" cap="flat">
              <a:solidFill>
                <a:srgbClr val="00A650"/>
              </a:solidFill>
              <a:prstDash val="dash"/>
              <a:round/>
            </a:ln>
          </c:spPr>
          <c:marker>
            <c:symbol val="none"/>
          </c:marker>
          <c:xVal>
            <c:numRef>
              <c:f>'Desenho (dados)'!$F$123:$F$145</c:f>
            </c:numRef>
          </c:xVal>
          <c:yVal>
            <c:numRef>
              <c:f>'Desenho (dados)'!$G$123:$G$145</c:f>
            </c:numRef>
          </c:yVal>
          <c:smooth val="0"/>
        </c:ser>
        <c:ser>
          <c:idx val="6"/>
          <c:order val="6"/>
          <c:tx>
            <c:v>As inf</c:v>
          </c:tx>
          <c:spPr>
            <a:ln w="22225" cap="flat">
              <a:solidFill>
                <a:srgbClr val="1F4E79"/>
              </a:solidFill>
              <a:round/>
            </a:ln>
          </c:spPr>
          <c:marker>
            <c:symbol val="none"/>
          </c:marker>
          <c:xVal>
            <c:numRef>
              <c:f>'Desenho (dados)'!$F$223:$F$224</c:f>
            </c:numRef>
          </c:xVal>
          <c:yVal>
            <c:numRef>
              <c:f>'Desenho (dados)'!$G$223:$G$224</c:f>
            </c:numRef>
          </c:yVal>
          <c:smooth val="0"/>
        </c:ser>
        <c:ser>
          <c:idx val="7"/>
          <c:order val="7"/>
          <c:tx>
            <c:v>As' sup</c:v>
          </c:tx>
          <c:spPr>
            <a:ln w="17780" cap="flat">
              <a:solidFill>
                <a:srgbClr val="1F4E79"/>
              </a:solidFill>
              <a:round/>
            </a:ln>
          </c:spPr>
          <c:marker>
            <c:symbol val="none"/>
          </c:marker>
          <c:xVal>
            <c:numRef>
              <c:f>'Desenho (dados)'!$F$227:$F$228</c:f>
            </c:numRef>
          </c:xVal>
          <c:yVal>
            <c:numRef>
              <c:f>'Desenho (dados)'!$G$227:$G$228</c:f>
            </c:numRef>
          </c:yVal>
          <c:smooth val="0"/>
        </c:ser>
        <c:ser>
          <c:idx val="8"/>
          <c:order val="8"/>
          <c:tx>
            <c:v>T1</c:v>
          </c:tx>
          <c:spPr>
            <a:ln w="8890" cap="flat">
              <a:solidFill>
                <a:srgbClr val="C00000"/>
              </a:solidFill>
              <a:round/>
            </a:ln>
          </c:spPr>
          <c:marker>
            <c:symbol val="none"/>
          </c:marker>
          <c:xVal>
            <c:numRef>
              <c:f>'Desenho (dados)'!$F$239:$F$387</c:f>
            </c:numRef>
          </c:xVal>
          <c:yVal>
            <c:numRef>
              <c:f>'Desenho (dados)'!$G$239:$G$387</c:f>
            </c:numRef>
          </c:yVal>
          <c:smooth val="0"/>
        </c:ser>
        <c:ser>
          <c:idx val="9"/>
          <c:order val="9"/>
          <c:tx>
            <c:v>T2</c:v>
          </c:tx>
          <c:spPr>
            <a:ln w="8890" cap="flat">
              <a:solidFill>
                <a:srgbClr val="C00000"/>
              </a:solidFill>
              <a:round/>
            </a:ln>
          </c:spPr>
          <c:marker>
            <c:symbol val="none"/>
          </c:marker>
          <c:xVal>
            <c:numRef>
              <c:f>'Desenho (dados)'!$F$540:$F$688</c:f>
            </c:numRef>
          </c:xVal>
          <c:yVal>
            <c:numRef>
              <c:f>'Desenho (dados)'!$G$540:$G$688</c:f>
            </c:numRef>
          </c:yVal>
          <c:smooth val="0"/>
        </c:ser>
        <c:ser>
          <c:idx val="10"/>
          <c:order val="10"/>
          <c:tx>
            <c:v>T3</c:v>
          </c:tx>
          <c:spPr>
            <a:ln w="8890" cap="flat">
              <a:solidFill>
                <a:srgbClr val="C00000"/>
              </a:solidFill>
              <a:round/>
            </a:ln>
          </c:spPr>
          <c:marker>
            <c:symbol val="none"/>
          </c:marker>
          <c:xVal>
            <c:numRef>
              <c:f>'Desenho (dados)'!$F$841:$F$1019</c:f>
            </c:numRef>
          </c:xVal>
          <c:yVal>
            <c:numRef>
              <c:f>'Desenho (dados)'!$G$841:$G$1019</c:f>
            </c:numRef>
          </c:yVal>
          <c:smooth val="0"/>
        </c:ser>
        <c:ser>
          <c:idx val="11"/>
          <c:order val="11"/>
          <c:tx>
            <c:v>Grampos tirante</c:v>
          </c:tx>
          <c:spPr>
            <a:ln w="26669" cap="flat">
              <a:solidFill>
                <a:srgbClr val="0070C0"/>
              </a:solidFill>
              <a:round/>
            </a:ln>
          </c:spPr>
          <c:marker>
            <c:symbol val="none"/>
          </c:marker>
          <c:xVal>
            <c:numRef>
              <c:f>'Desenho (dados)'!$F$1202:$F$1203</c:f>
            </c:numRef>
          </c:xVal>
          <c:yVal>
            <c:numRef>
              <c:f>'Desenho (dados)'!$G$1202:$G$1203</c:f>
            </c:numRef>
          </c:yVal>
          <c:smooth val="0"/>
        </c:ser>
        <c:ser>
          <c:idx val="12"/>
          <c:order val="12"/>
          <c:tx>
            <c:v>Grampos anc.</c:v>
          </c:tx>
          <c:spPr>
            <a:ln w="26669" cap="flat">
              <a:solidFill>
                <a:srgbClr val="00B0F0"/>
              </a:solidFill>
              <a:round/>
            </a:ln>
          </c:spPr>
          <c:marker>
            <c:symbol val="none"/>
          </c:marker>
          <c:xVal>
            <c:numRef>
              <c:f>'Desenho (dados)'!$F$1209:$F$1210</c:f>
            </c:numRef>
          </c:xVal>
          <c:yVal>
            <c:numRef>
              <c:f>'Desenho (dados)'!$G$1209:$G$1210</c:f>
            </c:numRef>
          </c:yVal>
          <c:smooth val="0"/>
        </c:ser>
        <c:ser>
          <c:idx val="13"/>
          <c:order val="13"/>
          <c:tx>
            <c:v>Costura</c:v>
          </c:tx>
          <c:spPr>
            <a:ln w="13334" cap="flat">
              <a:solidFill>
                <a:srgbClr val="7030A0"/>
              </a:solidFill>
              <a:round/>
            </a:ln>
          </c:spPr>
          <c:marker>
            <c:symbol val="none"/>
          </c:marker>
          <c:xVal>
            <c:numRef>
              <c:f>'Desenho (dados)'!$F$1216:$F$1232</c:f>
            </c:numRef>
          </c:xVal>
          <c:yVal>
            <c:numRef>
              <c:f>'Desenho (dados)'!$G$1216:$G$1232</c:f>
            </c:numRef>
          </c:yVal>
          <c:smooth val="0"/>
        </c:ser>
        <c:ser>
          <c:idx val="14"/>
          <c:order val="14"/>
          <c:tx>
            <c:v>Suspensão</c:v>
          </c:tx>
          <c:spPr>
            <a:ln w="17780" cap="flat">
              <a:solidFill>
                <a:srgbClr val="0000FF"/>
              </a:solidFill>
              <a:round/>
            </a:ln>
          </c:spPr>
          <c:marker>
            <c:symbol val="none"/>
          </c:marker>
          <c:xVal>
            <c:numRef>
              <c:f>'Desenho (dados)'!$F$1253:$F$1299</c:f>
            </c:numRef>
          </c:xVal>
          <c:yVal>
            <c:numRef>
              <c:f>'Desenho (dados)'!$G$1253:$G$1299</c:f>
            </c:numRef>
          </c:yVal>
          <c:smooth val="0"/>
        </c:ser>
        <c:ser>
          <c:idx val="15"/>
          <c:order val="15"/>
          <c:tx>
            <c:v>Tirante dente</c:v>
          </c:tx>
          <c:spPr>
            <a:ln w="26669" cap="flat">
              <a:solidFill>
                <a:srgbClr val="FF0000"/>
              </a:solidFill>
              <a:round/>
            </a:ln>
          </c:spPr>
          <c:marker>
            <c:symbol val="none"/>
          </c:marker>
          <c:xVal>
            <c:numRef>
              <c:f>'Desenho (dados)'!$F$1350:$F$1351</c:f>
            </c:numRef>
          </c:xVal>
          <c:yVal>
            <c:numRef>
              <c:f>'Desenho (dados)'!$G$1350:$G$1351</c:f>
            </c:numRef>
          </c:yVal>
          <c:smooth val="0"/>
        </c:ser>
        <c:ser>
          <c:idx val="16"/>
          <c:order val="16"/>
          <c:tx>
            <c:v>Costura dente</c:v>
          </c:tx>
          <c:spPr>
            <a:ln w="13334" cap="flat">
              <a:solidFill>
                <a:srgbClr val="7030A0"/>
              </a:solidFill>
              <a:round/>
            </a:ln>
          </c:spPr>
          <c:marker>
            <c:symbol val="none"/>
          </c:marker>
          <c:xVal>
            <c:numRef>
              <c:f>'Desenho (dados)'!$F$1374:$F$1396</c:f>
            </c:numRef>
          </c:xVal>
          <c:yVal>
            <c:numRef>
              <c:f>'Desenho (dados)'!$G$1374:$G$1396</c:f>
            </c:numRef>
          </c:yVal>
          <c:smooth val="0"/>
        </c:ser>
        <c:ser>
          <c:idx val="17"/>
          <c:order val="17"/>
          <c:tx>
            <c:v>Laços</c:v>
          </c:tx>
          <c:spPr>
            <a:ln w="17780" cap="flat">
              <a:solidFill>
                <a:srgbClr val="ED7D31"/>
              </a:solidFill>
              <a:round/>
            </a:ln>
          </c:spPr>
          <c:marker>
            <c:symbol val="none"/>
          </c:marker>
          <c:xVal>
            <c:numRef>
              <c:f>'Desenho (dados)'!$F$1423:$F$1436</c:f>
            </c:numRef>
          </c:xVal>
          <c:yVal>
            <c:numRef>
              <c:f>'Desenho (dados)'!$G$1423:$G$1436</c:f>
            </c:numRef>
          </c:yVal>
          <c:smooth val="0"/>
        </c:ser>
        <c:ser>
          <c:idx val="18"/>
          <c:order val="18"/>
          <c:tx>
            <c:v>cota</c:v>
          </c:tx>
          <c:spPr>
            <a:ln w="6350" cap="flat">
              <a:solidFill>
                <a:srgbClr val="000000"/>
              </a:solidFill>
              <a:round/>
            </a:ln>
          </c:spPr>
          <c:marker>
            <c:symbol val="none"/>
          </c:marker>
          <c:xVal>
            <c:numRef>
              <c:f>'Desenho (dados)'!$F$1523:$F$1536</c:f>
            </c:numRef>
          </c:xVal>
          <c:yVal>
            <c:numRef>
              <c:f>'Desenho (dados)'!$G$1523:$G$1536</c:f>
            </c:numRef>
          </c:yVal>
          <c:smooth val="0"/>
        </c:ser>
        <c:ser>
          <c:idx val="19"/>
          <c:order val="19"/>
          <c:tx>
            <c:v>Tirante dente – planta</c:v>
          </c:tx>
          <c:spPr>
            <a:ln w="22225" cap="flat">
              <a:solidFill>
                <a:srgbClr val="FF0000"/>
              </a:solidFill>
              <a:round/>
            </a:ln>
          </c:spPr>
          <c:marker>
            <c:symbol val="none"/>
          </c:marker>
          <c:xVal>
            <c:numRef>
              <c:f>'Desenho (dados)'!$F$1357:$F$1361</c:f>
            </c:numRef>
          </c:xVal>
          <c:yVal>
            <c:numRef>
              <c:f>'Desenho (dados)'!$G$1357:$G$1361</c:f>
            </c:numRef>
          </c:yVal>
          <c:smooth val="0"/>
        </c:ser>
        <c:ser>
          <c:idx val="20"/>
          <c:order val="20"/>
          <c:tx>
            <c:v>planta</c:v>
          </c:tx>
          <c:spPr>
            <a:ln w="8890" cap="flat">
              <a:solidFill>
                <a:srgbClr val="7F7F7F"/>
              </a:solidFill>
              <a:prstDash val="dash"/>
              <a:round/>
            </a:ln>
          </c:spPr>
          <c:marker>
            <c:symbol val="none"/>
          </c:marker>
          <c:xVal>
            <c:numRef>
              <c:f>'Desenho (dados)'!$F$1364:$F$1371</c:f>
            </c:numRef>
          </c:xVal>
          <c:yVal>
            <c:numRef>
              <c:f>'Desenho (dados)'!$G$1364:$G$1371</c:f>
            </c:numRef>
          </c:yVal>
          <c:smooth val="0"/>
        </c:ser>
        <c:ser>
          <c:idx val="21"/>
          <c:order val="21"/>
          <c:tx>
            <c:strRef>
              <c:f>'Desenho (dados)'!$A$1565</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FF"/>
                    </a:solidFill>
                    <a:latin typeface="Arial"/>
                    <a:cs typeface="Arial"/>
                  </a:defRPr>
                </a:pPr>
                <a:endParaRPr lang="pt-BR"/>
              </a:p>
            </c:txPr>
            <c:dLblPos val="r"/>
            <c:showLegendKey val="0"/>
            <c:showVal val="0"/>
            <c:showCatName val="0"/>
            <c:showSerName val="1"/>
            <c:showPercent val="0"/>
            <c:showBubbleSize val="0"/>
          </c:dLbls>
          <c:xVal>
            <c:numRef>
              <c:f>'Desenho (dados)'!$F$1565:$F$1565</c:f>
            </c:numRef>
          </c:xVal>
          <c:yVal>
            <c:numRef>
              <c:f>'Desenho (dados)'!$G$1565:$G$1565</c:f>
            </c:numRef>
          </c:yVal>
          <c:smooth val="0"/>
        </c:ser>
        <c:ser>
          <c:idx val="22"/>
          <c:order val="22"/>
          <c:tx>
            <c:strRef>
              <c:f>'Desenho (dados)'!$A$1567</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70C0"/>
                    </a:solidFill>
                    <a:latin typeface="Arial"/>
                    <a:cs typeface="Arial"/>
                  </a:defRPr>
                </a:pPr>
                <a:endParaRPr lang="pt-BR"/>
              </a:p>
            </c:txPr>
            <c:dLblPos val="b"/>
            <c:showLegendKey val="0"/>
            <c:showVal val="0"/>
            <c:showCatName val="0"/>
            <c:showSerName val="1"/>
            <c:showPercent val="0"/>
            <c:showBubbleSize val="0"/>
          </c:dLbls>
          <c:xVal>
            <c:numRef>
              <c:f>'Desenho (dados)'!$F$1567:$F$1567</c:f>
            </c:numRef>
          </c:xVal>
          <c:yVal>
            <c:numRef>
              <c:f>'Desenho (dados)'!$G$1567:$G$1567</c:f>
            </c:numRef>
          </c:yVal>
          <c:smooth val="0"/>
        </c:ser>
        <c:ser>
          <c:idx val="23"/>
          <c:order val="23"/>
          <c:tx>
            <c:strRef>
              <c:f>'Desenho (dados)'!$A$1569</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B0F0"/>
                    </a:solidFill>
                    <a:latin typeface="Arial"/>
                    <a:cs typeface="Arial"/>
                  </a:defRPr>
                </a:pPr>
                <a:endParaRPr lang="pt-BR"/>
              </a:p>
            </c:txPr>
            <c:dLblPos val="r"/>
            <c:showLegendKey val="0"/>
            <c:showVal val="0"/>
            <c:showCatName val="0"/>
            <c:showSerName val="1"/>
            <c:showPercent val="0"/>
            <c:showBubbleSize val="0"/>
          </c:dLbls>
          <c:xVal>
            <c:numRef>
              <c:f>'Desenho (dados)'!$F$1569:$F$1569</c:f>
            </c:numRef>
          </c:xVal>
          <c:yVal>
            <c:numRef>
              <c:f>'Desenho (dados)'!$G$1569:$G$1569</c:f>
            </c:numRef>
          </c:yVal>
          <c:smooth val="0"/>
        </c:ser>
        <c:ser>
          <c:idx val="24"/>
          <c:order val="24"/>
          <c:tx>
            <c:strRef>
              <c:f>'Desenho (dados)'!$A$1571</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7030A0"/>
                    </a:solidFill>
                    <a:latin typeface="Arial"/>
                    <a:cs typeface="Arial"/>
                  </a:defRPr>
                </a:pPr>
                <a:endParaRPr lang="pt-BR"/>
              </a:p>
            </c:txPr>
            <c:dLblPos val="r"/>
            <c:showLegendKey val="0"/>
            <c:showVal val="0"/>
            <c:showCatName val="0"/>
            <c:showSerName val="1"/>
            <c:showPercent val="0"/>
            <c:showBubbleSize val="0"/>
          </c:dLbls>
          <c:xVal>
            <c:numRef>
              <c:f>'Desenho (dados)'!$F$1571:$F$1571</c:f>
            </c:numRef>
          </c:xVal>
          <c:yVal>
            <c:numRef>
              <c:f>'Desenho (dados)'!$G$1571:$G$1571</c:f>
            </c:numRef>
          </c:yVal>
          <c:smooth val="0"/>
        </c:ser>
        <c:ser>
          <c:idx val="25"/>
          <c:order val="25"/>
          <c:tx>
            <c:strRef>
              <c:f>'Desenho (dados)'!$A$1573</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FF0000"/>
                    </a:solidFill>
                    <a:latin typeface="Arial"/>
                    <a:cs typeface="Arial"/>
                  </a:defRPr>
                </a:pPr>
                <a:endParaRPr lang="pt-BR"/>
              </a:p>
            </c:txPr>
            <c:dLblPos val="r"/>
            <c:showLegendKey val="0"/>
            <c:showVal val="0"/>
            <c:showCatName val="0"/>
            <c:showSerName val="1"/>
            <c:showPercent val="0"/>
            <c:showBubbleSize val="0"/>
          </c:dLbls>
          <c:xVal>
            <c:numRef>
              <c:f>'Desenho (dados)'!$F$1573:$F$1573</c:f>
            </c:numRef>
          </c:xVal>
          <c:yVal>
            <c:numRef>
              <c:f>'Desenho (dados)'!$G$1573:$G$1573</c:f>
            </c:numRef>
          </c:yVal>
          <c:smooth val="0"/>
        </c:ser>
        <c:ser>
          <c:idx val="26"/>
          <c:order val="26"/>
          <c:tx>
            <c:strRef>
              <c:f>'Desenho (dados)'!$A$1577</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7030A0"/>
                    </a:solidFill>
                    <a:latin typeface="Arial"/>
                    <a:cs typeface="Arial"/>
                  </a:defRPr>
                </a:pPr>
                <a:endParaRPr lang="pt-BR"/>
              </a:p>
            </c:txPr>
            <c:dLblPos val="r"/>
            <c:showLegendKey val="0"/>
            <c:showVal val="0"/>
            <c:showCatName val="0"/>
            <c:showSerName val="1"/>
            <c:showPercent val="0"/>
            <c:showBubbleSize val="0"/>
          </c:dLbls>
          <c:xVal>
            <c:numRef>
              <c:f>'Desenho (dados)'!$F$1577:$F$1577</c:f>
            </c:numRef>
          </c:xVal>
          <c:yVal>
            <c:numRef>
              <c:f>'Desenho (dados)'!$G$1577:$G$1577</c:f>
            </c:numRef>
          </c:yVal>
          <c:smooth val="0"/>
        </c:ser>
        <c:ser>
          <c:idx val="27"/>
          <c:order val="27"/>
          <c:tx>
            <c:strRef>
              <c:f>'Desenho (dados)'!$A$1579</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ED7D31"/>
                    </a:solidFill>
                    <a:latin typeface="Arial"/>
                    <a:cs typeface="Arial"/>
                  </a:defRPr>
                </a:pPr>
                <a:endParaRPr lang="pt-BR"/>
              </a:p>
            </c:txPr>
            <c:dLblPos val="r"/>
            <c:showLegendKey val="0"/>
            <c:showVal val="0"/>
            <c:showCatName val="0"/>
            <c:showSerName val="1"/>
            <c:showPercent val="0"/>
            <c:showBubbleSize val="0"/>
          </c:dLbls>
          <c:xVal>
            <c:numRef>
              <c:f>'Desenho (dados)'!$F$1579:$F$1579</c:f>
            </c:numRef>
          </c:xVal>
          <c:yVal>
            <c:numRef>
              <c:f>'Desenho (dados)'!$G$1579:$G$1579</c:f>
            </c:numRef>
          </c:yVal>
          <c:smooth val="0"/>
        </c:ser>
        <c:ser>
          <c:idx val="28"/>
          <c:order val="28"/>
          <c:tx>
            <c:strRef>
              <c:f>'Desenho (dados)'!$A$1575</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FF0000"/>
                    </a:solidFill>
                    <a:latin typeface="Arial"/>
                    <a:cs typeface="Arial"/>
                  </a:defRPr>
                </a:pPr>
                <a:endParaRPr lang="pt-BR"/>
              </a:p>
            </c:txPr>
            <c:dLblPos val="r"/>
            <c:showLegendKey val="0"/>
            <c:showVal val="0"/>
            <c:showCatName val="0"/>
            <c:showSerName val="1"/>
            <c:showPercent val="0"/>
            <c:showBubbleSize val="0"/>
          </c:dLbls>
          <c:xVal>
            <c:numRef>
              <c:f>'Desenho (dados)'!$F$1575:$F$1575</c:f>
            </c:numRef>
          </c:xVal>
          <c:yVal>
            <c:numRef>
              <c:f>'Desenho (dados)'!$G$1575:$G$1575</c:f>
            </c:numRef>
          </c:yVal>
          <c:smooth val="0"/>
        </c:ser>
        <c:ser>
          <c:idx val="29"/>
          <c:order val="29"/>
          <c:tx>
            <c:strRef>
              <c:f>'Desenho (dados)'!$A$1581</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t"/>
            <c:showLegendKey val="0"/>
            <c:showVal val="0"/>
            <c:showCatName val="0"/>
            <c:showSerName val="1"/>
            <c:showPercent val="0"/>
            <c:showBubbleSize val="0"/>
          </c:dLbls>
          <c:xVal>
            <c:numRef>
              <c:f>'Desenho (dados)'!$F$1581:$F$1581</c:f>
            </c:numRef>
          </c:xVal>
          <c:yVal>
            <c:numRef>
              <c:f>'Desenho (dados)'!$G$1581:$G$1581</c:f>
            </c:numRef>
          </c:yVal>
          <c:smooth val="0"/>
        </c:ser>
        <c:ser>
          <c:idx val="30"/>
          <c:order val="30"/>
          <c:tx>
            <c:strRef>
              <c:f>'Desenho (dados)'!$A$1583</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t"/>
            <c:showLegendKey val="0"/>
            <c:showVal val="0"/>
            <c:showCatName val="0"/>
            <c:showSerName val="1"/>
            <c:showPercent val="0"/>
            <c:showBubbleSize val="0"/>
          </c:dLbls>
          <c:xVal>
            <c:numRef>
              <c:f>'Desenho (dados)'!$F$1583:$F$1583</c:f>
            </c:numRef>
          </c:xVal>
          <c:yVal>
            <c:numRef>
              <c:f>'Desenho (dados)'!$G$1583:$G$1583</c:f>
            </c:numRef>
          </c:yVal>
          <c:smooth val="0"/>
        </c:ser>
        <c:ser>
          <c:idx val="31"/>
          <c:order val="31"/>
          <c:tx>
            <c:strRef>
              <c:f>'Desenho (dados)'!$A$1585</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l"/>
            <c:showLegendKey val="0"/>
            <c:showVal val="0"/>
            <c:showCatName val="0"/>
            <c:showSerName val="1"/>
            <c:showPercent val="0"/>
            <c:showBubbleSize val="0"/>
          </c:dLbls>
          <c:xVal>
            <c:numRef>
              <c:f>'Desenho (dados)'!$F$1585:$F$1585</c:f>
            </c:numRef>
          </c:xVal>
          <c:yVal>
            <c:numRef>
              <c:f>'Desenho (dados)'!$G$1585:$G$1585</c:f>
            </c:numRef>
          </c:yVal>
          <c:smooth val="0"/>
        </c:ser>
        <c:ser>
          <c:idx val="32"/>
          <c:order val="32"/>
          <c:tx>
            <c:strRef>
              <c:f>'Desenho (dados)'!$A$1587</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b"/>
            <c:showLegendKey val="0"/>
            <c:showVal val="0"/>
            <c:showCatName val="0"/>
            <c:showSerName val="1"/>
            <c:showPercent val="0"/>
            <c:showBubbleSize val="0"/>
          </c:dLbls>
          <c:xVal>
            <c:numRef>
              <c:f>'Desenho (dados)'!$F$1587:$F$1587</c:f>
            </c:numRef>
          </c:xVal>
          <c:yVal>
            <c:numRef>
              <c:f>'Desenho (dados)'!$G$1587:$G$1587</c:f>
            </c:numRef>
          </c:yVal>
          <c:smooth val="0"/>
        </c:ser>
        <c:ser>
          <c:idx val="33"/>
          <c:order val="33"/>
          <c:tx>
            <c:strRef>
              <c:f>'Desenho (dados)'!$A$1589</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808080"/>
                    </a:solidFill>
                    <a:latin typeface="Arial"/>
                    <a:cs typeface="Arial"/>
                  </a:defRPr>
                </a:pPr>
                <a:endParaRPr lang="pt-BR"/>
              </a:p>
            </c:txPr>
            <c:dLblPos val="t"/>
            <c:showLegendKey val="0"/>
            <c:showVal val="0"/>
            <c:showCatName val="0"/>
            <c:showSerName val="1"/>
            <c:showPercent val="0"/>
            <c:showBubbleSize val="0"/>
          </c:dLbls>
          <c:xVal>
            <c:numRef>
              <c:f>'Desenho (dados)'!$F$1589:$F$1589</c:f>
            </c:numRef>
          </c:xVal>
          <c:yVal>
            <c:numRef>
              <c:f>'Desenho (dados)'!$G$1589:$G$1589</c:f>
            </c:numRef>
          </c:yVal>
          <c:smooth val="0"/>
        </c:ser>
        <c:ser>
          <c:idx val="34"/>
          <c:order val="34"/>
          <c:tx>
            <c:strRef>
              <c:f>'Desenho (dados)'!$A$1591</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1F4E79"/>
                    </a:solidFill>
                    <a:latin typeface="Arial"/>
                    <a:cs typeface="Arial"/>
                  </a:defRPr>
                </a:pPr>
                <a:endParaRPr lang="pt-BR"/>
              </a:p>
            </c:txPr>
            <c:dLblPos val="t"/>
            <c:showLegendKey val="0"/>
            <c:showVal val="0"/>
            <c:showCatName val="0"/>
            <c:showSerName val="1"/>
            <c:showPercent val="0"/>
            <c:showBubbleSize val="0"/>
          </c:dLbls>
          <c:xVal>
            <c:numRef>
              <c:f>'Desenho (dados)'!$F$1591:$F$1591</c:f>
            </c:numRef>
          </c:xVal>
          <c:yVal>
            <c:numRef>
              <c:f>'Desenho (dados)'!$G$1591:$G$1591</c:f>
            </c:numRef>
          </c:yVal>
          <c:smooth val="0"/>
        </c:ser>
        <c:axId val="500000001"/>
        <c:axId val="500000002"/>
      </c:scatterChart>
      <c:valAx>
        <c:axId val="500000001"/>
        <c:scaling>
          <c:orientation val="minMax"/>
          <c:max val="1000.0"/>
          <c:min val="0"/>
        </c:scaling>
        <c:delete val="1"/>
        <c:axPos val="b"/>
        <c:numFmt formatCode="General" sourceLinked="0"/>
        <c:majorTickMark val="out"/>
        <c:minorTickMark val="none"/>
        <c:tickLblPos val="low"/>
        <c:spPr>
          <a:ln w="6350">
            <a:solidFill>
              <a:srgbClr val="808080"/>
            </a:solidFill>
          </a:ln>
        </c:spPr>
        <c:txPr>
          <a:bodyPr rot="0" spcFirstLastPara="1" vertOverflow="overflow" horzOverflow="overflow" vert="horz" wrap="none" anchor="ctr" anchorCtr="1"/>
          <a:lstStyle/>
          <a:p>
            <a:pPr>
              <a:defRPr sz="700" b="0" i="0">
                <a:solidFill>
                  <a:srgbClr val="404040"/>
                </a:solidFill>
                <a:latin typeface="Arial"/>
                <a:cs typeface="Arial"/>
              </a:defRPr>
            </a:pPr>
            <a:endParaRPr lang="pt-BR"/>
          </a:p>
        </c:txPr>
        <c:crossAx val="500000002"/>
        <c:crosses val="autoZero"/>
        <c:crossBetween val="midCat"/>
      </c:valAx>
      <c:valAx>
        <c:axId val="500000002"/>
        <c:scaling>
          <c:orientation val="minMax"/>
          <c:max val="562.162"/>
          <c:min val="0"/>
        </c:scaling>
        <c:delete val="1"/>
        <c:axPos val="l"/>
        <c:numFmt formatCode="General" sourceLinked="0"/>
        <c:majorTickMark val="out"/>
        <c:minorTickMark val="none"/>
        <c:tickLblPos val="low"/>
        <c:spPr>
          <a:ln w="6350">
            <a:solidFill>
              <a:srgbClr val="808080"/>
            </a:solidFill>
          </a:ln>
        </c:spPr>
        <c:txPr>
          <a:bodyPr rot="0" spcFirstLastPara="1" vertOverflow="overflow" horzOverflow="overflow" vert="horz" wrap="none" anchor="ctr" anchorCtr="1"/>
          <a:lstStyle/>
          <a:p>
            <a:pPr>
              <a:defRPr sz="700" b="0" i="0">
                <a:solidFill>
                  <a:srgbClr val="404040"/>
                </a:solidFill>
                <a:latin typeface="Arial"/>
                <a:cs typeface="Arial"/>
              </a:defRPr>
            </a:pPr>
            <a:endParaRPr lang="pt-BR"/>
          </a:p>
        </c:txPr>
        <c:crossAx val="500000001"/>
        <c:crosses val="autoZero"/>
        <c:crossBetween val="midCat"/>
      </c:valAx>
      <c:spPr>
        <a:noFill/>
        <a:ln>
          <a:noFill/>
        </a:ln>
      </c:spPr>
    </c:plotArea>
    <c:plotVisOnly val="1"/>
    <c:dispBlanksAs val="gap"/>
  </c:chart>
  <c:spPr>
    <a:solidFill>
      <a:srgbClr val="FFFFFF"/>
    </a:solidFill>
    <a:ln>
      <a:noFill/>
    </a:ln>
  </c:spPr>
  <c:txPr>
    <a:bodyPr rot="0" spcFirstLastPara="1" vertOverflow="overflow" horzOverflow="overflow" vert="horz" wrap="none" anchor="ctr" anchorCtr="1"/>
    <a:lstStyle/>
    <a:p>
      <a:pPr>
        <a:defRPr sz="800" b="0" i="0">
          <a:solidFill>
            <a:srgbClr val="000000"/>
          </a:solidFill>
          <a:latin typeface="Arial"/>
          <a:cs typeface="Arial"/>
        </a:defRPr>
      </a:pPr>
      <a:endParaRPr lang="pt-B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c:date1904 val="0"/>
  <c:lang val="pt-BR"/>
  <c:roundedCorners val="0"/>
  <c:chart>
    <c:autoTitleDeleted val="1"/>
    <c:plotArea>
      <c:layout>
        <c:manualLayout>
          <c:layoutTarget val="inner"/>
          <c:xMode val="edge"/>
          <c:yMode val="edge"/>
          <c:x val="0.0"/>
          <c:y val="0.0"/>
          <c:w val="1.0"/>
          <c:h val="1.0"/>
        </c:manualLayout>
      </c:layout>
      <c:scatterChart>
        <c:scatterStyle val="lineMarker"/>
        <c:varyColors val="0"/>
        <c:ser>
          <c:idx val="0"/>
          <c:order val="0"/>
          <c:tx>
            <c:v>Laje/capa</c:v>
          </c:tx>
          <c:spPr>
            <a:ln w="7620" cap="flat">
              <a:solidFill>
                <a:srgbClr val="808080"/>
              </a:solidFill>
              <a:prstDash val="dash"/>
              <a:round/>
            </a:ln>
          </c:spPr>
          <c:marker>
            <c:symbol val="none"/>
          </c:marker>
          <c:xVal>
            <c:numRef>
              <c:f>'Desenho (dados)'!$N$109:$N$116</c:f>
            </c:numRef>
          </c:xVal>
          <c:yVal>
            <c:numRef>
              <c:f>'Desenho (dados)'!$O$109:$O$116</c:f>
            </c:numRef>
          </c:yVal>
          <c:smooth val="0"/>
        </c:ser>
        <c:ser>
          <c:idx val="1"/>
          <c:order val="1"/>
          <c:tx>
            <c:v>Seção</c:v>
          </c:tx>
          <c:spPr>
            <a:ln w="15875" cap="flat">
              <a:solidFill>
                <a:srgbClr val="000000"/>
              </a:solidFill>
              <a:round/>
            </a:ln>
          </c:spPr>
          <c:marker>
            <c:symbol val="none"/>
          </c:marker>
          <c:xVal>
            <c:numRef>
              <c:f>'Desenho (dados)'!$N$60:$N$78</c:f>
            </c:numRef>
          </c:xVal>
          <c:yVal>
            <c:numRef>
              <c:f>'Desenho (dados)'!$O$60:$O$78</c:f>
            </c:numRef>
          </c:yVal>
          <c:smooth val="0"/>
        </c:ser>
        <c:ser>
          <c:idx val="2"/>
          <c:order val="2"/>
          <c:tx>
            <c:v>Aba R/A</c:v>
          </c:tx>
          <c:spPr>
            <a:ln w="12700" cap="flat">
              <a:solidFill>
                <a:srgbClr val="000000"/>
              </a:solidFill>
              <a:round/>
            </a:ln>
          </c:spPr>
          <c:marker>
            <c:symbol val="none"/>
          </c:marker>
          <c:xVal>
            <c:numRef>
              <c:f>'Desenho (dados)'!$N$81:$N$84</c:f>
            </c:numRef>
          </c:xVal>
          <c:yVal>
            <c:numRef>
              <c:f>'Desenho (dados)'!$O$81:$O$84</c:f>
            </c:numRef>
          </c:yVal>
          <c:smooth val="0"/>
        </c:ser>
        <c:ser>
          <c:idx val="3"/>
          <c:order val="3"/>
          <c:tx>
            <c:v>Estribo</c:v>
          </c:tx>
          <c:spPr>
            <a:ln w="12700" cap="flat">
              <a:solidFill>
                <a:srgbClr val="C00000"/>
              </a:solidFill>
              <a:round/>
            </a:ln>
          </c:spPr>
          <c:marker>
            <c:symbol val="none"/>
          </c:marker>
          <c:xVal>
            <c:numRef>
              <c:f>'Desenho (dados)'!$N$87:$N$99</c:f>
            </c:numRef>
          </c:xVal>
          <c:yVal>
            <c:numRef>
              <c:f>'Desenho (dados)'!$O$87:$O$99</c:f>
            </c:numRef>
          </c:yVal>
          <c:smooth val="0"/>
        </c:ser>
        <c:ser>
          <c:idx val="4"/>
          <c:order val="4"/>
          <c:tx>
            <c:v>Estribo aba</c:v>
          </c:tx>
          <c:spPr>
            <a:ln w="9525" cap="flat">
              <a:solidFill>
                <a:srgbClr val="C00000"/>
              </a:solidFill>
              <a:round/>
            </a:ln>
          </c:spPr>
          <c:marker>
            <c:symbol val="none"/>
          </c:marker>
          <c:xVal>
            <c:numRef>
              <c:f>'Desenho (dados)'!$N$102:$N$106</c:f>
            </c:numRef>
          </c:xVal>
          <c:yVal>
            <c:numRef>
              <c:f>'Desenho (dados)'!$O$102:$O$106</c:f>
            </c:numRef>
          </c:yVal>
          <c:smooth val="0"/>
        </c:ser>
        <c:ser>
          <c:idx val="5"/>
          <c:order val="5"/>
          <c:tx>
            <c:v>cota</c:v>
          </c:tx>
          <c:spPr>
            <a:ln w="6350" cap="flat">
              <a:solidFill>
                <a:srgbClr val="000000"/>
              </a:solidFill>
              <a:round/>
            </a:ln>
          </c:spPr>
          <c:marker>
            <c:symbol val="none"/>
          </c:marker>
          <c:xVal>
            <c:numRef>
              <c:f>'Desenho (dados)'!$N$241:$N$248</c:f>
            </c:numRef>
          </c:xVal>
          <c:yVal>
            <c:numRef>
              <c:f>'Desenho (dados)'!$O$241:$O$248</c:f>
            </c:numRef>
          </c:yVal>
          <c:smooth val="0"/>
        </c:ser>
        <c:ser>
          <c:idx val="6"/>
          <c:order val="6"/>
          <c:tx>
            <c:v>cota</c:v>
          </c:tx>
          <c:spPr>
            <a:ln w="6350" cap="flat">
              <a:solidFill>
                <a:srgbClr val="000000"/>
              </a:solidFill>
              <a:round/>
            </a:ln>
          </c:spPr>
          <c:marker>
            <c:symbol val="none"/>
          </c:marker>
          <c:xVal>
            <c:numRef>
              <c:f>'Desenho (dados)'!$N$251:$N$258</c:f>
            </c:numRef>
          </c:xVal>
          <c:yVal>
            <c:numRef>
              <c:f>'Desenho (dados)'!$O$251:$O$258</c:f>
            </c:numRef>
          </c:yVal>
          <c:smooth val="0"/>
        </c:ser>
        <c:ser>
          <c:idx val="7"/>
          <c:order val="7"/>
          <c:tx>
            <c:v>Cordoalhas</c:v>
          </c:tx>
          <c:spPr>
            <a:ln>
              <a:noFill/>
            </a:ln>
          </c:spPr>
          <c:marker>
            <c:symbol val="circle"/>
            <c:size val="5"/>
            <c:spPr>
              <a:solidFill>
                <a:srgbClr val="00A650"/>
              </a:solidFill>
              <a:ln w="6350">
                <a:solidFill>
                  <a:srgbClr val="00A650"/>
                </a:solidFill>
              </a:ln>
            </c:spPr>
          </c:marker>
          <c:xVal>
            <c:numRef>
              <c:f>'Desenho (dados)'!$N$119:$N$173</c:f>
            </c:numRef>
          </c:xVal>
          <c:yVal>
            <c:numRef>
              <c:f>'Desenho (dados)'!$O$119:$O$173</c:f>
            </c:numRef>
          </c:yVal>
          <c:smooth val="0"/>
        </c:ser>
        <c:ser>
          <c:idx val="8"/>
          <c:order val="8"/>
          <c:tx>
            <c:v>Barras</c:v>
          </c:tx>
          <c:spPr>
            <a:ln>
              <a:noFill/>
            </a:ln>
          </c:spPr>
          <c:marker>
            <c:symbol val="circle"/>
            <c:size val="6"/>
            <c:spPr>
              <a:solidFill>
                <a:srgbClr val="1F4E79"/>
              </a:solidFill>
              <a:ln w="6350">
                <a:solidFill>
                  <a:srgbClr val="1F4E79"/>
                </a:solidFill>
              </a:ln>
            </c:spPr>
          </c:marker>
          <c:xVal>
            <c:numRef>
              <c:f>'Desenho (dados)'!$N$176:$N$238</c:f>
            </c:numRef>
          </c:xVal>
          <c:yVal>
            <c:numRef>
              <c:f>'Desenho (dados)'!$O$176:$O$238</c:f>
            </c:numRef>
          </c:yVal>
          <c:smooth val="0"/>
        </c:ser>
        <c:ser>
          <c:idx val="9"/>
          <c:order val="9"/>
          <c:tx>
            <c:strRef>
              <c:f>'Desenho (dados)'!$K$261</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b"/>
            <c:showLegendKey val="0"/>
            <c:showVal val="0"/>
            <c:showCatName val="0"/>
            <c:showSerName val="1"/>
            <c:showPercent val="0"/>
            <c:showBubbleSize val="0"/>
          </c:dLbls>
          <c:xVal>
            <c:numRef>
              <c:f>'Desenho (dados)'!$N$261:$N$261</c:f>
            </c:numRef>
          </c:xVal>
          <c:yVal>
            <c:numRef>
              <c:f>'Desenho (dados)'!$O$261:$O$261</c:f>
            </c:numRef>
          </c:yVal>
          <c:smooth val="0"/>
        </c:ser>
        <c:ser>
          <c:idx val="10"/>
          <c:order val="10"/>
          <c:tx>
            <c:strRef>
              <c:f>'Desenho (dados)'!$K$263</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0000"/>
                    </a:solidFill>
                    <a:latin typeface="Arial"/>
                    <a:cs typeface="Arial"/>
                  </a:defRPr>
                </a:pPr>
                <a:endParaRPr lang="pt-BR"/>
              </a:p>
            </c:txPr>
            <c:dLblPos val="r"/>
            <c:showLegendKey val="0"/>
            <c:showVal val="0"/>
            <c:showCatName val="0"/>
            <c:showSerName val="1"/>
            <c:showPercent val="0"/>
            <c:showBubbleSize val="0"/>
          </c:dLbls>
          <c:xVal>
            <c:numRef>
              <c:f>'Desenho (dados)'!$N$263:$N$263</c:f>
            </c:numRef>
          </c:xVal>
          <c:yVal>
            <c:numRef>
              <c:f>'Desenho (dados)'!$O$263:$O$263</c:f>
            </c:numRef>
          </c:yVal>
          <c:smooth val="0"/>
        </c:ser>
        <c:ser>
          <c:idx val="11"/>
          <c:order val="11"/>
          <c:tx>
            <c:strRef>
              <c:f>'Desenho (dados)'!$K$265</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00A650"/>
                    </a:solidFill>
                    <a:latin typeface="Arial"/>
                    <a:cs typeface="Arial"/>
                  </a:defRPr>
                </a:pPr>
                <a:endParaRPr lang="pt-BR"/>
              </a:p>
            </c:txPr>
            <c:dLblPos val="r"/>
            <c:showLegendKey val="0"/>
            <c:showVal val="0"/>
            <c:showCatName val="0"/>
            <c:showSerName val="1"/>
            <c:showPercent val="0"/>
            <c:showBubbleSize val="0"/>
          </c:dLbls>
          <c:xVal>
            <c:numRef>
              <c:f>'Desenho (dados)'!$N$265:$N$265</c:f>
            </c:numRef>
          </c:xVal>
          <c:yVal>
            <c:numRef>
              <c:f>'Desenho (dados)'!$O$265:$O$265</c:f>
            </c:numRef>
          </c:yVal>
          <c:smooth val="0"/>
        </c:ser>
        <c:ser>
          <c:idx val="12"/>
          <c:order val="12"/>
          <c:tx>
            <c:strRef>
              <c:f>'Desenho (dados)'!$K$267</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1F4E79"/>
                    </a:solidFill>
                    <a:latin typeface="Arial"/>
                    <a:cs typeface="Arial"/>
                  </a:defRPr>
                </a:pPr>
                <a:endParaRPr lang="pt-BR"/>
              </a:p>
            </c:txPr>
            <c:dLblPos val="r"/>
            <c:showLegendKey val="0"/>
            <c:showVal val="0"/>
            <c:showCatName val="0"/>
            <c:showSerName val="1"/>
            <c:showPercent val="0"/>
            <c:showBubbleSize val="0"/>
          </c:dLbls>
          <c:xVal>
            <c:numRef>
              <c:f>'Desenho (dados)'!$N$267:$N$267</c:f>
            </c:numRef>
          </c:xVal>
          <c:yVal>
            <c:numRef>
              <c:f>'Desenho (dados)'!$O$267:$O$267</c:f>
            </c:numRef>
          </c:yVal>
          <c:smooth val="0"/>
        </c:ser>
        <c:ser>
          <c:idx val="13"/>
          <c:order val="13"/>
          <c:tx>
            <c:strRef>
              <c:f>'Desenho (dados)'!$K$269</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1F4E79"/>
                    </a:solidFill>
                    <a:latin typeface="Arial"/>
                    <a:cs typeface="Arial"/>
                  </a:defRPr>
                </a:pPr>
                <a:endParaRPr lang="pt-BR"/>
              </a:p>
            </c:txPr>
            <c:dLblPos val="r"/>
            <c:showLegendKey val="0"/>
            <c:showVal val="0"/>
            <c:showCatName val="0"/>
            <c:showSerName val="1"/>
            <c:showPercent val="0"/>
            <c:showBubbleSize val="0"/>
          </c:dLbls>
          <c:xVal>
            <c:numRef>
              <c:f>'Desenho (dados)'!$N$269:$N$269</c:f>
            </c:numRef>
          </c:xVal>
          <c:yVal>
            <c:numRef>
              <c:f>'Desenho (dados)'!$O$269:$O$269</c:f>
            </c:numRef>
          </c:yVal>
          <c:smooth val="0"/>
        </c:ser>
        <c:ser>
          <c:idx val="14"/>
          <c:order val="14"/>
          <c:tx>
            <c:strRef>
              <c:f>'Desenho (dados)'!$K$271</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C00000"/>
                    </a:solidFill>
                    <a:latin typeface="Arial"/>
                    <a:cs typeface="Arial"/>
                  </a:defRPr>
                </a:pPr>
                <a:endParaRPr lang="pt-BR"/>
              </a:p>
            </c:txPr>
            <c:dLblPos val="l"/>
            <c:showLegendKey val="0"/>
            <c:showVal val="0"/>
            <c:showCatName val="0"/>
            <c:showSerName val="1"/>
            <c:showPercent val="0"/>
            <c:showBubbleSize val="0"/>
          </c:dLbls>
          <c:xVal>
            <c:numRef>
              <c:f>'Desenho (dados)'!$N$271:$N$271</c:f>
            </c:numRef>
          </c:xVal>
          <c:yVal>
            <c:numRef>
              <c:f>'Desenho (dados)'!$O$271:$O$271</c:f>
            </c:numRef>
          </c:yVal>
          <c:smooth val="0"/>
        </c:ser>
        <c:ser>
          <c:idx val="15"/>
          <c:order val="15"/>
          <c:tx>
            <c:strRef>
              <c:f>'Desenho (dados)'!$K$273</c:f>
            </c:strRef>
          </c:tx>
          <c:spPr>
            <a:ln>
              <a:noFill/>
            </a:ln>
          </c:spPr>
          <c:marker>
            <c:symbol val="none"/>
          </c:marker>
          <c:dLbls>
            <c:spPr>
              <a:noFill/>
              <a:ln>
                <a:noFill/>
              </a:ln>
            </c:spPr>
            <c:txPr>
              <a:bodyPr rot="0" spcFirstLastPara="1" vertOverflow="overflow" horzOverflow="overflow" vert="horz" wrap="none" anchor="ctr" anchorCtr="1"/>
              <a:lstStyle/>
              <a:p>
                <a:pPr>
                  <a:defRPr sz="700" b="0" i="0">
                    <a:solidFill>
                      <a:srgbClr val="808080"/>
                    </a:solidFill>
                    <a:latin typeface="Arial"/>
                    <a:cs typeface="Arial"/>
                  </a:defRPr>
                </a:pPr>
                <a:endParaRPr lang="pt-BR"/>
              </a:p>
            </c:txPr>
            <c:dLblPos val="b"/>
            <c:showLegendKey val="0"/>
            <c:showVal val="0"/>
            <c:showCatName val="0"/>
            <c:showSerName val="1"/>
            <c:showPercent val="0"/>
            <c:showBubbleSize val="0"/>
          </c:dLbls>
          <c:xVal>
            <c:numRef>
              <c:f>'Desenho (dados)'!$N$273:$N$273</c:f>
            </c:numRef>
          </c:xVal>
          <c:yVal>
            <c:numRef>
              <c:f>'Desenho (dados)'!$O$273:$O$273</c:f>
            </c:numRef>
          </c:yVal>
          <c:smooth val="0"/>
        </c:ser>
        <c:axId val="500000001"/>
        <c:axId val="500000002"/>
      </c:scatterChart>
      <c:valAx>
        <c:axId val="500000001"/>
        <c:scaling>
          <c:orientation val="minMax"/>
          <c:max val="1000.0"/>
          <c:min val="0"/>
        </c:scaling>
        <c:delete val="1"/>
        <c:axPos val="b"/>
        <c:numFmt formatCode="General" sourceLinked="0"/>
        <c:majorTickMark val="out"/>
        <c:minorTickMark val="none"/>
        <c:tickLblPos val="low"/>
        <c:spPr>
          <a:ln w="6350">
            <a:solidFill>
              <a:srgbClr val="808080"/>
            </a:solidFill>
          </a:ln>
        </c:spPr>
        <c:txPr>
          <a:bodyPr rot="0" spcFirstLastPara="1" vertOverflow="overflow" horzOverflow="overflow" vert="horz" wrap="none" anchor="ctr" anchorCtr="1"/>
          <a:lstStyle/>
          <a:p>
            <a:pPr>
              <a:defRPr sz="700" b="0" i="0">
                <a:solidFill>
                  <a:srgbClr val="404040"/>
                </a:solidFill>
                <a:latin typeface="Arial"/>
                <a:cs typeface="Arial"/>
              </a:defRPr>
            </a:pPr>
            <a:endParaRPr lang="pt-BR"/>
          </a:p>
        </c:txPr>
        <c:crossAx val="500000002"/>
        <c:crosses val="autoZero"/>
        <c:crossBetween val="midCat"/>
      </c:valAx>
      <c:valAx>
        <c:axId val="500000002"/>
        <c:scaling>
          <c:orientation val="minMax"/>
          <c:max val="1130.435"/>
          <c:min val="0"/>
        </c:scaling>
        <c:delete val="1"/>
        <c:axPos val="l"/>
        <c:numFmt formatCode="General" sourceLinked="0"/>
        <c:majorTickMark val="out"/>
        <c:minorTickMark val="none"/>
        <c:tickLblPos val="low"/>
        <c:spPr>
          <a:ln w="6350">
            <a:solidFill>
              <a:srgbClr val="808080"/>
            </a:solidFill>
          </a:ln>
        </c:spPr>
        <c:txPr>
          <a:bodyPr rot="0" spcFirstLastPara="1" vertOverflow="overflow" horzOverflow="overflow" vert="horz" wrap="none" anchor="ctr" anchorCtr="1"/>
          <a:lstStyle/>
          <a:p>
            <a:pPr>
              <a:defRPr sz="700" b="0" i="0">
                <a:solidFill>
                  <a:srgbClr val="404040"/>
                </a:solidFill>
                <a:latin typeface="Arial"/>
                <a:cs typeface="Arial"/>
              </a:defRPr>
            </a:pPr>
            <a:endParaRPr lang="pt-BR"/>
          </a:p>
        </c:txPr>
        <c:crossAx val="500000001"/>
        <c:crosses val="autoZero"/>
        <c:crossBetween val="midCat"/>
      </c:valAx>
      <c:spPr>
        <a:noFill/>
        <a:ln>
          <a:noFill/>
        </a:ln>
      </c:spPr>
    </c:plotArea>
    <c:plotVisOnly val="1"/>
    <c:dispBlanksAs val="gap"/>
  </c:chart>
  <c:spPr>
    <a:solidFill>
      <a:srgbClr val="FFFFFF"/>
    </a:solidFill>
    <a:ln>
      <a:noFill/>
    </a:ln>
  </c:spPr>
  <c:txPr>
    <a:bodyPr rot="0" spcFirstLastPara="1" vertOverflow="overflow" horzOverflow="overflow" vert="horz" wrap="none" anchor="ctr" anchorCtr="1"/>
    <a:lstStyle/>
    <a:p>
      <a:pPr>
        <a:defRPr sz="800" b="0" i="0">
          <a:solidFill>
            <a:srgbClr val="000000"/>
          </a:solidFill>
          <a:latin typeface="Arial"/>
          <a:cs typeface="Arial"/>
        </a:defRPr>
      </a:pPr>
      <a:endParaRPr lang="pt-B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image" Target="../media/image6.png"/><Relationship Id="rId18" Type="http://schemas.openxmlformats.org/officeDocument/2006/relationships/chart" Target="../charts/chart8.xml"/><Relationship Id="rId26" Type="http://schemas.openxmlformats.org/officeDocument/2006/relationships/chart" Target="../charts/chart15.xml"/><Relationship Id="rId3" Type="http://schemas.openxmlformats.org/officeDocument/2006/relationships/chart" Target="../charts/chart2.xml"/><Relationship Id="rId21" Type="http://schemas.openxmlformats.org/officeDocument/2006/relationships/chart" Target="../charts/chart10.xml"/><Relationship Id="rId34" Type="http://schemas.openxmlformats.org/officeDocument/2006/relationships/chart" Target="../charts/chart23.xml"/><Relationship Id="rId7" Type="http://schemas.openxmlformats.org/officeDocument/2006/relationships/chart" Target="../charts/chart6.xml"/><Relationship Id="rId12" Type="http://schemas.openxmlformats.org/officeDocument/2006/relationships/image" Target="../media/image5.jpeg"/><Relationship Id="rId17" Type="http://schemas.openxmlformats.org/officeDocument/2006/relationships/hyperlink" Target="#Resumo!H1"/><Relationship Id="rId25" Type="http://schemas.openxmlformats.org/officeDocument/2006/relationships/chart" Target="../charts/chart14.xml"/><Relationship Id="rId33" Type="http://schemas.openxmlformats.org/officeDocument/2006/relationships/chart" Target="../charts/chart22.xml"/><Relationship Id="rId2" Type="http://schemas.openxmlformats.org/officeDocument/2006/relationships/image" Target="../media/image1.png"/><Relationship Id="rId16" Type="http://schemas.openxmlformats.org/officeDocument/2006/relationships/hyperlink" Target="#Geometria!K1037"/><Relationship Id="rId20" Type="http://schemas.openxmlformats.org/officeDocument/2006/relationships/chart" Target="../charts/chart9.xml"/><Relationship Id="rId29" Type="http://schemas.openxmlformats.org/officeDocument/2006/relationships/chart" Target="../charts/chart18.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4.png"/><Relationship Id="rId24" Type="http://schemas.openxmlformats.org/officeDocument/2006/relationships/chart" Target="../charts/chart13.xml"/><Relationship Id="rId32" Type="http://schemas.openxmlformats.org/officeDocument/2006/relationships/chart" Target="../charts/chart21.xml"/><Relationship Id="rId5" Type="http://schemas.openxmlformats.org/officeDocument/2006/relationships/chart" Target="../charts/chart4.xml"/><Relationship Id="rId15" Type="http://schemas.openxmlformats.org/officeDocument/2006/relationships/hyperlink" Target="#Geometria!G178"/><Relationship Id="rId23" Type="http://schemas.openxmlformats.org/officeDocument/2006/relationships/chart" Target="../charts/chart12.xml"/><Relationship Id="rId28" Type="http://schemas.openxmlformats.org/officeDocument/2006/relationships/chart" Target="../charts/chart17.xml"/><Relationship Id="rId36" Type="http://schemas.openxmlformats.org/officeDocument/2006/relationships/chart" Target="../charts/chart25.xml"/><Relationship Id="rId10" Type="http://schemas.openxmlformats.org/officeDocument/2006/relationships/image" Target="../media/image3.png"/><Relationship Id="rId19" Type="http://schemas.openxmlformats.org/officeDocument/2006/relationships/image" Target="../media/image7.png"/><Relationship Id="rId31" Type="http://schemas.openxmlformats.org/officeDocument/2006/relationships/chart" Target="../charts/chart20.xml"/><Relationship Id="rId4" Type="http://schemas.openxmlformats.org/officeDocument/2006/relationships/chart" Target="../charts/chart3.xml"/><Relationship Id="rId9" Type="http://schemas.openxmlformats.org/officeDocument/2006/relationships/image" Target="../media/image2.png"/><Relationship Id="rId14" Type="http://schemas.openxmlformats.org/officeDocument/2006/relationships/hyperlink" Target="#Geometria!G195"/><Relationship Id="rId22" Type="http://schemas.openxmlformats.org/officeDocument/2006/relationships/chart" Target="../charts/chart11.xml"/><Relationship Id="rId27" Type="http://schemas.openxmlformats.org/officeDocument/2006/relationships/chart" Target="../charts/chart16.xml"/><Relationship Id="rId30" Type="http://schemas.openxmlformats.org/officeDocument/2006/relationships/chart" Target="../charts/chart19.xml"/><Relationship Id="rId35" Type="http://schemas.openxmlformats.org/officeDocument/2006/relationships/chart" Target="../charts/chart24.xml"/><Relationship Id="rId8"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image" Target="../media/image8.png"/><Relationship Id="rId5" Type="http://schemas.openxmlformats.org/officeDocument/2006/relationships/chart" Target="../charts/chart30.xml"/><Relationship Id="rId4" Type="http://schemas.openxmlformats.org/officeDocument/2006/relationships/chart" Target="../charts/chart29.xml"/></Relationships>
</file>

<file path=xl/drawings/_rels/drawing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8.xml.rels><?xml version="1.0" encoding="UTF-8" standalone="yes"?>
<Relationships xmlns="http://schemas.openxmlformats.org/package/2006/relationships"><Relationship Id="rId8" Type="http://schemas.openxmlformats.org/officeDocument/2006/relationships/chart" Target="../charts/chart41.xml"/><Relationship Id="rId3" Type="http://schemas.openxmlformats.org/officeDocument/2006/relationships/chart" Target="../charts/chart36.xml"/><Relationship Id="rId7" Type="http://schemas.openxmlformats.org/officeDocument/2006/relationships/chart" Target="../charts/chart40.xml"/><Relationship Id="rId12" Type="http://schemas.openxmlformats.org/officeDocument/2006/relationships/chart" Target="../charts/chart45.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11" Type="http://schemas.openxmlformats.org/officeDocument/2006/relationships/chart" Target="../charts/chart44.xml"/><Relationship Id="rId5" Type="http://schemas.openxmlformats.org/officeDocument/2006/relationships/chart" Target="../charts/chart38.xml"/><Relationship Id="rId10" Type="http://schemas.openxmlformats.org/officeDocument/2006/relationships/chart" Target="../charts/chart43.xml"/><Relationship Id="rId4" Type="http://schemas.openxmlformats.org/officeDocument/2006/relationships/chart" Target="../charts/chart37.xml"/><Relationship Id="rId9" Type="http://schemas.openxmlformats.org/officeDocument/2006/relationships/chart" Target="../charts/chart4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chart" Target="../charts/chart47.xml"/><Relationship Id="rId5" Type="http://schemas.openxmlformats.org/officeDocument/2006/relationships/chart" Target="../charts/chart51.xml"/><Relationship Id="rId4" Type="http://schemas.openxmlformats.org/officeDocument/2006/relationships/chart" Target="../charts/chart50.xml"/><Relationship Id="rId6" Type="http://schemas.openxmlformats.org/officeDocument/2006/relationships/chart" Target="../charts/chart71.xml"/><Relationship Id="rId7" Type="http://schemas.openxmlformats.org/officeDocument/2006/relationships/chart" Target="../charts/chart72.xml"/><Relationship Id="rId8" Type="http://schemas.openxmlformats.org/officeDocument/2006/relationships/chart" Target="../charts/chart73.xml"/><Relationship Id="rId9" Type="http://schemas.openxmlformats.org/officeDocument/2006/relationships/chart" Target="../charts/chart7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5" Type="http://schemas.openxmlformats.org/officeDocument/2006/relationships/chart" Target="../charts/chart59.xml"/><Relationship Id="rId4" Type="http://schemas.openxmlformats.org/officeDocument/2006/relationships/chart" Target="../charts/chart5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1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chart" Target="../charts/chart64.xml"/><Relationship Id="rId1" Type="http://schemas.openxmlformats.org/officeDocument/2006/relationships/chart" Target="../charts/chart63.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67.xml"/><Relationship Id="rId2" Type="http://schemas.openxmlformats.org/officeDocument/2006/relationships/chart" Target="../charts/chart66.xml"/><Relationship Id="rId1" Type="http://schemas.openxmlformats.org/officeDocument/2006/relationships/chart" Target="../charts/chart65.xml"/><Relationship Id="rId5" Type="http://schemas.openxmlformats.org/officeDocument/2006/relationships/chart" Target="../charts/chart69.xml"/><Relationship Id="rId4" Type="http://schemas.openxmlformats.org/officeDocument/2006/relationships/chart" Target="../charts/chart68.xml"/></Relationships>
</file>

<file path=xl/drawings/_rels/drawing19.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4" Type="http://schemas.openxmlformats.org/officeDocument/2006/relationships/chart" Target="../charts/chart70.xml"/></Relationships>
</file>

<file path=xl/drawings/drawing1.xml><?xml version="1.0" encoding="utf-8"?>
<xdr:wsDr xmlns:xdr="http://schemas.openxmlformats.org/drawingml/2006/spreadsheetDrawing" xmlns:a="http://schemas.openxmlformats.org/drawingml/2006/main">
  <xdr:twoCellAnchor editAs="oneCell">
    <xdr:from>
      <xdr:col>18</xdr:col>
      <xdr:colOff>9360</xdr:colOff>
      <xdr:row>14</xdr:row>
      <xdr:rowOff>209520</xdr:rowOff>
    </xdr:from>
    <xdr:to>
      <xdr:col>23</xdr:col>
      <xdr:colOff>331920</xdr:colOff>
      <xdr:row>37</xdr:row>
      <xdr:rowOff>17640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28440</xdr:colOff>
      <xdr:row>1024</xdr:row>
      <xdr:rowOff>133737</xdr:rowOff>
    </xdr:from>
    <xdr:to>
      <xdr:col>11</xdr:col>
      <xdr:colOff>1465200</xdr:colOff>
      <xdr:row>1033</xdr:row>
      <xdr:rowOff>123657</xdr:rowOff>
    </xdr:to>
    <xdr:pic>
      <xdr:nvPicPr>
        <xdr:cNvPr id="3" name="Imagem 17">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7536381" y="143087178"/>
          <a:ext cx="2725437" cy="1805273"/>
        </a:xfrm>
        <a:prstGeom prst="rect">
          <a:avLst/>
        </a:prstGeom>
        <a:ln w="0">
          <a:noFill/>
        </a:ln>
      </xdr:spPr>
    </xdr:pic>
    <xdr:clientData/>
  </xdr:twoCellAnchor>
  <xdr:twoCellAnchor editAs="oneCell">
    <xdr:from>
      <xdr:col>10</xdr:col>
      <xdr:colOff>87801</xdr:colOff>
      <xdr:row>578</xdr:row>
      <xdr:rowOff>156295</xdr:rowOff>
    </xdr:from>
    <xdr:to>
      <xdr:col>17</xdr:col>
      <xdr:colOff>1010121</xdr:colOff>
      <xdr:row>608</xdr:row>
      <xdr:rowOff>122815</xdr:rowOff>
    </xdr:to>
    <xdr:graphicFrame macro="">
      <xdr:nvGraphicFramePr>
        <xdr:cNvPr id="4" name="Gráfico 27">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9360</xdr:colOff>
      <xdr:row>491</xdr:row>
      <xdr:rowOff>177218</xdr:rowOff>
    </xdr:from>
    <xdr:to>
      <xdr:col>17</xdr:col>
      <xdr:colOff>1040400</xdr:colOff>
      <xdr:row>525</xdr:row>
      <xdr:rowOff>22718</xdr:rowOff>
    </xdr:to>
    <xdr:graphicFrame macro="">
      <xdr:nvGraphicFramePr>
        <xdr:cNvPr id="5" name="Gráfico 28">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28440</xdr:colOff>
      <xdr:row>834</xdr:row>
      <xdr:rowOff>139634</xdr:rowOff>
    </xdr:from>
    <xdr:to>
      <xdr:col>17</xdr:col>
      <xdr:colOff>1027080</xdr:colOff>
      <xdr:row>859</xdr:row>
      <xdr:rowOff>147554</xdr:rowOff>
    </xdr:to>
    <xdr:graphicFrame macro="">
      <xdr:nvGraphicFramePr>
        <xdr:cNvPr id="6" name="Gráfico 2">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28440</xdr:colOff>
      <xdr:row>757</xdr:row>
      <xdr:rowOff>160560</xdr:rowOff>
    </xdr:from>
    <xdr:to>
      <xdr:col>17</xdr:col>
      <xdr:colOff>1029240</xdr:colOff>
      <xdr:row>784</xdr:row>
      <xdr:rowOff>34200</xdr:rowOff>
    </xdr:to>
    <xdr:graphicFrame macro="">
      <xdr:nvGraphicFramePr>
        <xdr:cNvPr id="7" name="Gráfico 3">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1047600</xdr:colOff>
      <xdr:row>37</xdr:row>
      <xdr:rowOff>9360</xdr:rowOff>
    </xdr:from>
    <xdr:to>
      <xdr:col>23</xdr:col>
      <xdr:colOff>331920</xdr:colOff>
      <xdr:row>58</xdr:row>
      <xdr:rowOff>84240</xdr:rowOff>
    </xdr:to>
    <xdr:graphicFrame macro="">
      <xdr:nvGraphicFramePr>
        <xdr:cNvPr id="8" name="Gráfico 11">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39646</xdr:colOff>
      <xdr:row>959</xdr:row>
      <xdr:rowOff>31180</xdr:rowOff>
    </xdr:from>
    <xdr:to>
      <xdr:col>17</xdr:col>
      <xdr:colOff>1048006</xdr:colOff>
      <xdr:row>985</xdr:row>
      <xdr:rowOff>152860</xdr:rowOff>
    </xdr:to>
    <xdr:graphicFrame macro="">
      <xdr:nvGraphicFramePr>
        <xdr:cNvPr id="9" name="Gráfico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1066680</xdr:colOff>
      <xdr:row>57</xdr:row>
      <xdr:rowOff>85680</xdr:rowOff>
    </xdr:from>
    <xdr:to>
      <xdr:col>17</xdr:col>
      <xdr:colOff>36720</xdr:colOff>
      <xdr:row>69</xdr:row>
      <xdr:rowOff>112680</xdr:rowOff>
    </xdr:to>
    <xdr:pic>
      <xdr:nvPicPr>
        <xdr:cNvPr id="10" name="Imagem 5">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a:stretch/>
      </xdr:blipFill>
      <xdr:spPr>
        <a:xfrm>
          <a:off x="18173520" y="11067840"/>
          <a:ext cx="4202640" cy="2322720"/>
        </a:xfrm>
        <a:prstGeom prst="rect">
          <a:avLst/>
        </a:prstGeom>
        <a:ln w="0">
          <a:noFill/>
        </a:ln>
      </xdr:spPr>
    </xdr:pic>
    <xdr:clientData/>
  </xdr:twoCellAnchor>
  <xdr:twoCellAnchor editAs="oneCell">
    <xdr:from>
      <xdr:col>12</xdr:col>
      <xdr:colOff>923760</xdr:colOff>
      <xdr:row>1048</xdr:row>
      <xdr:rowOff>15925</xdr:rowOff>
    </xdr:from>
    <xdr:to>
      <xdr:col>16</xdr:col>
      <xdr:colOff>541440</xdr:colOff>
      <xdr:row>1054</xdr:row>
      <xdr:rowOff>71725</xdr:rowOff>
    </xdr:to>
    <xdr:pic>
      <xdr:nvPicPr>
        <xdr:cNvPr id="11" name="Imagem 13">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a:stretch/>
      </xdr:blipFill>
      <xdr:spPr>
        <a:xfrm>
          <a:off x="11233172" y="147799101"/>
          <a:ext cx="4906856" cy="1198800"/>
        </a:xfrm>
        <a:prstGeom prst="rect">
          <a:avLst/>
        </a:prstGeom>
        <a:ln w="0">
          <a:noFill/>
        </a:ln>
      </xdr:spPr>
    </xdr:pic>
    <xdr:clientData/>
  </xdr:twoCellAnchor>
  <xdr:twoCellAnchor editAs="oneCell">
    <xdr:from>
      <xdr:col>10</xdr:col>
      <xdr:colOff>138600</xdr:colOff>
      <xdr:row>1105</xdr:row>
      <xdr:rowOff>42840</xdr:rowOff>
    </xdr:from>
    <xdr:to>
      <xdr:col>11</xdr:col>
      <xdr:colOff>353160</xdr:colOff>
      <xdr:row>1106</xdr:row>
      <xdr:rowOff>29880</xdr:rowOff>
    </xdr:to>
    <xdr:sp macro="" textlink="">
      <xdr:nvSpPr>
        <xdr:cNvPr id="12" name="CaixaDeTexto 20">
          <a:extLst>
            <a:ext uri="{FF2B5EF4-FFF2-40B4-BE49-F238E27FC236}">
              <a16:creationId xmlns:a16="http://schemas.microsoft.com/office/drawing/2014/main" id="{00000000-0008-0000-0000-00000C000000}"/>
            </a:ext>
          </a:extLst>
        </xdr:cNvPr>
        <xdr:cNvSpPr/>
      </xdr:nvSpPr>
      <xdr:spPr>
        <a:xfrm>
          <a:off x="10146240" y="158449320"/>
          <a:ext cx="1928880" cy="17748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lIns="0" tIns="0" rIns="0" bIns="0" anchor="t">
          <a:spAutoFit/>
        </a:bodyPr>
        <a:lstStyle/>
        <a:p>
          <a:pPr>
            <a:lnSpc>
              <a:spcPct val="100000"/>
            </a:lnSpc>
          </a:pPr>
          <a:r>
            <a:rPr lang="pt-BR" sz="1400" b="0" strike="noStrike" spc="-1">
              <a:solidFill>
                <a:schemeClr val="dk1"/>
              </a:solidFill>
              <a:latin typeface="Cambria Math"/>
            </a:rPr>
            <a:t>𝑀𝑑​=𝑀1𝑑​+𝑀2𝑑​</a:t>
          </a:r>
          <a:endParaRPr lang="en-US" sz="1400" b="0" strike="noStrike" spc="-1">
            <a:latin typeface="Times New Roman"/>
          </a:endParaRPr>
        </a:p>
      </xdr:txBody>
    </xdr:sp>
    <xdr:clientData/>
  </xdr:twoCellAnchor>
  <xdr:twoCellAnchor editAs="oneCell">
    <xdr:from>
      <xdr:col>10</xdr:col>
      <xdr:colOff>129600</xdr:colOff>
      <xdr:row>1106</xdr:row>
      <xdr:rowOff>90360</xdr:rowOff>
    </xdr:from>
    <xdr:to>
      <xdr:col>12</xdr:col>
      <xdr:colOff>979200</xdr:colOff>
      <xdr:row>1108</xdr:row>
      <xdr:rowOff>75600</xdr:rowOff>
    </xdr:to>
    <xdr:sp macro="" textlink="">
      <xdr:nvSpPr>
        <xdr:cNvPr id="13" name="CaixaDeTexto 21">
          <a:extLst>
            <a:ext uri="{FF2B5EF4-FFF2-40B4-BE49-F238E27FC236}">
              <a16:creationId xmlns:a16="http://schemas.microsoft.com/office/drawing/2014/main" id="{00000000-0008-0000-0000-00000D000000}"/>
            </a:ext>
          </a:extLst>
        </xdr:cNvPr>
        <xdr:cNvSpPr/>
      </xdr:nvSpPr>
      <xdr:spPr>
        <a:xfrm>
          <a:off x="10137240" y="158687280"/>
          <a:ext cx="4583520" cy="36612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0" tIns="0" rIns="0" bIns="0" anchor="t">
          <a:noAutofit/>
        </a:bodyPr>
        <a:lstStyle/>
        <a:p>
          <a:pPr>
            <a:lnSpc>
              <a:spcPct val="100000"/>
            </a:lnSpc>
          </a:pPr>
          <a:r>
            <a:rPr lang="pt-BR" sz="1400" b="0" strike="noStrike" spc="-1">
              <a:solidFill>
                <a:schemeClr val="dk1"/>
              </a:solidFill>
              <a:latin typeface="Cambria Math"/>
            </a:rPr>
            <a:t>𝑀1𝑑​=</a:t>
          </a:r>
          <a:r>
            <a:rPr lang="el-GR" sz="1400" b="0" strike="noStrike" spc="-1">
              <a:solidFill>
                <a:schemeClr val="dk1"/>
              </a:solidFill>
              <a:latin typeface="Cambria Math"/>
            </a:rPr>
            <a:t>𝛼</a:t>
          </a:r>
          <a:r>
            <a:rPr lang="pt-BR" sz="1400" b="0" strike="noStrike" spc="-1">
              <a:solidFill>
                <a:schemeClr val="dk1"/>
              </a:solidFill>
              <a:latin typeface="Cambria Math"/>
            </a:rPr>
            <a:t>𝑐​⋅𝑓𝑐𝑑​⋅</a:t>
          </a:r>
          <a:r>
            <a:rPr lang="el-GR" sz="1400" b="0" strike="noStrike" spc="-1">
              <a:solidFill>
                <a:schemeClr val="dk1"/>
              </a:solidFill>
              <a:latin typeface="Cambria Math"/>
            </a:rPr>
            <a:t>𝜂</a:t>
          </a:r>
          <a:r>
            <a:rPr lang="pt-BR" sz="1400" b="0" strike="noStrike" spc="-1">
              <a:solidFill>
                <a:schemeClr val="dk1"/>
              </a:solidFill>
              <a:latin typeface="Cambria Math"/>
            </a:rPr>
            <a:t>𝑐​⋅(𝑏𝑓​−𝑏𝑤​)⋅ℎ𝑓​⋅(𝑑𝑝​−2ℎ𝑓​​)</a:t>
          </a:r>
          <a:endParaRPr lang="en-US" sz="1400" b="0" strike="noStrike" spc="-1">
            <a:latin typeface="Times New Roman"/>
          </a:endParaRPr>
        </a:p>
      </xdr:txBody>
    </xdr:sp>
    <xdr:clientData/>
  </xdr:twoCellAnchor>
  <xdr:twoCellAnchor editAs="oneCell">
    <xdr:from>
      <xdr:col>10</xdr:col>
      <xdr:colOff>124920</xdr:colOff>
      <xdr:row>1107</xdr:row>
      <xdr:rowOff>128520</xdr:rowOff>
    </xdr:from>
    <xdr:to>
      <xdr:col>11</xdr:col>
      <xdr:colOff>323640</xdr:colOff>
      <xdr:row>1108</xdr:row>
      <xdr:rowOff>115560</xdr:rowOff>
    </xdr:to>
    <xdr:sp macro="" textlink="">
      <xdr:nvSpPr>
        <xdr:cNvPr id="14" name="CaixaDeTexto 22">
          <a:extLst>
            <a:ext uri="{FF2B5EF4-FFF2-40B4-BE49-F238E27FC236}">
              <a16:creationId xmlns:a16="http://schemas.microsoft.com/office/drawing/2014/main" id="{00000000-0008-0000-0000-00000E000000}"/>
            </a:ext>
          </a:extLst>
        </xdr:cNvPr>
        <xdr:cNvSpPr/>
      </xdr:nvSpPr>
      <xdr:spPr>
        <a:xfrm>
          <a:off x="10132560" y="158915880"/>
          <a:ext cx="1913040" cy="17748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lIns="0" tIns="0" rIns="0" bIns="0" anchor="t">
          <a:spAutoFit/>
        </a:bodyPr>
        <a:lstStyle/>
        <a:p>
          <a:pPr>
            <a:lnSpc>
              <a:spcPct val="100000"/>
            </a:lnSpc>
          </a:pPr>
          <a:r>
            <a:rPr lang="pt-BR" sz="1400" b="0" strike="noStrike" spc="-1">
              <a:solidFill>
                <a:schemeClr val="dk1"/>
              </a:solidFill>
              <a:latin typeface="Cambria Math"/>
            </a:rPr>
            <a:t>𝑀2𝑑=𝑀𝑑 − 𝑀1𝑑</a:t>
          </a:r>
          <a:endParaRPr lang="en-US" sz="1400" b="0" strike="noStrike" spc="-1">
            <a:latin typeface="Times New Roman"/>
          </a:endParaRPr>
        </a:p>
      </xdr:txBody>
    </xdr:sp>
    <xdr:clientData/>
  </xdr:twoCellAnchor>
  <xdr:twoCellAnchor editAs="oneCell">
    <xdr:from>
      <xdr:col>10</xdr:col>
      <xdr:colOff>128880</xdr:colOff>
      <xdr:row>1109</xdr:row>
      <xdr:rowOff>720</xdr:rowOff>
    </xdr:from>
    <xdr:to>
      <xdr:col>11</xdr:col>
      <xdr:colOff>1478160</xdr:colOff>
      <xdr:row>1110</xdr:row>
      <xdr:rowOff>74160</xdr:rowOff>
    </xdr:to>
    <xdr:sp macro="" textlink="">
      <xdr:nvSpPr>
        <xdr:cNvPr id="15" name="CaixaDeTexto 23">
          <a:extLst>
            <a:ext uri="{FF2B5EF4-FFF2-40B4-BE49-F238E27FC236}">
              <a16:creationId xmlns:a16="http://schemas.microsoft.com/office/drawing/2014/main" id="{00000000-0008-0000-0000-00000F000000}"/>
            </a:ext>
          </a:extLst>
        </xdr:cNvPr>
        <xdr:cNvSpPr/>
      </xdr:nvSpPr>
      <xdr:spPr>
        <a:xfrm>
          <a:off x="10136520" y="159169320"/>
          <a:ext cx="3063600" cy="2937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0" tIns="0" rIns="0" bIns="0" anchor="t">
          <a:noAutofit/>
        </a:bodyPr>
        <a:lstStyle/>
        <a:p>
          <a:pPr>
            <a:lnSpc>
              <a:spcPct val="100000"/>
            </a:lnSpc>
          </a:pPr>
          <a:r>
            <a:rPr lang="pt-BR" sz="1400" b="0" strike="noStrike" spc="-1">
              <a:solidFill>
                <a:schemeClr val="dk1"/>
              </a:solidFill>
              <a:latin typeface="Cambria Math"/>
            </a:rPr>
            <a:t>𝑀2𝑑​=</a:t>
          </a:r>
          <a:r>
            <a:rPr lang="el-GR" sz="1400" b="0" strike="noStrike" spc="-1">
              <a:solidFill>
                <a:schemeClr val="dk1"/>
              </a:solidFill>
              <a:latin typeface="Cambria Math"/>
            </a:rPr>
            <a:t>𝛼</a:t>
          </a:r>
          <a:r>
            <a:rPr lang="pt-BR" sz="1400" b="0" strike="noStrike" spc="-1">
              <a:solidFill>
                <a:schemeClr val="dk1"/>
              </a:solidFill>
              <a:latin typeface="Cambria Math"/>
            </a:rPr>
            <a:t>𝑐​⋅</a:t>
          </a:r>
          <a:r>
            <a:rPr lang="el-GR" sz="1400" b="0" strike="noStrike" spc="-1">
              <a:solidFill>
                <a:schemeClr val="dk1"/>
              </a:solidFill>
              <a:latin typeface="Cambria Math"/>
            </a:rPr>
            <a:t>𝜆⋅𝜂</a:t>
          </a:r>
          <a:r>
            <a:rPr lang="pt-BR" sz="1400" b="0" strike="noStrike" spc="-1">
              <a:solidFill>
                <a:schemeClr val="dk1"/>
              </a:solidFill>
              <a:latin typeface="Cambria Math"/>
            </a:rPr>
            <a:t>𝑐​⋅𝑓𝑐𝑑​⋅𝑏2​⋅𝑥⋅(𝑑𝑝​−2</a:t>
          </a:r>
          <a:r>
            <a:rPr lang="el-GR" sz="1400" b="0" strike="noStrike" spc="-1">
              <a:solidFill>
                <a:schemeClr val="dk1"/>
              </a:solidFill>
              <a:latin typeface="Cambria Math"/>
            </a:rPr>
            <a:t>𝜆</a:t>
          </a:r>
          <a:r>
            <a:rPr lang="pt-BR" sz="1400" b="0" strike="noStrike" spc="-1">
              <a:solidFill>
                <a:schemeClr val="dk1"/>
              </a:solidFill>
              <a:latin typeface="Cambria Math"/>
            </a:rPr>
            <a:t>𝑥​)</a:t>
          </a:r>
          <a:endParaRPr lang="en-US" sz="1400" b="0" strike="noStrike" spc="-1">
            <a:latin typeface="Times New Roman"/>
          </a:endParaRPr>
        </a:p>
      </xdr:txBody>
    </xdr:sp>
    <xdr:clientData/>
  </xdr:twoCellAnchor>
  <xdr:twoCellAnchor editAs="oneCell">
    <xdr:from>
      <xdr:col>12</xdr:col>
      <xdr:colOff>626559</xdr:colOff>
      <xdr:row>1101</xdr:row>
      <xdr:rowOff>161379</xdr:rowOff>
    </xdr:from>
    <xdr:to>
      <xdr:col>16</xdr:col>
      <xdr:colOff>1074445</xdr:colOff>
      <xdr:row>1115</xdr:row>
      <xdr:rowOff>108759</xdr:rowOff>
    </xdr:to>
    <xdr:pic>
      <xdr:nvPicPr>
        <xdr:cNvPr id="16" name="Imagem 24">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1"/>
        <a:stretch/>
      </xdr:blipFill>
      <xdr:spPr>
        <a:xfrm>
          <a:off x="10935971" y="158052261"/>
          <a:ext cx="5737062" cy="2647998"/>
        </a:xfrm>
        <a:prstGeom prst="rect">
          <a:avLst/>
        </a:prstGeom>
        <a:ln w="0">
          <a:noFill/>
        </a:ln>
      </xdr:spPr>
    </xdr:pic>
    <xdr:clientData/>
  </xdr:twoCellAnchor>
  <xdr:twoCellAnchor editAs="oneCell">
    <xdr:from>
      <xdr:col>12</xdr:col>
      <xdr:colOff>149040</xdr:colOff>
      <xdr:row>1078</xdr:row>
      <xdr:rowOff>115920</xdr:rowOff>
    </xdr:from>
    <xdr:to>
      <xdr:col>13</xdr:col>
      <xdr:colOff>264600</xdr:colOff>
      <xdr:row>1079</xdr:row>
      <xdr:rowOff>170280</xdr:rowOff>
    </xdr:to>
    <xdr:sp macro="" textlink="">
      <xdr:nvSpPr>
        <xdr:cNvPr id="17" name="CaixaDeTexto 25">
          <a:extLst>
            <a:ext uri="{FF2B5EF4-FFF2-40B4-BE49-F238E27FC236}">
              <a16:creationId xmlns:a16="http://schemas.microsoft.com/office/drawing/2014/main" id="{00000000-0008-0000-0000-000011000000}"/>
            </a:ext>
          </a:extLst>
        </xdr:cNvPr>
        <xdr:cNvSpPr/>
      </xdr:nvSpPr>
      <xdr:spPr>
        <a:xfrm>
          <a:off x="13890600" y="153378720"/>
          <a:ext cx="2147400" cy="2451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lIns="0" tIns="0" rIns="0" bIns="0" anchor="t">
          <a:noAutofit/>
        </a:bodyPr>
        <a:lstStyle/>
        <a:p>
          <a:pPr>
            <a:lnSpc>
              <a:spcPct val="100000"/>
            </a:lnSpc>
          </a:pPr>
          <a:r>
            <a:rPr lang="pt-BR" sz="1800" b="0" strike="noStrike" spc="-1">
              <a:solidFill>
                <a:schemeClr val="dk1"/>
              </a:solidFill>
              <a:latin typeface="Cambria Math"/>
              <a:ea typeface="Cambria Math"/>
            </a:rPr>
            <a:t>𝑥,𝑙𝑖𝑚="hf/</a:t>
          </a:r>
          <a:r>
            <a:rPr lang="el-GR" sz="1800" b="0" strike="noStrike" spc="-1">
              <a:solidFill>
                <a:schemeClr val="dk1"/>
              </a:solidFill>
              <a:latin typeface="Cambria Math"/>
              <a:ea typeface="Cambria Math"/>
            </a:rPr>
            <a:t>λ</a:t>
          </a:r>
          <a:r>
            <a:rPr lang="pt-BR" sz="1800" b="0" strike="noStrike" spc="-1">
              <a:solidFill>
                <a:schemeClr val="dk1"/>
              </a:solidFill>
              <a:latin typeface="Cambria Math"/>
              <a:ea typeface="Cambria Math"/>
            </a:rPr>
            <a:t>"</a:t>
          </a:r>
          <a:endParaRPr lang="en-US" sz="1800" b="0" strike="noStrike" spc="-1">
            <a:latin typeface="Times New Roman"/>
          </a:endParaRPr>
        </a:p>
      </xdr:txBody>
    </xdr:sp>
    <xdr:clientData/>
  </xdr:twoCellAnchor>
  <xdr:twoCellAnchor editAs="oneCell">
    <xdr:from>
      <xdr:col>18</xdr:col>
      <xdr:colOff>22412</xdr:colOff>
      <xdr:row>1309</xdr:row>
      <xdr:rowOff>14523</xdr:rowOff>
    </xdr:from>
    <xdr:to>
      <xdr:col>23</xdr:col>
      <xdr:colOff>202052</xdr:colOff>
      <xdr:row>1354</xdr:row>
      <xdr:rowOff>136623</xdr:rowOff>
    </xdr:to>
    <xdr:pic>
      <xdr:nvPicPr>
        <xdr:cNvPr id="18" name="Imagem 10">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2"/>
        <a:stretch/>
      </xdr:blipFill>
      <xdr:spPr>
        <a:xfrm>
          <a:off x="17828559" y="178681111"/>
          <a:ext cx="5491228" cy="8761836"/>
        </a:xfrm>
        <a:prstGeom prst="rect">
          <a:avLst/>
        </a:prstGeom>
        <a:ln w="0">
          <a:noFill/>
        </a:ln>
      </xdr:spPr>
    </xdr:pic>
    <xdr:clientData/>
  </xdr:twoCellAnchor>
  <xdr:twoCellAnchor editAs="oneCell">
    <xdr:from>
      <xdr:col>14</xdr:col>
      <xdr:colOff>1269536</xdr:colOff>
      <xdr:row>1291</xdr:row>
      <xdr:rowOff>80058</xdr:rowOff>
    </xdr:from>
    <xdr:to>
      <xdr:col>17</xdr:col>
      <xdr:colOff>991976</xdr:colOff>
      <xdr:row>1300</xdr:row>
      <xdr:rowOff>182658</xdr:rowOff>
    </xdr:to>
    <xdr:pic>
      <xdr:nvPicPr>
        <xdr:cNvPr id="19" name="Imagem 12">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3"/>
        <a:stretch/>
      </xdr:blipFill>
      <xdr:spPr>
        <a:xfrm>
          <a:off x="14100271" y="175317646"/>
          <a:ext cx="3644499" cy="1817100"/>
        </a:xfrm>
        <a:prstGeom prst="rect">
          <a:avLst/>
        </a:prstGeom>
        <a:ln w="0">
          <a:noFill/>
        </a:ln>
      </xdr:spPr>
    </xdr:pic>
    <xdr:clientData/>
  </xdr:twoCellAnchor>
  <xdr:twoCellAnchor>
    <xdr:from>
      <xdr:col>15</xdr:col>
      <xdr:colOff>481680</xdr:colOff>
      <xdr:row>14</xdr:row>
      <xdr:rowOff>1703</xdr:rowOff>
    </xdr:from>
    <xdr:to>
      <xdr:col>15</xdr:col>
      <xdr:colOff>1274760</xdr:colOff>
      <xdr:row>16</xdr:row>
      <xdr:rowOff>2</xdr:rowOff>
    </xdr:to>
    <xdr:sp macro="" textlink="">
      <xdr:nvSpPr>
        <xdr:cNvPr id="20" name="Retângulo: Cantos Arredondados 26">
          <a:hlinkClick xmlns:r="http://schemas.openxmlformats.org/officeDocument/2006/relationships" r:id="rId14"/>
          <a:extLst>
            <a:ext uri="{FF2B5EF4-FFF2-40B4-BE49-F238E27FC236}">
              <a16:creationId xmlns:a16="http://schemas.microsoft.com/office/drawing/2014/main" id="{00000000-0008-0000-0000-000014000000}"/>
            </a:ext>
          </a:extLst>
        </xdr:cNvPr>
        <xdr:cNvSpPr/>
      </xdr:nvSpPr>
      <xdr:spPr>
        <a:xfrm>
          <a:off x="14769180" y="2702321"/>
          <a:ext cx="793080" cy="401710"/>
        </a:xfrm>
        <a:prstGeom prst="roundRect">
          <a:avLst>
            <a:gd name="adj" fmla="val 16667"/>
          </a:avLst>
        </a:prstGeom>
        <a:gradFill rotWithShape="0">
          <a:gsLst>
            <a:gs pos="0">
              <a:srgbClr val="A7D4A0"/>
            </a:gs>
            <a:gs pos="50000">
              <a:srgbClr val="9BCA93"/>
            </a:gs>
            <a:gs pos="100000">
              <a:srgbClr val="8AC57F"/>
            </a:gs>
          </a:gsLst>
          <a:lin ang="5400000"/>
        </a:gradFill>
        <a:ln w="12700">
          <a:solidFill>
            <a:srgbClr val="4EA72E"/>
          </a:solidFill>
          <a:miter/>
        </a:ln>
      </xdr:spPr>
      <xdr:style>
        <a:lnRef idx="1">
          <a:schemeClr val="accent6"/>
        </a:lnRef>
        <a:fillRef idx="2">
          <a:schemeClr val="accent6"/>
        </a:fillRef>
        <a:effectRef idx="1">
          <a:schemeClr val="accent6"/>
        </a:effectRef>
        <a:fontRef idx="minor"/>
      </xdr:style>
      <xdr:txBody>
        <a:bodyPr vertOverflow="clip" horzOverflow="clip" lIns="90000" tIns="45000" rIns="90000" bIns="45000" anchor="ctr">
          <a:noAutofit/>
        </a:bodyPr>
        <a:lstStyle/>
        <a:p>
          <a:pPr algn="ctr">
            <a:lnSpc>
              <a:spcPct val="100000"/>
            </a:lnSpc>
          </a:pPr>
          <a:r>
            <a:rPr lang="pt-BR" sz="1200" b="0" strike="noStrike" spc="-1">
              <a:solidFill>
                <a:schemeClr val="dk1"/>
              </a:solidFill>
              <a:latin typeface="Arial"/>
            </a:rPr>
            <a:t>Conferir</a:t>
          </a:r>
          <a:endParaRPr lang="en-US" sz="1200" b="0" strike="noStrike" spc="-1">
            <a:latin typeface="Times New Roman"/>
          </a:endParaRPr>
        </a:p>
      </xdr:txBody>
    </xdr:sp>
    <xdr:clientData/>
  </xdr:twoCellAnchor>
  <xdr:twoCellAnchor>
    <xdr:from>
      <xdr:col>15</xdr:col>
      <xdr:colOff>477360</xdr:colOff>
      <xdr:row>17</xdr:row>
      <xdr:rowOff>154080</xdr:rowOff>
    </xdr:from>
    <xdr:to>
      <xdr:col>15</xdr:col>
      <xdr:colOff>1270440</xdr:colOff>
      <xdr:row>19</xdr:row>
      <xdr:rowOff>173880</xdr:rowOff>
    </xdr:to>
    <xdr:sp macro="" textlink="">
      <xdr:nvSpPr>
        <xdr:cNvPr id="21" name="Retângulo: Cantos Arredondados 29">
          <a:hlinkClick xmlns:r="http://schemas.openxmlformats.org/officeDocument/2006/relationships" r:id="rId15"/>
          <a:extLst>
            <a:ext uri="{FF2B5EF4-FFF2-40B4-BE49-F238E27FC236}">
              <a16:creationId xmlns:a16="http://schemas.microsoft.com/office/drawing/2014/main" id="{00000000-0008-0000-0000-000015000000}"/>
            </a:ext>
          </a:extLst>
        </xdr:cNvPr>
        <xdr:cNvSpPr/>
      </xdr:nvSpPr>
      <xdr:spPr>
        <a:xfrm>
          <a:off x="19527480" y="3440160"/>
          <a:ext cx="793080" cy="381960"/>
        </a:xfrm>
        <a:prstGeom prst="roundRect">
          <a:avLst>
            <a:gd name="adj" fmla="val 16667"/>
          </a:avLst>
        </a:prstGeom>
        <a:gradFill rotWithShape="0">
          <a:gsLst>
            <a:gs pos="0">
              <a:srgbClr val="A7D4A0"/>
            </a:gs>
            <a:gs pos="50000">
              <a:srgbClr val="9BCA93"/>
            </a:gs>
            <a:gs pos="100000">
              <a:srgbClr val="8AC57F"/>
            </a:gs>
          </a:gsLst>
          <a:lin ang="5400000"/>
        </a:gradFill>
        <a:ln w="12700">
          <a:solidFill>
            <a:srgbClr val="4EA72E"/>
          </a:solidFill>
          <a:miter/>
        </a:ln>
      </xdr:spPr>
      <xdr:style>
        <a:lnRef idx="1">
          <a:schemeClr val="accent6"/>
        </a:lnRef>
        <a:fillRef idx="2">
          <a:schemeClr val="accent6"/>
        </a:fillRef>
        <a:effectRef idx="1">
          <a:schemeClr val="accent6"/>
        </a:effectRef>
        <a:fontRef idx="minor"/>
      </xdr:style>
      <xdr:txBody>
        <a:bodyPr vertOverflow="clip" horzOverflow="clip" lIns="90000" tIns="45000" rIns="90000" bIns="45000" anchor="ctr">
          <a:noAutofit/>
        </a:bodyPr>
        <a:lstStyle/>
        <a:p>
          <a:pPr algn="ctr">
            <a:lnSpc>
              <a:spcPct val="100000"/>
            </a:lnSpc>
          </a:pPr>
          <a:r>
            <a:rPr lang="pt-BR" sz="1200" b="0" strike="noStrike" spc="-1">
              <a:solidFill>
                <a:schemeClr val="dk1"/>
              </a:solidFill>
              <a:latin typeface="Arial"/>
            </a:rPr>
            <a:t>Conferir</a:t>
          </a:r>
          <a:endParaRPr lang="en-US" sz="1200" b="0" strike="noStrike" spc="-1">
            <a:latin typeface="Times New Roman"/>
          </a:endParaRPr>
        </a:p>
      </xdr:txBody>
    </xdr:sp>
    <xdr:clientData/>
  </xdr:twoCellAnchor>
  <xdr:twoCellAnchor>
    <xdr:from>
      <xdr:col>15</xdr:col>
      <xdr:colOff>484200</xdr:colOff>
      <xdr:row>22</xdr:row>
      <xdr:rowOff>170064</xdr:rowOff>
    </xdr:from>
    <xdr:to>
      <xdr:col>15</xdr:col>
      <xdr:colOff>1277280</xdr:colOff>
      <xdr:row>25</xdr:row>
      <xdr:rowOff>1210</xdr:rowOff>
    </xdr:to>
    <xdr:sp macro="" textlink="">
      <xdr:nvSpPr>
        <xdr:cNvPr id="22" name="Retângulo: Cantos Arredondados 30">
          <a:hlinkClick xmlns:r="http://schemas.openxmlformats.org/officeDocument/2006/relationships" r:id="rId16"/>
          <a:extLst>
            <a:ext uri="{FF2B5EF4-FFF2-40B4-BE49-F238E27FC236}">
              <a16:creationId xmlns:a16="http://schemas.microsoft.com/office/drawing/2014/main" id="{00000000-0008-0000-0000-000016000000}"/>
            </a:ext>
          </a:extLst>
        </xdr:cNvPr>
        <xdr:cNvSpPr/>
      </xdr:nvSpPr>
      <xdr:spPr>
        <a:xfrm>
          <a:off x="14771700" y="4349858"/>
          <a:ext cx="793080" cy="369028"/>
        </a:xfrm>
        <a:prstGeom prst="roundRect">
          <a:avLst>
            <a:gd name="adj" fmla="val 16667"/>
          </a:avLst>
        </a:prstGeom>
        <a:gradFill rotWithShape="0">
          <a:gsLst>
            <a:gs pos="0">
              <a:srgbClr val="A7D4A0"/>
            </a:gs>
            <a:gs pos="50000">
              <a:srgbClr val="9BCA93"/>
            </a:gs>
            <a:gs pos="100000">
              <a:srgbClr val="8AC57F"/>
            </a:gs>
          </a:gsLst>
          <a:lin ang="5400000"/>
        </a:gradFill>
        <a:ln w="12700">
          <a:solidFill>
            <a:srgbClr val="4EA72E"/>
          </a:solidFill>
          <a:miter/>
        </a:ln>
      </xdr:spPr>
      <xdr:style>
        <a:lnRef idx="1">
          <a:schemeClr val="accent6"/>
        </a:lnRef>
        <a:fillRef idx="2">
          <a:schemeClr val="accent6"/>
        </a:fillRef>
        <a:effectRef idx="1">
          <a:schemeClr val="accent6"/>
        </a:effectRef>
        <a:fontRef idx="minor"/>
      </xdr:style>
      <xdr:txBody>
        <a:bodyPr vertOverflow="clip" horzOverflow="clip" lIns="90000" tIns="45000" rIns="90000" bIns="45000" anchor="ctr">
          <a:noAutofit/>
        </a:bodyPr>
        <a:lstStyle/>
        <a:p>
          <a:pPr algn="ctr">
            <a:lnSpc>
              <a:spcPct val="100000"/>
            </a:lnSpc>
          </a:pPr>
          <a:r>
            <a:rPr lang="pt-BR" sz="1200" b="0" strike="noStrike" spc="-1">
              <a:solidFill>
                <a:schemeClr val="dk1"/>
              </a:solidFill>
              <a:latin typeface="Arial"/>
            </a:rPr>
            <a:t>Conferir</a:t>
          </a:r>
          <a:endParaRPr lang="en-US" sz="1200" b="0" strike="noStrike" spc="-1">
            <a:latin typeface="Times New Roman"/>
          </a:endParaRPr>
        </a:p>
      </xdr:txBody>
    </xdr:sp>
    <xdr:clientData/>
  </xdr:twoCellAnchor>
  <xdr:twoCellAnchor>
    <xdr:from>
      <xdr:col>14</xdr:col>
      <xdr:colOff>7200</xdr:colOff>
      <xdr:row>14</xdr:row>
      <xdr:rowOff>158400</xdr:rowOff>
    </xdr:from>
    <xdr:to>
      <xdr:col>14</xdr:col>
      <xdr:colOff>1106640</xdr:colOff>
      <xdr:row>17</xdr:row>
      <xdr:rowOff>178200</xdr:rowOff>
    </xdr:to>
    <xdr:sp macro="" textlink="">
      <xdr:nvSpPr>
        <xdr:cNvPr id="23" name="Retângulo: Cantos Arredondados 34">
          <a:hlinkClick xmlns:r="http://schemas.openxmlformats.org/officeDocument/2006/relationships" r:id="rId17"/>
          <a:extLst>
            <a:ext uri="{FF2B5EF4-FFF2-40B4-BE49-F238E27FC236}">
              <a16:creationId xmlns:a16="http://schemas.microsoft.com/office/drawing/2014/main" id="{00000000-0008-0000-0000-000017000000}"/>
            </a:ext>
          </a:extLst>
        </xdr:cNvPr>
        <xdr:cNvSpPr/>
      </xdr:nvSpPr>
      <xdr:spPr>
        <a:xfrm>
          <a:off x="17114040" y="2854080"/>
          <a:ext cx="1099440" cy="610200"/>
        </a:xfrm>
        <a:prstGeom prst="roundRect">
          <a:avLst>
            <a:gd name="adj" fmla="val 16667"/>
          </a:avLst>
        </a:prstGeom>
        <a:gradFill rotWithShape="0">
          <a:gsLst>
            <a:gs pos="0">
              <a:srgbClr val="A7D4A0"/>
            </a:gs>
            <a:gs pos="50000">
              <a:srgbClr val="9BCA93"/>
            </a:gs>
            <a:gs pos="100000">
              <a:srgbClr val="8AC57F"/>
            </a:gs>
          </a:gsLst>
          <a:lin ang="5400000"/>
        </a:gradFill>
        <a:ln w="12700">
          <a:solidFill>
            <a:srgbClr val="4EA72E"/>
          </a:solidFill>
          <a:miter/>
        </a:ln>
      </xdr:spPr>
      <xdr:style>
        <a:lnRef idx="1">
          <a:schemeClr val="accent6"/>
        </a:lnRef>
        <a:fillRef idx="2">
          <a:schemeClr val="accent6"/>
        </a:fillRef>
        <a:effectRef idx="1">
          <a:schemeClr val="accent6"/>
        </a:effectRef>
        <a:fontRef idx="minor"/>
      </xdr:style>
      <xdr:txBody>
        <a:bodyPr vertOverflow="clip" horzOverflow="clip" lIns="90000" tIns="45000" rIns="90000" bIns="45000" anchor="ctr">
          <a:noAutofit/>
        </a:bodyPr>
        <a:lstStyle/>
        <a:p>
          <a:pPr algn="ctr">
            <a:lnSpc>
              <a:spcPct val="100000"/>
            </a:lnSpc>
          </a:pPr>
          <a:r>
            <a:rPr lang="pt-BR" sz="1600" b="0" strike="noStrike" spc="-1">
              <a:solidFill>
                <a:schemeClr val="dk1"/>
              </a:solidFill>
              <a:latin typeface="Arial"/>
            </a:rPr>
            <a:t>Resumo</a:t>
          </a:r>
          <a:endParaRPr lang="en-US" sz="1600" b="0" strike="noStrike" spc="-1">
            <a:latin typeface="Times New Roman"/>
          </a:endParaRPr>
        </a:p>
      </xdr:txBody>
    </xdr:sp>
    <xdr:clientData/>
  </xdr:twoCellAnchor>
  <xdr:twoCellAnchor editAs="oneCell">
    <xdr:from>
      <xdr:col>10</xdr:col>
      <xdr:colOff>38160</xdr:colOff>
      <xdr:row>1364</xdr:row>
      <xdr:rowOff>169920</xdr:rowOff>
    </xdr:from>
    <xdr:to>
      <xdr:col>17</xdr:col>
      <xdr:colOff>1036800</xdr:colOff>
      <xdr:row>1379</xdr:row>
      <xdr:rowOff>82440</xdr:rowOff>
    </xdr:to>
    <xdr:graphicFrame macro="">
      <xdr:nvGraphicFramePr>
        <xdr:cNvPr id="24" name="Gráfico 18">
          <a:extLst>
            <a:ext uri="{FF2B5EF4-FFF2-40B4-BE49-F238E27FC236}">
              <a16:creationId xmlns:a16="http://schemas.microsoft.com/office/drawing/2014/main" id="{00000000-0008-0000-00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18</xdr:col>
      <xdr:colOff>123840</xdr:colOff>
      <xdr:row>539</xdr:row>
      <xdr:rowOff>83520</xdr:rowOff>
    </xdr:from>
    <xdr:to>
      <xdr:col>21</xdr:col>
      <xdr:colOff>284400</xdr:colOff>
      <xdr:row>550</xdr:row>
      <xdr:rowOff>111240</xdr:rowOff>
    </xdr:to>
    <xdr:pic>
      <xdr:nvPicPr>
        <xdr:cNvPr id="25" name="Imagem 35">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
        <a:stretch/>
      </xdr:blipFill>
      <xdr:spPr>
        <a:xfrm>
          <a:off x="23860080" y="69194520"/>
          <a:ext cx="4224600" cy="2122920"/>
        </a:xfrm>
        <a:prstGeom prst="rect">
          <a:avLst/>
        </a:prstGeom>
        <a:ln w="0">
          <a:noFill/>
        </a:ln>
      </xdr:spPr>
    </xdr:pic>
    <xdr:clientData/>
  </xdr:twoCellAnchor>
  <xdr:twoCellAnchor editAs="oneCell">
    <xdr:from>
      <xdr:col>19</xdr:col>
      <xdr:colOff>743040</xdr:colOff>
      <xdr:row>614</xdr:row>
      <xdr:rowOff>122400</xdr:rowOff>
    </xdr:from>
    <xdr:to>
      <xdr:col>25</xdr:col>
      <xdr:colOff>493920</xdr:colOff>
      <xdr:row>627</xdr:row>
      <xdr:rowOff>101880</xdr:rowOff>
    </xdr:to>
    <xdr:pic>
      <xdr:nvPicPr>
        <xdr:cNvPr id="26" name="Imagem 36">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9"/>
        <a:stretch/>
      </xdr:blipFill>
      <xdr:spPr>
        <a:xfrm>
          <a:off x="25597080" y="83520720"/>
          <a:ext cx="7916760" cy="2455920"/>
        </a:xfrm>
        <a:prstGeom prst="rect">
          <a:avLst/>
        </a:prstGeom>
        <a:ln w="0">
          <a:noFill/>
        </a:ln>
      </xdr:spPr>
    </xdr:pic>
    <xdr:clientData/>
  </xdr:twoCellAnchor>
  <xdr:twoCellAnchor editAs="oneCell">
    <xdr:from>
      <xdr:col>17</xdr:col>
      <xdr:colOff>752400</xdr:colOff>
      <xdr:row>863</xdr:row>
      <xdr:rowOff>187920</xdr:rowOff>
    </xdr:from>
    <xdr:to>
      <xdr:col>21</xdr:col>
      <xdr:colOff>1179720</xdr:colOff>
      <xdr:row>876</xdr:row>
      <xdr:rowOff>158760</xdr:rowOff>
    </xdr:to>
    <xdr:pic>
      <xdr:nvPicPr>
        <xdr:cNvPr id="27" name="Imagem 37">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19"/>
        <a:stretch/>
      </xdr:blipFill>
      <xdr:spPr>
        <a:xfrm>
          <a:off x="23091840" y="116723880"/>
          <a:ext cx="5888160" cy="2447280"/>
        </a:xfrm>
        <a:prstGeom prst="rect">
          <a:avLst/>
        </a:prstGeom>
        <a:ln w="0">
          <a:noFill/>
        </a:ln>
      </xdr:spPr>
    </xdr:pic>
    <xdr:clientData/>
  </xdr:twoCellAnchor>
  <xdr:twoCellAnchor editAs="oneCell">
    <xdr:from>
      <xdr:col>29</xdr:col>
      <xdr:colOff>181080</xdr:colOff>
      <xdr:row>36</xdr:row>
      <xdr:rowOff>9360</xdr:rowOff>
    </xdr:from>
    <xdr:to>
      <xdr:col>33</xdr:col>
      <xdr:colOff>398880</xdr:colOff>
      <xdr:row>70</xdr:row>
      <xdr:rowOff>65160</xdr:rowOff>
    </xdr:to>
    <xdr:graphicFrame macro="">
      <xdr:nvGraphicFramePr>
        <xdr:cNvPr id="28" name="Gráfico 38">
          <a:extLst>
            <a:ext uri="{FF2B5EF4-FFF2-40B4-BE49-F238E27FC236}">
              <a16:creationId xmlns:a16="http://schemas.microsoft.com/office/drawing/2014/main" id="{00000000-0008-0000-00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18</xdr:col>
      <xdr:colOff>19080</xdr:colOff>
      <xdr:row>233</xdr:row>
      <xdr:rowOff>83520</xdr:rowOff>
    </xdr:from>
    <xdr:to>
      <xdr:col>23</xdr:col>
      <xdr:colOff>303480</xdr:colOff>
      <xdr:row>268</xdr:row>
      <xdr:rowOff>73080</xdr:rowOff>
    </xdr:to>
    <xdr:graphicFrame macro="">
      <xdr:nvGraphicFramePr>
        <xdr:cNvPr id="29" name="Gráfico 39">
          <a:extLst>
            <a:ext uri="{FF2B5EF4-FFF2-40B4-BE49-F238E27FC236}">
              <a16:creationId xmlns:a16="http://schemas.microsoft.com/office/drawing/2014/main" id="{00000000-0008-0000-00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10</xdr:col>
      <xdr:colOff>92344</xdr:colOff>
      <xdr:row>999</xdr:row>
      <xdr:rowOff>15074</xdr:rowOff>
    </xdr:from>
    <xdr:to>
      <xdr:col>17</xdr:col>
      <xdr:colOff>1043464</xdr:colOff>
      <xdr:row>1019</xdr:row>
      <xdr:rowOff>175273</xdr:rowOff>
    </xdr:to>
    <xdr:graphicFrame macro="">
      <xdr:nvGraphicFramePr>
        <xdr:cNvPr id="30" name="Gráfico 7">
          <a:extLst>
            <a:ext uri="{FF2B5EF4-FFF2-40B4-BE49-F238E27FC236}">
              <a16:creationId xmlns:a16="http://schemas.microsoft.com/office/drawing/2014/main" id="{00000000-0008-0000-00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10</xdr:col>
      <xdr:colOff>13948</xdr:colOff>
      <xdr:row>1439</xdr:row>
      <xdr:rowOff>61550</xdr:rowOff>
    </xdr:from>
    <xdr:to>
      <xdr:col>17</xdr:col>
      <xdr:colOff>1027708</xdr:colOff>
      <xdr:row>1462</xdr:row>
      <xdr:rowOff>41390</xdr:rowOff>
    </xdr:to>
    <xdr:graphicFrame macro="">
      <xdr:nvGraphicFramePr>
        <xdr:cNvPr id="31" name="Gráfico 40">
          <a:extLst>
            <a:ext uri="{FF2B5EF4-FFF2-40B4-BE49-F238E27FC236}">
              <a16:creationId xmlns:a16="http://schemas.microsoft.com/office/drawing/2014/main" id="{00000000-0008-0000-00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10</xdr:col>
      <xdr:colOff>26908</xdr:colOff>
      <xdr:row>1484</xdr:row>
      <xdr:rowOff>53990</xdr:rowOff>
    </xdr:from>
    <xdr:to>
      <xdr:col>17</xdr:col>
      <xdr:colOff>1035261</xdr:colOff>
      <xdr:row>1507</xdr:row>
      <xdr:rowOff>176450</xdr:rowOff>
    </xdr:to>
    <xdr:graphicFrame macro="">
      <xdr:nvGraphicFramePr>
        <xdr:cNvPr id="32" name="Gráfico 41">
          <a:extLst>
            <a:ext uri="{FF2B5EF4-FFF2-40B4-BE49-F238E27FC236}">
              <a16:creationId xmlns:a16="http://schemas.microsoft.com/office/drawing/2014/main" id="{00000000-0008-0000-00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10</xdr:col>
      <xdr:colOff>4588</xdr:colOff>
      <xdr:row>1557</xdr:row>
      <xdr:rowOff>187250</xdr:rowOff>
    </xdr:from>
    <xdr:to>
      <xdr:col>17</xdr:col>
      <xdr:colOff>1028068</xdr:colOff>
      <xdr:row>1583</xdr:row>
      <xdr:rowOff>4670</xdr:rowOff>
    </xdr:to>
    <xdr:graphicFrame macro="">
      <xdr:nvGraphicFramePr>
        <xdr:cNvPr id="33" name="Gráfico 42">
          <a:extLst>
            <a:ext uri="{FF2B5EF4-FFF2-40B4-BE49-F238E27FC236}">
              <a16:creationId xmlns:a16="http://schemas.microsoft.com/office/drawing/2014/main" id="{00000000-0008-0000-00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10</xdr:col>
      <xdr:colOff>4588</xdr:colOff>
      <xdr:row>1532</xdr:row>
      <xdr:rowOff>177890</xdr:rowOff>
    </xdr:from>
    <xdr:to>
      <xdr:col>17</xdr:col>
      <xdr:colOff>1028068</xdr:colOff>
      <xdr:row>1557</xdr:row>
      <xdr:rowOff>185810</xdr:rowOff>
    </xdr:to>
    <xdr:graphicFrame macro="">
      <xdr:nvGraphicFramePr>
        <xdr:cNvPr id="34" name="Gráfico 43">
          <a:extLst>
            <a:ext uri="{FF2B5EF4-FFF2-40B4-BE49-F238E27FC236}">
              <a16:creationId xmlns:a16="http://schemas.microsoft.com/office/drawing/2014/main" id="{00000000-0008-0000-00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10</xdr:col>
      <xdr:colOff>4588</xdr:colOff>
      <xdr:row>1507</xdr:row>
      <xdr:rowOff>177890</xdr:rowOff>
    </xdr:from>
    <xdr:to>
      <xdr:col>17</xdr:col>
      <xdr:colOff>1028068</xdr:colOff>
      <xdr:row>1532</xdr:row>
      <xdr:rowOff>185810</xdr:rowOff>
    </xdr:to>
    <xdr:graphicFrame macro="">
      <xdr:nvGraphicFramePr>
        <xdr:cNvPr id="35" name="Gráfico 44">
          <a:extLst>
            <a:ext uri="{FF2B5EF4-FFF2-40B4-BE49-F238E27FC236}">
              <a16:creationId xmlns:a16="http://schemas.microsoft.com/office/drawing/2014/main" id="{00000000-0008-0000-00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10</xdr:col>
      <xdr:colOff>34828</xdr:colOff>
      <xdr:row>1462</xdr:row>
      <xdr:rowOff>53990</xdr:rowOff>
    </xdr:from>
    <xdr:to>
      <xdr:col>17</xdr:col>
      <xdr:colOff>1039221</xdr:colOff>
      <xdr:row>1484</xdr:row>
      <xdr:rowOff>61910</xdr:rowOff>
    </xdr:to>
    <xdr:graphicFrame macro="">
      <xdr:nvGraphicFramePr>
        <xdr:cNvPr id="36" name="Gráfico 45">
          <a:extLst>
            <a:ext uri="{FF2B5EF4-FFF2-40B4-BE49-F238E27FC236}">
              <a16:creationId xmlns:a16="http://schemas.microsoft.com/office/drawing/2014/main" id="{00000000-0008-0000-00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10</xdr:col>
      <xdr:colOff>57240</xdr:colOff>
      <xdr:row>122</xdr:row>
      <xdr:rowOff>55440</xdr:rowOff>
    </xdr:from>
    <xdr:to>
      <xdr:col>17</xdr:col>
      <xdr:colOff>998640</xdr:colOff>
      <xdr:row>128</xdr:row>
      <xdr:rowOff>92160</xdr:rowOff>
    </xdr:to>
    <xdr:graphicFrame macro="">
      <xdr:nvGraphicFramePr>
        <xdr:cNvPr id="37" name="Gráfico 46">
          <a:extLst>
            <a:ext uri="{FF2B5EF4-FFF2-40B4-BE49-F238E27FC236}">
              <a16:creationId xmlns:a16="http://schemas.microsoft.com/office/drawing/2014/main" id="{00000000-0008-0000-00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10</xdr:col>
      <xdr:colOff>19080</xdr:colOff>
      <xdr:row>128</xdr:row>
      <xdr:rowOff>150840</xdr:rowOff>
    </xdr:from>
    <xdr:to>
      <xdr:col>17</xdr:col>
      <xdr:colOff>1017720</xdr:colOff>
      <xdr:row>134</xdr:row>
      <xdr:rowOff>177840</xdr:rowOff>
    </xdr:to>
    <xdr:graphicFrame macro="">
      <xdr:nvGraphicFramePr>
        <xdr:cNvPr id="38" name="Gráfico Carga q0">
          <a:extLst>
            <a:ext uri="{FF2B5EF4-FFF2-40B4-BE49-F238E27FC236}">
              <a16:creationId xmlns:a16="http://schemas.microsoft.com/office/drawing/2014/main" id="{00000000-0008-0000-00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oneCell">
    <xdr:from>
      <xdr:col>10</xdr:col>
      <xdr:colOff>19080</xdr:colOff>
      <xdr:row>134</xdr:row>
      <xdr:rowOff>179280</xdr:rowOff>
    </xdr:from>
    <xdr:to>
      <xdr:col>17</xdr:col>
      <xdr:colOff>1027440</xdr:colOff>
      <xdr:row>151</xdr:row>
      <xdr:rowOff>62640</xdr:rowOff>
    </xdr:to>
    <xdr:graphicFrame macro="">
      <xdr:nvGraphicFramePr>
        <xdr:cNvPr id="39" name="Gráfico Momento">
          <a:extLst>
            <a:ext uri="{FF2B5EF4-FFF2-40B4-BE49-F238E27FC236}">
              <a16:creationId xmlns:a16="http://schemas.microsoft.com/office/drawing/2014/main" id="{00000000-0008-0000-00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editAs="oneCell">
    <xdr:from>
      <xdr:col>10</xdr:col>
      <xdr:colOff>38160</xdr:colOff>
      <xdr:row>151</xdr:row>
      <xdr:rowOff>188640</xdr:rowOff>
    </xdr:from>
    <xdr:to>
      <xdr:col>17</xdr:col>
      <xdr:colOff>1027440</xdr:colOff>
      <xdr:row>168</xdr:row>
      <xdr:rowOff>73080</xdr:rowOff>
    </xdr:to>
    <xdr:graphicFrame macro="">
      <xdr:nvGraphicFramePr>
        <xdr:cNvPr id="40" name="Gráfico Momento q0">
          <a:extLst>
            <a:ext uri="{FF2B5EF4-FFF2-40B4-BE49-F238E27FC236}">
              <a16:creationId xmlns:a16="http://schemas.microsoft.com/office/drawing/2014/main" id="{00000000-0008-0000-00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oneCell">
    <xdr:from>
      <xdr:col>10</xdr:col>
      <xdr:colOff>19080</xdr:colOff>
      <xdr:row>168</xdr:row>
      <xdr:rowOff>111960</xdr:rowOff>
    </xdr:from>
    <xdr:to>
      <xdr:col>17</xdr:col>
      <xdr:colOff>998640</xdr:colOff>
      <xdr:row>181</xdr:row>
      <xdr:rowOff>24480</xdr:rowOff>
    </xdr:to>
    <xdr:graphicFrame macro="">
      <xdr:nvGraphicFramePr>
        <xdr:cNvPr id="41" name="Gráfico Cortante">
          <a:extLst>
            <a:ext uri="{FF2B5EF4-FFF2-40B4-BE49-F238E27FC236}">
              <a16:creationId xmlns:a16="http://schemas.microsoft.com/office/drawing/2014/main" id="{00000000-0008-0000-00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editAs="oneCell">
    <xdr:from>
      <xdr:col>10</xdr:col>
      <xdr:colOff>38160</xdr:colOff>
      <xdr:row>181</xdr:row>
      <xdr:rowOff>35640</xdr:rowOff>
    </xdr:from>
    <xdr:to>
      <xdr:col>17</xdr:col>
      <xdr:colOff>1027440</xdr:colOff>
      <xdr:row>195</xdr:row>
      <xdr:rowOff>6840</xdr:rowOff>
    </xdr:to>
    <xdr:graphicFrame macro="">
      <xdr:nvGraphicFramePr>
        <xdr:cNvPr id="42" name="Gráfico Cortante q0">
          <a:extLst>
            <a:ext uri="{FF2B5EF4-FFF2-40B4-BE49-F238E27FC236}">
              <a16:creationId xmlns:a16="http://schemas.microsoft.com/office/drawing/2014/main" id="{00000000-0008-0000-00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10</xdr:col>
      <xdr:colOff>4588</xdr:colOff>
      <xdr:row>1582</xdr:row>
      <xdr:rowOff>182210</xdr:rowOff>
    </xdr:from>
    <xdr:to>
      <xdr:col>17</xdr:col>
      <xdr:colOff>1037421</xdr:colOff>
      <xdr:row>1597</xdr:row>
      <xdr:rowOff>66590</xdr:rowOff>
    </xdr:to>
    <xdr:graphicFrame macro="">
      <xdr:nvGraphicFramePr>
        <xdr:cNvPr id="43" name="Gráfico 4">
          <a:extLst>
            <a:ext uri="{FF2B5EF4-FFF2-40B4-BE49-F238E27FC236}">
              <a16:creationId xmlns:a16="http://schemas.microsoft.com/office/drawing/2014/main" id="{00000000-0008-0000-00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editAs="oneCell">
    <xdr:from>
      <xdr:col>9</xdr:col>
      <xdr:colOff>806731</xdr:colOff>
      <xdr:row>1597</xdr:row>
      <xdr:rowOff>52550</xdr:rowOff>
    </xdr:from>
    <xdr:to>
      <xdr:col>17</xdr:col>
      <xdr:colOff>1043376</xdr:colOff>
      <xdr:row>1611</xdr:row>
      <xdr:rowOff>127490</xdr:rowOff>
    </xdr:to>
    <xdr:graphicFrame macro="">
      <xdr:nvGraphicFramePr>
        <xdr:cNvPr id="44" name="Gráfico 44">
          <a:extLst>
            <a:ext uri="{FF2B5EF4-FFF2-40B4-BE49-F238E27FC236}">
              <a16:creationId xmlns:a16="http://schemas.microsoft.com/office/drawing/2014/main" id="{00000000-0008-0000-00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12</xdr:col>
      <xdr:colOff>122400</xdr:colOff>
      <xdr:row>22</xdr:row>
      <xdr:rowOff>36720</xdr:rowOff>
    </xdr:to>
    <xdr:graphicFrame macro="">
      <xdr:nvGraphicFramePr>
        <xdr:cNvPr id="43" name="Gráfico 1">
          <a:extLst>
            <a:ext uri="{FF2B5EF4-FFF2-40B4-BE49-F238E27FC236}">
              <a16:creationId xmlns:a16="http://schemas.microsoft.com/office/drawing/2014/main" id="{00000000-0008-0000-01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38160</xdr:colOff>
      <xdr:row>1</xdr:row>
      <xdr:rowOff>181080</xdr:rowOff>
    </xdr:from>
    <xdr:to>
      <xdr:col>28</xdr:col>
      <xdr:colOff>570240</xdr:colOff>
      <xdr:row>23</xdr:row>
      <xdr:rowOff>179640</xdr:rowOff>
    </xdr:to>
    <xdr:graphicFrame macro="">
      <xdr:nvGraphicFramePr>
        <xdr:cNvPr id="44" name="Gráfico 2">
          <a:extLst>
            <a:ext uri="{FF2B5EF4-FFF2-40B4-BE49-F238E27FC236}">
              <a16:creationId xmlns:a16="http://schemas.microsoft.com/office/drawing/2014/main" id="{00000000-0008-0000-01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38160</xdr:colOff>
      <xdr:row>25</xdr:row>
      <xdr:rowOff>162000</xdr:rowOff>
    </xdr:from>
    <xdr:to>
      <xdr:col>28</xdr:col>
      <xdr:colOff>570240</xdr:colOff>
      <xdr:row>47</xdr:row>
      <xdr:rowOff>55800</xdr:rowOff>
    </xdr:to>
    <xdr:graphicFrame macro="">
      <xdr:nvGraphicFramePr>
        <xdr:cNvPr id="45" name="Gráfico 3">
          <a:extLst>
            <a:ext uri="{FF2B5EF4-FFF2-40B4-BE49-F238E27FC236}">
              <a16:creationId xmlns:a16="http://schemas.microsoft.com/office/drawing/2014/main" id="{00000000-0008-0000-01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47520</xdr:colOff>
      <xdr:row>50</xdr:row>
      <xdr:rowOff>104760</xdr:rowOff>
    </xdr:from>
    <xdr:to>
      <xdr:col>28</xdr:col>
      <xdr:colOff>579600</xdr:colOff>
      <xdr:row>72</xdr:row>
      <xdr:rowOff>36720</xdr:rowOff>
    </xdr:to>
    <xdr:graphicFrame macro="">
      <xdr:nvGraphicFramePr>
        <xdr:cNvPr id="46" name="Gráfico 4">
          <a:extLst>
            <a:ext uri="{FF2B5EF4-FFF2-40B4-BE49-F238E27FC236}">
              <a16:creationId xmlns:a16="http://schemas.microsoft.com/office/drawing/2014/main" id="{00000000-0008-0000-01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38160</xdr:colOff>
      <xdr:row>78</xdr:row>
      <xdr:rowOff>123840</xdr:rowOff>
    </xdr:from>
    <xdr:to>
      <xdr:col>28</xdr:col>
      <xdr:colOff>570240</xdr:colOff>
      <xdr:row>100</xdr:row>
      <xdr:rowOff>55800</xdr:rowOff>
    </xdr:to>
    <xdr:graphicFrame macro="">
      <xdr:nvGraphicFramePr>
        <xdr:cNvPr id="47" name="Gráfico 5">
          <a:extLst>
            <a:ext uri="{FF2B5EF4-FFF2-40B4-BE49-F238E27FC236}">
              <a16:creationId xmlns:a16="http://schemas.microsoft.com/office/drawing/2014/main" id="{00000000-0008-0000-01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390600</xdr:colOff>
      <xdr:row>59</xdr:row>
      <xdr:rowOff>9360</xdr:rowOff>
    </xdr:from>
    <xdr:to>
      <xdr:col>18</xdr:col>
      <xdr:colOff>275040</xdr:colOff>
      <xdr:row>70</xdr:row>
      <xdr:rowOff>122400</xdr:rowOff>
    </xdr:to>
    <xdr:pic>
      <xdr:nvPicPr>
        <xdr:cNvPr id="48" name="Imagem 6">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6"/>
        <a:stretch/>
      </xdr:blipFill>
      <xdr:spPr>
        <a:xfrm>
          <a:off x="9217080" y="11467800"/>
          <a:ext cx="5218560" cy="22086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390600</xdr:colOff>
      <xdr:row>3</xdr:row>
      <xdr:rowOff>104760</xdr:rowOff>
    </xdr:from>
    <xdr:to>
      <xdr:col>15</xdr:col>
      <xdr:colOff>236880</xdr:colOff>
      <xdr:row>19</xdr:row>
      <xdr:rowOff>179640</xdr:rowOff>
    </xdr:to>
    <xdr:pic>
      <xdr:nvPicPr>
        <xdr:cNvPr id="55" name="Imagem 1">
          <a:extLst>
            <a:ext uri="{FF2B5EF4-FFF2-40B4-BE49-F238E27FC236}">
              <a16:creationId xmlns:a16="http://schemas.microsoft.com/office/drawing/2014/main" id="{00000000-0008-0000-0300-000037000000}"/>
            </a:ext>
          </a:extLst>
        </xdr:cNvPr>
        <xdr:cNvPicPr/>
      </xdr:nvPicPr>
      <xdr:blipFill>
        <a:blip xmlns:r="http://schemas.openxmlformats.org/officeDocument/2006/relationships" r:embed="rId1"/>
        <a:stretch/>
      </xdr:blipFill>
      <xdr:spPr>
        <a:xfrm>
          <a:off x="10677600" y="676440"/>
          <a:ext cx="2703960" cy="3122640"/>
        </a:xfrm>
        <a:prstGeom prst="rect">
          <a:avLst/>
        </a:prstGeom>
        <a:ln w="0">
          <a:noFill/>
        </a:ln>
      </xdr:spPr>
    </xdr:pic>
    <xdr:clientData/>
  </xdr:twoCellAnchor>
  <xdr:twoCellAnchor editAs="oneCell">
    <xdr:from>
      <xdr:col>15</xdr:col>
      <xdr:colOff>171360</xdr:colOff>
      <xdr:row>2</xdr:row>
      <xdr:rowOff>57240</xdr:rowOff>
    </xdr:from>
    <xdr:to>
      <xdr:col>23</xdr:col>
      <xdr:colOff>265320</xdr:colOff>
      <xdr:row>20</xdr:row>
      <xdr:rowOff>132120</xdr:rowOff>
    </xdr:to>
    <xdr:pic>
      <xdr:nvPicPr>
        <xdr:cNvPr id="56" name="Imagem 2">
          <a:extLst>
            <a:ext uri="{FF2B5EF4-FFF2-40B4-BE49-F238E27FC236}">
              <a16:creationId xmlns:a16="http://schemas.microsoft.com/office/drawing/2014/main" id="{00000000-0008-0000-0300-000038000000}"/>
            </a:ext>
          </a:extLst>
        </xdr:cNvPr>
        <xdr:cNvPicPr/>
      </xdr:nvPicPr>
      <xdr:blipFill>
        <a:blip xmlns:r="http://schemas.openxmlformats.org/officeDocument/2006/relationships" r:embed="rId2"/>
        <a:stretch/>
      </xdr:blipFill>
      <xdr:spPr>
        <a:xfrm>
          <a:off x="13316040" y="438120"/>
          <a:ext cx="6380280" cy="3503880"/>
        </a:xfrm>
        <a:prstGeom prst="rect">
          <a:avLst/>
        </a:prstGeom>
        <a:ln w="0">
          <a:noFill/>
        </a:ln>
      </xdr:spPr>
    </xdr:pic>
    <xdr:clientData/>
  </xdr:twoCellAnchor>
  <xdr:twoCellAnchor editAs="oneCell">
    <xdr:from>
      <xdr:col>12</xdr:col>
      <xdr:colOff>428760</xdr:colOff>
      <xdr:row>25</xdr:row>
      <xdr:rowOff>85680</xdr:rowOff>
    </xdr:from>
    <xdr:to>
      <xdr:col>14</xdr:col>
      <xdr:colOff>398880</xdr:colOff>
      <xdr:row>41</xdr:row>
      <xdr:rowOff>169920</xdr:rowOff>
    </xdr:to>
    <xdr:pic>
      <xdr:nvPicPr>
        <xdr:cNvPr id="57" name="Imagem 3">
          <a:extLst>
            <a:ext uri="{FF2B5EF4-FFF2-40B4-BE49-F238E27FC236}">
              <a16:creationId xmlns:a16="http://schemas.microsoft.com/office/drawing/2014/main" id="{00000000-0008-0000-0300-000039000000}"/>
            </a:ext>
          </a:extLst>
        </xdr:cNvPr>
        <xdr:cNvPicPr/>
      </xdr:nvPicPr>
      <xdr:blipFill>
        <a:blip xmlns:r="http://schemas.openxmlformats.org/officeDocument/2006/relationships" r:embed="rId1"/>
        <a:stretch/>
      </xdr:blipFill>
      <xdr:spPr>
        <a:xfrm>
          <a:off x="10715760" y="4848120"/>
          <a:ext cx="2065680" cy="3132360"/>
        </a:xfrm>
        <a:prstGeom prst="rect">
          <a:avLst/>
        </a:prstGeom>
        <a:ln w="0">
          <a:noFill/>
        </a:ln>
      </xdr:spPr>
    </xdr:pic>
    <xdr:clientData/>
  </xdr:twoCellAnchor>
  <xdr:twoCellAnchor editAs="oneCell">
    <xdr:from>
      <xdr:col>15</xdr:col>
      <xdr:colOff>219240</xdr:colOff>
      <xdr:row>23</xdr:row>
      <xdr:rowOff>152280</xdr:rowOff>
    </xdr:from>
    <xdr:to>
      <xdr:col>21</xdr:col>
      <xdr:colOff>522720</xdr:colOff>
      <xdr:row>42</xdr:row>
      <xdr:rowOff>27000</xdr:rowOff>
    </xdr:to>
    <xdr:pic>
      <xdr:nvPicPr>
        <xdr:cNvPr id="58" name="Imagem 4">
          <a:extLst>
            <a:ext uri="{FF2B5EF4-FFF2-40B4-BE49-F238E27FC236}">
              <a16:creationId xmlns:a16="http://schemas.microsoft.com/office/drawing/2014/main" id="{00000000-0008-0000-0300-00003A000000}"/>
            </a:ext>
          </a:extLst>
        </xdr:cNvPr>
        <xdr:cNvPicPr/>
      </xdr:nvPicPr>
      <xdr:blipFill>
        <a:blip xmlns:r="http://schemas.openxmlformats.org/officeDocument/2006/relationships" r:embed="rId2"/>
        <a:stretch/>
      </xdr:blipFill>
      <xdr:spPr>
        <a:xfrm>
          <a:off x="10080416" y="4533780"/>
          <a:ext cx="3878157" cy="34942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295200</xdr:colOff>
      <xdr:row>200</xdr:row>
      <xdr:rowOff>109080</xdr:rowOff>
    </xdr:from>
    <xdr:to>
      <xdr:col>17</xdr:col>
      <xdr:colOff>436680</xdr:colOff>
      <xdr:row>222</xdr:row>
      <xdr:rowOff>117000</xdr:rowOff>
    </xdr:to>
    <xdr:graphicFrame macro="">
      <xdr:nvGraphicFramePr>
        <xdr:cNvPr id="59" name="Gráfico 1">
          <a:extLst>
            <a:ext uri="{FF2B5EF4-FFF2-40B4-BE49-F238E27FC236}">
              <a16:creationId xmlns:a16="http://schemas.microsoft.com/office/drawing/2014/main" id="{00000000-0008-0000-0400-00003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571680</xdr:colOff>
      <xdr:row>201</xdr:row>
      <xdr:rowOff>60840</xdr:rowOff>
    </xdr:from>
    <xdr:to>
      <xdr:col>34</xdr:col>
      <xdr:colOff>398880</xdr:colOff>
      <xdr:row>223</xdr:row>
      <xdr:rowOff>69120</xdr:rowOff>
    </xdr:to>
    <xdr:graphicFrame macro="">
      <xdr:nvGraphicFramePr>
        <xdr:cNvPr id="60" name="Gráfico 2">
          <a:extLst>
            <a:ext uri="{FF2B5EF4-FFF2-40B4-BE49-F238E27FC236}">
              <a16:creationId xmlns:a16="http://schemas.microsoft.com/office/drawing/2014/main" id="{00000000-0008-0000-0400-00003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9360</xdr:colOff>
      <xdr:row>128</xdr:row>
      <xdr:rowOff>38160</xdr:rowOff>
    </xdr:from>
    <xdr:to>
      <xdr:col>7</xdr:col>
      <xdr:colOff>531720</xdr:colOff>
      <xdr:row>154</xdr:row>
      <xdr:rowOff>8280</xdr:rowOff>
    </xdr:to>
    <xdr:pic>
      <xdr:nvPicPr>
        <xdr:cNvPr id="61" name="Imagem 1">
          <a:extLst>
            <a:ext uri="{FF2B5EF4-FFF2-40B4-BE49-F238E27FC236}">
              <a16:creationId xmlns:a16="http://schemas.microsoft.com/office/drawing/2014/main" id="{00000000-0008-0000-0500-00003D000000}"/>
            </a:ext>
          </a:extLst>
        </xdr:cNvPr>
        <xdr:cNvPicPr/>
      </xdr:nvPicPr>
      <xdr:blipFill>
        <a:blip xmlns:r="http://schemas.openxmlformats.org/officeDocument/2006/relationships" r:embed="rId1"/>
        <a:stretch/>
      </xdr:blipFill>
      <xdr:spPr>
        <a:xfrm>
          <a:off x="9360" y="24422040"/>
          <a:ext cx="7075440" cy="49233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28440</xdr:colOff>
      <xdr:row>9</xdr:row>
      <xdr:rowOff>38160</xdr:rowOff>
    </xdr:from>
    <xdr:to>
      <xdr:col>19</xdr:col>
      <xdr:colOff>255600</xdr:colOff>
      <xdr:row>21</xdr:row>
      <xdr:rowOff>169920</xdr:rowOff>
    </xdr:to>
    <xdr:pic>
      <xdr:nvPicPr>
        <xdr:cNvPr id="62" name="Imagem 1">
          <a:extLst>
            <a:ext uri="{FF2B5EF4-FFF2-40B4-BE49-F238E27FC236}">
              <a16:creationId xmlns:a16="http://schemas.microsoft.com/office/drawing/2014/main" id="{00000000-0008-0000-0600-00003E000000}"/>
            </a:ext>
          </a:extLst>
        </xdr:cNvPr>
        <xdr:cNvPicPr/>
      </xdr:nvPicPr>
      <xdr:blipFill>
        <a:blip xmlns:r="http://schemas.openxmlformats.org/officeDocument/2006/relationships" r:embed="rId1"/>
        <a:srcRect l="1852" r="3760"/>
        <a:stretch/>
      </xdr:blipFill>
      <xdr:spPr>
        <a:xfrm>
          <a:off x="9934560" y="1752840"/>
          <a:ext cx="4799160" cy="241776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66600</xdr:colOff>
      <xdr:row>18</xdr:row>
      <xdr:rowOff>76680</xdr:rowOff>
    </xdr:from>
    <xdr:to>
      <xdr:col>10</xdr:col>
      <xdr:colOff>17640</xdr:colOff>
      <xdr:row>38</xdr:row>
      <xdr:rowOff>65880</xdr:rowOff>
    </xdr:to>
    <xdr:graphicFrame macro="">
      <xdr:nvGraphicFramePr>
        <xdr:cNvPr id="63" name="Gráfico 1">
          <a:extLst>
            <a:ext uri="{FF2B5EF4-FFF2-40B4-BE49-F238E27FC236}">
              <a16:creationId xmlns:a16="http://schemas.microsoft.com/office/drawing/2014/main" id="{00000000-0008-0000-0800-00003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152280</xdr:colOff>
      <xdr:row>74</xdr:row>
      <xdr:rowOff>59400</xdr:rowOff>
    </xdr:from>
    <xdr:to>
      <xdr:col>5</xdr:col>
      <xdr:colOff>397440</xdr:colOff>
      <xdr:row>78</xdr:row>
      <xdr:rowOff>85680</xdr:rowOff>
    </xdr:to>
    <xdr:sp macro="" textlink="">
      <xdr:nvSpPr>
        <xdr:cNvPr id="64" name="Text Box 16">
          <a:extLst>
            <a:ext uri="{FF2B5EF4-FFF2-40B4-BE49-F238E27FC236}">
              <a16:creationId xmlns:a16="http://schemas.microsoft.com/office/drawing/2014/main" id="{00000000-0008-0000-0800-000040000000}"/>
            </a:ext>
          </a:extLst>
        </xdr:cNvPr>
        <xdr:cNvSpPr/>
      </xdr:nvSpPr>
      <xdr:spPr>
        <a:xfrm>
          <a:off x="2438280" y="14261040"/>
          <a:ext cx="1769040" cy="7884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23040" rIns="0" bIns="0" anchor="t" upright="1">
          <a:noAutofit/>
        </a:bodyPr>
        <a:lstStyle/>
        <a:p>
          <a:pPr>
            <a:lnSpc>
              <a:spcPct val="100000"/>
            </a:lnSpc>
          </a:pPr>
          <a:r>
            <a:rPr lang="pt-BR" sz="1000" b="0" strike="noStrike" spc="-1">
              <a:solidFill>
                <a:srgbClr val="000000"/>
              </a:solidFill>
              <a:latin typeface="Arial"/>
            </a:rPr>
            <a:t>Continue typing below, number of input lines is unlimited</a:t>
          </a:r>
          <a:endParaRPr lang="en-US" sz="1000" b="0" strike="noStrike" spc="-1">
            <a:latin typeface="Times New Roman"/>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685800</xdr:colOff>
      <xdr:row>0</xdr:row>
      <xdr:rowOff>19080</xdr:rowOff>
    </xdr:from>
    <xdr:to>
      <xdr:col>8</xdr:col>
      <xdr:colOff>36720</xdr:colOff>
      <xdr:row>20</xdr:row>
      <xdr:rowOff>189000</xdr:rowOff>
    </xdr:to>
    <xdr:graphicFrame macro="">
      <xdr:nvGraphicFramePr>
        <xdr:cNvPr id="65" name="Gráfico 1">
          <a:extLst>
            <a:ext uri="{FF2B5EF4-FFF2-40B4-BE49-F238E27FC236}">
              <a16:creationId xmlns:a16="http://schemas.microsoft.com/office/drawing/2014/main" id="{00000000-0008-0000-0900-00004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609480</xdr:colOff>
      <xdr:row>26</xdr:row>
      <xdr:rowOff>76320</xdr:rowOff>
    </xdr:from>
    <xdr:to>
      <xdr:col>7</xdr:col>
      <xdr:colOff>969840</xdr:colOff>
      <xdr:row>48</xdr:row>
      <xdr:rowOff>93960</xdr:rowOff>
    </xdr:to>
    <xdr:graphicFrame macro="">
      <xdr:nvGraphicFramePr>
        <xdr:cNvPr id="66" name="Gráfico 13">
          <a:extLst>
            <a:ext uri="{FF2B5EF4-FFF2-40B4-BE49-F238E27FC236}">
              <a16:creationId xmlns:a16="http://schemas.microsoft.com/office/drawing/2014/main" id="{00000000-0008-0000-0900-00004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514440</xdr:colOff>
      <xdr:row>0</xdr:row>
      <xdr:rowOff>47520</xdr:rowOff>
    </xdr:from>
    <xdr:to>
      <xdr:col>14</xdr:col>
      <xdr:colOff>284400</xdr:colOff>
      <xdr:row>22</xdr:row>
      <xdr:rowOff>112680</xdr:rowOff>
    </xdr:to>
    <xdr:graphicFrame macro="">
      <xdr:nvGraphicFramePr>
        <xdr:cNvPr id="67" name="Gráfico 14">
          <a:extLst>
            <a:ext uri="{FF2B5EF4-FFF2-40B4-BE49-F238E27FC236}">
              <a16:creationId xmlns:a16="http://schemas.microsoft.com/office/drawing/2014/main" id="{00000000-0008-0000-0900-00004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1076400</xdr:colOff>
      <xdr:row>49</xdr:row>
      <xdr:rowOff>123840</xdr:rowOff>
    </xdr:from>
    <xdr:to>
      <xdr:col>8</xdr:col>
      <xdr:colOff>427320</xdr:colOff>
      <xdr:row>71</xdr:row>
      <xdr:rowOff>141480</xdr:rowOff>
    </xdr:to>
    <xdr:graphicFrame macro="">
      <xdr:nvGraphicFramePr>
        <xdr:cNvPr id="68" name="Gráfico 2">
          <a:extLst>
            <a:ext uri="{FF2B5EF4-FFF2-40B4-BE49-F238E27FC236}">
              <a16:creationId xmlns:a16="http://schemas.microsoft.com/office/drawing/2014/main" id="{00000000-0008-0000-0900-00004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1314360</xdr:colOff>
      <xdr:row>0</xdr:row>
      <xdr:rowOff>19080</xdr:rowOff>
    </xdr:from>
    <xdr:to>
      <xdr:col>22</xdr:col>
      <xdr:colOff>84240</xdr:colOff>
      <xdr:row>22</xdr:row>
      <xdr:rowOff>84240</xdr:rowOff>
    </xdr:to>
    <xdr:graphicFrame macro="">
      <xdr:nvGraphicFramePr>
        <xdr:cNvPr id="69" name="Gráfico 3">
          <a:extLst>
            <a:ext uri="{FF2B5EF4-FFF2-40B4-BE49-F238E27FC236}">
              <a16:creationId xmlns:a16="http://schemas.microsoft.com/office/drawing/2014/main" id="{00000000-0008-0000-0900-00004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1133640</xdr:colOff>
      <xdr:row>40</xdr:row>
      <xdr:rowOff>85680</xdr:rowOff>
    </xdr:from>
    <xdr:to>
      <xdr:col>21</xdr:col>
      <xdr:colOff>513000</xdr:colOff>
      <xdr:row>62</xdr:row>
      <xdr:rowOff>112680</xdr:rowOff>
    </xdr:to>
    <xdr:graphicFrame macro="">
      <xdr:nvGraphicFramePr>
        <xdr:cNvPr id="70" name="Gráfico 4">
          <a:extLst>
            <a:ext uri="{FF2B5EF4-FFF2-40B4-BE49-F238E27FC236}">
              <a16:creationId xmlns:a16="http://schemas.microsoft.com/office/drawing/2014/main" id="{00000000-0008-0000-0900-00004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0</xdr:colOff>
      <xdr:row>78</xdr:row>
      <xdr:rowOff>0</xdr:rowOff>
    </xdr:from>
    <xdr:to>
      <xdr:col>8</xdr:col>
      <xdr:colOff>532080</xdr:colOff>
      <xdr:row>100</xdr:row>
      <xdr:rowOff>17640</xdr:rowOff>
    </xdr:to>
    <xdr:graphicFrame macro="">
      <xdr:nvGraphicFramePr>
        <xdr:cNvPr id="71" name="Gráfico 5">
          <a:extLst>
            <a:ext uri="{FF2B5EF4-FFF2-40B4-BE49-F238E27FC236}">
              <a16:creationId xmlns:a16="http://schemas.microsoft.com/office/drawing/2014/main" id="{00000000-0008-0000-0900-00004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0</xdr:colOff>
      <xdr:row>104</xdr:row>
      <xdr:rowOff>0</xdr:rowOff>
    </xdr:from>
    <xdr:to>
      <xdr:col>8</xdr:col>
      <xdr:colOff>532080</xdr:colOff>
      <xdr:row>126</xdr:row>
      <xdr:rowOff>17640</xdr:rowOff>
    </xdr:to>
    <xdr:graphicFrame macro="">
      <xdr:nvGraphicFramePr>
        <xdr:cNvPr id="72" name="Gráfico 6">
          <a:extLst>
            <a:ext uri="{FF2B5EF4-FFF2-40B4-BE49-F238E27FC236}">
              <a16:creationId xmlns:a16="http://schemas.microsoft.com/office/drawing/2014/main" id="{00000000-0008-0000-0900-00004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47520</xdr:colOff>
      <xdr:row>129</xdr:row>
      <xdr:rowOff>142920</xdr:rowOff>
    </xdr:from>
    <xdr:to>
      <xdr:col>8</xdr:col>
      <xdr:colOff>579600</xdr:colOff>
      <xdr:row>151</xdr:row>
      <xdr:rowOff>169920</xdr:rowOff>
    </xdr:to>
    <xdr:graphicFrame macro="">
      <xdr:nvGraphicFramePr>
        <xdr:cNvPr id="73" name="Gráfico 7">
          <a:extLst>
            <a:ext uri="{FF2B5EF4-FFF2-40B4-BE49-F238E27FC236}">
              <a16:creationId xmlns:a16="http://schemas.microsoft.com/office/drawing/2014/main" id="{00000000-0008-0000-0900-00004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343080</xdr:colOff>
      <xdr:row>78</xdr:row>
      <xdr:rowOff>0</xdr:rowOff>
    </xdr:from>
    <xdr:to>
      <xdr:col>17</xdr:col>
      <xdr:colOff>2018160</xdr:colOff>
      <xdr:row>100</xdr:row>
      <xdr:rowOff>17640</xdr:rowOff>
    </xdr:to>
    <xdr:graphicFrame macro="">
      <xdr:nvGraphicFramePr>
        <xdr:cNvPr id="74" name="Gráfico 8">
          <a:extLst>
            <a:ext uri="{FF2B5EF4-FFF2-40B4-BE49-F238E27FC236}">
              <a16:creationId xmlns:a16="http://schemas.microsoft.com/office/drawing/2014/main" id="{00000000-0008-0000-0900-00004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657360</xdr:colOff>
      <xdr:row>102</xdr:row>
      <xdr:rowOff>114480</xdr:rowOff>
    </xdr:from>
    <xdr:to>
      <xdr:col>17</xdr:col>
      <xdr:colOff>2332440</xdr:colOff>
      <xdr:row>124</xdr:row>
      <xdr:rowOff>132120</xdr:rowOff>
    </xdr:to>
    <xdr:graphicFrame macro="">
      <xdr:nvGraphicFramePr>
        <xdr:cNvPr id="75" name="Gráfico 9">
          <a:extLst>
            <a:ext uri="{FF2B5EF4-FFF2-40B4-BE49-F238E27FC236}">
              <a16:creationId xmlns:a16="http://schemas.microsoft.com/office/drawing/2014/main" id="{00000000-0008-0000-0900-00004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13</xdr:col>
      <xdr:colOff>237960</xdr:colOff>
      <xdr:row>128</xdr:row>
      <xdr:rowOff>47520</xdr:rowOff>
    </xdr:from>
    <xdr:to>
      <xdr:col>17</xdr:col>
      <xdr:colOff>2589120</xdr:colOff>
      <xdr:row>150</xdr:row>
      <xdr:rowOff>65160</xdr:rowOff>
    </xdr:to>
    <xdr:graphicFrame macro="">
      <xdr:nvGraphicFramePr>
        <xdr:cNvPr id="76" name="Gráfico 10">
          <a:extLst>
            <a:ext uri="{FF2B5EF4-FFF2-40B4-BE49-F238E27FC236}">
              <a16:creationId xmlns:a16="http://schemas.microsoft.com/office/drawing/2014/main" id="{00000000-0008-0000-0900-00004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66600</xdr:colOff>
      <xdr:row>18</xdr:row>
      <xdr:rowOff>76680</xdr:rowOff>
    </xdr:from>
    <xdr:to>
      <xdr:col>10</xdr:col>
      <xdr:colOff>17640</xdr:colOff>
      <xdr:row>38</xdr:row>
      <xdr:rowOff>65880</xdr:rowOff>
    </xdr:to>
    <xdr:graphicFrame macro="">
      <xdr:nvGraphicFramePr>
        <xdr:cNvPr id="77" name="Gráfico 1">
          <a:extLst>
            <a:ext uri="{FF2B5EF4-FFF2-40B4-BE49-F238E27FC236}">
              <a16:creationId xmlns:a16="http://schemas.microsoft.com/office/drawing/2014/main" id="{00000000-0008-0000-0A00-00004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152280</xdr:colOff>
      <xdr:row>74</xdr:row>
      <xdr:rowOff>59400</xdr:rowOff>
    </xdr:from>
    <xdr:to>
      <xdr:col>5</xdr:col>
      <xdr:colOff>397440</xdr:colOff>
      <xdr:row>78</xdr:row>
      <xdr:rowOff>85680</xdr:rowOff>
    </xdr:to>
    <xdr:sp macro="" textlink="">
      <xdr:nvSpPr>
        <xdr:cNvPr id="78" name="Text Box 16">
          <a:extLst>
            <a:ext uri="{FF2B5EF4-FFF2-40B4-BE49-F238E27FC236}">
              <a16:creationId xmlns:a16="http://schemas.microsoft.com/office/drawing/2014/main" id="{00000000-0008-0000-0A00-00004E000000}"/>
            </a:ext>
          </a:extLst>
        </xdr:cNvPr>
        <xdr:cNvSpPr/>
      </xdr:nvSpPr>
      <xdr:spPr>
        <a:xfrm>
          <a:off x="2438280" y="14261040"/>
          <a:ext cx="1769040" cy="7884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23040" rIns="0" bIns="0" anchor="t" upright="1">
          <a:noAutofit/>
        </a:bodyPr>
        <a:lstStyle/>
        <a:p>
          <a:pPr>
            <a:lnSpc>
              <a:spcPct val="100000"/>
            </a:lnSpc>
          </a:pPr>
          <a:r>
            <a:rPr lang="pt-BR" sz="1000" b="0" strike="noStrike" spc="-1">
              <a:solidFill>
                <a:srgbClr val="000000"/>
              </a:solidFill>
              <a:latin typeface="Arial"/>
            </a:rPr>
            <a:t>Continue typing below, number of input lines is unlimited</a:t>
          </a:r>
          <a:endParaRPr lang="en-US" sz="1000" b="0" strike="noStrike" spc="-1">
            <a:latin typeface="Times New Roman"/>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25</xdr:col>
      <xdr:colOff>0</xdr:colOff>
      <xdr:row>86</xdr:row>
      <xdr:rowOff>38100</xdr:rowOff>
    </xdr:from>
    <xdr:ext cx="2324100" cy="2616200"/>
    <xdr:graphicFrame macro="">
      <xdr:nvGraphicFramePr>
        <xdr:cNvPr id="79" name="Gráfico 9">
          <a:extLst>
            <a:ext uri="{FF2B5EF4-FFF2-40B4-BE49-F238E27FC236}">
              <a16:creationId xmlns:a16="http://schemas.microsoft.com/office/drawing/2014/main" id="{00000000-0008-0000-0B00-00004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41</xdr:col>
      <xdr:colOff>0</xdr:colOff>
      <xdr:row>86</xdr:row>
      <xdr:rowOff>38100</xdr:rowOff>
    </xdr:from>
    <xdr:ext cx="2324100" cy="2616200"/>
    <xdr:graphicFrame macro="">
      <xdr:nvGraphicFramePr>
        <xdr:cNvPr id="80" name="Gráfico 11">
          <a:extLst>
            <a:ext uri="{FF2B5EF4-FFF2-40B4-BE49-F238E27FC236}">
              <a16:creationId xmlns:a16="http://schemas.microsoft.com/office/drawing/2014/main" id="{00000000-0008-0000-0B00-00005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86</xdr:row>
      <xdr:rowOff>38100</xdr:rowOff>
    </xdr:from>
    <xdr:ext cx="2324100" cy="2616200"/>
    <xdr:graphicFrame macro="">
      <xdr:nvGraphicFramePr>
        <xdr:cNvPr id="81" name="Gráfico 12">
          <a:extLst>
            <a:ext uri="{FF2B5EF4-FFF2-40B4-BE49-F238E27FC236}">
              <a16:creationId xmlns:a16="http://schemas.microsoft.com/office/drawing/2014/main" id="{00000000-0008-0000-0B00-00005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17</xdr:col>
      <xdr:colOff>0</xdr:colOff>
      <xdr:row>86</xdr:row>
      <xdr:rowOff>38100</xdr:rowOff>
    </xdr:from>
    <xdr:ext cx="2324100" cy="2616200"/>
    <xdr:graphicFrame macro="">
      <xdr:nvGraphicFramePr>
        <xdr:cNvPr id="82" name="Gráfico 13">
          <a:extLst>
            <a:ext uri="{FF2B5EF4-FFF2-40B4-BE49-F238E27FC236}">
              <a16:creationId xmlns:a16="http://schemas.microsoft.com/office/drawing/2014/main" id="{00000000-0008-0000-0B00-00005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33</xdr:col>
      <xdr:colOff>0</xdr:colOff>
      <xdr:row>86</xdr:row>
      <xdr:rowOff>38100</xdr:rowOff>
    </xdr:from>
    <xdr:ext cx="2324100" cy="2616200"/>
    <xdr:graphicFrame macro="">
      <xdr:nvGraphicFramePr>
        <xdr:cNvPr id="83" name="Gráfico 14">
          <a:extLst>
            <a:ext uri="{FF2B5EF4-FFF2-40B4-BE49-F238E27FC236}">
              <a16:creationId xmlns:a16="http://schemas.microsoft.com/office/drawing/2014/main" id="{00000000-0008-0000-0B00-00005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9</xdr:col>
      <xdr:colOff>0</xdr:colOff>
      <xdr:row>86</xdr:row>
      <xdr:rowOff>38100</xdr:rowOff>
    </xdr:from>
    <xdr:ext cx="2324100" cy="2616200"/>
    <xdr:graphicFrame macro="">
      <xdr:nvGraphicFramePr>
        <xdr:cNvPr id="84" name="Tensões içamento"/>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3</xdr:row>
      <xdr:rowOff>12700</xdr:rowOff>
    </xdr:from>
    <xdr:ext cx="14122400" cy="2971800"/>
    <xdr:graphicFrame macro="">
      <xdr:nvGraphicFramePr>
        <xdr:cNvPr id="85" name="Prancha – elevação"/>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1</xdr:col>
      <xdr:colOff>0</xdr:colOff>
      <xdr:row>21</xdr:row>
      <xdr:rowOff>12700</xdr:rowOff>
    </xdr:from>
    <xdr:ext cx="7048500" cy="3962400"/>
    <xdr:graphicFrame macro="">
      <xdr:nvGraphicFramePr>
        <xdr:cNvPr id="86" name="Prancha – detalhe extremidade"/>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25</xdr:col>
      <xdr:colOff>0</xdr:colOff>
      <xdr:row>21</xdr:row>
      <xdr:rowOff>12700</xdr:rowOff>
    </xdr:from>
    <xdr:ext cx="3505200" cy="3962400"/>
    <xdr:graphicFrame macro="">
      <xdr:nvGraphicFramePr>
        <xdr:cNvPr id="87" name="Prancha – seção A-A"/>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wsDr>
</file>

<file path=xl/drawings/drawing11.xml><?xml version="1.0" encoding="utf-8"?>
<xdr:wsDr xmlns:xdr="http://schemas.openxmlformats.org/drawingml/2006/spreadsheetDrawing" xmlns:a="http://schemas.openxmlformats.org/drawingml/2006/main">
  <xdr:twoCellAnchor editAs="oneCell">
    <xdr:from>
      <xdr:col>17</xdr:col>
      <xdr:colOff>428760</xdr:colOff>
      <xdr:row>45</xdr:row>
      <xdr:rowOff>33617</xdr:rowOff>
    </xdr:from>
    <xdr:to>
      <xdr:col>27</xdr:col>
      <xdr:colOff>351000</xdr:colOff>
      <xdr:row>101</xdr:row>
      <xdr:rowOff>0</xdr:rowOff>
    </xdr:to>
    <xdr:graphicFrame macro="">
      <xdr:nvGraphicFramePr>
        <xdr:cNvPr id="85" name="Gráfico 1">
          <a:extLst>
            <a:ext uri="{FF2B5EF4-FFF2-40B4-BE49-F238E27FC236}">
              <a16:creationId xmlns:a16="http://schemas.microsoft.com/office/drawing/2014/main" id="{00000000-0008-0000-0C00-00005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561960</xdr:colOff>
      <xdr:row>6</xdr:row>
      <xdr:rowOff>85680</xdr:rowOff>
    </xdr:from>
    <xdr:to>
      <xdr:col>23</xdr:col>
      <xdr:colOff>84240</xdr:colOff>
      <xdr:row>22</xdr:row>
      <xdr:rowOff>27000</xdr:rowOff>
    </xdr:to>
    <xdr:graphicFrame macro="">
      <xdr:nvGraphicFramePr>
        <xdr:cNvPr id="86" name="Gráfico 1">
          <a:extLst>
            <a:ext uri="{FF2B5EF4-FFF2-40B4-BE49-F238E27FC236}">
              <a16:creationId xmlns:a16="http://schemas.microsoft.com/office/drawing/2014/main" id="{00000000-0008-0000-0E00-00005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20</xdr:col>
      <xdr:colOff>485640</xdr:colOff>
      <xdr:row>0</xdr:row>
      <xdr:rowOff>47520</xdr:rowOff>
    </xdr:from>
    <xdr:to>
      <xdr:col>34</xdr:col>
      <xdr:colOff>512640</xdr:colOff>
      <xdr:row>6</xdr:row>
      <xdr:rowOff>74520</xdr:rowOff>
    </xdr:to>
    <xdr:graphicFrame macro="">
      <xdr:nvGraphicFramePr>
        <xdr:cNvPr id="49" name="Gráfico 1">
          <a:extLst>
            <a:ext uri="{FF2B5EF4-FFF2-40B4-BE49-F238E27FC236}">
              <a16:creationId xmlns:a16="http://schemas.microsoft.com/office/drawing/2014/main" id="{00000000-0008-0000-02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409680</xdr:colOff>
      <xdr:row>7</xdr:row>
      <xdr:rowOff>9360</xdr:rowOff>
    </xdr:from>
    <xdr:to>
      <xdr:col>34</xdr:col>
      <xdr:colOff>436680</xdr:colOff>
      <xdr:row>21</xdr:row>
      <xdr:rowOff>92880</xdr:rowOff>
    </xdr:to>
    <xdr:graphicFrame macro="">
      <xdr:nvGraphicFramePr>
        <xdr:cNvPr id="50" name="Gráfico Cortante">
          <a:extLst>
            <a:ext uri="{FF2B5EF4-FFF2-40B4-BE49-F238E27FC236}">
              <a16:creationId xmlns:a16="http://schemas.microsoft.com/office/drawing/2014/main" id="{00000000-0008-0000-02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314280</xdr:colOff>
      <xdr:row>20</xdr:row>
      <xdr:rowOff>152640</xdr:rowOff>
    </xdr:from>
    <xdr:to>
      <xdr:col>34</xdr:col>
      <xdr:colOff>341280</xdr:colOff>
      <xdr:row>37</xdr:row>
      <xdr:rowOff>37080</xdr:rowOff>
    </xdr:to>
    <xdr:graphicFrame macro="">
      <xdr:nvGraphicFramePr>
        <xdr:cNvPr id="51" name="Gráfico Momento">
          <a:extLst>
            <a:ext uri="{FF2B5EF4-FFF2-40B4-BE49-F238E27FC236}">
              <a16:creationId xmlns:a16="http://schemas.microsoft.com/office/drawing/2014/main" id="{00000000-0008-0000-02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36</xdr:col>
      <xdr:colOff>485640</xdr:colOff>
      <xdr:row>0</xdr:row>
      <xdr:rowOff>47520</xdr:rowOff>
    </xdr:from>
    <xdr:to>
      <xdr:col>50</xdr:col>
      <xdr:colOff>512640</xdr:colOff>
      <xdr:row>6</xdr:row>
      <xdr:rowOff>74520</xdr:rowOff>
    </xdr:to>
    <xdr:graphicFrame macro="">
      <xdr:nvGraphicFramePr>
        <xdr:cNvPr id="52" name="Gráfico Carga q0">
          <a:extLst>
            <a:ext uri="{FF2B5EF4-FFF2-40B4-BE49-F238E27FC236}">
              <a16:creationId xmlns:a16="http://schemas.microsoft.com/office/drawing/2014/main" id="{00000000-0008-0000-0200-00003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36</xdr:col>
      <xdr:colOff>409680</xdr:colOff>
      <xdr:row>7</xdr:row>
      <xdr:rowOff>9360</xdr:rowOff>
    </xdr:from>
    <xdr:to>
      <xdr:col>50</xdr:col>
      <xdr:colOff>436680</xdr:colOff>
      <xdr:row>21</xdr:row>
      <xdr:rowOff>92880</xdr:rowOff>
    </xdr:to>
    <xdr:graphicFrame macro="">
      <xdr:nvGraphicFramePr>
        <xdr:cNvPr id="53" name="Gráfico Cortante q0">
          <a:extLst>
            <a:ext uri="{FF2B5EF4-FFF2-40B4-BE49-F238E27FC236}">
              <a16:creationId xmlns:a16="http://schemas.microsoft.com/office/drawing/2014/main" id="{00000000-0008-0000-02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36</xdr:col>
      <xdr:colOff>314280</xdr:colOff>
      <xdr:row>20</xdr:row>
      <xdr:rowOff>152640</xdr:rowOff>
    </xdr:from>
    <xdr:to>
      <xdr:col>50</xdr:col>
      <xdr:colOff>341280</xdr:colOff>
      <xdr:row>37</xdr:row>
      <xdr:rowOff>37080</xdr:rowOff>
    </xdr:to>
    <xdr:graphicFrame macro="">
      <xdr:nvGraphicFramePr>
        <xdr:cNvPr id="54" name="Gráfico Momento q0">
          <a:extLst>
            <a:ext uri="{FF2B5EF4-FFF2-40B4-BE49-F238E27FC236}">
              <a16:creationId xmlns:a16="http://schemas.microsoft.com/office/drawing/2014/main" id="{00000000-0008-0000-02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13</xdr:col>
      <xdr:colOff>481680</xdr:colOff>
      <xdr:row>107</xdr:row>
      <xdr:rowOff>41400</xdr:rowOff>
    </xdr:from>
    <xdr:to>
      <xdr:col>21</xdr:col>
      <xdr:colOff>381600</xdr:colOff>
      <xdr:row>140</xdr:row>
      <xdr:rowOff>65160</xdr:rowOff>
    </xdr:to>
    <xdr:graphicFrame macro="">
      <xdr:nvGraphicFramePr>
        <xdr:cNvPr id="87" name="Gráfico 1">
          <a:extLst>
            <a:ext uri="{FF2B5EF4-FFF2-40B4-BE49-F238E27FC236}">
              <a16:creationId xmlns:a16="http://schemas.microsoft.com/office/drawing/2014/main" id="{00000000-0008-0000-1100-00005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10</xdr:col>
      <xdr:colOff>1571760</xdr:colOff>
      <xdr:row>101</xdr:row>
      <xdr:rowOff>181080</xdr:rowOff>
    </xdr:from>
    <xdr:to>
      <xdr:col>20</xdr:col>
      <xdr:colOff>313200</xdr:colOff>
      <xdr:row>123</xdr:row>
      <xdr:rowOff>179640</xdr:rowOff>
    </xdr:to>
    <xdr:graphicFrame macro="">
      <xdr:nvGraphicFramePr>
        <xdr:cNvPr id="88" name="Gráfico Armadura Dupla">
          <a:extLst>
            <a:ext uri="{FF2B5EF4-FFF2-40B4-BE49-F238E27FC236}">
              <a16:creationId xmlns:a16="http://schemas.microsoft.com/office/drawing/2014/main" id="{00000000-0008-0000-1200-00005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24</xdr:col>
      <xdr:colOff>514440</xdr:colOff>
      <xdr:row>201</xdr:row>
      <xdr:rowOff>149584</xdr:rowOff>
    </xdr:from>
    <xdr:to>
      <xdr:col>27</xdr:col>
      <xdr:colOff>36720</xdr:colOff>
      <xdr:row>203</xdr:row>
      <xdr:rowOff>167224</xdr:rowOff>
    </xdr:to>
    <xdr:pic>
      <xdr:nvPicPr>
        <xdr:cNvPr id="89" name="Imagem 1">
          <a:extLst>
            <a:ext uri="{FF2B5EF4-FFF2-40B4-BE49-F238E27FC236}">
              <a16:creationId xmlns:a16="http://schemas.microsoft.com/office/drawing/2014/main" id="{00000000-0008-0000-1300-000059000000}"/>
            </a:ext>
          </a:extLst>
        </xdr:cNvPr>
        <xdr:cNvPicPr/>
      </xdr:nvPicPr>
      <xdr:blipFill>
        <a:blip xmlns:r="http://schemas.openxmlformats.org/officeDocument/2006/relationships" r:embed="rId1"/>
        <a:stretch/>
      </xdr:blipFill>
      <xdr:spPr>
        <a:xfrm>
          <a:off x="16740558" y="40098555"/>
          <a:ext cx="1897927" cy="398640"/>
        </a:xfrm>
        <a:prstGeom prst="rect">
          <a:avLst/>
        </a:prstGeom>
        <a:ln w="0">
          <a:noFill/>
        </a:ln>
      </xdr:spPr>
    </xdr:pic>
    <xdr:clientData/>
  </xdr:twoCellAnchor>
  <xdr:twoCellAnchor editAs="oneCell">
    <xdr:from>
      <xdr:col>24</xdr:col>
      <xdr:colOff>523800</xdr:colOff>
      <xdr:row>204</xdr:row>
      <xdr:rowOff>25684</xdr:rowOff>
    </xdr:from>
    <xdr:to>
      <xdr:col>26</xdr:col>
      <xdr:colOff>141480</xdr:colOff>
      <xdr:row>207</xdr:row>
      <xdr:rowOff>109984</xdr:rowOff>
    </xdr:to>
    <xdr:pic>
      <xdr:nvPicPr>
        <xdr:cNvPr id="90" name="Imagem 2">
          <a:extLst>
            <a:ext uri="{FF2B5EF4-FFF2-40B4-BE49-F238E27FC236}">
              <a16:creationId xmlns:a16="http://schemas.microsoft.com/office/drawing/2014/main" id="{00000000-0008-0000-1300-00005A000000}"/>
            </a:ext>
          </a:extLst>
        </xdr:cNvPr>
        <xdr:cNvPicPr/>
      </xdr:nvPicPr>
      <xdr:blipFill>
        <a:blip xmlns:r="http://schemas.openxmlformats.org/officeDocument/2006/relationships" r:embed="rId2"/>
        <a:stretch/>
      </xdr:blipFill>
      <xdr:spPr>
        <a:xfrm>
          <a:off x="16749918" y="40546155"/>
          <a:ext cx="1421827" cy="655800"/>
        </a:xfrm>
        <a:prstGeom prst="rect">
          <a:avLst/>
        </a:prstGeom>
        <a:ln w="0">
          <a:noFill/>
        </a:ln>
      </xdr:spPr>
    </xdr:pic>
    <xdr:clientData/>
  </xdr:twoCellAnchor>
  <xdr:twoCellAnchor editAs="oneCell">
    <xdr:from>
      <xdr:col>24</xdr:col>
      <xdr:colOff>523800</xdr:colOff>
      <xdr:row>207</xdr:row>
      <xdr:rowOff>187744</xdr:rowOff>
    </xdr:from>
    <xdr:to>
      <xdr:col>27</xdr:col>
      <xdr:colOff>150840</xdr:colOff>
      <xdr:row>210</xdr:row>
      <xdr:rowOff>57287</xdr:rowOff>
    </xdr:to>
    <xdr:pic>
      <xdr:nvPicPr>
        <xdr:cNvPr id="91" name="Imagem 3">
          <a:extLst>
            <a:ext uri="{FF2B5EF4-FFF2-40B4-BE49-F238E27FC236}">
              <a16:creationId xmlns:a16="http://schemas.microsoft.com/office/drawing/2014/main" id="{00000000-0008-0000-1300-00005B000000}"/>
            </a:ext>
          </a:extLst>
        </xdr:cNvPr>
        <xdr:cNvPicPr/>
      </xdr:nvPicPr>
      <xdr:blipFill>
        <a:blip xmlns:r="http://schemas.openxmlformats.org/officeDocument/2006/relationships" r:embed="rId3"/>
        <a:stretch/>
      </xdr:blipFill>
      <xdr:spPr>
        <a:xfrm>
          <a:off x="16749918" y="41279715"/>
          <a:ext cx="2002687" cy="441043"/>
        </a:xfrm>
        <a:prstGeom prst="rect">
          <a:avLst/>
        </a:prstGeom>
        <a:ln w="0">
          <a:noFill/>
        </a:ln>
      </xdr:spPr>
    </xdr:pic>
    <xdr:clientData/>
  </xdr:twoCellAnchor>
  <xdr:twoCellAnchor editAs="oneCell">
    <xdr:from>
      <xdr:col>24</xdr:col>
      <xdr:colOff>523800</xdr:colOff>
      <xdr:row>210</xdr:row>
      <xdr:rowOff>163487</xdr:rowOff>
    </xdr:from>
    <xdr:to>
      <xdr:col>27</xdr:col>
      <xdr:colOff>150840</xdr:colOff>
      <xdr:row>214</xdr:row>
      <xdr:rowOff>162047</xdr:rowOff>
    </xdr:to>
    <xdr:pic>
      <xdr:nvPicPr>
        <xdr:cNvPr id="92" name="Imagem 4">
          <a:extLst>
            <a:ext uri="{FF2B5EF4-FFF2-40B4-BE49-F238E27FC236}">
              <a16:creationId xmlns:a16="http://schemas.microsoft.com/office/drawing/2014/main" id="{00000000-0008-0000-1300-00005C000000}"/>
            </a:ext>
          </a:extLst>
        </xdr:cNvPr>
        <xdr:cNvPicPr/>
      </xdr:nvPicPr>
      <xdr:blipFill>
        <a:blip xmlns:r="http://schemas.openxmlformats.org/officeDocument/2006/relationships" r:embed="rId4"/>
        <a:stretch/>
      </xdr:blipFill>
      <xdr:spPr>
        <a:xfrm>
          <a:off x="16749918" y="41826958"/>
          <a:ext cx="2002687" cy="760560"/>
        </a:xfrm>
        <a:prstGeom prst="rect">
          <a:avLst/>
        </a:prstGeom>
        <a:ln w="0">
          <a:noFill/>
        </a:ln>
      </xdr:spPr>
    </xdr:pic>
    <xdr:clientData/>
  </xdr:twoCellAnchor>
  <xdr:twoCellAnchor editAs="oneCell">
    <xdr:from>
      <xdr:col>24</xdr:col>
      <xdr:colOff>523800</xdr:colOff>
      <xdr:row>215</xdr:row>
      <xdr:rowOff>87527</xdr:rowOff>
    </xdr:from>
    <xdr:to>
      <xdr:col>25</xdr:col>
      <xdr:colOff>189000</xdr:colOff>
      <xdr:row>218</xdr:row>
      <xdr:rowOff>162407</xdr:rowOff>
    </xdr:to>
    <xdr:pic>
      <xdr:nvPicPr>
        <xdr:cNvPr id="93" name="Imagem 5">
          <a:extLst>
            <a:ext uri="{FF2B5EF4-FFF2-40B4-BE49-F238E27FC236}">
              <a16:creationId xmlns:a16="http://schemas.microsoft.com/office/drawing/2014/main" id="{00000000-0008-0000-1300-00005D000000}"/>
            </a:ext>
          </a:extLst>
        </xdr:cNvPr>
        <xdr:cNvPicPr/>
      </xdr:nvPicPr>
      <xdr:blipFill>
        <a:blip xmlns:r="http://schemas.openxmlformats.org/officeDocument/2006/relationships" r:embed="rId5"/>
        <a:stretch/>
      </xdr:blipFill>
      <xdr:spPr>
        <a:xfrm>
          <a:off x="16749918" y="42703498"/>
          <a:ext cx="897847" cy="646380"/>
        </a:xfrm>
        <a:prstGeom prst="rect">
          <a:avLst/>
        </a:prstGeom>
        <a:ln w="0">
          <a:noFill/>
        </a:ln>
      </xdr:spPr>
    </xdr:pic>
    <xdr:clientData/>
  </xdr:twoCellAnchor>
  <xdr:twoCellAnchor editAs="oneCell">
    <xdr:from>
      <xdr:col>24</xdr:col>
      <xdr:colOff>552600</xdr:colOff>
      <xdr:row>219</xdr:row>
      <xdr:rowOff>163487</xdr:rowOff>
    </xdr:from>
    <xdr:to>
      <xdr:col>26</xdr:col>
      <xdr:colOff>541800</xdr:colOff>
      <xdr:row>222</xdr:row>
      <xdr:rowOff>162047</xdr:rowOff>
    </xdr:to>
    <xdr:pic>
      <xdr:nvPicPr>
        <xdr:cNvPr id="94" name="Imagem 6">
          <a:extLst>
            <a:ext uri="{FF2B5EF4-FFF2-40B4-BE49-F238E27FC236}">
              <a16:creationId xmlns:a16="http://schemas.microsoft.com/office/drawing/2014/main" id="{00000000-0008-0000-1300-00005E000000}"/>
            </a:ext>
          </a:extLst>
        </xdr:cNvPr>
        <xdr:cNvPicPr/>
      </xdr:nvPicPr>
      <xdr:blipFill>
        <a:blip xmlns:r="http://schemas.openxmlformats.org/officeDocument/2006/relationships" r:embed="rId6"/>
        <a:stretch/>
      </xdr:blipFill>
      <xdr:spPr>
        <a:xfrm>
          <a:off x="16778718" y="43541458"/>
          <a:ext cx="1793347" cy="57006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23</xdr:col>
      <xdr:colOff>85680</xdr:colOff>
      <xdr:row>53</xdr:row>
      <xdr:rowOff>28440</xdr:rowOff>
    </xdr:from>
    <xdr:to>
      <xdr:col>37</xdr:col>
      <xdr:colOff>408240</xdr:colOff>
      <xdr:row>67</xdr:row>
      <xdr:rowOff>103320</xdr:rowOff>
    </xdr:to>
    <xdr:graphicFrame macro="">
      <xdr:nvGraphicFramePr>
        <xdr:cNvPr id="95" name="Gráfico 1">
          <a:extLst>
            <a:ext uri="{FF2B5EF4-FFF2-40B4-BE49-F238E27FC236}">
              <a16:creationId xmlns:a16="http://schemas.microsoft.com/office/drawing/2014/main" id="{00000000-0008-0000-1400-00005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100800</xdr:colOff>
      <xdr:row>67</xdr:row>
      <xdr:rowOff>111960</xdr:rowOff>
    </xdr:from>
    <xdr:to>
      <xdr:col>37</xdr:col>
      <xdr:colOff>423360</xdr:colOff>
      <xdr:row>81</xdr:row>
      <xdr:rowOff>29880</xdr:rowOff>
    </xdr:to>
    <xdr:graphicFrame macro="">
      <xdr:nvGraphicFramePr>
        <xdr:cNvPr id="96" name="Gráfico 1">
          <a:extLst>
            <a:ext uri="{FF2B5EF4-FFF2-40B4-BE49-F238E27FC236}">
              <a16:creationId xmlns:a16="http://schemas.microsoft.com/office/drawing/2014/main" id="{00000000-0008-0000-1400-00006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15</xdr:col>
      <xdr:colOff>0</xdr:colOff>
      <xdr:row>2</xdr:row>
      <xdr:rowOff>0</xdr:rowOff>
    </xdr:from>
    <xdr:ext cx="6667500" cy="3200400"/>
    <xdr:pic>
      <xdr:nvPicPr>
        <xdr:cNvPr id="97" name="Detalhe furo">
          <a:extLst>
            <a:ext uri="{FF2B5EF4-FFF2-40B4-BE49-F238E27FC236}">
              <a16:creationId xmlns:a16="http://schemas.microsoft.com/office/drawing/2014/main" id="{00000000-0008-0000-1400-000061000000}"/>
            </a:ext>
          </a:extLst>
        </xdr:cNvPr>
        <xdr:cNvPicPr>
          <a:picLocks noChangeAspect="1"/>
        </xdr:cNvPicPr>
      </xdr:nvPicPr>
      <xdr:blipFill>
        <a:blip xmlns:r="http://schemas.openxmlformats.org/officeDocument/2006/relationships" r:embed="rId3"/>
        <a:stretch>
          <a:fillRect/>
        </a:stretch>
      </xdr:blipFill>
      <xdr:spPr>
        <a:xfrm>
          <a:off x="0" y="0"/>
          <a:ext cx="6667500" cy="3200400"/>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10</xdr:col>
      <xdr:colOff>2390775</xdr:colOff>
      <xdr:row>165</xdr:row>
      <xdr:rowOff>57240</xdr:rowOff>
    </xdr:from>
    <xdr:to>
      <xdr:col>19</xdr:col>
      <xdr:colOff>847815</xdr:colOff>
      <xdr:row>188</xdr:row>
      <xdr:rowOff>36720</xdr:rowOff>
    </xdr:to>
    <xdr:graphicFrame macro="">
      <xdr:nvGraphicFramePr>
        <xdr:cNvPr id="97" name="Gráfico 40">
          <a:extLst>
            <a:ext uri="{FF2B5EF4-FFF2-40B4-BE49-F238E27FC236}">
              <a16:creationId xmlns:a16="http://schemas.microsoft.com/office/drawing/2014/main" id="{00000000-0008-0000-1500-00006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2390715</xdr:colOff>
      <xdr:row>188</xdr:row>
      <xdr:rowOff>28470</xdr:rowOff>
    </xdr:from>
    <xdr:to>
      <xdr:col>19</xdr:col>
      <xdr:colOff>842355</xdr:colOff>
      <xdr:row>211</xdr:row>
      <xdr:rowOff>150870</xdr:rowOff>
    </xdr:to>
    <xdr:graphicFrame macro="">
      <xdr:nvGraphicFramePr>
        <xdr:cNvPr id="98" name="Gráfico 41">
          <a:extLst>
            <a:ext uri="{FF2B5EF4-FFF2-40B4-BE49-F238E27FC236}">
              <a16:creationId xmlns:a16="http://schemas.microsoft.com/office/drawing/2014/main" id="{00000000-0008-0000-1500-00006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2381310</xdr:colOff>
      <xdr:row>211</xdr:row>
      <xdr:rowOff>142920</xdr:rowOff>
    </xdr:from>
    <xdr:to>
      <xdr:col>19</xdr:col>
      <xdr:colOff>848070</xdr:colOff>
      <xdr:row>236</xdr:row>
      <xdr:rowOff>150840</xdr:rowOff>
    </xdr:to>
    <xdr:graphicFrame macro="">
      <xdr:nvGraphicFramePr>
        <xdr:cNvPr id="99" name="Gráfico 44">
          <a:extLst>
            <a:ext uri="{FF2B5EF4-FFF2-40B4-BE49-F238E27FC236}">
              <a16:creationId xmlns:a16="http://schemas.microsoft.com/office/drawing/2014/main" id="{00000000-0008-0000-1500-00006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2371845</xdr:colOff>
      <xdr:row>236</xdr:row>
      <xdr:rowOff>133365</xdr:rowOff>
    </xdr:from>
    <xdr:to>
      <xdr:col>19</xdr:col>
      <xdr:colOff>838605</xdr:colOff>
      <xdr:row>261</xdr:row>
      <xdr:rowOff>141285</xdr:rowOff>
    </xdr:to>
    <xdr:graphicFrame macro="">
      <xdr:nvGraphicFramePr>
        <xdr:cNvPr id="100" name="Gráfico 43">
          <a:extLst>
            <a:ext uri="{FF2B5EF4-FFF2-40B4-BE49-F238E27FC236}">
              <a16:creationId xmlns:a16="http://schemas.microsoft.com/office/drawing/2014/main" id="{00000000-0008-0000-1500-00006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2371755</xdr:colOff>
      <xdr:row>261</xdr:row>
      <xdr:rowOff>133200</xdr:rowOff>
    </xdr:from>
    <xdr:to>
      <xdr:col>19</xdr:col>
      <xdr:colOff>838740</xdr:colOff>
      <xdr:row>286</xdr:row>
      <xdr:rowOff>141120</xdr:rowOff>
    </xdr:to>
    <xdr:graphicFrame macro="">
      <xdr:nvGraphicFramePr>
        <xdr:cNvPr id="101" name="Gráfico 42">
          <a:extLst>
            <a:ext uri="{FF2B5EF4-FFF2-40B4-BE49-F238E27FC236}">
              <a16:creationId xmlns:a16="http://schemas.microsoft.com/office/drawing/2014/main" id="{00000000-0008-0000-1500-00006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9.xml><?xml version="1.0" encoding="utf-8"?>
<xdr:wsDr xmlns:xdr="http://schemas.openxmlformats.org/drawingml/2006/spreadsheetDrawing" xmlns:a="http://schemas.openxmlformats.org/drawingml/2006/main">
  <xdr:oneCellAnchor>
    <xdr:from>
      <xdr:col>9</xdr:col>
      <xdr:colOff>112059</xdr:colOff>
      <xdr:row>791</xdr:row>
      <xdr:rowOff>22412</xdr:rowOff>
    </xdr:from>
    <xdr:ext cx="9906000" cy="5619750"/>
    <xdr:pic>
      <xdr:nvPicPr>
        <xdr:cNvPr id="2" name="Detalh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5815853" y="46179441"/>
          <a:ext cx="9906000" cy="5619750"/>
        </a:xfrm>
        <a:prstGeom prst="rect">
          <a:avLst/>
        </a:prstGeom>
      </xdr:spPr>
    </xdr:pic>
    <xdr:clientData/>
  </xdr:oneCellAnchor>
  <xdr:oneCellAnchor>
    <xdr:from>
      <xdr:col>8</xdr:col>
      <xdr:colOff>0</xdr:colOff>
      <xdr:row>822</xdr:row>
      <xdr:rowOff>0</xdr:rowOff>
    </xdr:from>
    <xdr:ext cx="10382250" cy="3895725"/>
    <xdr:pic>
      <xdr:nvPicPr>
        <xdr:cNvPr id="3" name="Detalh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0" y="0"/>
          <a:ext cx="10382250" cy="3895725"/>
        </a:xfrm>
        <a:prstGeom prst="rect">
          <a:avLst/>
        </a:prstGeom>
      </xdr:spPr>
    </xdr:pic>
    <xdr:clientData/>
  </xdr:oneCellAnchor>
  <xdr:oneCellAnchor>
    <xdr:from>
      <xdr:col>8</xdr:col>
      <xdr:colOff>0</xdr:colOff>
      <xdr:row>845</xdr:row>
      <xdr:rowOff>0</xdr:rowOff>
    </xdr:from>
    <xdr:ext cx="6096000" cy="2752725"/>
    <xdr:pic>
      <xdr:nvPicPr>
        <xdr:cNvPr id="4" name="Detalhe 3">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3"/>
        <a:stretch>
          <a:fillRect/>
        </a:stretch>
      </xdr:blipFill>
      <xdr:spPr>
        <a:xfrm>
          <a:off x="0" y="0"/>
          <a:ext cx="6096000" cy="2752725"/>
        </a:xfrm>
        <a:prstGeom prst="rect">
          <a:avLst/>
        </a:prstGeom>
      </xdr:spPr>
    </xdr:pic>
    <xdr:clientData/>
  </xdr:oneCellAnchor>
  <xdr:oneCellAnchor>
    <xdr:from>
      <xdr:col>8</xdr:col>
      <xdr:colOff>0</xdr:colOff>
      <xdr:row>199</xdr:row>
      <xdr:rowOff>0</xdr:rowOff>
    </xdr:from>
    <xdr:ext cx="13335000" cy="4626428"/>
    <xdr:graphicFrame macro="">
      <xdr:nvGraphicFramePr>
        <xdr:cNvPr id="5" name="Desenho meia viga">
          <a:extLst>
            <a:ext uri="{FF2B5EF4-FFF2-40B4-BE49-F238E27FC236}">
              <a16:creationId xmlns:a16="http://schemas.microsoft.com/office/drawing/2014/main" id="{00000000-0008-0000-1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R1484"/>
  <sheetViews>
    <sheetView showGridLines="0" view="pageBreakPreview" topLeftCell="I1" zoomScale="85" zoomScaleNormal="85" zoomScalePageLayoutView="85" workbookViewId="0">
      <pane ySplit="6" topLeftCell="A7" activePane="bottomLeft" state="frozen"/>
      <selection activeCell="J1" sqref="J1"/>
      <selection pane="bottomLeft" activeCell="M19" sqref="M19"/>
    </sheetView>
  </sheetViews>
  <sheetFormatPr defaultColWidth="9.140625" defaultRowHeight="15" x14ac:dyDescent="0.25"/>
  <cols>
    <col min="1" max="1" width="12.85546875" style="4" customWidth="1"/>
    <col min="2" max="2" width="8.7109375" style="4" customWidth="1"/>
    <col min="3" max="3" width="9.7109375" style="4" customWidth="1"/>
    <col min="4" max="4" width="8.85546875" style="4" customWidth="1"/>
    <col min="5" max="5" width="14.42578125" style="4" customWidth="1"/>
    <col min="6" max="6" width="9.140625" style="4"/>
    <col min="7" max="7" width="16.140625" style="4" customWidth="1"/>
    <col min="8" max="8" width="11.42578125" style="4" customWidth="1"/>
    <col min="9" max="9" width="9.140625" style="4"/>
    <col min="10" max="10" width="12.140625" style="4" customWidth="1"/>
    <col min="11" max="11" width="19.28515625" style="4" customWidth="1"/>
    <col min="12" max="12" width="22.7109375" style="4" customWidth="1"/>
    <col min="13" max="13" width="22.85546875" style="4" customWidth="1"/>
    <col min="14" max="14" width="15" style="4" customWidth="1"/>
    <col min="15" max="15" width="21.85546875" style="4" customWidth="1"/>
    <col min="16" max="16" width="19.7109375" style="4" customWidth="1"/>
    <col min="17" max="17" width="17.28515625" style="4" customWidth="1"/>
    <col min="18" max="18" width="15.7109375" style="4" customWidth="1"/>
    <col min="19" max="19" width="12.5703125" style="4" customWidth="1"/>
    <col min="20" max="20" width="19.85546875" style="4" customWidth="1"/>
    <col min="21" max="21" width="13.28515625" style="4" customWidth="1"/>
    <col min="22" max="22" width="18.5703125" style="4" customWidth="1"/>
    <col min="23" max="23" width="15.28515625" style="4" customWidth="1"/>
    <col min="24" max="24" width="12.85546875" style="4" customWidth="1"/>
    <col min="25" max="25" width="12" style="4" customWidth="1"/>
    <col min="26" max="26" width="7.7109375" style="4" customWidth="1"/>
    <col min="27" max="27" width="3.85546875" style="4" customWidth="1"/>
    <col min="28" max="28" width="10.28515625" style="4" customWidth="1"/>
    <col min="29" max="29" width="12.42578125" style="4" customWidth="1"/>
    <col min="30" max="32" width="9.140625" style="4"/>
    <col min="33" max="33" width="47.42578125" style="4" customWidth="1"/>
    <col min="34" max="34" width="8.28515625" style="4" customWidth="1"/>
    <col min="35" max="16384" width="9.140625" style="4"/>
  </cols>
  <sheetData>
    <row r="1" spans="6:27" ht="15" customHeight="1" x14ac:dyDescent="0.25">
      <c r="K1" s="730" t="s">
        <v>0</v>
      </c>
      <c r="L1" s="731" t="b">
        <v>0</v>
      </c>
      <c r="M1" s="732" t="s">
        <v>1</v>
      </c>
      <c r="N1" s="732"/>
      <c r="O1" s="5">
        <f ca="1">N1284</f>
        <v>-1.1762592062739943</v>
      </c>
      <c r="P1" s="6" t="str">
        <f>IF(M19="1 - Retângular","","Estádios Viga 'i'")</f>
        <v/>
      </c>
      <c r="Q1" s="733" t="str">
        <f>IF(M19="1 - Retângular","",'ELU i'!G145)</f>
        <v/>
      </c>
      <c r="R1" s="733"/>
    </row>
    <row r="2" spans="6:27" x14ac:dyDescent="0.25">
      <c r="K2" s="730"/>
      <c r="L2" s="731"/>
      <c r="M2" s="734" t="s">
        <v>2</v>
      </c>
      <c r="N2" s="734"/>
      <c r="O2" s="7">
        <f ca="1">N1281</f>
        <v>0.7320937559823272</v>
      </c>
      <c r="P2" s="8" t="s">
        <v>3</v>
      </c>
      <c r="Q2" s="735" t="str">
        <f ca="1">IF(L1209&gt;L1214,"Ok","Estádio II")</f>
        <v>Ok</v>
      </c>
      <c r="R2" s="735"/>
    </row>
    <row r="3" spans="6:27" x14ac:dyDescent="0.25">
      <c r="K3" s="730"/>
      <c r="L3" s="731"/>
      <c r="M3" s="736" t="s">
        <v>4</v>
      </c>
      <c r="N3" s="736"/>
      <c r="O3" s="9">
        <f ca="1">Taxas!L56</f>
        <v>290.7128007891933</v>
      </c>
      <c r="P3" s="10" t="s">
        <v>5</v>
      </c>
      <c r="Q3" s="737" t="str">
        <f ca="1">IF(L1220&gt;L1222,"Ok","Estádio II")</f>
        <v>Estádio II</v>
      </c>
      <c r="R3" s="737"/>
    </row>
    <row r="4" spans="6:27" x14ac:dyDescent="0.25">
      <c r="K4" s="738" t="str">
        <f>IF(M19="1 - Retângular","Estádios viga retângular","")</f>
        <v>Estádios viga retângular</v>
      </c>
      <c r="L4" s="738"/>
      <c r="M4" s="3" t="s">
        <v>6</v>
      </c>
      <c r="N4" s="11">
        <f ca="1">Taxas!H50</f>
        <v>3.0</v>
      </c>
      <c r="O4" s="12">
        <v>16</v>
      </c>
      <c r="P4" s="13" t="s">
        <v>7</v>
      </c>
      <c r="Q4" s="14">
        <v>0</v>
      </c>
      <c r="R4" s="15" t="s">
        <v>8</v>
      </c>
    </row>
    <row r="5" spans="6:27" x14ac:dyDescent="0.25">
      <c r="K5" s="725" t="str">
        <f ca="1">IF(M19="1 - Retângular",IF(M19="2 - i",M1083,IF(M19="3 - Transição",M1083,(_xlfn.CONCAT((IF(M18="1 - Sim",(IF(K1087="Seção 'T' Verdadeira",O1122,L1078)),L1078))," - ",M1075)))),"")</f>
        <v>Domínio 3 - Armadura simples</v>
      </c>
      <c r="L5" s="725"/>
      <c r="M5" s="16" t="s">
        <v>9</v>
      </c>
      <c r="N5" s="17">
        <f ca="1">Taxas!H57</f>
        <v>12.0</v>
      </c>
      <c r="O5" s="18">
        <v>16</v>
      </c>
      <c r="P5" s="19" t="s">
        <v>7</v>
      </c>
      <c r="Q5" s="20">
        <v>0</v>
      </c>
      <c r="R5" s="21" t="s">
        <v>8</v>
      </c>
    </row>
    <row r="6" spans="6:27" x14ac:dyDescent="0.25">
      <c r="K6" s="726" t="str">
        <f ca="1">'Fissuração - wk por Seção'!N107</f>
        <v/>
      </c>
      <c r="L6" s="726"/>
      <c r="M6" s="726"/>
      <c r="N6" s="726"/>
      <c r="O6" s="726"/>
      <c r="P6" s="726"/>
      <c r="Q6" s="726"/>
      <c r="R6" s="726"/>
    </row>
    <row r="7" spans="6:27" x14ac:dyDescent="0.25">
      <c r="K7" s="727" t="s">
        <v>10</v>
      </c>
      <c r="L7" s="727"/>
      <c r="M7" s="727"/>
      <c r="N7" s="727"/>
      <c r="O7" s="727"/>
      <c r="P7" s="727"/>
      <c r="Q7" s="727"/>
      <c r="R7" s="727"/>
    </row>
    <row r="8" spans="6:27" x14ac:dyDescent="0.25">
      <c r="K8" s="727"/>
      <c r="L8" s="727"/>
      <c r="M8" s="727"/>
      <c r="N8" s="727"/>
      <c r="O8" s="727"/>
      <c r="P8" s="727"/>
      <c r="Q8" s="727"/>
      <c r="R8" s="727"/>
    </row>
    <row r="9" spans="6:27" x14ac:dyDescent="0.25">
      <c r="K9" s="694" t="s">
        <v>11</v>
      </c>
      <c r="L9" s="694"/>
      <c r="M9" s="694"/>
      <c r="T9" s="728" t="s">
        <v>2497</v>
      </c>
      <c r="U9" s="728"/>
      <c r="X9" s="4" t="s">
        <v>12</v>
      </c>
    </row>
    <row r="10" spans="6:27" ht="15" customHeight="1" x14ac:dyDescent="0.25">
      <c r="K10" s="22" t="s">
        <v>13</v>
      </c>
      <c r="L10" s="23">
        <v>2500</v>
      </c>
      <c r="M10" s="24" t="s">
        <v>14</v>
      </c>
      <c r="Q10" s="681" t="s">
        <v>15</v>
      </c>
      <c r="R10" s="681"/>
      <c r="T10" s="4" t="s">
        <v>16</v>
      </c>
      <c r="U10" s="4">
        <f>(L26-2*R76)+18+(L37-2*R76)+(L38+L26-2*R76)+L38+(L37-2*R76)+18+(L27-L38)+(L26-2*R76)+(L27+L42-2*R76)+(L26-2*R76)+(L27+L42-2*R76)</f>
        <v>388.0</v>
      </c>
      <c r="W10" s="26"/>
      <c r="X10" s="4">
        <v>20</v>
      </c>
      <c r="Y10" s="4">
        <v>320</v>
      </c>
      <c r="Z10" s="26"/>
      <c r="AA10" s="26"/>
    </row>
    <row r="11" spans="6:27" ht="15" customHeight="1" x14ac:dyDescent="0.25">
      <c r="K11" s="27" t="s">
        <v>17</v>
      </c>
      <c r="L11" s="28">
        <v>355</v>
      </c>
      <c r="M11" s="4" t="s">
        <v>14</v>
      </c>
      <c r="Q11" s="729" t="str">
        <f>IF(Q614="Ok","Ok","OBS: Valor da linha neutra é MAIOR que hf1 - armadura ativa necessita verificação")</f>
        <v>Ok</v>
      </c>
      <c r="R11" s="729"/>
      <c r="T11" s="4" t="s">
        <v>18</v>
      </c>
      <c r="U11" s="4">
        <f>(L27-2*R76)+(L26-2*R76)+(L27+L42-2*R76)+(L39-2*R76)+L42+(L26-(L39-2*R76)-2*R76)</f>
        <v>206.0</v>
      </c>
      <c r="V11" s="26"/>
      <c r="W11" s="26"/>
      <c r="X11" s="4">
        <v>25</v>
      </c>
      <c r="Y11" s="4">
        <v>355</v>
      </c>
      <c r="Z11" s="26"/>
      <c r="AA11" s="26"/>
    </row>
    <row r="12" spans="6:27" ht="15" customHeight="1" x14ac:dyDescent="0.25">
      <c r="F12" s="29" t="s">
        <v>19</v>
      </c>
      <c r="K12" s="27" t="s">
        <v>20</v>
      </c>
      <c r="L12" s="28">
        <v>100</v>
      </c>
      <c r="M12" s="4" t="s">
        <v>14</v>
      </c>
      <c r="Q12" s="729"/>
      <c r="R12" s="729"/>
      <c r="T12" s="4" t="s">
        <v>21</v>
      </c>
      <c r="U12" s="4">
        <f>(L27-2*R76)*2+(L26-2*R76)*2</f>
        <v>156.0</v>
      </c>
      <c r="V12" s="26"/>
      <c r="W12" s="26"/>
      <c r="X12" s="4">
        <v>30</v>
      </c>
      <c r="Y12" s="4">
        <v>430</v>
      </c>
      <c r="Z12" s="26"/>
      <c r="AA12" s="26"/>
    </row>
    <row r="13" spans="6:27" ht="17.25" customHeight="1" x14ac:dyDescent="0.25">
      <c r="F13" s="715" t="s">
        <v>22</v>
      </c>
      <c r="G13" s="715" t="s">
        <v>23</v>
      </c>
      <c r="H13" s="715"/>
      <c r="I13" s="715"/>
      <c r="K13" s="30" t="s">
        <v>24</v>
      </c>
      <c r="L13" s="31">
        <f>L15/100*L16*L17/100</f>
        <v>0.0</v>
      </c>
      <c r="M13" s="32" t="s">
        <v>25</v>
      </c>
      <c r="T13" s="4" t="s">
        <v>26</v>
      </c>
      <c r="U13" s="4">
        <f>7+(L61-2*R76)+((L60-L61)/2)+L63+(L61-2*R76)+L63+(L63-2*R76)+((L60-L61)/2)+(L70-2*R76)+((L62-L61)/2-R76)+((L62-L61)/2)+(L67-2*R76)+15+((L62-L61)/2)-R76+15+(((L62-L61)/2)-R76+((L62-L61)/2))+(L70-2*R76)+(((L62-L61)/2)-R76+((L62-L61)/2))+7</f>
        <v>361.0</v>
      </c>
      <c r="W13" s="26"/>
      <c r="X13" s="26"/>
      <c r="Y13" s="26"/>
      <c r="Z13" s="26"/>
      <c r="AA13" s="26"/>
    </row>
    <row r="14" spans="6:27" ht="15" customHeight="1" x14ac:dyDescent="0.25">
      <c r="F14" s="715"/>
      <c r="G14" s="33" t="s">
        <v>27</v>
      </c>
      <c r="H14" s="33" t="s">
        <v>28</v>
      </c>
      <c r="I14" s="33" t="s">
        <v>29</v>
      </c>
      <c r="K14" s="712" t="s">
        <v>30</v>
      </c>
      <c r="L14" s="712"/>
      <c r="M14" s="712"/>
      <c r="Q14" s="724" t="s">
        <v>31</v>
      </c>
      <c r="R14" s="724"/>
      <c r="U14" s="4">
        <f>'Cisalhamento e Apoios'!$J$76/100</f>
        <v>3.64</v>
      </c>
      <c r="V14" s="4" t="s">
        <v>32</v>
      </c>
      <c r="W14" s="26"/>
      <c r="X14" s="26"/>
      <c r="Y14" s="26"/>
      <c r="Z14" s="26"/>
      <c r="AA14" s="26"/>
    </row>
    <row r="15" spans="6:27" ht="18" customHeight="1" x14ac:dyDescent="0.25">
      <c r="F15" s="715" t="s">
        <v>33</v>
      </c>
      <c r="G15" s="715"/>
      <c r="H15" s="715"/>
      <c r="I15" s="715"/>
      <c r="K15" s="27" t="s">
        <v>34</v>
      </c>
      <c r="L15" s="23">
        <v>0</v>
      </c>
      <c r="M15" s="4" t="s">
        <v>35</v>
      </c>
      <c r="Q15" s="722">
        <f>Taxas!L60</f>
        <v>0.0</v>
      </c>
      <c r="R15" s="722"/>
      <c r="V15" s="26"/>
      <c r="W15" s="26"/>
      <c r="X15" s="26"/>
      <c r="Y15" s="26"/>
      <c r="Z15" s="26"/>
      <c r="AA15" s="26"/>
    </row>
    <row r="16" spans="6:27" ht="14.25" customHeight="1" x14ac:dyDescent="0.25">
      <c r="F16" s="723" t="s">
        <v>36</v>
      </c>
      <c r="G16" s="717">
        <v>0.5</v>
      </c>
      <c r="H16" s="717">
        <v>0.4</v>
      </c>
      <c r="I16" s="717">
        <v>0.3</v>
      </c>
      <c r="K16" s="27" t="s">
        <v>37</v>
      </c>
      <c r="L16" s="23">
        <v>1350</v>
      </c>
      <c r="M16" s="4" t="s">
        <v>14</v>
      </c>
      <c r="Q16" s="722"/>
      <c r="R16" s="722"/>
      <c r="V16" s="36">
        <f>'Propriedades geométricas VIGA'!B7</f>
        <v>0.0</v>
      </c>
      <c r="W16" s="36">
        <f>'Propriedades geométricas VIGA'!C7</f>
        <v>0.0</v>
      </c>
    </row>
    <row r="17" spans="6:32" ht="14.25" customHeight="1" x14ac:dyDescent="0.25">
      <c r="F17" s="723"/>
      <c r="G17" s="717"/>
      <c r="H17" s="717"/>
      <c r="I17" s="717"/>
      <c r="K17" s="27" t="s">
        <v>38</v>
      </c>
      <c r="L17" s="23">
        <f>350-50</f>
        <v>300.0</v>
      </c>
      <c r="M17" s="4" t="s">
        <v>35</v>
      </c>
      <c r="V17" s="36">
        <f>'Propriedades geométricas VIGA'!B8</f>
        <v>-15.0</v>
      </c>
      <c r="W17" s="36">
        <f>'Propriedades geométricas VIGA'!C8</f>
        <v>0.0</v>
      </c>
    </row>
    <row r="18" spans="6:32" ht="14.25" customHeight="1" x14ac:dyDescent="0.25">
      <c r="F18" s="723"/>
      <c r="G18" s="717"/>
      <c r="H18" s="717"/>
      <c r="I18" s="717"/>
      <c r="K18" s="669" t="s">
        <v>39</v>
      </c>
      <c r="L18" s="669"/>
      <c r="M18" s="23" t="s">
        <v>40</v>
      </c>
      <c r="Q18" s="724" t="s">
        <v>41</v>
      </c>
      <c r="R18" s="724"/>
      <c r="V18" s="36">
        <f>'Propriedades geométricas VIGA'!B9</f>
        <v>-15.0</v>
      </c>
      <c r="W18" s="36">
        <f>'Propriedades geométricas VIGA'!C9</f>
        <v>40.0</v>
      </c>
    </row>
    <row r="19" spans="6:32" ht="14.25" customHeight="1" x14ac:dyDescent="0.25">
      <c r="F19" s="723"/>
      <c r="G19" s="717"/>
      <c r="H19" s="717"/>
      <c r="I19" s="717"/>
      <c r="K19" s="721" t="s">
        <v>42</v>
      </c>
      <c r="L19" s="721"/>
      <c r="M19" s="23" t="s">
        <v>43</v>
      </c>
      <c r="Q19" s="722" t="str">
        <f>Taxas!L64</f>
        <v>8Ø15.2mm</v>
      </c>
      <c r="R19" s="722"/>
      <c r="V19" s="36">
        <f>'Propriedades geométricas VIGA'!B10</f>
        <v>-15.0</v>
      </c>
      <c r="W19" s="36">
        <f>'Propriedades geométricas VIGA'!C10</f>
        <v>45.0</v>
      </c>
    </row>
    <row r="20" spans="6:32" ht="14.25" customHeight="1" x14ac:dyDescent="0.25">
      <c r="F20" s="723" t="s">
        <v>44</v>
      </c>
      <c r="G20" s="717">
        <v>0.7</v>
      </c>
      <c r="H20" s="717">
        <v>0.6</v>
      </c>
      <c r="I20" s="717">
        <v>0.4</v>
      </c>
      <c r="K20" s="721"/>
      <c r="L20" s="721"/>
      <c r="M20" s="23" t="s">
        <v>2625</v>
      </c>
      <c r="Q20" s="722"/>
      <c r="R20" s="722"/>
      <c r="V20" s="36">
        <f>'Propriedades geométricas VIGA'!B11</f>
        <v>-15.0</v>
      </c>
      <c r="W20" s="36">
        <f>'Propriedades geométricas VIGA'!C11</f>
        <v>60.0</v>
      </c>
    </row>
    <row r="21" spans="6:32" ht="14.25" customHeight="1" x14ac:dyDescent="0.25">
      <c r="F21" s="723"/>
      <c r="G21" s="717"/>
      <c r="H21" s="717"/>
      <c r="I21" s="717"/>
      <c r="K21" s="27" t="s">
        <v>45</v>
      </c>
      <c r="L21" s="37">
        <v>0</v>
      </c>
      <c r="N21" s="38" t="s">
        <v>46</v>
      </c>
      <c r="V21" s="36">
        <f>'Propriedades geométricas VIGA'!B12</f>
        <v>15.0</v>
      </c>
      <c r="W21" s="36">
        <f>'Propriedades geométricas VIGA'!C12</f>
        <v>60.0</v>
      </c>
    </row>
    <row r="22" spans="6:32" ht="14.25" customHeight="1" x14ac:dyDescent="0.25">
      <c r="F22" s="723"/>
      <c r="G22" s="717"/>
      <c r="H22" s="717"/>
      <c r="I22" s="717"/>
      <c r="K22" s="27" t="s">
        <v>47</v>
      </c>
      <c r="L22" s="37">
        <v>0</v>
      </c>
      <c r="N22" s="38" t="s">
        <v>48</v>
      </c>
      <c r="V22" s="36">
        <f>'Propriedades geométricas VIGA'!B13</f>
        <v>15.0</v>
      </c>
      <c r="W22" s="36">
        <f>'Propriedades geométricas VIGA'!C13</f>
        <v>45.0</v>
      </c>
    </row>
    <row r="23" spans="6:32" ht="14.25" customHeight="1" x14ac:dyDescent="0.25">
      <c r="F23" s="717" t="s">
        <v>49</v>
      </c>
      <c r="G23" s="717">
        <v>0.8</v>
      </c>
      <c r="H23" s="717">
        <v>0.7</v>
      </c>
      <c r="I23" s="717">
        <v>0.6</v>
      </c>
      <c r="K23" s="691" t="s">
        <v>50</v>
      </c>
      <c r="L23" s="691"/>
      <c r="M23" s="691"/>
      <c r="Q23" s="719" t="s">
        <v>51</v>
      </c>
      <c r="R23" s="719"/>
      <c r="U23" s="1"/>
      <c r="V23" s="36">
        <f>'Propriedades geométricas VIGA'!B14</f>
        <v>15.0</v>
      </c>
      <c r="W23" s="36">
        <f>'Propriedades geométricas VIGA'!C14</f>
        <v>40.0</v>
      </c>
    </row>
    <row r="24" spans="6:32" ht="14.25" customHeight="1" x14ac:dyDescent="0.25">
      <c r="F24" s="717"/>
      <c r="G24" s="717"/>
      <c r="H24" s="717"/>
      <c r="I24" s="717"/>
      <c r="K24" s="27"/>
      <c r="L24" s="27" t="s">
        <v>52</v>
      </c>
      <c r="M24" s="27" t="s">
        <v>53</v>
      </c>
      <c r="Q24" s="720" t="str">
        <f ca="1">K1150</f>
        <v>Necessita armadura passiva ELU</v>
      </c>
      <c r="R24" s="720"/>
      <c r="U24" s="40"/>
      <c r="V24" s="36">
        <f>'Propriedades geométricas VIGA'!B15</f>
        <v>15.0</v>
      </c>
      <c r="W24" s="36">
        <f>'Propriedades geométricas VIGA'!C15</f>
        <v>0.0</v>
      </c>
      <c r="X24" s="40"/>
    </row>
    <row r="25" spans="6:32" ht="14.25" customHeight="1" x14ac:dyDescent="0.25">
      <c r="F25" s="715" t="s">
        <v>54</v>
      </c>
      <c r="G25" s="715"/>
      <c r="H25" s="715"/>
      <c r="I25" s="715"/>
      <c r="K25" s="27" t="s">
        <v>55</v>
      </c>
      <c r="L25" s="37">
        <v>815</v>
      </c>
      <c r="N25" s="38" t="s">
        <v>56</v>
      </c>
      <c r="Q25" s="720"/>
      <c r="R25" s="720"/>
      <c r="U25" s="40"/>
      <c r="V25" s="36">
        <f>'Propriedades geométricas VIGA'!B16</f>
        <v>0.0</v>
      </c>
      <c r="W25" s="36">
        <f>'Propriedades geométricas VIGA'!C16</f>
        <v>0.0</v>
      </c>
      <c r="X25" s="40"/>
    </row>
    <row r="26" spans="6:32" ht="14.25" customHeight="1" x14ac:dyDescent="0.25">
      <c r="F26" s="717" t="s">
        <v>57</v>
      </c>
      <c r="G26" s="721">
        <v>0.6</v>
      </c>
      <c r="H26" s="721">
        <v>0.3</v>
      </c>
      <c r="I26" s="721">
        <v>0</v>
      </c>
      <c r="K26" s="27" t="s">
        <v>58</v>
      </c>
      <c r="L26" s="37">
        <v>30</v>
      </c>
      <c r="N26" s="38" t="s">
        <v>59</v>
      </c>
      <c r="U26" s="40"/>
      <c r="V26" s="36">
        <f>'Propriedades geométricas VIGA'!B17</f>
        <v>0.0</v>
      </c>
      <c r="W26" s="36">
        <f>'Propriedades geométricas VIGA'!C17</f>
        <v>0.0</v>
      </c>
      <c r="X26" s="40"/>
    </row>
    <row r="27" spans="6:32" x14ac:dyDescent="0.25">
      <c r="F27" s="717"/>
      <c r="G27" s="721"/>
      <c r="H27" s="721"/>
      <c r="I27" s="721"/>
      <c r="K27" s="27" t="s">
        <v>60</v>
      </c>
      <c r="L27" s="41">
        <v>60</v>
      </c>
      <c r="N27" s="38" t="s">
        <v>61</v>
      </c>
      <c r="U27" s="40"/>
      <c r="V27" s="36">
        <f>'Propriedades geométricas VIGA'!B18</f>
        <v>0.0</v>
      </c>
      <c r="W27" s="36">
        <f>'Propriedades geométricas VIGA'!C18</f>
        <v>0.0</v>
      </c>
      <c r="X27" s="40"/>
    </row>
    <row r="28" spans="6:32" ht="15" customHeight="1" x14ac:dyDescent="0.25">
      <c r="F28" s="715" t="s">
        <v>62</v>
      </c>
      <c r="G28" s="715"/>
      <c r="H28" s="715"/>
      <c r="I28" s="715"/>
      <c r="K28" s="27" t="s">
        <v>63</v>
      </c>
      <c r="L28" s="37">
        <v>30</v>
      </c>
      <c r="N28" s="38" t="s">
        <v>64</v>
      </c>
      <c r="U28" s="40"/>
      <c r="V28" s="36">
        <f>'Propriedades geométricas VIGA'!B19</f>
        <v>0.0</v>
      </c>
      <c r="W28" s="36">
        <f>'Propriedades geométricas VIGA'!C19</f>
        <v>0.0</v>
      </c>
      <c r="X28" s="40"/>
    </row>
    <row r="29" spans="6:32" ht="15" customHeight="1" x14ac:dyDescent="0.25">
      <c r="F29" s="716" t="s">
        <v>65</v>
      </c>
      <c r="G29" s="717">
        <v>0.6</v>
      </c>
      <c r="H29" s="717">
        <v>0.5</v>
      </c>
      <c r="I29" s="717">
        <v>0.3</v>
      </c>
      <c r="K29" s="27" t="s">
        <v>55</v>
      </c>
      <c r="L29" s="42">
        <f>L25-L28</f>
        <v>785.0</v>
      </c>
      <c r="N29" s="38" t="s">
        <v>66</v>
      </c>
      <c r="V29" s="36">
        <f>'Propriedades geométricas VIGA'!B20</f>
        <v>0.0</v>
      </c>
      <c r="W29" s="36">
        <f>'Propriedades geométricas VIGA'!C20</f>
        <v>0.0</v>
      </c>
      <c r="X29" s="40"/>
    </row>
    <row r="30" spans="6:32" x14ac:dyDescent="0.25">
      <c r="F30" s="716"/>
      <c r="G30" s="717"/>
      <c r="H30" s="717"/>
      <c r="I30" s="717"/>
      <c r="J30" s="43"/>
      <c r="K30" s="27" t="s">
        <v>67</v>
      </c>
      <c r="L30" s="44">
        <f ca="1">IF(L1=TRUE(),Homogeneização!L55,'Propriedades geométricas VIGA'!M7)</f>
        <v>30.0</v>
      </c>
      <c r="M30" s="42">
        <f ca="1">IF(L1=TRUE(),IF(M18="1 - Sim",Homogeneização!R55,Homogeneização!L55),IF(M18="1 - Sim",'Propriedades geométricas LAJE'!M7,L30))</f>
        <v>51.362431016587806</v>
      </c>
      <c r="N30" s="45" t="s">
        <v>68</v>
      </c>
      <c r="V30" s="36">
        <f>'Propriedades geométricas VIGA'!B21</f>
        <v>0.0</v>
      </c>
      <c r="W30" s="36">
        <f>'Propriedades geométricas VIGA'!C21</f>
        <v>0.0</v>
      </c>
      <c r="X30" s="40"/>
    </row>
    <row r="31" spans="6:32" x14ac:dyDescent="0.25">
      <c r="J31" s="43"/>
      <c r="K31" s="27" t="s">
        <v>69</v>
      </c>
      <c r="L31" s="44">
        <f ca="1">IF(L1=TRUE(),Homogeneização!L54,'Propriedades geométricas VIGA'!M8)</f>
        <v>30.0</v>
      </c>
      <c r="M31" s="42">
        <f ca="1">IF(L1=TRUE(),IF(M18="1 - Sim",Homogeneização!R54,Homogeneização!L54),IF(M18="1 - Sim",'Propriedades geométricas LAJE'!M8,L31))</f>
        <v>38.637568983412194</v>
      </c>
      <c r="N31" s="45" t="s">
        <v>70</v>
      </c>
      <c r="V31" s="36">
        <f>'Propriedades geométricas VIGA'!B22</f>
        <v>0.0</v>
      </c>
      <c r="W31" s="36">
        <f>'Propriedades geométricas VIGA'!C22</f>
        <v>0.0</v>
      </c>
      <c r="X31" s="40"/>
    </row>
    <row r="32" spans="6:32" ht="15" customHeight="1" x14ac:dyDescent="0.25">
      <c r="K32" s="27" t="s">
        <v>71</v>
      </c>
      <c r="L32" s="42">
        <f>L27-5</f>
        <v>55.0</v>
      </c>
      <c r="N32" s="46" t="s">
        <v>72</v>
      </c>
      <c r="V32" s="36">
        <f>'Propriedades geométricas VIGA'!B23</f>
        <v>0.0</v>
      </c>
      <c r="W32" s="36">
        <f>'Propriedades geométricas VIGA'!C23</f>
        <v>0.0</v>
      </c>
      <c r="X32" s="40"/>
      <c r="Y32" s="40"/>
      <c r="AF32" s="47"/>
    </row>
    <row r="33" spans="5:32" ht="27.75" customHeight="1" x14ac:dyDescent="0.25">
      <c r="E33" s="718" t="s">
        <v>73</v>
      </c>
      <c r="F33" s="718"/>
      <c r="G33" s="718"/>
      <c r="H33" s="718"/>
      <c r="I33" s="718"/>
      <c r="K33" s="27" t="s">
        <v>74</v>
      </c>
      <c r="L33" s="42">
        <f>L27-L32</f>
        <v>5.0</v>
      </c>
      <c r="N33" s="38" t="s">
        <v>75</v>
      </c>
      <c r="V33" s="36">
        <f>'Propriedades geométricas VIGA'!B24</f>
        <v>0.0</v>
      </c>
      <c r="W33" s="36">
        <f>'Propriedades geométricas VIGA'!C24</f>
        <v>0.0</v>
      </c>
      <c r="X33" s="40"/>
      <c r="Y33" s="40"/>
      <c r="AF33" s="47"/>
    </row>
    <row r="34" spans="5:32" ht="15" customHeight="1" x14ac:dyDescent="0.25">
      <c r="E34" s="675" t="s">
        <v>76</v>
      </c>
      <c r="F34" s="675" t="s">
        <v>77</v>
      </c>
      <c r="G34" s="675"/>
      <c r="H34" s="675" t="s">
        <v>78</v>
      </c>
      <c r="I34" s="675"/>
      <c r="K34" s="27" t="s">
        <v>79</v>
      </c>
      <c r="L34" s="23" t="s">
        <v>80</v>
      </c>
      <c r="N34" s="38" t="s">
        <v>81</v>
      </c>
      <c r="V34" s="36">
        <f>'Propriedades geométricas VIGA'!B25</f>
        <v>0.0</v>
      </c>
      <c r="W34" s="36">
        <f>'Propriedades geométricas VIGA'!C25</f>
        <v>0.0</v>
      </c>
      <c r="X34" s="40"/>
      <c r="Y34" s="40"/>
      <c r="AF34" s="49"/>
    </row>
    <row r="35" spans="5:32" ht="15" customHeight="1" x14ac:dyDescent="0.25">
      <c r="E35" s="675"/>
      <c r="F35" s="48" t="s">
        <v>82</v>
      </c>
      <c r="G35" s="48" t="s">
        <v>83</v>
      </c>
      <c r="H35" s="48" t="s">
        <v>82</v>
      </c>
      <c r="I35" s="48" t="s">
        <v>83</v>
      </c>
      <c r="K35" s="691" t="s">
        <v>84</v>
      </c>
      <c r="L35" s="691"/>
      <c r="M35" s="691"/>
      <c r="N35" s="38"/>
      <c r="X35" s="40"/>
      <c r="Y35" s="40"/>
      <c r="AF35" s="49"/>
    </row>
    <row r="36" spans="5:32" x14ac:dyDescent="0.25">
      <c r="E36" s="50">
        <v>160</v>
      </c>
      <c r="F36" s="50">
        <v>32</v>
      </c>
      <c r="G36" s="50">
        <v>30</v>
      </c>
      <c r="H36" s="50">
        <v>25</v>
      </c>
      <c r="I36" s="50">
        <v>20</v>
      </c>
      <c r="K36" s="27" t="s">
        <v>85</v>
      </c>
      <c r="L36" s="37">
        <v>15</v>
      </c>
      <c r="M36" s="51">
        <f>IF(AND($M$19="1 - Retângular",$M$20="2 - T"),L36,0)</f>
        <v>0.0</v>
      </c>
      <c r="N36" s="38" t="inlineStr">
        <is>
          <t>Comprimento da aba da seção "T". M36 = aba efetiva usada nos cálculos/desenho (só vale se M20 = "2 - T"; em "1 - R" e "3 - R/A" vale 0).</t>
        </is>
      </c>
      <c r="X36" s="40"/>
      <c r="Y36" s="40"/>
    </row>
    <row r="37" spans="5:32" x14ac:dyDescent="0.25">
      <c r="E37" s="50">
        <v>200</v>
      </c>
      <c r="F37" s="50">
        <v>25</v>
      </c>
      <c r="G37" s="50">
        <v>25</v>
      </c>
      <c r="H37" s="50">
        <v>16</v>
      </c>
      <c r="I37" s="50">
        <v>15</v>
      </c>
      <c r="K37" s="27" t="s">
        <v>87</v>
      </c>
      <c r="L37" s="37">
        <v>15</v>
      </c>
      <c r="N37" s="38" t="s">
        <v>88</v>
      </c>
      <c r="U37" s="40"/>
      <c r="V37" s="40"/>
      <c r="W37" s="40"/>
      <c r="X37" s="40"/>
      <c r="Y37" s="40"/>
    </row>
    <row r="38" spans="5:32" ht="15" customHeight="1" x14ac:dyDescent="0.25">
      <c r="E38" s="50">
        <v>240</v>
      </c>
      <c r="F38" s="50">
        <v>20</v>
      </c>
      <c r="G38" s="50">
        <v>20</v>
      </c>
      <c r="H38" s="50">
        <v>12.5</v>
      </c>
      <c r="I38" s="50">
        <v>10</v>
      </c>
      <c r="K38" s="27" t="s">
        <v>89</v>
      </c>
      <c r="L38" s="37">
        <v>20</v>
      </c>
      <c r="N38" s="38" t="s">
        <v>90</v>
      </c>
      <c r="U38" s="40"/>
      <c r="X38" s="40"/>
      <c r="Y38" s="40"/>
    </row>
    <row r="39" spans="5:32" ht="15" customHeight="1" x14ac:dyDescent="0.25">
      <c r="E39" s="50">
        <v>280</v>
      </c>
      <c r="F39" s="50">
        <v>16</v>
      </c>
      <c r="G39" s="50">
        <v>15</v>
      </c>
      <c r="H39" s="50">
        <v>8</v>
      </c>
      <c r="I39" s="50">
        <v>5</v>
      </c>
      <c r="K39" s="27" t="s">
        <v>91</v>
      </c>
      <c r="L39" s="37">
        <v>10</v>
      </c>
      <c r="M39" s="51">
        <f>((L39*(L42+M46))/100^2)*L25/100</f>
        <v>0.26895</v>
      </c>
      <c r="N39" s="38" t="s">
        <v>92</v>
      </c>
      <c r="U39" s="40"/>
      <c r="V39" s="52">
        <f>'Propriedades geométricas LAJE'!B7</f>
        <v>0.0</v>
      </c>
      <c r="W39" s="52">
        <f>'Propriedades geométricas LAJE'!C7</f>
        <v>0.0</v>
      </c>
      <c r="X39" s="40"/>
      <c r="Y39" s="40"/>
    </row>
    <row r="40" spans="5:32" ht="15" customHeight="1" x14ac:dyDescent="0.25">
      <c r="E40" s="50">
        <v>320</v>
      </c>
      <c r="F40" s="50">
        <v>12.5</v>
      </c>
      <c r="G40" s="50">
        <v>10</v>
      </c>
      <c r="H40" s="50">
        <v>6</v>
      </c>
      <c r="I40" s="50" t="s">
        <v>93</v>
      </c>
      <c r="K40" s="691" t="s">
        <v>94</v>
      </c>
      <c r="L40" s="691"/>
      <c r="M40" s="691"/>
      <c r="N40" s="38"/>
      <c r="U40" s="40"/>
      <c r="V40" s="52">
        <f>'Propriedades geométricas LAJE'!B8</f>
        <v>-15.0</v>
      </c>
      <c r="W40" s="52">
        <f>'Propriedades geométricas LAJE'!C8</f>
        <v>0.0</v>
      </c>
      <c r="X40" s="40"/>
      <c r="Y40" s="40"/>
    </row>
    <row r="41" spans="5:32" x14ac:dyDescent="0.25">
      <c r="E41" s="50">
        <v>360</v>
      </c>
      <c r="F41" s="50">
        <v>10</v>
      </c>
      <c r="G41" s="50">
        <v>5</v>
      </c>
      <c r="H41" s="50" t="s">
        <v>93</v>
      </c>
      <c r="I41" s="50" t="s">
        <v>93</v>
      </c>
      <c r="K41" s="27" t="s">
        <v>95</v>
      </c>
      <c r="L41" s="37">
        <f>455.5+652</f>
        <v>1107.5</v>
      </c>
      <c r="N41" s="38" t="s">
        <v>96</v>
      </c>
      <c r="U41" s="40"/>
      <c r="V41" s="52">
        <f>'Propriedades geométricas LAJE'!B9</f>
        <v>-15.0</v>
      </c>
      <c r="W41" s="52">
        <f>'Propriedades geométricas LAJE'!C9</f>
        <v>40.0</v>
      </c>
      <c r="X41" s="40"/>
      <c r="Y41" s="40"/>
    </row>
    <row r="42" spans="5:32" ht="15" customHeight="1" x14ac:dyDescent="0.25">
      <c r="E42" s="50">
        <v>400</v>
      </c>
      <c r="F42" s="50">
        <v>8</v>
      </c>
      <c r="G42" s="50" t="s">
        <v>93</v>
      </c>
      <c r="H42" s="50" t="s">
        <v>93</v>
      </c>
      <c r="I42" s="50" t="s">
        <v>93</v>
      </c>
      <c r="K42" s="27" t="s">
        <v>97</v>
      </c>
      <c r="L42" s="42">
        <f>VLOOKUP(L11,AUXÍLIO!I4:J6,2)</f>
        <v>25.0</v>
      </c>
      <c r="M42" s="53">
        <f>IF(M18="1 - Sim",L42,0)</f>
        <v>25.0</v>
      </c>
      <c r="N42" s="45" t="s">
        <v>98</v>
      </c>
      <c r="Q42" s="54"/>
      <c r="U42" s="40"/>
      <c r="V42" s="52">
        <f>'Propriedades geométricas LAJE'!B10</f>
        <v>-15.0</v>
      </c>
      <c r="W42" s="52">
        <f>'Propriedades geométricas LAJE'!C10</f>
        <v>45.0</v>
      </c>
      <c r="X42" s="40"/>
      <c r="Y42" s="40"/>
    </row>
    <row r="43" spans="5:32" ht="15" customHeight="1" x14ac:dyDescent="0.25">
      <c r="I43" s="43"/>
      <c r="K43" s="27" t="s">
        <v>99</v>
      </c>
      <c r="L43" s="42">
        <f>AUXÍLIO!I20</f>
        <v>187.0</v>
      </c>
      <c r="M43" s="53">
        <f>IF(M18="1 - Sim",L43*L93,0)</f>
        <v>144.8495771481574</v>
      </c>
      <c r="N43" s="38" t="s">
        <v>100</v>
      </c>
      <c r="V43" s="52">
        <f>'Propriedades geométricas LAJE'!B11</f>
        <v>-15.0</v>
      </c>
      <c r="W43" s="52">
        <f>'Propriedades geométricas LAJE'!C11</f>
        <v>60.0</v>
      </c>
    </row>
    <row r="44" spans="5:32" x14ac:dyDescent="0.25">
      <c r="K44" s="27" t="s">
        <v>101</v>
      </c>
      <c r="L44" s="42">
        <f>L26</f>
        <v>30.0</v>
      </c>
      <c r="M44" s="53">
        <f>IF(M18="1 - Sim",L44*L93,0)</f>
        <v>23.237900077244504</v>
      </c>
      <c r="N44" s="38" t="s">
        <v>102</v>
      </c>
      <c r="V44" s="52">
        <f>'Propriedades geométricas LAJE'!B12</f>
        <v>-15.0</v>
      </c>
      <c r="W44" s="52">
        <f>'Propriedades geométricas LAJE'!C12</f>
        <v>60.0</v>
      </c>
    </row>
    <row r="45" spans="5:32" x14ac:dyDescent="0.25">
      <c r="K45" s="27" t="s">
        <v>103</v>
      </c>
      <c r="L45" s="37">
        <v>5</v>
      </c>
      <c r="M45" s="53">
        <f>IF(M18="1 - Sim",L45,0)</f>
        <v>5.0</v>
      </c>
      <c r="N45" s="38" t="s">
        <v>104</v>
      </c>
      <c r="V45" s="52">
        <f>'Propriedades geométricas LAJE'!B13</f>
        <v>-11.618950038622252</v>
      </c>
      <c r="W45" s="52">
        <f>'Propriedades geométricas LAJE'!C13</f>
        <v>60.0</v>
      </c>
    </row>
    <row r="46" spans="5:32" x14ac:dyDescent="0.25">
      <c r="K46" s="27" t="s">
        <v>105</v>
      </c>
      <c r="L46" s="42">
        <f>ROUNDUP(((L45+M46)/2),0)</f>
        <v>7.0</v>
      </c>
      <c r="M46" s="37">
        <f>L45+3</f>
        <v>8.0</v>
      </c>
      <c r="N46" s="45" t="s">
        <v>106</v>
      </c>
      <c r="V46" s="52">
        <f>'Propriedades geométricas LAJE'!B14</f>
        <v>-11.618950038622252</v>
      </c>
      <c r="W46" s="52">
        <f>'Propriedades geométricas LAJE'!C14</f>
        <v>85.0</v>
      </c>
    </row>
    <row r="47" spans="5:32" x14ac:dyDescent="0.25">
      <c r="K47" s="691" t="s">
        <v>107</v>
      </c>
      <c r="L47" s="691"/>
      <c r="M47" s="691"/>
      <c r="V47" s="52">
        <f>'Propriedades geométricas LAJE'!B15</f>
        <v>-72.4247885740787</v>
      </c>
      <c r="W47" s="52">
        <f>'Propriedades geométricas LAJE'!C15</f>
        <v>85.0</v>
      </c>
    </row>
    <row r="48" spans="5:32" ht="15" customHeight="1" x14ac:dyDescent="0.25">
      <c r="J48" s="55"/>
      <c r="K48" s="27" t="s">
        <v>108</v>
      </c>
      <c r="L48" s="56">
        <f ca="1">IF(L1=TRUE(),Homogeneização!L51,'Propriedades geométricas VIGA'!M6)</f>
        <v>1800.0</v>
      </c>
      <c r="M48" s="56">
        <f ca="1">IF(L1=TRUE(),IF(M18="1 - Sim",Homogeneização!R51,Homogeneização!L51),IF(M18="1 - Sim",'Propriedades geométricas LAJE'!M6,L48))</f>
        <v>3105.1953876719</v>
      </c>
      <c r="N48" s="45" t="s">
        <v>109</v>
      </c>
      <c r="V48" s="52">
        <f>'Propriedades geométricas LAJE'!B16</f>
        <v>-72.4247885740787</v>
      </c>
      <c r="W48" s="52">
        <f>'Propriedades geométricas LAJE'!C16</f>
        <v>90.0</v>
      </c>
    </row>
    <row r="49" spans="10:23" ht="15" customHeight="1" x14ac:dyDescent="0.25">
      <c r="J49" s="55"/>
      <c r="K49" s="27" t="s">
        <v>110</v>
      </c>
      <c r="L49" s="57">
        <f ca="1">IF(L1=TRUE(),Homogeneização!L57,'Propriedades geométricas VIGA'!M9)</f>
        <v>540000.0</v>
      </c>
      <c r="M49" s="53">
        <f ca="1">IF(L1=TRUE(),IF(M18="1 - Sim",Homogeneização!R57,Homogeneização!L57),IF(M18="1 - Sim",'Propriedades geométricas LAJE'!M9,L49))</f>
        <v>2598580.8739038864</v>
      </c>
      <c r="N49" s="58" t="s">
        <v>111</v>
      </c>
      <c r="V49" s="52">
        <f>'Propriedades geométricas LAJE'!B17</f>
        <v>72.4247885740787</v>
      </c>
      <c r="W49" s="52">
        <f>'Propriedades geométricas LAJE'!C17</f>
        <v>90.0</v>
      </c>
    </row>
    <row r="50" spans="10:23" x14ac:dyDescent="0.25">
      <c r="K50" s="27" t="s">
        <v>112</v>
      </c>
      <c r="L50" s="59">
        <f ca="1">L299/100</f>
        <v>0.1875</v>
      </c>
      <c r="M50" s="60"/>
      <c r="N50" s="38" t="s">
        <v>113</v>
      </c>
      <c r="V50" s="52">
        <f>'Propriedades geométricas LAJE'!B18</f>
        <v>72.4247885740787</v>
      </c>
      <c r="W50" s="52">
        <f>'Propriedades geométricas LAJE'!C18</f>
        <v>85.0</v>
      </c>
    </row>
    <row r="51" spans="10:23" x14ac:dyDescent="0.25">
      <c r="K51" s="27" t="s">
        <v>114</v>
      </c>
      <c r="L51" s="59">
        <f ca="1">L301/100</f>
        <v>0.3</v>
      </c>
      <c r="M51" s="60"/>
      <c r="N51" s="38" t="s">
        <v>115</v>
      </c>
      <c r="U51" s="61"/>
      <c r="V51" s="52">
        <f>'Propriedades geométricas LAJE'!B19</f>
        <v>11.618950038622252</v>
      </c>
      <c r="W51" s="52">
        <f>'Propriedades geométricas LAJE'!C19</f>
        <v>85.0</v>
      </c>
    </row>
    <row r="52" spans="10:23" ht="15" customHeight="1" x14ac:dyDescent="0.25">
      <c r="J52" s="61"/>
      <c r="K52" s="27" t="s">
        <v>116</v>
      </c>
      <c r="L52" s="62">
        <f ca="1">IF(L1=TRUE(),Homogeneização!L62,'Propriedades geométricas VIGA'!M11)</f>
        <v>18000.0</v>
      </c>
      <c r="M52" s="62">
        <f ca="1">IF(L1=TRUE(),IF(M18="1 - Sim",Homogeneização!R62,Homogeneização!L62),IF(M18="1 - Sim",'Propriedades geométricas LAJE'!M11,L52))</f>
        <v>67255.28914667235</v>
      </c>
      <c r="N52" s="38" t="s">
        <v>117</v>
      </c>
      <c r="V52" s="52">
        <f>'Propriedades geométricas LAJE'!B20</f>
        <v>11.618950038622252</v>
      </c>
      <c r="W52" s="52">
        <f>'Propriedades geométricas LAJE'!C20</f>
        <v>60.0</v>
      </c>
    </row>
    <row r="53" spans="10:23" x14ac:dyDescent="0.25">
      <c r="J53" s="61"/>
      <c r="K53" s="27" t="s">
        <v>118</v>
      </c>
      <c r="L53" s="62">
        <f ca="1">IF(L1=TRUE(),Homogeneização!L63,'Propriedades geométricas VIGA'!M10)</f>
        <v>18000.0</v>
      </c>
      <c r="M53" s="62">
        <f ca="1">IF(L1=TRUE(),IF(M18="1 - Sim",Homogeneização!R63,Homogeneização!L63),IF(M18="1 - Sim",'Propriedades geométricas LAJE'!M10,L53))</f>
        <v>50593.02728612396</v>
      </c>
      <c r="N53" s="38" t="s">
        <v>119</v>
      </c>
      <c r="U53" s="61"/>
      <c r="V53" s="52">
        <f>'Propriedades geométricas LAJE'!B21</f>
        <v>15.0</v>
      </c>
      <c r="W53" s="52">
        <f>'Propriedades geométricas LAJE'!C21</f>
        <v>60.0</v>
      </c>
    </row>
    <row r="54" spans="10:23" x14ac:dyDescent="0.25">
      <c r="K54" s="27" t="s">
        <v>120</v>
      </c>
      <c r="L54" s="42">
        <f ca="1">L53/L48</f>
        <v>10.0</v>
      </c>
      <c r="N54" s="38" t="s">
        <v>121</v>
      </c>
      <c r="V54" s="52">
        <f>'Propriedades geométricas LAJE'!B22</f>
        <v>15.0</v>
      </c>
      <c r="W54" s="52">
        <f>'Propriedades geométricas LAJE'!C22</f>
        <v>60.0</v>
      </c>
    </row>
    <row r="55" spans="10:23" x14ac:dyDescent="0.25">
      <c r="K55" s="27" t="s">
        <v>122</v>
      </c>
      <c r="L55" s="42">
        <f ca="1">L52/L48</f>
        <v>10.0</v>
      </c>
      <c r="N55" s="38" t="s">
        <v>123</v>
      </c>
      <c r="U55" s="61"/>
      <c r="V55" s="52">
        <f>'Propriedades geométricas LAJE'!B23</f>
        <v>15.0</v>
      </c>
      <c r="W55" s="52">
        <f>'Propriedades geométricas LAJE'!C23</f>
        <v>45.0</v>
      </c>
    </row>
    <row r="56" spans="10:23" ht="15" customHeight="1" x14ac:dyDescent="0.25">
      <c r="K56" s="27" t="s">
        <v>124</v>
      </c>
      <c r="L56" s="63">
        <f ca="1">(L55+L54)/L27</f>
        <v>0.3333333333333333</v>
      </c>
      <c r="N56" s="38" t="s">
        <v>125</v>
      </c>
      <c r="V56" s="52">
        <f>'Propriedades geométricas LAJE'!B24</f>
        <v>15.0</v>
      </c>
      <c r="W56" s="52">
        <f>'Propriedades geométricas LAJE'!C24</f>
        <v>40.0</v>
      </c>
    </row>
    <row r="57" spans="10:23" ht="15" customHeight="1" x14ac:dyDescent="0.25">
      <c r="K57" s="27" t="s">
        <v>126</v>
      </c>
      <c r="L57" s="31">
        <f>R75</f>
        <v>1.5</v>
      </c>
      <c r="N57" s="38" t="s">
        <v>127</v>
      </c>
      <c r="V57" s="52">
        <f>'Propriedades geométricas LAJE'!B25</f>
        <v>15.0</v>
      </c>
      <c r="W57" s="52">
        <f>'Propriedades geométricas LAJE'!C25</f>
        <v>0.0</v>
      </c>
    </row>
    <row r="58" spans="10:23" ht="15.75" customHeight="1" x14ac:dyDescent="0.25">
      <c r="K58" s="27" t="s">
        <v>128</v>
      </c>
      <c r="L58" s="31">
        <f>(L27/2)-R253</f>
        <v>18.75</v>
      </c>
      <c r="N58" s="64" t="s">
        <v>129</v>
      </c>
      <c r="U58" s="61"/>
      <c r="V58" s="52">
        <f>'Propriedades geométricas LAJE'!B26</f>
        <v>0.0</v>
      </c>
      <c r="W58" s="52">
        <f>'Propriedades geométricas LAJE'!C26</f>
        <v>0.0</v>
      </c>
    </row>
    <row r="59" spans="10:23" x14ac:dyDescent="0.25">
      <c r="K59" s="691" t="s">
        <v>130</v>
      </c>
      <c r="L59" s="691"/>
      <c r="M59" s="691"/>
      <c r="O59" s="40"/>
      <c r="U59" s="61"/>
    </row>
    <row r="60" spans="10:23" x14ac:dyDescent="0.25">
      <c r="K60" s="65" t="s">
        <v>131</v>
      </c>
      <c r="L60" s="66">
        <v>30</v>
      </c>
      <c r="M60" s="4" t="s">
        <v>35</v>
      </c>
      <c r="N60" s="38" t="s">
        <v>132</v>
      </c>
      <c r="O60" s="40"/>
      <c r="U60" s="61"/>
      <c r="V60" s="52"/>
      <c r="W60" s="52"/>
    </row>
    <row r="61" spans="10:23" x14ac:dyDescent="0.25">
      <c r="K61" s="67" t="s">
        <v>133</v>
      </c>
      <c r="L61" s="66">
        <v>12</v>
      </c>
      <c r="M61" s="4" t="s">
        <v>35</v>
      </c>
      <c r="N61" s="38" t="s">
        <v>134</v>
      </c>
      <c r="O61" s="40"/>
      <c r="U61" s="61"/>
      <c r="V61" s="52"/>
    </row>
    <row r="62" spans="10:23" x14ac:dyDescent="0.25">
      <c r="K62" s="67" t="s">
        <v>135</v>
      </c>
      <c r="L62" s="66">
        <v>40</v>
      </c>
      <c r="M62" s="4" t="s">
        <v>35</v>
      </c>
      <c r="N62" s="38" t="s">
        <v>136</v>
      </c>
    </row>
    <row r="63" spans="10:23" x14ac:dyDescent="0.25">
      <c r="K63" s="67" t="s">
        <v>137</v>
      </c>
      <c r="L63" s="66">
        <v>20</v>
      </c>
      <c r="M63" s="4" t="s">
        <v>35</v>
      </c>
      <c r="N63" s="38" t="s">
        <v>138</v>
      </c>
    </row>
    <row r="64" spans="10:23" x14ac:dyDescent="0.25">
      <c r="K64" s="67" t="s">
        <v>139</v>
      </c>
      <c r="L64" s="66">
        <v>5</v>
      </c>
      <c r="M64" s="4" t="s">
        <v>35</v>
      </c>
      <c r="N64" s="38" t="s">
        <v>140</v>
      </c>
    </row>
    <row r="65" spans="11:23" x14ac:dyDescent="0.25">
      <c r="K65" s="67" t="s">
        <v>141</v>
      </c>
      <c r="L65" s="66">
        <v>30</v>
      </c>
      <c r="M65" s="4" t="s">
        <v>35</v>
      </c>
      <c r="N65" s="38" t="s">
        <v>142</v>
      </c>
    </row>
    <row r="66" spans="11:23" x14ac:dyDescent="0.25">
      <c r="K66" s="67" t="s">
        <v>143</v>
      </c>
      <c r="L66" s="66">
        <v>5</v>
      </c>
      <c r="M66" s="4" t="s">
        <v>35</v>
      </c>
      <c r="N66" s="38" t="s">
        <v>144</v>
      </c>
    </row>
    <row r="67" spans="11:23" x14ac:dyDescent="0.25">
      <c r="K67" s="68" t="s">
        <v>145</v>
      </c>
      <c r="L67" s="66">
        <v>15</v>
      </c>
      <c r="M67" s="69" t="s">
        <v>35</v>
      </c>
      <c r="N67" s="38" t="s">
        <v>146</v>
      </c>
    </row>
    <row r="68" spans="11:23" x14ac:dyDescent="0.25">
      <c r="K68" s="22" t="s">
        <v>147</v>
      </c>
      <c r="L68" s="42">
        <f>L29</f>
        <v>785.0</v>
      </c>
      <c r="M68" s="70" t="s">
        <v>35</v>
      </c>
      <c r="N68" s="38" t="s">
        <v>148</v>
      </c>
    </row>
    <row r="69" spans="11:23" x14ac:dyDescent="0.25">
      <c r="K69" s="27" t="s">
        <v>58</v>
      </c>
      <c r="L69" s="37">
        <f>L62</f>
        <v>40.0</v>
      </c>
      <c r="M69" s="4" t="s">
        <v>35</v>
      </c>
      <c r="N69" s="38" t="s">
        <v>136</v>
      </c>
    </row>
    <row r="70" spans="11:23" x14ac:dyDescent="0.25">
      <c r="K70" s="30" t="s">
        <v>60</v>
      </c>
      <c r="L70" s="37">
        <f>SUM(L63:L67)</f>
        <v>75.0</v>
      </c>
      <c r="M70" s="69" t="s">
        <v>35</v>
      </c>
      <c r="N70" s="38" t="s">
        <v>61</v>
      </c>
    </row>
    <row r="72" spans="11:23" x14ac:dyDescent="0.25">
      <c r="K72" s="653" t="s">
        <v>149</v>
      </c>
      <c r="L72" s="653"/>
      <c r="M72" s="653"/>
      <c r="N72" s="653"/>
      <c r="O72" s="653"/>
      <c r="P72" s="653"/>
      <c r="Q72" s="653"/>
      <c r="R72" s="653"/>
      <c r="U72" s="61"/>
      <c r="V72" s="52"/>
    </row>
    <row r="73" spans="11:23" x14ac:dyDescent="0.25">
      <c r="K73" s="71"/>
      <c r="L73" s="71"/>
      <c r="O73" s="40"/>
      <c r="U73" s="61"/>
      <c r="V73" s="52"/>
    </row>
    <row r="74" spans="11:23" x14ac:dyDescent="0.25">
      <c r="K74" s="694" t="s">
        <v>150</v>
      </c>
      <c r="L74" s="694"/>
      <c r="N74" s="714" t="s">
        <v>151</v>
      </c>
      <c r="O74" s="714"/>
      <c r="Q74" s="694" t="s">
        <v>152</v>
      </c>
      <c r="R74" s="694"/>
      <c r="U74" s="61"/>
      <c r="V74" s="52"/>
    </row>
    <row r="75" spans="11:23" x14ac:dyDescent="0.25">
      <c r="K75" s="27" t="s">
        <v>27</v>
      </c>
      <c r="L75" s="72">
        <v>0.7</v>
      </c>
      <c r="N75" s="71" t="s">
        <v>153</v>
      </c>
      <c r="O75" s="73">
        <v>1.3</v>
      </c>
      <c r="Q75" s="27" t="s">
        <v>154</v>
      </c>
      <c r="R75" s="72">
        <f>IF(M19="1 - Retângular",1.5,IF(M19="2 - i",1.3,IF(M19="3 - Transição",1.3)))</f>
        <v>1.5</v>
      </c>
      <c r="U75" s="61"/>
      <c r="V75" s="52"/>
    </row>
    <row r="76" spans="11:23" x14ac:dyDescent="0.25">
      <c r="K76" s="27" t="s">
        <v>28</v>
      </c>
      <c r="L76" s="74">
        <v>0.6</v>
      </c>
      <c r="N76" s="27" t="s">
        <v>155</v>
      </c>
      <c r="O76" s="74">
        <v>1.1000000000000001</v>
      </c>
      <c r="Q76" s="30" t="s">
        <v>156</v>
      </c>
      <c r="R76" s="75">
        <f>Apoio!A21/10</f>
        <v>3.0</v>
      </c>
      <c r="U76" s="61"/>
      <c r="V76" s="52"/>
    </row>
    <row r="77" spans="11:23" x14ac:dyDescent="0.25">
      <c r="K77" s="30" t="s">
        <v>29</v>
      </c>
      <c r="L77" s="76">
        <v>0.4</v>
      </c>
      <c r="N77" s="77" t="s">
        <v>157</v>
      </c>
      <c r="O77" s="78">
        <v>1.4</v>
      </c>
      <c r="Q77" s="30" t="s">
        <v>2154</v>
      </c>
      <c r="R77" s="75">
        <v>0.9</v>
      </c>
      <c r="U77" s="61"/>
      <c r="V77" s="52"/>
    </row>
    <row r="78" spans="11:23" x14ac:dyDescent="0.25">
      <c r="K78" s="46" t="s">
        <v>2155</v>
      </c>
      <c r="M78" s="79"/>
      <c r="N78" s="77" t="s">
        <v>2156</v>
      </c>
      <c r="O78" s="78">
        <v>1.4</v>
      </c>
      <c r="Q78" s="30" t="s">
        <v>2157</v>
      </c>
      <c r="R78" s="75">
        <v>1.4</v>
      </c>
      <c r="U78" s="61"/>
      <c r="V78" s="52"/>
      <c r="W78" s="52"/>
    </row>
    <row r="79" spans="11:23" x14ac:dyDescent="0.25">
      <c r="K79" s="653" t="s">
        <v>158</v>
      </c>
      <c r="L79" s="653"/>
      <c r="M79" s="653"/>
      <c r="N79" s="653"/>
      <c r="O79" s="653"/>
      <c r="P79" s="653"/>
      <c r="Q79" s="653"/>
      <c r="R79" s="653"/>
      <c r="U79" s="61"/>
      <c r="V79" s="52"/>
      <c r="W79" s="52"/>
    </row>
    <row r="80" spans="11:23" x14ac:dyDescent="0.25">
      <c r="K80" s="80" t="s">
        <v>2158</v>
      </c>
      <c r="L80" s="23" t="s">
        <v>1133</v>
      </c>
      <c r="M80" s="38" t="s">
        <v>93</v>
      </c>
      <c r="N80" s="46" t="s">
        <v>2159</v>
      </c>
      <c r="O80" s="40"/>
      <c r="U80" s="61"/>
      <c r="V80" s="52"/>
      <c r="W80" s="52"/>
    </row>
    <row r="81" spans="7:29" x14ac:dyDescent="0.25">
      <c r="K81" s="80" t="s">
        <v>159</v>
      </c>
      <c r="L81" s="23">
        <v>500</v>
      </c>
      <c r="M81" s="38" t="s">
        <v>160</v>
      </c>
      <c r="N81" s="46" t="s">
        <v>161</v>
      </c>
      <c r="O81" s="40"/>
      <c r="U81" s="61"/>
    </row>
    <row r="82" spans="7:29" x14ac:dyDescent="0.25">
      <c r="K82" s="80" t="s">
        <v>162</v>
      </c>
      <c r="L82" s="23">
        <v>50</v>
      </c>
      <c r="M82" s="38" t="s">
        <v>160</v>
      </c>
      <c r="N82" s="46" t="s">
        <v>163</v>
      </c>
      <c r="O82" s="40"/>
      <c r="U82" s="61"/>
    </row>
    <row r="83" spans="7:29" x14ac:dyDescent="0.25">
      <c r="K83" s="80" t="s">
        <v>164</v>
      </c>
      <c r="L83" s="23">
        <v>30</v>
      </c>
      <c r="M83" s="38" t="s">
        <v>160</v>
      </c>
      <c r="N83" s="46" t="s">
        <v>165</v>
      </c>
      <c r="O83" s="40"/>
      <c r="U83" s="61"/>
    </row>
    <row r="84" spans="7:29" x14ac:dyDescent="0.25">
      <c r="K84" s="80" t="s">
        <v>166</v>
      </c>
      <c r="L84" s="23">
        <v>35</v>
      </c>
      <c r="M84" s="38" t="s">
        <v>160</v>
      </c>
      <c r="N84" s="46" t="s">
        <v>2160</v>
      </c>
      <c r="O84" s="40"/>
      <c r="U84" s="61"/>
    </row>
    <row r="85" spans="7:29" x14ac:dyDescent="0.25">
      <c r="K85" s="80" t="s">
        <v>168</v>
      </c>
      <c r="L85" s="23">
        <v>100</v>
      </c>
      <c r="M85" s="38" t="s">
        <v>32</v>
      </c>
      <c r="N85" s="38" t="s">
        <v>169</v>
      </c>
      <c r="O85" s="40"/>
      <c r="U85" s="61"/>
      <c r="V85" s="52"/>
      <c r="W85" s="52"/>
    </row>
    <row r="86" spans="7:29" x14ac:dyDescent="0.25">
      <c r="K86" s="80" t="s">
        <v>170</v>
      </c>
      <c r="L86" s="23" t="s">
        <v>171</v>
      </c>
      <c r="M86" s="38"/>
      <c r="N86" s="38" t="s">
        <v>172</v>
      </c>
      <c r="O86" s="40"/>
      <c r="U86" s="61"/>
      <c r="V86" s="52"/>
      <c r="W86" s="52"/>
    </row>
    <row r="87" spans="7:29" x14ac:dyDescent="0.25">
      <c r="K87" s="80" t="s">
        <v>173</v>
      </c>
      <c r="L87" s="23" t="s">
        <v>174</v>
      </c>
      <c r="M87" s="38"/>
      <c r="N87" s="38" t="s">
        <v>175</v>
      </c>
      <c r="O87" s="40"/>
      <c r="U87" s="61"/>
      <c r="V87" s="52"/>
      <c r="W87" s="52"/>
    </row>
    <row r="88" spans="7:29" x14ac:dyDescent="0.25">
      <c r="K88" s="80" t="s">
        <v>176</v>
      </c>
      <c r="L88" s="23">
        <v>190</v>
      </c>
      <c r="M88" s="46" t="s">
        <v>177</v>
      </c>
      <c r="N88" s="38" t="s">
        <v>178</v>
      </c>
      <c r="O88" s="40"/>
      <c r="U88" s="61"/>
      <c r="V88" s="52"/>
      <c r="W88" s="52"/>
    </row>
    <row r="89" spans="7:29" x14ac:dyDescent="0.25">
      <c r="K89" s="80" t="s">
        <v>179</v>
      </c>
      <c r="L89" s="23">
        <v>1710</v>
      </c>
      <c r="M89" s="38" t="s">
        <v>160</v>
      </c>
      <c r="N89" s="38" t="s">
        <v>180</v>
      </c>
      <c r="O89" s="40"/>
      <c r="U89" s="61"/>
      <c r="V89" s="52"/>
      <c r="W89" s="52"/>
    </row>
    <row r="90" spans="7:29" x14ac:dyDescent="0.25">
      <c r="K90" s="80" t="s">
        <v>2161</v>
      </c>
      <c r="L90" s="23" t="s">
        <v>1145</v>
      </c>
      <c r="M90" s="38" t="s">
        <v>93</v>
      </c>
      <c r="N90" s="46" t="s">
        <v>2162</v>
      </c>
      <c r="O90" s="40"/>
      <c r="U90" s="61"/>
      <c r="V90" s="52"/>
      <c r="W90" s="52"/>
    </row>
    <row r="91" spans="7:29" hidden="1" x14ac:dyDescent="0.25">
      <c r="G91" s="43"/>
      <c r="I91" s="81"/>
      <c r="K91" s="653" t="s">
        <v>181</v>
      </c>
      <c r="L91" s="653"/>
      <c r="M91" s="653"/>
      <c r="N91" s="653"/>
      <c r="O91" s="653"/>
      <c r="P91" s="653"/>
      <c r="Q91" s="653"/>
      <c r="R91" s="653"/>
      <c r="U91" s="61"/>
    </row>
    <row r="92" spans="7:29" ht="15" hidden="1" customHeight="1" x14ac:dyDescent="0.25">
      <c r="G92" s="43"/>
      <c r="I92" s="43"/>
      <c r="M92" s="82"/>
      <c r="N92" s="82"/>
      <c r="O92" s="40"/>
      <c r="U92" s="61"/>
      <c r="V92" s="61"/>
      <c r="W92" s="61"/>
    </row>
    <row r="93" spans="7:29" ht="15" hidden="1" customHeight="1" x14ac:dyDescent="0.25">
      <c r="I93" s="43"/>
      <c r="K93" s="80" t="s">
        <v>182</v>
      </c>
      <c r="L93" s="83">
        <f>L1188/L1172</f>
        <v>0.7745966692414834</v>
      </c>
      <c r="M93" s="84" t="s">
        <v>183</v>
      </c>
      <c r="N93" s="82"/>
      <c r="P93" s="82"/>
      <c r="U93" s="61"/>
      <c r="AC93" s="43"/>
    </row>
    <row r="94" spans="7:29" hidden="1" x14ac:dyDescent="0.25">
      <c r="O94" s="82"/>
      <c r="P94" s="82"/>
      <c r="U94" s="61"/>
    </row>
    <row r="95" spans="7:29" x14ac:dyDescent="0.25">
      <c r="K95" s="653" t="s">
        <v>184</v>
      </c>
      <c r="L95" s="653"/>
      <c r="M95" s="653"/>
      <c r="N95" s="653"/>
      <c r="O95" s="653"/>
      <c r="P95" s="653"/>
      <c r="Q95" s="653"/>
      <c r="R95" s="653"/>
      <c r="U95" s="61"/>
    </row>
    <row r="96" spans="7:29" x14ac:dyDescent="0.25">
      <c r="K96" s="669" t="s">
        <v>185</v>
      </c>
      <c r="L96" s="669"/>
      <c r="M96" s="669"/>
      <c r="N96" s="669"/>
      <c r="O96" s="669"/>
      <c r="P96" s="669"/>
      <c r="Q96" s="669"/>
      <c r="R96" s="669"/>
      <c r="U96" s="61"/>
    </row>
    <row r="97" spans="10:20" ht="18.75" x14ac:dyDescent="0.35">
      <c r="J97" s="50" t="s">
        <v>186</v>
      </c>
      <c r="K97" s="85" t="s">
        <v>187</v>
      </c>
      <c r="L97" s="85" t="s">
        <v>188</v>
      </c>
      <c r="M97" s="85" t="s">
        <v>189</v>
      </c>
      <c r="N97" s="85" t="s">
        <v>190</v>
      </c>
      <c r="O97" s="85" t="s">
        <v>191</v>
      </c>
      <c r="P97" s="85" t="s">
        <v>192</v>
      </c>
      <c r="Q97" s="85" t="s">
        <v>193</v>
      </c>
      <c r="R97" s="86" t="s">
        <v>194</v>
      </c>
      <c r="S97" s="87" t="s">
        <v>195</v>
      </c>
      <c r="T97" s="87" t="s">
        <v>196</v>
      </c>
    </row>
    <row r="98" spans="10:20" x14ac:dyDescent="0.25">
      <c r="J98" s="88">
        <v>1</v>
      </c>
      <c r="K98" s="89">
        <v>0</v>
      </c>
      <c r="L98" s="89">
        <v>0</v>
      </c>
      <c r="M98" s="90">
        <v>0</v>
      </c>
      <c r="N98" s="90">
        <v>0</v>
      </c>
      <c r="O98" s="90">
        <v>0</v>
      </c>
      <c r="P98" s="90">
        <v>0</v>
      </c>
      <c r="Q98" s="90">
        <v>0</v>
      </c>
      <c r="R98" s="90">
        <v>0</v>
      </c>
      <c r="S98" s="91">
        <f t="shared" ref="S98:S107" si="0">SUM(M98:Q98)</f>
        <v>0.0</v>
      </c>
      <c r="T98" s="91">
        <f t="shared" ref="T98:T107" si="1">R98</f>
        <v>0.0</v>
      </c>
    </row>
    <row r="99" spans="10:20" x14ac:dyDescent="0.25">
      <c r="J99" s="88">
        <v>2</v>
      </c>
      <c r="K99" s="92">
        <v>0</v>
      </c>
      <c r="L99" s="89">
        <v>0</v>
      </c>
      <c r="M99" s="90">
        <v>0</v>
      </c>
      <c r="N99" s="90">
        <v>0</v>
      </c>
      <c r="O99" s="90">
        <v>0</v>
      </c>
      <c r="P99" s="90">
        <v>0</v>
      </c>
      <c r="Q99" s="90">
        <v>0</v>
      </c>
      <c r="R99" s="90">
        <v>0</v>
      </c>
      <c r="S99" s="91">
        <f t="shared" si="0"/>
        <v>0.0</v>
      </c>
      <c r="T99" s="91">
        <f t="shared" si="1"/>
        <v>0.0</v>
      </c>
    </row>
    <row r="100" spans="10:20" x14ac:dyDescent="0.25">
      <c r="J100" s="88">
        <v>3</v>
      </c>
      <c r="K100" s="92">
        <f t="shared" ref="K100:K107" si="2">L99</f>
        <v>0.0</v>
      </c>
      <c r="L100" s="89">
        <v>0</v>
      </c>
      <c r="M100" s="90">
        <v>0</v>
      </c>
      <c r="N100" s="90">
        <v>0</v>
      </c>
      <c r="O100" s="90">
        <v>0</v>
      </c>
      <c r="P100" s="90">
        <v>0</v>
      </c>
      <c r="Q100" s="90">
        <v>0</v>
      </c>
      <c r="R100" s="90">
        <v>0</v>
      </c>
      <c r="S100" s="91">
        <f t="shared" si="0"/>
        <v>0.0</v>
      </c>
      <c r="T100" s="91">
        <f t="shared" si="1"/>
        <v>0.0</v>
      </c>
    </row>
    <row r="101" spans="10:20" x14ac:dyDescent="0.25">
      <c r="J101" s="88">
        <v>4</v>
      </c>
      <c r="K101" s="92">
        <f t="shared" si="2"/>
        <v>0.0</v>
      </c>
      <c r="L101" s="89">
        <v>0</v>
      </c>
      <c r="M101" s="90">
        <v>0</v>
      </c>
      <c r="N101" s="90">
        <v>0</v>
      </c>
      <c r="O101" s="90">
        <v>0</v>
      </c>
      <c r="P101" s="90">
        <v>0</v>
      </c>
      <c r="Q101" s="90">
        <v>0</v>
      </c>
      <c r="R101" s="90">
        <v>0</v>
      </c>
      <c r="S101" s="91">
        <f t="shared" si="0"/>
        <v>0.0</v>
      </c>
      <c r="T101" s="91">
        <f t="shared" si="1"/>
        <v>0.0</v>
      </c>
    </row>
    <row r="102" spans="10:20" x14ac:dyDescent="0.25">
      <c r="J102" s="88">
        <v>5</v>
      </c>
      <c r="K102" s="92">
        <f t="shared" si="2"/>
        <v>0.0</v>
      </c>
      <c r="L102" s="89">
        <v>0</v>
      </c>
      <c r="M102" s="90">
        <v>0</v>
      </c>
      <c r="N102" s="90">
        <v>0</v>
      </c>
      <c r="O102" s="90">
        <v>0</v>
      </c>
      <c r="P102" s="90">
        <v>0</v>
      </c>
      <c r="Q102" s="90">
        <v>0</v>
      </c>
      <c r="R102" s="90">
        <v>0</v>
      </c>
      <c r="S102" s="91">
        <f t="shared" si="0"/>
        <v>0.0</v>
      </c>
      <c r="T102" s="91">
        <f t="shared" si="1"/>
        <v>0.0</v>
      </c>
    </row>
    <row r="103" spans="10:20" x14ac:dyDescent="0.25">
      <c r="J103" s="88">
        <v>6</v>
      </c>
      <c r="K103" s="92">
        <f t="shared" si="2"/>
        <v>0.0</v>
      </c>
      <c r="L103" s="89">
        <v>0</v>
      </c>
      <c r="M103" s="90">
        <v>0</v>
      </c>
      <c r="N103" s="90">
        <v>0</v>
      </c>
      <c r="O103" s="90">
        <v>0</v>
      </c>
      <c r="P103" s="90">
        <v>0</v>
      </c>
      <c r="Q103" s="90">
        <v>0</v>
      </c>
      <c r="R103" s="90">
        <v>0</v>
      </c>
      <c r="S103" s="91">
        <f t="shared" si="0"/>
        <v>0.0</v>
      </c>
      <c r="T103" s="91">
        <f t="shared" si="1"/>
        <v>0.0</v>
      </c>
    </row>
    <row r="104" spans="10:20" x14ac:dyDescent="0.25">
      <c r="J104" s="88">
        <v>7</v>
      </c>
      <c r="K104" s="92">
        <f t="shared" si="2"/>
        <v>0.0</v>
      </c>
      <c r="L104" s="89">
        <v>0</v>
      </c>
      <c r="M104" s="90">
        <v>0</v>
      </c>
      <c r="N104" s="90">
        <v>0</v>
      </c>
      <c r="O104" s="90">
        <v>0</v>
      </c>
      <c r="P104" s="90">
        <v>0</v>
      </c>
      <c r="Q104" s="90">
        <v>0</v>
      </c>
      <c r="R104" s="90">
        <v>0</v>
      </c>
      <c r="S104" s="91">
        <f t="shared" si="0"/>
        <v>0.0</v>
      </c>
      <c r="T104" s="91">
        <f t="shared" si="1"/>
        <v>0.0</v>
      </c>
    </row>
    <row r="105" spans="10:20" x14ac:dyDescent="0.25">
      <c r="J105" s="88">
        <v>8</v>
      </c>
      <c r="K105" s="92">
        <f t="shared" si="2"/>
        <v>0.0</v>
      </c>
      <c r="L105" s="89">
        <v>0</v>
      </c>
      <c r="M105" s="90">
        <v>0</v>
      </c>
      <c r="N105" s="90">
        <v>0</v>
      </c>
      <c r="O105" s="90">
        <v>0</v>
      </c>
      <c r="P105" s="90">
        <v>0</v>
      </c>
      <c r="Q105" s="90">
        <v>0</v>
      </c>
      <c r="R105" s="90">
        <v>0</v>
      </c>
      <c r="S105" s="91">
        <f t="shared" si="0"/>
        <v>0.0</v>
      </c>
      <c r="T105" s="91">
        <f t="shared" si="1"/>
        <v>0.0</v>
      </c>
    </row>
    <row r="106" spans="10:20" x14ac:dyDescent="0.25">
      <c r="J106" s="88">
        <v>9</v>
      </c>
      <c r="K106" s="92">
        <f t="shared" si="2"/>
        <v>0.0</v>
      </c>
      <c r="L106" s="89">
        <v>0</v>
      </c>
      <c r="M106" s="90">
        <v>0</v>
      </c>
      <c r="N106" s="90">
        <v>0</v>
      </c>
      <c r="O106" s="90">
        <v>0</v>
      </c>
      <c r="P106" s="90">
        <v>0</v>
      </c>
      <c r="Q106" s="90">
        <v>0</v>
      </c>
      <c r="R106" s="90">
        <v>0</v>
      </c>
      <c r="S106" s="91">
        <f t="shared" si="0"/>
        <v>0.0</v>
      </c>
      <c r="T106" s="91">
        <f t="shared" si="1"/>
        <v>0.0</v>
      </c>
    </row>
    <row r="107" spans="10:20" x14ac:dyDescent="0.25">
      <c r="J107" s="88">
        <v>10</v>
      </c>
      <c r="K107" s="92">
        <f t="shared" si="2"/>
        <v>0.0</v>
      </c>
      <c r="L107" s="89">
        <v>0</v>
      </c>
      <c r="M107" s="90">
        <v>0</v>
      </c>
      <c r="N107" s="90">
        <v>0</v>
      </c>
      <c r="O107" s="90">
        <v>0</v>
      </c>
      <c r="P107" s="90">
        <v>0</v>
      </c>
      <c r="Q107" s="90">
        <v>0</v>
      </c>
      <c r="R107" s="90">
        <v>0</v>
      </c>
      <c r="S107" s="91">
        <f t="shared" si="0"/>
        <v>0.0</v>
      </c>
      <c r="T107" s="91">
        <f t="shared" si="1"/>
        <v>0.0</v>
      </c>
    </row>
    <row r="108" spans="10:20" x14ac:dyDescent="0.25">
      <c r="J108" s="88"/>
      <c r="K108" s="93"/>
      <c r="L108" s="94"/>
      <c r="M108" s="95"/>
      <c r="N108" s="95"/>
      <c r="O108" s="95"/>
      <c r="P108" s="95"/>
      <c r="Q108" s="95"/>
      <c r="R108" s="95"/>
      <c r="S108" s="91"/>
      <c r="T108" s="91"/>
    </row>
    <row r="109" spans="10:20" x14ac:dyDescent="0.25">
      <c r="K109" s="669" t="s">
        <v>197</v>
      </c>
      <c r="L109" s="669"/>
      <c r="M109" s="669"/>
      <c r="N109" s="669"/>
      <c r="O109" s="669"/>
      <c r="P109" s="669"/>
      <c r="Q109" s="669"/>
      <c r="R109" s="669"/>
    </row>
    <row r="110" spans="10:20" ht="18.75" x14ac:dyDescent="0.35">
      <c r="J110" s="50" t="s">
        <v>186</v>
      </c>
      <c r="K110" s="713" t="s">
        <v>8</v>
      </c>
      <c r="L110" s="713"/>
      <c r="M110" s="85" t="s">
        <v>189</v>
      </c>
      <c r="N110" s="85" t="s">
        <v>190</v>
      </c>
      <c r="O110" s="85" t="s">
        <v>191</v>
      </c>
      <c r="P110" s="85" t="s">
        <v>192</v>
      </c>
      <c r="Q110" s="85" t="s">
        <v>193</v>
      </c>
      <c r="R110" s="86" t="s">
        <v>194</v>
      </c>
      <c r="S110" s="87" t="s">
        <v>195</v>
      </c>
      <c r="T110" s="87" t="s">
        <v>196</v>
      </c>
    </row>
    <row r="111" spans="10:20" x14ac:dyDescent="0.25">
      <c r="J111" s="88">
        <v>1</v>
      </c>
      <c r="K111" s="711">
        <v>0</v>
      </c>
      <c r="L111" s="711"/>
      <c r="M111" s="90">
        <v>0</v>
      </c>
      <c r="N111" s="90">
        <v>0</v>
      </c>
      <c r="O111" s="90">
        <v>0</v>
      </c>
      <c r="P111" s="90">
        <v>0</v>
      </c>
      <c r="Q111" s="90">
        <v>0</v>
      </c>
      <c r="R111" s="90">
        <v>0</v>
      </c>
      <c r="S111" s="91">
        <f t="shared" ref="S111:S120" si="3">SUM(M111:Q111)</f>
        <v>0.0</v>
      </c>
      <c r="T111" s="91">
        <f t="shared" ref="T111:T120" si="4">R111</f>
        <v>0.0</v>
      </c>
    </row>
    <row r="112" spans="10:20" x14ac:dyDescent="0.25">
      <c r="J112" s="88">
        <v>2</v>
      </c>
      <c r="K112" s="711">
        <v>0</v>
      </c>
      <c r="L112" s="711"/>
      <c r="M112" s="90">
        <v>0</v>
      </c>
      <c r="N112" s="90">
        <v>0</v>
      </c>
      <c r="O112" s="90">
        <v>0</v>
      </c>
      <c r="P112" s="90">
        <v>0</v>
      </c>
      <c r="Q112" s="90">
        <v>0</v>
      </c>
      <c r="R112" s="90">
        <v>0</v>
      </c>
      <c r="S112" s="91">
        <f t="shared" si="3"/>
        <v>0.0</v>
      </c>
      <c r="T112" s="91">
        <f t="shared" si="4"/>
        <v>0.0</v>
      </c>
    </row>
    <row r="113" spans="10:21" x14ac:dyDescent="0.25">
      <c r="J113" s="88">
        <v>3</v>
      </c>
      <c r="K113" s="711">
        <v>0</v>
      </c>
      <c r="L113" s="711"/>
      <c r="M113" s="90">
        <v>0</v>
      </c>
      <c r="N113" s="90">
        <v>0</v>
      </c>
      <c r="O113" s="90">
        <v>0</v>
      </c>
      <c r="P113" s="90">
        <v>0</v>
      </c>
      <c r="Q113" s="90">
        <v>0</v>
      </c>
      <c r="R113" s="90">
        <v>0</v>
      </c>
      <c r="S113" s="91">
        <f t="shared" si="3"/>
        <v>0.0</v>
      </c>
      <c r="T113" s="91">
        <f t="shared" si="4"/>
        <v>0.0</v>
      </c>
    </row>
    <row r="114" spans="10:21" x14ac:dyDescent="0.25">
      <c r="J114" s="88">
        <v>4</v>
      </c>
      <c r="K114" s="711">
        <v>0</v>
      </c>
      <c r="L114" s="711"/>
      <c r="M114" s="90">
        <v>0</v>
      </c>
      <c r="N114" s="90">
        <v>0</v>
      </c>
      <c r="O114" s="90">
        <v>0</v>
      </c>
      <c r="P114" s="90">
        <v>0</v>
      </c>
      <c r="Q114" s="90">
        <v>0</v>
      </c>
      <c r="R114" s="90">
        <v>0</v>
      </c>
      <c r="S114" s="91">
        <f t="shared" si="3"/>
        <v>0.0</v>
      </c>
      <c r="T114" s="91">
        <f t="shared" si="4"/>
        <v>0.0</v>
      </c>
    </row>
    <row r="115" spans="10:21" x14ac:dyDescent="0.25">
      <c r="J115" s="88">
        <v>5</v>
      </c>
      <c r="K115" s="711">
        <v>0</v>
      </c>
      <c r="L115" s="711"/>
      <c r="M115" s="90">
        <v>0</v>
      </c>
      <c r="N115" s="90">
        <v>0</v>
      </c>
      <c r="O115" s="90">
        <v>0</v>
      </c>
      <c r="P115" s="90">
        <v>0</v>
      </c>
      <c r="Q115" s="90">
        <v>0</v>
      </c>
      <c r="R115" s="90">
        <v>0</v>
      </c>
      <c r="S115" s="91">
        <f t="shared" si="3"/>
        <v>0.0</v>
      </c>
      <c r="T115" s="91">
        <f t="shared" si="4"/>
        <v>0.0</v>
      </c>
    </row>
    <row r="116" spans="10:21" x14ac:dyDescent="0.25">
      <c r="J116" s="88">
        <v>6</v>
      </c>
      <c r="K116" s="711">
        <v>0</v>
      </c>
      <c r="L116" s="711"/>
      <c r="M116" s="90">
        <v>0</v>
      </c>
      <c r="N116" s="90">
        <v>0</v>
      </c>
      <c r="O116" s="90">
        <v>0</v>
      </c>
      <c r="P116" s="90">
        <v>0</v>
      </c>
      <c r="Q116" s="90">
        <v>0</v>
      </c>
      <c r="R116" s="90">
        <v>0</v>
      </c>
      <c r="S116" s="91">
        <f t="shared" si="3"/>
        <v>0.0</v>
      </c>
      <c r="T116" s="91">
        <f t="shared" si="4"/>
        <v>0.0</v>
      </c>
    </row>
    <row r="117" spans="10:21" x14ac:dyDescent="0.25">
      <c r="J117" s="88">
        <v>7</v>
      </c>
      <c r="K117" s="711">
        <v>0</v>
      </c>
      <c r="L117" s="711"/>
      <c r="M117" s="90">
        <v>0</v>
      </c>
      <c r="N117" s="90">
        <v>0</v>
      </c>
      <c r="O117" s="90">
        <v>0</v>
      </c>
      <c r="P117" s="90">
        <v>0</v>
      </c>
      <c r="Q117" s="90">
        <v>0</v>
      </c>
      <c r="R117" s="90">
        <v>0</v>
      </c>
      <c r="S117" s="91">
        <f t="shared" si="3"/>
        <v>0.0</v>
      </c>
      <c r="T117" s="91">
        <f t="shared" si="4"/>
        <v>0.0</v>
      </c>
    </row>
    <row r="118" spans="10:21" x14ac:dyDescent="0.25">
      <c r="J118" s="88">
        <v>8</v>
      </c>
      <c r="K118" s="711">
        <v>0</v>
      </c>
      <c r="L118" s="711"/>
      <c r="M118" s="90">
        <v>0</v>
      </c>
      <c r="N118" s="90">
        <v>0</v>
      </c>
      <c r="O118" s="90">
        <v>0</v>
      </c>
      <c r="P118" s="90">
        <v>0</v>
      </c>
      <c r="Q118" s="90">
        <v>0</v>
      </c>
      <c r="R118" s="90">
        <v>0</v>
      </c>
      <c r="S118" s="91">
        <f t="shared" si="3"/>
        <v>0.0</v>
      </c>
      <c r="T118" s="91">
        <f t="shared" si="4"/>
        <v>0.0</v>
      </c>
    </row>
    <row r="119" spans="10:21" x14ac:dyDescent="0.25">
      <c r="J119" s="88">
        <v>9</v>
      </c>
      <c r="K119" s="711">
        <v>0</v>
      </c>
      <c r="L119" s="711"/>
      <c r="M119" s="90">
        <v>0</v>
      </c>
      <c r="N119" s="90">
        <v>0</v>
      </c>
      <c r="O119" s="90">
        <v>0</v>
      </c>
      <c r="P119" s="90">
        <v>0</v>
      </c>
      <c r="Q119" s="90">
        <v>0</v>
      </c>
      <c r="R119" s="90">
        <v>0</v>
      </c>
      <c r="S119" s="91">
        <f t="shared" si="3"/>
        <v>0.0</v>
      </c>
      <c r="T119" s="91">
        <f t="shared" si="4"/>
        <v>0.0</v>
      </c>
    </row>
    <row r="120" spans="10:21" x14ac:dyDescent="0.25">
      <c r="J120" s="88">
        <v>10</v>
      </c>
      <c r="K120" s="711">
        <v>0</v>
      </c>
      <c r="L120" s="711"/>
      <c r="M120" s="90">
        <v>0</v>
      </c>
      <c r="N120" s="90">
        <v>0</v>
      </c>
      <c r="O120" s="90">
        <v>0</v>
      </c>
      <c r="P120" s="90">
        <v>0</v>
      </c>
      <c r="Q120" s="90">
        <v>0</v>
      </c>
      <c r="R120" s="90">
        <v>0</v>
      </c>
      <c r="S120" s="91">
        <f t="shared" si="3"/>
        <v>0.0</v>
      </c>
      <c r="T120" s="91">
        <f t="shared" si="4"/>
        <v>0.0</v>
      </c>
    </row>
    <row r="121" spans="10:21" x14ac:dyDescent="0.25">
      <c r="J121" s="88"/>
      <c r="K121" s="93"/>
      <c r="L121" s="94"/>
      <c r="M121" s="95"/>
      <c r="N121" s="95"/>
      <c r="O121" s="95"/>
      <c r="P121" s="95"/>
      <c r="Q121" s="95"/>
      <c r="R121" s="95"/>
      <c r="S121" s="91"/>
      <c r="T121" s="91"/>
    </row>
    <row r="122" spans="10:21" x14ac:dyDescent="0.25">
      <c r="J122" s="88"/>
      <c r="K122" s="93"/>
      <c r="L122" s="94"/>
      <c r="M122" s="95"/>
      <c r="N122" s="95"/>
      <c r="O122" s="95"/>
      <c r="P122" s="95"/>
      <c r="Q122" s="95"/>
      <c r="R122" s="95"/>
      <c r="S122" s="91"/>
      <c r="T122" s="91"/>
    </row>
    <row r="123" spans="10:21" x14ac:dyDescent="0.25">
      <c r="J123" s="88"/>
      <c r="K123" s="93"/>
      <c r="L123" s="94"/>
      <c r="M123" s="95"/>
      <c r="N123" s="95"/>
      <c r="O123" s="95"/>
      <c r="P123" s="95"/>
      <c r="Q123" s="95"/>
      <c r="R123" s="95"/>
      <c r="S123" s="91"/>
      <c r="T123" s="91"/>
    </row>
    <row r="124" spans="10:21" x14ac:dyDescent="0.25">
      <c r="J124" s="88"/>
      <c r="K124" s="93"/>
      <c r="L124" s="94"/>
      <c r="M124" s="95"/>
      <c r="N124" s="95"/>
      <c r="O124" s="95"/>
      <c r="P124" s="95"/>
      <c r="Q124" s="95"/>
      <c r="R124" s="95"/>
      <c r="S124" s="91"/>
      <c r="T124" s="91"/>
    </row>
    <row r="125" spans="10:21" x14ac:dyDescent="0.25">
      <c r="J125" s="88"/>
      <c r="K125" s="93"/>
      <c r="L125" s="94"/>
      <c r="M125" s="95"/>
      <c r="N125" s="95"/>
      <c r="O125" s="95"/>
      <c r="P125" s="95"/>
      <c r="Q125" s="95"/>
      <c r="R125" s="95"/>
      <c r="S125" s="91"/>
      <c r="T125" s="91"/>
    </row>
    <row r="126" spans="10:21" x14ac:dyDescent="0.25">
      <c r="O126" s="82"/>
      <c r="P126" s="82"/>
      <c r="S126" s="61"/>
    </row>
    <row r="127" spans="10:21" x14ac:dyDescent="0.25">
      <c r="O127" s="82"/>
      <c r="P127" s="82"/>
      <c r="U127" s="61"/>
    </row>
    <row r="128" spans="10:21" x14ac:dyDescent="0.25">
      <c r="O128" s="82"/>
      <c r="P128" s="82"/>
      <c r="U128" s="61"/>
    </row>
    <row r="129" spans="15:21" x14ac:dyDescent="0.25">
      <c r="O129" s="82"/>
      <c r="P129" s="82"/>
      <c r="U129" s="61"/>
    </row>
    <row r="130" spans="15:21" x14ac:dyDescent="0.25">
      <c r="O130" s="82"/>
      <c r="P130" s="82"/>
      <c r="U130" s="61"/>
    </row>
    <row r="131" spans="15:21" x14ac:dyDescent="0.25">
      <c r="O131" s="82"/>
      <c r="P131" s="82"/>
      <c r="U131" s="61"/>
    </row>
    <row r="132" spans="15:21" x14ac:dyDescent="0.25">
      <c r="O132" s="82"/>
      <c r="P132" s="82"/>
      <c r="U132" s="61"/>
    </row>
    <row r="133" spans="15:21" x14ac:dyDescent="0.25">
      <c r="O133" s="82"/>
      <c r="P133" s="82"/>
      <c r="U133" s="61"/>
    </row>
    <row r="134" spans="15:21" x14ac:dyDescent="0.25">
      <c r="O134" s="82"/>
      <c r="P134" s="82"/>
      <c r="U134" s="61"/>
    </row>
    <row r="135" spans="15:21" x14ac:dyDescent="0.25">
      <c r="O135" s="82"/>
      <c r="P135" s="82"/>
      <c r="U135" s="61"/>
    </row>
    <row r="136" spans="15:21" x14ac:dyDescent="0.25">
      <c r="O136" s="82"/>
      <c r="P136" s="82"/>
      <c r="U136" s="61"/>
    </row>
    <row r="137" spans="15:21" x14ac:dyDescent="0.25">
      <c r="O137" s="82"/>
      <c r="P137" s="82"/>
      <c r="U137" s="61"/>
    </row>
    <row r="138" spans="15:21" x14ac:dyDescent="0.25">
      <c r="O138" s="82"/>
      <c r="P138" s="82"/>
      <c r="U138" s="61"/>
    </row>
    <row r="139" spans="15:21" x14ac:dyDescent="0.25">
      <c r="O139" s="82"/>
      <c r="P139" s="82"/>
      <c r="U139" s="61"/>
    </row>
    <row r="140" spans="15:21" x14ac:dyDescent="0.25">
      <c r="O140" s="82"/>
      <c r="P140" s="82"/>
      <c r="U140" s="61"/>
    </row>
    <row r="141" spans="15:21" x14ac:dyDescent="0.25">
      <c r="O141" s="82"/>
      <c r="P141" s="82"/>
      <c r="U141" s="61"/>
    </row>
    <row r="142" spans="15:21" x14ac:dyDescent="0.25">
      <c r="O142" s="82"/>
      <c r="P142" s="82"/>
      <c r="U142" s="61"/>
    </row>
    <row r="143" spans="15:21" x14ac:dyDescent="0.25">
      <c r="O143" s="82"/>
      <c r="P143" s="82"/>
      <c r="U143" s="61"/>
    </row>
    <row r="144" spans="15:21" x14ac:dyDescent="0.25">
      <c r="O144" s="82"/>
      <c r="P144" s="82"/>
      <c r="U144" s="61"/>
    </row>
    <row r="145" spans="15:21" x14ac:dyDescent="0.25">
      <c r="O145" s="82"/>
      <c r="P145" s="82"/>
      <c r="U145" s="61"/>
    </row>
    <row r="146" spans="15:21" x14ac:dyDescent="0.25">
      <c r="O146" s="82"/>
      <c r="P146" s="82"/>
      <c r="U146" s="61"/>
    </row>
    <row r="147" spans="15:21" x14ac:dyDescent="0.25">
      <c r="O147" s="82"/>
      <c r="P147" s="82"/>
      <c r="U147" s="61"/>
    </row>
    <row r="148" spans="15:21" x14ac:dyDescent="0.25">
      <c r="O148" s="82"/>
      <c r="P148" s="82"/>
      <c r="U148" s="61"/>
    </row>
    <row r="149" spans="15:21" x14ac:dyDescent="0.25">
      <c r="O149" s="82"/>
      <c r="P149" s="82"/>
      <c r="U149" s="61"/>
    </row>
    <row r="150" spans="15:21" x14ac:dyDescent="0.25">
      <c r="O150" s="82"/>
      <c r="P150" s="82"/>
      <c r="U150" s="61"/>
    </row>
    <row r="151" spans="15:21" x14ac:dyDescent="0.25">
      <c r="O151" s="82"/>
      <c r="P151" s="82"/>
      <c r="U151" s="61"/>
    </row>
    <row r="152" spans="15:21" x14ac:dyDescent="0.25">
      <c r="O152" s="82"/>
      <c r="P152" s="82"/>
      <c r="U152" s="61"/>
    </row>
    <row r="153" spans="15:21" x14ac:dyDescent="0.25">
      <c r="O153" s="82"/>
      <c r="P153" s="82"/>
      <c r="U153" s="61"/>
    </row>
    <row r="154" spans="15:21" x14ac:dyDescent="0.25">
      <c r="O154" s="82"/>
      <c r="P154" s="82"/>
      <c r="U154" s="61"/>
    </row>
    <row r="155" spans="15:21" x14ac:dyDescent="0.25">
      <c r="O155" s="82"/>
      <c r="P155" s="82"/>
      <c r="U155" s="61"/>
    </row>
    <row r="156" spans="15:21" x14ac:dyDescent="0.25">
      <c r="O156" s="82"/>
      <c r="P156" s="82"/>
      <c r="U156" s="61"/>
    </row>
    <row r="157" spans="15:21" x14ac:dyDescent="0.25">
      <c r="O157" s="82"/>
      <c r="P157" s="82"/>
      <c r="U157" s="61"/>
    </row>
    <row r="158" spans="15:21" x14ac:dyDescent="0.25">
      <c r="O158" s="82"/>
      <c r="P158" s="82"/>
      <c r="U158" s="61"/>
    </row>
    <row r="159" spans="15:21" x14ac:dyDescent="0.25">
      <c r="O159" s="82"/>
      <c r="P159" s="82"/>
      <c r="U159" s="61"/>
    </row>
    <row r="160" spans="15:21" x14ac:dyDescent="0.25">
      <c r="O160" s="82"/>
      <c r="P160" s="82"/>
      <c r="U160" s="61"/>
    </row>
    <row r="161" spans="15:21" x14ac:dyDescent="0.25">
      <c r="O161" s="82"/>
      <c r="P161" s="82"/>
      <c r="U161" s="61"/>
    </row>
    <row r="162" spans="15:21" x14ac:dyDescent="0.25">
      <c r="O162" s="82"/>
      <c r="P162" s="82"/>
      <c r="U162" s="61"/>
    </row>
    <row r="163" spans="15:21" x14ac:dyDescent="0.25">
      <c r="O163" s="82"/>
      <c r="P163" s="82"/>
      <c r="U163" s="61"/>
    </row>
    <row r="164" spans="15:21" x14ac:dyDescent="0.25">
      <c r="O164" s="82"/>
      <c r="P164" s="82"/>
      <c r="U164" s="61"/>
    </row>
    <row r="165" spans="15:21" x14ac:dyDescent="0.25">
      <c r="O165" s="82"/>
      <c r="P165" s="82"/>
      <c r="U165" s="61"/>
    </row>
    <row r="166" spans="15:21" x14ac:dyDescent="0.25">
      <c r="O166" s="82"/>
      <c r="P166" s="82"/>
      <c r="U166" s="61"/>
    </row>
    <row r="167" spans="15:21" x14ac:dyDescent="0.25">
      <c r="O167" s="82"/>
      <c r="P167" s="82"/>
      <c r="U167" s="61"/>
    </row>
    <row r="168" spans="15:21" x14ac:dyDescent="0.25">
      <c r="O168" s="82"/>
      <c r="P168" s="82"/>
      <c r="U168" s="61"/>
    </row>
    <row r="169" spans="15:21" x14ac:dyDescent="0.25">
      <c r="O169" s="82"/>
      <c r="P169" s="82"/>
      <c r="U169" s="61"/>
    </row>
    <row r="170" spans="15:21" x14ac:dyDescent="0.25">
      <c r="O170" s="82"/>
      <c r="P170" s="82"/>
      <c r="U170" s="61"/>
    </row>
    <row r="171" spans="15:21" x14ac:dyDescent="0.25">
      <c r="O171" s="82"/>
      <c r="P171" s="82"/>
      <c r="U171" s="61"/>
    </row>
    <row r="172" spans="15:21" x14ac:dyDescent="0.25">
      <c r="O172" s="82"/>
      <c r="P172" s="82"/>
      <c r="U172" s="61"/>
    </row>
    <row r="173" spans="15:21" x14ac:dyDescent="0.25">
      <c r="O173" s="82"/>
      <c r="P173" s="82"/>
      <c r="U173" s="61"/>
    </row>
    <row r="174" spans="15:21" x14ac:dyDescent="0.25">
      <c r="O174" s="82"/>
      <c r="P174" s="82"/>
      <c r="U174" s="61"/>
    </row>
    <row r="175" spans="15:21" x14ac:dyDescent="0.25">
      <c r="O175" s="82"/>
      <c r="P175" s="82"/>
      <c r="U175" s="61"/>
    </row>
    <row r="176" spans="15:21" x14ac:dyDescent="0.25">
      <c r="O176" s="82"/>
      <c r="P176" s="82"/>
      <c r="U176" s="61"/>
    </row>
    <row r="177" spans="15:21" x14ac:dyDescent="0.25">
      <c r="O177" s="82"/>
      <c r="P177" s="82"/>
      <c r="U177" s="61"/>
    </row>
    <row r="178" spans="15:21" x14ac:dyDescent="0.25">
      <c r="O178" s="82"/>
      <c r="P178" s="82"/>
      <c r="U178" s="61"/>
    </row>
    <row r="179" spans="15:21" x14ac:dyDescent="0.25">
      <c r="O179" s="82"/>
      <c r="P179" s="82"/>
      <c r="U179" s="61"/>
    </row>
    <row r="180" spans="15:21" x14ac:dyDescent="0.25">
      <c r="O180" s="82"/>
      <c r="P180" s="82"/>
      <c r="U180" s="61"/>
    </row>
    <row r="181" spans="15:21" x14ac:dyDescent="0.25">
      <c r="O181" s="82"/>
      <c r="P181" s="82"/>
      <c r="U181" s="61"/>
    </row>
    <row r="182" spans="15:21" x14ac:dyDescent="0.25">
      <c r="O182" s="82"/>
      <c r="P182" s="82"/>
      <c r="U182" s="61"/>
    </row>
    <row r="183" spans="15:21" x14ac:dyDescent="0.25">
      <c r="O183" s="82"/>
      <c r="P183" s="82"/>
      <c r="U183" s="61"/>
    </row>
    <row r="184" spans="15:21" x14ac:dyDescent="0.25">
      <c r="O184" s="82"/>
      <c r="P184" s="82"/>
      <c r="U184" s="61"/>
    </row>
    <row r="185" spans="15:21" x14ac:dyDescent="0.25">
      <c r="O185" s="82"/>
      <c r="P185" s="82"/>
      <c r="U185" s="61"/>
    </row>
    <row r="186" spans="15:21" x14ac:dyDescent="0.25">
      <c r="O186" s="82"/>
      <c r="P186" s="82"/>
      <c r="U186" s="61"/>
    </row>
    <row r="187" spans="15:21" x14ac:dyDescent="0.25">
      <c r="O187" s="82"/>
      <c r="P187" s="82"/>
      <c r="U187" s="61"/>
    </row>
    <row r="188" spans="15:21" x14ac:dyDescent="0.25">
      <c r="O188" s="82"/>
      <c r="P188" s="82"/>
      <c r="U188" s="61"/>
    </row>
    <row r="189" spans="15:21" x14ac:dyDescent="0.25">
      <c r="O189" s="82"/>
      <c r="P189" s="82"/>
      <c r="U189" s="61"/>
    </row>
    <row r="190" spans="15:21" x14ac:dyDescent="0.25">
      <c r="O190" s="82"/>
      <c r="P190" s="82"/>
      <c r="U190" s="61"/>
    </row>
    <row r="191" spans="15:21" x14ac:dyDescent="0.25">
      <c r="O191" s="82"/>
      <c r="P191" s="82"/>
      <c r="U191" s="61"/>
    </row>
    <row r="192" spans="15:21" x14ac:dyDescent="0.25">
      <c r="O192" s="82"/>
      <c r="P192" s="82"/>
      <c r="U192" s="61"/>
    </row>
    <row r="193" spans="11:25" x14ac:dyDescent="0.25">
      <c r="O193" s="82"/>
      <c r="P193" s="82"/>
      <c r="U193" s="61"/>
    </row>
    <row r="194" spans="11:25" x14ac:dyDescent="0.25">
      <c r="O194" s="82"/>
      <c r="P194" s="82"/>
      <c r="U194" s="61"/>
    </row>
    <row r="195" spans="11:25" x14ac:dyDescent="0.25">
      <c r="K195" s="653" t="s">
        <v>198</v>
      </c>
      <c r="L195" s="653"/>
      <c r="M195" s="653"/>
      <c r="N195" s="653"/>
      <c r="O195" s="653"/>
      <c r="P195" s="653"/>
      <c r="Q195" s="653"/>
      <c r="R195" s="653"/>
      <c r="U195" s="61"/>
    </row>
    <row r="196" spans="11:25" x14ac:dyDescent="0.25">
      <c r="U196" s="61"/>
    </row>
    <row r="197" spans="11:25" x14ac:dyDescent="0.25">
      <c r="K197" s="39" t="s">
        <v>199</v>
      </c>
      <c r="L197" s="691" t="s">
        <v>200</v>
      </c>
      <c r="M197" s="691"/>
      <c r="N197" s="691"/>
      <c r="O197" s="96" t="s">
        <v>201</v>
      </c>
      <c r="P197" s="96"/>
      <c r="Q197" s="96"/>
      <c r="R197" s="96"/>
    </row>
    <row r="198" spans="11:25" x14ac:dyDescent="0.25">
      <c r="L198" s="27" t="s">
        <v>202</v>
      </c>
      <c r="M198" s="97">
        <f>(L48/100^2)*25+O198+IF(AND(M19="1 - Retângular",M20="3 - R/A"),(L39/100*(L42+M46)/100)*25,0)</f>
        <v>5.325</v>
      </c>
      <c r="N198" s="98" t="s">
        <v>203</v>
      </c>
      <c r="O198" s="23">
        <v>0</v>
      </c>
      <c r="P198" s="98" t="s">
        <v>203</v>
      </c>
      <c r="Q198" s="4" t="s">
        <v>204</v>
      </c>
    </row>
    <row r="199" spans="11:25" x14ac:dyDescent="0.25">
      <c r="L199" s="27" t="s">
        <v>205</v>
      </c>
      <c r="M199" s="83">
        <f>IF(R208=TRUE(),'Cargas Pavilhões'!I30*-1,IF(M19="1 - Retângular",(L11/100)*L41/100/2,IF(M19="3 - Transição",'Cargas Pavilhões'!Q23,0))+O199)</f>
        <v>19.658125</v>
      </c>
      <c r="N199" s="98" t="s">
        <v>203</v>
      </c>
      <c r="O199" s="23">
        <v>0</v>
      </c>
      <c r="P199" s="98" t="s">
        <v>203</v>
      </c>
      <c r="Q199" s="4" t="s">
        <v>206</v>
      </c>
    </row>
    <row r="200" spans="11:25" x14ac:dyDescent="0.25">
      <c r="K200" s="60">
        <f>((L26/100)*((L42+M46)/100))*25</f>
        <v>2.475</v>
      </c>
      <c r="L200" s="27" t="s">
        <v>207</v>
      </c>
      <c r="M200" s="83">
        <f>IF(M19="1 - Retângular",((L46/100)*26)*L41/100/2+IF(M18="1 - Sim",K200,0),IF(M19="2 - I",'Cargas Pavilhões'!I19,IF(M19="3 - Transição",'Cargas Pavilhões'!Q19)))+O200</f>
        <v>12.553250000000002</v>
      </c>
      <c r="N200" s="98" t="s">
        <v>203</v>
      </c>
      <c r="O200" s="23">
        <v>0</v>
      </c>
      <c r="P200" s="98" t="s">
        <v>203</v>
      </c>
      <c r="Q200" s="4" t="s">
        <v>208</v>
      </c>
    </row>
    <row r="201" spans="11:25" x14ac:dyDescent="0.25">
      <c r="K201" s="27">
        <f>(L26/100)*(L12/100)</f>
        <v>0.3</v>
      </c>
      <c r="L201" s="27" t="s">
        <v>209</v>
      </c>
      <c r="M201" s="83">
        <f>IF(M19="1 - Retângular",(L12/100)*L41/100/2+IF(M18="1 - Sim",K201,0),IF(M19="2 - I",'Cargas Pavilhões'!I20,IF(M19="3 - Transição",'Cargas Pavilhões'!Q20)))+O201</f>
        <v>5.8374999999999995</v>
      </c>
      <c r="N201" s="98" t="s">
        <v>203</v>
      </c>
      <c r="O201" s="23">
        <v>0</v>
      </c>
      <c r="P201" s="98" t="s">
        <v>203</v>
      </c>
      <c r="Q201" s="4" t="s">
        <v>210</v>
      </c>
    </row>
    <row r="202" spans="11:25" x14ac:dyDescent="0.25">
      <c r="K202" s="27"/>
      <c r="L202" s="27" t="s">
        <v>211</v>
      </c>
      <c r="M202" s="83">
        <f>IF(M19="1 - Retângular",(L15/100*L16*L17/100)/100,IF(M19="2 - I",'Cargas Pavilhões'!I21,IF(M19="3 - Transição",'Cargas Pavilhões'!Q21)))+O202</f>
        <v>0.0</v>
      </c>
      <c r="N202" s="98" t="s">
        <v>203</v>
      </c>
      <c r="O202" s="23">
        <v>0</v>
      </c>
      <c r="P202" s="98" t="s">
        <v>203</v>
      </c>
      <c r="Q202" s="4" t="s">
        <v>212</v>
      </c>
    </row>
    <row r="203" spans="11:25" x14ac:dyDescent="0.25">
      <c r="K203" s="30">
        <f>(L26/100)*(L10/100)</f>
        <v>7.5</v>
      </c>
      <c r="L203" s="30" t="s">
        <v>194</v>
      </c>
      <c r="M203" s="83">
        <f>IF(R208=TRUE(),0,IF(M19="1 - Retângular",(L10/100)*L41/100/2+IF(M18="1 - Sim",K203,0),IF(M19="2 - I",'Cargas Pavilhões'!I22,IF(M19="3 - Transição",'Cargas Pavilhões'!Q22))))+O203</f>
        <v>145.9375</v>
      </c>
      <c r="N203" s="99" t="s">
        <v>203</v>
      </c>
      <c r="O203" s="23">
        <v>0</v>
      </c>
      <c r="P203" s="99" t="s">
        <v>203</v>
      </c>
      <c r="Q203" s="32" t="s">
        <v>213</v>
      </c>
      <c r="R203" s="32"/>
    </row>
    <row r="204" spans="11:25" x14ac:dyDescent="0.25">
      <c r="M204" s="55">
        <f ca="1">SUM(M198:M203)</f>
        <v>189.311375</v>
      </c>
      <c r="U204" s="61"/>
      <c r="Y204" s="100"/>
    </row>
    <row r="205" spans="11:25" x14ac:dyDescent="0.25">
      <c r="L205" s="712" t="s">
        <v>214</v>
      </c>
      <c r="M205" s="712"/>
      <c r="N205" s="712"/>
      <c r="O205" s="712"/>
      <c r="P205" s="712"/>
    </row>
    <row r="206" spans="11:25" x14ac:dyDescent="0.25">
      <c r="L206" s="71" t="s">
        <v>215</v>
      </c>
      <c r="M206" s="101">
        <f ca="1">IFERROR('Cargas adicionais'!$AI$267*M198/(M198+M199+M200),0)</f>
        <v>41.0174765625</v>
      </c>
      <c r="N206" s="102" t="s">
        <v>216</v>
      </c>
      <c r="O206" s="101">
        <f t="shared" ref="O206:O211" ca="1" si="5">M206*100</f>
        <v>4101.74765625</v>
      </c>
      <c r="P206" s="71" t="s">
        <v>217</v>
      </c>
    </row>
    <row r="207" spans="11:25" x14ac:dyDescent="0.25">
      <c r="L207" s="71" t="s">
        <v>218</v>
      </c>
      <c r="M207" s="101">
        <f ca="1">IFERROR('Cargas adicionais'!$AI$267*M199/(M198+M199+M200),0)</f>
        <v>151.42285097656247</v>
      </c>
      <c r="N207" s="102" t="s">
        <v>216</v>
      </c>
      <c r="O207" s="101">
        <f t="shared" ca="1" si="5"/>
        <v>15142.285097656248</v>
      </c>
      <c r="P207" s="71" t="s">
        <v>217</v>
      </c>
      <c r="Y207" s="81"/>
    </row>
    <row r="208" spans="11:25" x14ac:dyDescent="0.25">
      <c r="L208" s="71" t="s">
        <v>219</v>
      </c>
      <c r="M208" s="101">
        <f ca="1">IFERROR('Cargas adicionais'!$AI$267*M200/(M198+M199+M200),0)</f>
        <v>96.69533101562502</v>
      </c>
      <c r="N208" s="102" t="s">
        <v>216</v>
      </c>
      <c r="O208" s="101">
        <f t="shared" ca="1" si="5"/>
        <v>9669.533101562502</v>
      </c>
      <c r="P208" s="71" t="s">
        <v>217</v>
      </c>
      <c r="Q208" s="656" t="s">
        <v>220</v>
      </c>
      <c r="R208" s="709" t="b">
        <f>FALSE()</f>
        <v>0</v>
      </c>
      <c r="Y208" s="43"/>
    </row>
    <row r="209" spans="11:29" x14ac:dyDescent="0.25">
      <c r="L209" s="71" t="s">
        <v>221</v>
      </c>
      <c r="M209" s="101">
        <f ca="1">IFERROR('Cargas adicionais'!$AK$267*M201/(M201+M202),0)</f>
        <v>44.96516796875</v>
      </c>
      <c r="N209" s="102" t="s">
        <v>216</v>
      </c>
      <c r="O209" s="101">
        <f t="shared" ca="1" si="5"/>
        <v>4496.516796875</v>
      </c>
      <c r="P209" s="71" t="s">
        <v>217</v>
      </c>
      <c r="Q209" s="656"/>
      <c r="R209" s="709"/>
    </row>
    <row r="210" spans="11:29" x14ac:dyDescent="0.25">
      <c r="L210" s="71" t="s">
        <v>222</v>
      </c>
      <c r="M210" s="103">
        <f ca="1">IFERROR('Cargas adicionais'!$AK$267*M202/(M201+M202),0)</f>
        <v>0.0</v>
      </c>
      <c r="N210" s="102" t="s">
        <v>216</v>
      </c>
      <c r="O210" s="101">
        <f t="shared" ca="1" si="5"/>
        <v>0.0</v>
      </c>
      <c r="P210" s="71" t="s">
        <v>217</v>
      </c>
    </row>
    <row r="211" spans="11:29" x14ac:dyDescent="0.25">
      <c r="L211" s="77" t="s">
        <v>223</v>
      </c>
      <c r="M211" s="101">
        <f ca="1">'Cargas adicionais'!$AM$267</f>
        <v>1124.1291992187505</v>
      </c>
      <c r="N211" s="104" t="s">
        <v>216</v>
      </c>
      <c r="O211" s="101">
        <f t="shared" ca="1" si="5"/>
        <v>112412.91992187504</v>
      </c>
      <c r="P211" s="77" t="s">
        <v>217</v>
      </c>
    </row>
    <row r="212" spans="11:29" x14ac:dyDescent="0.25">
      <c r="L212" s="4" t="s">
        <v>224</v>
      </c>
      <c r="M212" s="105">
        <f ca="1">SUM(M206:M211)</f>
        <v>1458.230025742188</v>
      </c>
    </row>
    <row r="213" spans="11:29" x14ac:dyDescent="0.25">
      <c r="U213" s="61"/>
    </row>
    <row r="214" spans="11:29" hidden="1" x14ac:dyDescent="0.25">
      <c r="M214" s="39" t="s">
        <v>225</v>
      </c>
      <c r="N214" s="106">
        <f>O75</f>
        <v>1.3</v>
      </c>
      <c r="U214" s="61"/>
    </row>
    <row r="215" spans="11:29" hidden="1" x14ac:dyDescent="0.25">
      <c r="M215" s="22" t="s">
        <v>225</v>
      </c>
      <c r="N215" s="72">
        <f>O77</f>
        <v>1.4</v>
      </c>
      <c r="U215" s="61"/>
    </row>
    <row r="216" spans="11:29" hidden="1" x14ac:dyDescent="0.25">
      <c r="M216" s="22" t="s">
        <v>226</v>
      </c>
      <c r="N216" s="72">
        <f>N214</f>
        <v>1.3</v>
      </c>
      <c r="U216" s="61"/>
    </row>
    <row r="217" spans="11:29" hidden="1" x14ac:dyDescent="0.25">
      <c r="M217" s="22" t="s">
        <v>227</v>
      </c>
      <c r="N217" s="72">
        <f>N215</f>
        <v>1.4</v>
      </c>
      <c r="U217" s="61"/>
    </row>
    <row r="218" spans="11:29" hidden="1" x14ac:dyDescent="0.25">
      <c r="M218" s="22" t="s">
        <v>228</v>
      </c>
      <c r="N218" s="72">
        <f>L77</f>
        <v>0.4</v>
      </c>
      <c r="U218" s="61"/>
    </row>
    <row r="219" spans="11:29" hidden="1" x14ac:dyDescent="0.25">
      <c r="M219" s="22" t="s">
        <v>229</v>
      </c>
      <c r="N219" s="106">
        <f>L76</f>
        <v>0.6</v>
      </c>
      <c r="U219" s="61"/>
    </row>
    <row r="220" spans="11:29" hidden="1" x14ac:dyDescent="0.25">
      <c r="M220" s="22" t="s">
        <v>2163</v>
      </c>
      <c r="N220" s="72">
        <f ca="1">IFERROR((O75*(M198+M199)+O77*M200)/(M198+M199+M200),O75)</f>
        <v>1.3334428937264189</v>
      </c>
      <c r="U220" s="61"/>
    </row>
    <row r="221" spans="11:29" hidden="1" x14ac:dyDescent="0.25">
      <c r="K221" s="653" t="s">
        <v>230</v>
      </c>
      <c r="L221" s="653"/>
      <c r="M221" s="653"/>
      <c r="N221" s="653"/>
      <c r="O221" s="653"/>
      <c r="P221" s="653"/>
      <c r="Q221" s="653"/>
      <c r="R221" s="653"/>
      <c r="U221" s="61"/>
    </row>
    <row r="222" spans="11:29" hidden="1" x14ac:dyDescent="0.25">
      <c r="K222" s="107"/>
      <c r="L222" s="107"/>
      <c r="M222" s="107"/>
      <c r="N222" s="107"/>
      <c r="O222" s="107"/>
      <c r="P222" s="107"/>
      <c r="Q222" s="107"/>
      <c r="R222" s="107"/>
      <c r="U222" s="61"/>
    </row>
    <row r="223" spans="11:29" hidden="1" x14ac:dyDescent="0.25">
      <c r="M223" s="4" t="s">
        <v>231</v>
      </c>
      <c r="U223" s="61"/>
    </row>
    <row r="224" spans="11:29" hidden="1" x14ac:dyDescent="0.25">
      <c r="U224" s="61"/>
      <c r="AC224" s="43"/>
    </row>
    <row r="225" spans="11:32" hidden="1" x14ac:dyDescent="0.25">
      <c r="M225" s="658" t="s">
        <v>232</v>
      </c>
      <c r="N225" s="83">
        <f>(0.21*(L82*L82)^(1/3))</f>
        <v>2.8501384974246515</v>
      </c>
      <c r="O225" s="38" t="s">
        <v>233</v>
      </c>
      <c r="R225" s="27"/>
      <c r="U225" s="61"/>
    </row>
    <row r="226" spans="11:32" hidden="1" x14ac:dyDescent="0.25">
      <c r="M226" s="658"/>
      <c r="N226" s="103">
        <f>N225*1000</f>
        <v>2850.1384974246516</v>
      </c>
      <c r="O226" s="38" t="s">
        <v>234</v>
      </c>
      <c r="U226" s="61"/>
    </row>
    <row r="227" spans="11:32" hidden="1" x14ac:dyDescent="0.25">
      <c r="M227" s="71"/>
      <c r="N227" s="105"/>
      <c r="U227" s="61"/>
    </row>
    <row r="228" spans="11:32" hidden="1" x14ac:dyDescent="0.25">
      <c r="M228" s="4" t="s">
        <v>235</v>
      </c>
      <c r="U228" s="61"/>
    </row>
    <row r="229" spans="11:32" hidden="1" x14ac:dyDescent="0.25">
      <c r="U229" s="61"/>
      <c r="W229" s="109"/>
    </row>
    <row r="230" spans="11:32" x14ac:dyDescent="0.25">
      <c r="K230" s="653" t="s">
        <v>236</v>
      </c>
      <c r="L230" s="653"/>
      <c r="M230" s="653"/>
      <c r="N230" s="653"/>
      <c r="O230" s="653"/>
      <c r="P230" s="653"/>
      <c r="Q230" s="653"/>
      <c r="R230" s="653"/>
      <c r="U230" s="61"/>
      <c r="AA230" s="71"/>
    </row>
    <row r="231" spans="11:32" x14ac:dyDescent="0.25">
      <c r="U231" s="61"/>
    </row>
    <row r="232" spans="11:32" x14ac:dyDescent="0.25">
      <c r="M232" s="658" t="s">
        <v>237</v>
      </c>
      <c r="N232" s="27">
        <f>0.77*L88*10</f>
        <v>1463.0</v>
      </c>
      <c r="O232" s="38" t="s">
        <v>233</v>
      </c>
      <c r="U232" s="61"/>
    </row>
    <row r="233" spans="11:32" x14ac:dyDescent="0.25">
      <c r="M233" s="658"/>
      <c r="N233" s="27"/>
      <c r="O233" s="38"/>
      <c r="U233" s="61"/>
      <c r="V233" s="710" t="s">
        <v>238</v>
      </c>
      <c r="W233" s="710"/>
      <c r="X233" s="710"/>
      <c r="Y233" s="710"/>
      <c r="Z233" s="710"/>
      <c r="AA233" s="710"/>
      <c r="AB233" s="710"/>
      <c r="AC233" s="710"/>
    </row>
    <row r="234" spans="11:32" x14ac:dyDescent="0.25">
      <c r="M234" s="658"/>
      <c r="O234" s="38"/>
      <c r="U234" s="61"/>
      <c r="Y234" s="710" t="s">
        <v>239</v>
      </c>
      <c r="Z234" s="710"/>
      <c r="AB234" s="707" t="s">
        <v>240</v>
      </c>
      <c r="AC234" s="707"/>
      <c r="AE234" s="707" t="s">
        <v>240</v>
      </c>
      <c r="AF234" s="707"/>
    </row>
    <row r="235" spans="11:32" x14ac:dyDescent="0.25">
      <c r="M235" s="658"/>
      <c r="N235" s="31">
        <f>MIN(N232)</f>
        <v>1463.0</v>
      </c>
      <c r="O235" s="38" t="s">
        <v>233</v>
      </c>
      <c r="U235" s="61"/>
      <c r="V235" s="110">
        <f>'Propriedades geométricas VIGA'!B7</f>
        <v>0.0</v>
      </c>
      <c r="W235" s="110">
        <f>'Propriedades geométricas VIGA'!C7</f>
        <v>0.0</v>
      </c>
      <c r="X235" s="111"/>
      <c r="Y235" s="111">
        <v>0</v>
      </c>
      <c r="Z235" s="112">
        <f>R76</f>
        <v>3.0</v>
      </c>
      <c r="AB235" s="113">
        <f>V17+R76</f>
        <v>-12.0</v>
      </c>
      <c r="AC235" s="114">
        <f>R76</f>
        <v>3.0</v>
      </c>
      <c r="AE235" s="115">
        <f t="shared" ref="AE235:AE248" si="6">IF(OR($M$19="2 - i",$M$19="3 - Transição"),AB235,Y235)</f>
        <v>0.0</v>
      </c>
      <c r="AF235" s="114">
        <f t="shared" ref="AF235:AF248" si="7">IF(OR($M$19="2 - i",$M$19="3 - Transição"),AC235,Z235)</f>
        <v>3.0</v>
      </c>
    </row>
    <row r="236" spans="11:32" x14ac:dyDescent="0.25">
      <c r="M236" s="658"/>
      <c r="N236" s="31">
        <f>N235/10</f>
        <v>146.3</v>
      </c>
      <c r="O236" s="38" t="s">
        <v>241</v>
      </c>
      <c r="U236" s="61"/>
      <c r="V236" s="110">
        <f>'Propriedades geométricas VIGA'!B8</f>
        <v>-15.0</v>
      </c>
      <c r="W236" s="110">
        <f>'Propriedades geométricas VIGA'!C8</f>
        <v>0.0</v>
      </c>
      <c r="X236" s="111"/>
      <c r="Y236" s="111">
        <f>V236+R76</f>
        <v>-12.0</v>
      </c>
      <c r="Z236" s="111">
        <f>W236+R76</f>
        <v>3.0</v>
      </c>
      <c r="AB236" s="113">
        <f>AB235</f>
        <v>-12.0</v>
      </c>
      <c r="AC236" s="113">
        <f>W18-AC235</f>
        <v>37.0</v>
      </c>
      <c r="AE236" s="115">
        <f t="shared" si="6"/>
        <v>-12.0</v>
      </c>
      <c r="AF236" s="115">
        <f t="shared" si="7"/>
        <v>3.0</v>
      </c>
    </row>
    <row r="237" spans="11:32" x14ac:dyDescent="0.25">
      <c r="K237" s="27"/>
      <c r="U237" s="61"/>
      <c r="V237" s="110">
        <f>'Propriedades geométricas VIGA'!B9</f>
        <v>-15.0</v>
      </c>
      <c r="W237" s="110">
        <f>'Propriedades geométricas VIGA'!C9</f>
        <v>40.0</v>
      </c>
      <c r="X237" s="111"/>
      <c r="Y237" s="111">
        <f>Y236</f>
        <v>-12.0</v>
      </c>
      <c r="Z237" s="111">
        <f>W237+R76</f>
        <v>43.0</v>
      </c>
      <c r="AB237" s="113">
        <f>V19+R76</f>
        <v>-12.0</v>
      </c>
      <c r="AC237" s="113">
        <f>W19-AC235</f>
        <v>42.0</v>
      </c>
      <c r="AE237" s="115">
        <f t="shared" si="6"/>
        <v>-12.0</v>
      </c>
      <c r="AF237" s="115">
        <f t="shared" si="7"/>
        <v>43.0</v>
      </c>
    </row>
    <row r="238" spans="11:32" x14ac:dyDescent="0.25">
      <c r="K238" s="653" t="s">
        <v>242</v>
      </c>
      <c r="L238" s="653"/>
      <c r="M238" s="653"/>
      <c r="N238" s="653"/>
      <c r="O238" s="653"/>
      <c r="P238" s="653"/>
      <c r="Q238" s="653"/>
      <c r="R238" s="653"/>
      <c r="U238" s="61"/>
      <c r="V238" s="110">
        <f>'Propriedades geométricas VIGA'!B10</f>
        <v>-15.0</v>
      </c>
      <c r="W238" s="110">
        <f>'Propriedades geométricas VIGA'!C10</f>
        <v>45.0</v>
      </c>
      <c r="X238" s="111"/>
      <c r="Y238" s="111">
        <f>V238+R76</f>
        <v>-12.0</v>
      </c>
      <c r="Z238" s="111">
        <f>W238+R76</f>
        <v>48.0</v>
      </c>
      <c r="AB238" s="113">
        <f>AB237</f>
        <v>-12.0</v>
      </c>
      <c r="AC238" s="113">
        <f>W20+AC235</f>
        <v>63.0</v>
      </c>
      <c r="AE238" s="115">
        <f t="shared" si="6"/>
        <v>-12.0</v>
      </c>
      <c r="AF238" s="115">
        <f t="shared" si="7"/>
        <v>48.0</v>
      </c>
    </row>
    <row r="239" spans="11:32" x14ac:dyDescent="0.25">
      <c r="U239" s="61"/>
      <c r="V239" s="110">
        <f>'Propriedades geométricas VIGA'!B11</f>
        <v>-15.0</v>
      </c>
      <c r="W239" s="110">
        <f>'Propriedades geométricas VIGA'!C11</f>
        <v>60.0</v>
      </c>
      <c r="X239" s="111"/>
      <c r="Y239" s="111">
        <f>V239+R76</f>
        <v>-12.0</v>
      </c>
      <c r="Z239" s="111">
        <f>W239-R76</f>
        <v>57.0</v>
      </c>
      <c r="AB239" s="115">
        <f>V21+R76</f>
        <v>18.0</v>
      </c>
      <c r="AC239" s="113">
        <f>W21+AC235</f>
        <v>63.0</v>
      </c>
      <c r="AE239" s="115">
        <f t="shared" si="6"/>
        <v>-12.0</v>
      </c>
      <c r="AF239" s="115">
        <f t="shared" si="7"/>
        <v>57.0</v>
      </c>
    </row>
    <row r="240" spans="11:32" x14ac:dyDescent="0.25">
      <c r="K240" s="80" t="s">
        <v>243</v>
      </c>
      <c r="L240" s="116">
        <v>20</v>
      </c>
      <c r="M240" s="38" t="s">
        <v>244</v>
      </c>
      <c r="U240" s="61"/>
      <c r="V240" s="110">
        <f>'Propriedades geométricas VIGA'!B12</f>
        <v>15.0</v>
      </c>
      <c r="W240" s="110">
        <f>'Propriedades geométricas VIGA'!C12</f>
        <v>60.0</v>
      </c>
      <c r="X240" s="111"/>
      <c r="Y240" s="111">
        <f>V240-R76</f>
        <v>12.0</v>
      </c>
      <c r="Z240" s="111">
        <f>W240-R76</f>
        <v>57.0</v>
      </c>
      <c r="AB240" s="115">
        <f>AB239</f>
        <v>18.0</v>
      </c>
      <c r="AC240" s="113">
        <f>W22-AC235</f>
        <v>42.0</v>
      </c>
      <c r="AE240" s="115">
        <f t="shared" si="6"/>
        <v>12.0</v>
      </c>
      <c r="AF240" s="115">
        <f t="shared" si="7"/>
        <v>57.0</v>
      </c>
    </row>
    <row r="241" spans="11:32" x14ac:dyDescent="0.25">
      <c r="K241" s="80"/>
      <c r="M241" s="38"/>
      <c r="O241" s="681" t="s">
        <v>245</v>
      </c>
      <c r="P241" s="681"/>
      <c r="Q241" s="681"/>
      <c r="U241" s="61"/>
      <c r="V241" s="110">
        <f>'Propriedades geométricas VIGA'!B13</f>
        <v>15.0</v>
      </c>
      <c r="W241" s="110">
        <f>'Propriedades geométricas VIGA'!C13</f>
        <v>45.0</v>
      </c>
      <c r="X241" s="111"/>
      <c r="Y241" s="111">
        <f>V241-R76</f>
        <v>12.0</v>
      </c>
      <c r="Z241" s="111">
        <f>W241+R76</f>
        <v>48.0</v>
      </c>
      <c r="AB241" s="117">
        <f>V23</f>
        <v>15.0</v>
      </c>
      <c r="AC241" s="113">
        <f>AC240</f>
        <v>42.0</v>
      </c>
      <c r="AE241" s="115">
        <f t="shared" si="6"/>
        <v>12.0</v>
      </c>
      <c r="AF241" s="115">
        <f t="shared" si="7"/>
        <v>48.0</v>
      </c>
    </row>
    <row r="242" spans="11:32" x14ac:dyDescent="0.25">
      <c r="K242" s="80" t="s">
        <v>246</v>
      </c>
      <c r="L242" s="31">
        <f>N236*(100-L240)/100</f>
        <v>117.04</v>
      </c>
      <c r="M242" s="38" t="s">
        <v>241</v>
      </c>
      <c r="O242" s="25">
        <v>9.5</v>
      </c>
      <c r="P242" s="25">
        <v>55.5</v>
      </c>
      <c r="Q242" s="25">
        <f>P242/100</f>
        <v>0.555</v>
      </c>
      <c r="R242" s="38" t="s">
        <v>247</v>
      </c>
      <c r="U242" s="61"/>
      <c r="V242" s="110">
        <f>'Propriedades geométricas VIGA'!B14</f>
        <v>15.0</v>
      </c>
      <c r="W242" s="110">
        <f>'Propriedades geométricas VIGA'!C14</f>
        <v>40.0</v>
      </c>
      <c r="X242" s="111"/>
      <c r="Y242" s="111">
        <f>V242-R76</f>
        <v>12.0</v>
      </c>
      <c r="Z242" s="111">
        <f>W242+R76</f>
        <v>43.0</v>
      </c>
      <c r="AB242" s="115">
        <f>AB240*-1</f>
        <v>-18.0</v>
      </c>
      <c r="AC242" s="113">
        <f>AC240</f>
        <v>42.0</v>
      </c>
      <c r="AE242" s="115">
        <f t="shared" si="6"/>
        <v>12.0</v>
      </c>
      <c r="AF242" s="115">
        <f t="shared" si="7"/>
        <v>43.0</v>
      </c>
    </row>
    <row r="243" spans="11:32" x14ac:dyDescent="0.25">
      <c r="K243" s="80"/>
      <c r="M243" s="38"/>
      <c r="O243" s="25">
        <v>12.7</v>
      </c>
      <c r="P243" s="25">
        <v>101.4</v>
      </c>
      <c r="Q243" s="25">
        <v>0.98699999999999999</v>
      </c>
      <c r="R243" s="38" t="s">
        <v>247</v>
      </c>
      <c r="U243" s="61"/>
      <c r="V243" s="110">
        <f>'Propriedades geométricas VIGA'!B15</f>
        <v>15.0</v>
      </c>
      <c r="W243" s="110">
        <f>'Propriedades geométricas VIGA'!C15</f>
        <v>0.0</v>
      </c>
      <c r="X243" s="111"/>
      <c r="Y243" s="111">
        <f>V243-R76</f>
        <v>12.0</v>
      </c>
      <c r="Z243" s="111">
        <f>W243+R76</f>
        <v>3.0</v>
      </c>
      <c r="AB243" s="115">
        <f>AB239*-1</f>
        <v>-18.0</v>
      </c>
      <c r="AC243" s="113">
        <f>AC239</f>
        <v>63.0</v>
      </c>
      <c r="AE243" s="115">
        <f t="shared" si="6"/>
        <v>12.0</v>
      </c>
      <c r="AF243" s="115">
        <f t="shared" si="7"/>
        <v>3.0</v>
      </c>
    </row>
    <row r="244" spans="11:32" x14ac:dyDescent="0.25">
      <c r="K244" s="652" t="s">
        <v>248</v>
      </c>
      <c r="L244" s="652"/>
      <c r="M244" s="38"/>
      <c r="O244" s="25">
        <v>15.2</v>
      </c>
      <c r="P244" s="25">
        <v>140</v>
      </c>
      <c r="Q244" s="25">
        <f>P244/100</f>
        <v>1.4</v>
      </c>
      <c r="R244" s="38" t="s">
        <v>247</v>
      </c>
      <c r="V244" s="110">
        <f>'Propriedades geométricas VIGA'!B16</f>
        <v>0.0</v>
      </c>
      <c r="W244" s="111">
        <v>0</v>
      </c>
      <c r="X244" s="111"/>
      <c r="Y244" s="111">
        <f>Y236</f>
        <v>-12.0</v>
      </c>
      <c r="Z244" s="111">
        <f>W244+R76</f>
        <v>3.0</v>
      </c>
      <c r="AB244" s="115">
        <f>AB238*-1</f>
        <v>12.0</v>
      </c>
      <c r="AC244" s="113">
        <f>AC238</f>
        <v>63.0</v>
      </c>
      <c r="AE244" s="115">
        <f t="shared" si="6"/>
        <v>-12.0</v>
      </c>
      <c r="AF244" s="115">
        <f t="shared" si="7"/>
        <v>3.0</v>
      </c>
    </row>
    <row r="245" spans="11:32" x14ac:dyDescent="0.25">
      <c r="K245" s="80" t="s">
        <v>249</v>
      </c>
      <c r="L245" s="83">
        <f ca="1">(-N226 + (MAX('Cargas adicionais'!O243:O263)/(L53/100^3)) + (MAX('Cargas adicionais'!R243:R263)/(M53/100^3)) + (L76*MAX('Cargas adicionais'!U243:U263)/(M53/100^3))) / ((L242/(L48/100^2)) + (L242*L51/(L53/100^3)))</f>
        <v>10.547604799592978</v>
      </c>
      <c r="M245" s="38" t="s">
        <v>247</v>
      </c>
      <c r="R245" s="38"/>
      <c r="V245" s="111"/>
      <c r="W245" s="111"/>
      <c r="X245" s="111"/>
      <c r="Y245" s="111">
        <f>Y244</f>
        <v>-12.0</v>
      </c>
      <c r="Z245" s="118">
        <f>IF(M18="1 - Sim",Z244+L42+L27,L27-3)</f>
        <v>88.0</v>
      </c>
      <c r="AB245" s="115">
        <f>AB237*-1</f>
        <v>12.0</v>
      </c>
      <c r="AC245" s="113">
        <f>AC237</f>
        <v>42.0</v>
      </c>
      <c r="AE245" s="115">
        <f t="shared" si="6"/>
        <v>-12.0</v>
      </c>
      <c r="AF245" s="113">
        <f t="shared" si="7"/>
        <v>88.0</v>
      </c>
    </row>
    <row r="246" spans="11:32" x14ac:dyDescent="0.25">
      <c r="K246" s="119"/>
      <c r="M246" s="98"/>
      <c r="O246" s="654" t="s">
        <v>250</v>
      </c>
      <c r="P246" s="654"/>
      <c r="Q246" s="654"/>
      <c r="R246" s="120">
        <v>6.5</v>
      </c>
      <c r="S246" s="38" t="s">
        <v>35</v>
      </c>
      <c r="V246" s="111"/>
      <c r="W246" s="111"/>
      <c r="X246" s="111"/>
      <c r="Y246" s="111">
        <f>Y245*-1</f>
        <v>12.0</v>
      </c>
      <c r="Z246" s="118">
        <f>Z245</f>
        <v>88.0</v>
      </c>
      <c r="AB246" s="115">
        <f>AB236*-1</f>
        <v>12.0</v>
      </c>
      <c r="AC246" s="113">
        <f>AC236</f>
        <v>37.0</v>
      </c>
      <c r="AE246" s="115">
        <f t="shared" si="6"/>
        <v>12.0</v>
      </c>
      <c r="AF246" s="113">
        <f t="shared" si="7"/>
        <v>88.0</v>
      </c>
    </row>
    <row r="247" spans="11:32" x14ac:dyDescent="0.25">
      <c r="K247" s="652" t="s">
        <v>251</v>
      </c>
      <c r="L247" s="652"/>
      <c r="M247" s="38"/>
      <c r="V247" s="111"/>
      <c r="W247" s="111"/>
      <c r="X247" s="111"/>
      <c r="Y247" s="111">
        <f>Y246</f>
        <v>12.0</v>
      </c>
      <c r="Z247" s="111">
        <f>Z244</f>
        <v>3.0</v>
      </c>
      <c r="AB247" s="115">
        <f>AB235*-1</f>
        <v>12.0</v>
      </c>
      <c r="AC247" s="121">
        <f>AC235</f>
        <v>3.0</v>
      </c>
      <c r="AE247" s="115">
        <f t="shared" si="6"/>
        <v>12.0</v>
      </c>
      <c r="AF247" s="115">
        <f t="shared" si="7"/>
        <v>3.0</v>
      </c>
    </row>
    <row r="248" spans="11:32" x14ac:dyDescent="0.25">
      <c r="K248" s="80" t="s">
        <v>249</v>
      </c>
      <c r="L248" s="83">
        <f ca="1">(0 + (MAX('Cargas adicionais'!O243:O263)/(L53/100^3)) + (MAX('Cargas adicionais'!R243:R263)/(M53/100^3)) + (L77*MAX('Cargas adicionais'!U243:U263)/(M53/100^3))) / ((L242/(L48/100^2)) + (L242*L51/(L53/100^3)))</f>
        <v>9.93486340746047</v>
      </c>
      <c r="M248" s="38" t="s">
        <v>247</v>
      </c>
      <c r="O248" s="649" t="s">
        <v>252</v>
      </c>
      <c r="P248" s="649"/>
      <c r="Q248" s="649"/>
      <c r="R248" s="649"/>
      <c r="V248" s="708" t="s">
        <v>253</v>
      </c>
      <c r="W248" s="708"/>
      <c r="X248" s="708"/>
      <c r="Y248" s="708"/>
      <c r="Z248" s="708"/>
      <c r="AB248" s="113">
        <f>AB236</f>
        <v>-12.0</v>
      </c>
      <c r="AC248" s="114">
        <f>AC247</f>
        <v>3.0</v>
      </c>
      <c r="AE248" s="115">
        <f t="shared" si="6"/>
        <v>0.0</v>
      </c>
      <c r="AF248" s="115">
        <f t="shared" si="7"/>
        <v>0.0</v>
      </c>
    </row>
    <row r="249" spans="11:32" x14ac:dyDescent="0.25">
      <c r="K249" s="80"/>
      <c r="L249" s="43"/>
      <c r="M249" s="38"/>
      <c r="O249" s="122" t="s">
        <v>254</v>
      </c>
      <c r="Q249" s="27" t="s">
        <v>60</v>
      </c>
      <c r="R249" s="123"/>
      <c r="V249" s="124"/>
      <c r="W249" s="124">
        <f>L26/W250</f>
        <v>6.0</v>
      </c>
      <c r="X249" s="124"/>
      <c r="Y249" s="124"/>
      <c r="Z249" s="124">
        <f>L26/Z250</f>
        <v>30.0</v>
      </c>
      <c r="AA249" s="124"/>
    </row>
    <row r="250" spans="11:32" x14ac:dyDescent="0.25">
      <c r="K250" s="103">
        <f ca="1">(ROUNDUP((MAX(L245,L248))/VLOOKUP(L250,O242:Q244,3),0))</f>
        <v>8.0</v>
      </c>
      <c r="L250" s="125">
        <f>P256</f>
        <v>15.2</v>
      </c>
      <c r="M250" s="38" t="s">
        <v>255</v>
      </c>
      <c r="O250" s="126">
        <v>0</v>
      </c>
      <c r="P250" s="127">
        <v>15.2</v>
      </c>
      <c r="Q250" s="128">
        <f>Q252+R246</f>
        <v>27.5</v>
      </c>
      <c r="R250" s="129" t="s">
        <v>35</v>
      </c>
      <c r="S250" s="38"/>
      <c r="T250" s="38"/>
      <c r="V250" s="124"/>
      <c r="W250" s="124">
        <f>O256+1</f>
        <v>5.0</v>
      </c>
      <c r="X250" s="124"/>
      <c r="Y250" s="124"/>
      <c r="Z250" s="124">
        <f>O270+1</f>
        <v>1.0</v>
      </c>
      <c r="AA250" s="124"/>
    </row>
    <row r="251" spans="11:32" x14ac:dyDescent="0.25">
      <c r="K251" s="31">
        <f>O256+O254+O252+O250</f>
        <v>8.0</v>
      </c>
      <c r="L251" s="130">
        <f>P256</f>
        <v>15.2</v>
      </c>
      <c r="M251" s="38" t="s">
        <v>256</v>
      </c>
      <c r="O251" s="122" t="s">
        <v>257</v>
      </c>
      <c r="Q251" s="27"/>
      <c r="R251" s="129"/>
      <c r="S251" s="38"/>
      <c r="T251" s="38"/>
      <c r="V251" s="124">
        <v>1</v>
      </c>
      <c r="W251" s="131">
        <f>(IF(V251&lt;=O256,((L26/-2)+$W$249),NA()))</f>
        <v>-9.0</v>
      </c>
      <c r="X251" s="124">
        <f>(IF(V251&lt;=O256,Q256,""))</f>
        <v>8.0</v>
      </c>
      <c r="Y251" s="124">
        <v>1</v>
      </c>
      <c r="Z251" s="131" t="e">
        <f>(IF(V251&lt;=O270,((L26/-2)+$Z$249),NA()))</f>
        <v>#N/A</v>
      </c>
      <c r="AA251" s="124" t="str">
        <f>(IF(Y251&lt;=O270,((IF(M19="1 - Retângular",L27,L70))-Q270),""))</f>
        <v/>
      </c>
    </row>
    <row r="252" spans="11:32" x14ac:dyDescent="0.25">
      <c r="K252" s="80" t="s">
        <v>258</v>
      </c>
      <c r="L252" s="132">
        <f>VLOOKUP(L251,O242:Q244,3)*K251</f>
        <v>11.2</v>
      </c>
      <c r="M252" s="38" t="s">
        <v>247</v>
      </c>
      <c r="O252" s="126">
        <v>0</v>
      </c>
      <c r="P252" s="127">
        <v>15.2</v>
      </c>
      <c r="Q252" s="128">
        <f>Q254+R246</f>
        <v>21.0</v>
      </c>
      <c r="R252" s="129" t="s">
        <v>35</v>
      </c>
      <c r="S252" s="38"/>
      <c r="T252" s="38"/>
      <c r="V252" s="124">
        <v>2</v>
      </c>
      <c r="W252" s="131">
        <f>(IF(V252&lt;=O256,(W251+W249),NA()))</f>
        <v>-3.0</v>
      </c>
      <c r="X252" s="124">
        <f>(IF(V252&lt;=O256,Q256,""))</f>
        <v>8.0</v>
      </c>
      <c r="Y252" s="124">
        <v>2</v>
      </c>
      <c r="Z252" s="131" t="e">
        <f>(IF(V252&lt;=O270,(Z251+Z249),NA()))</f>
        <v>#N/A</v>
      </c>
      <c r="AA252" s="124" t="str">
        <f>(IF(Y252&lt;=O270,((IF(M19="1 - Retângular",L27,L70))-Q270),""))</f>
        <v/>
      </c>
    </row>
    <row r="253" spans="11:32" x14ac:dyDescent="0.25">
      <c r="K253" s="80" t="s">
        <v>259</v>
      </c>
      <c r="L253" s="60">
        <f ca="1">IF(M19="1 - Retângular",L1159,L1163)</f>
        <v>17.196138322794486</v>
      </c>
      <c r="M253" s="38" t="s">
        <v>247</v>
      </c>
      <c r="O253" s="122" t="s">
        <v>260</v>
      </c>
      <c r="Q253" s="27"/>
      <c r="R253" s="45">
        <f>IFERROR((O256*(VLOOKUP(P256,O241:Q244,3))*Q256+O254*(VLOOKUP(P254,O241:Q244,3))*Q254+O252*(VLOOKUP(P252,O241:Q244,3))*Q252+O250*(VLOOKUP(P250,O241:Q244,3))*Q250)/(O256*(VLOOKUP(P256,O241:Q244,3))+O254*(VLOOKUP(P254,O241:Q244,3))+O252*(VLOOKUP(P252,O241:Q244,3))+O250*(VLOOKUP(P250,O241:Q244,3))),0)</f>
        <v>11.25</v>
      </c>
      <c r="S253" s="38" t="s">
        <v>35</v>
      </c>
      <c r="T253" s="38"/>
      <c r="V253" s="124">
        <v>3</v>
      </c>
      <c r="W253" s="131">
        <f>(IF(V253&lt;=O256,(W252+W249),NA()))</f>
        <v>3.0</v>
      </c>
      <c r="X253" s="124">
        <f>(IF(V253&lt;=O256,Q256,""))</f>
        <v>8.0</v>
      </c>
      <c r="Y253" s="124">
        <v>3</v>
      </c>
      <c r="Z253" s="131" t="e">
        <f>(IF(V253&lt;=O270,(Z252+Z249),NA()))</f>
        <v>#N/A</v>
      </c>
      <c r="AA253" s="124" t="str">
        <f>(IF(Y253&lt;=O270,((IF(M19="1 - Retângular",L27,L70))-Q270),""))</f>
        <v/>
      </c>
    </row>
    <row r="254" spans="11:32" x14ac:dyDescent="0.25">
      <c r="M254" s="38"/>
      <c r="O254" s="126">
        <v>4</v>
      </c>
      <c r="P254" s="127">
        <v>15.2</v>
      </c>
      <c r="Q254" s="128">
        <f>Q256+R246</f>
        <v>14.5</v>
      </c>
      <c r="R254" s="129" t="s">
        <v>35</v>
      </c>
      <c r="S254" s="38"/>
      <c r="T254" s="38"/>
      <c r="V254" s="124">
        <v>4</v>
      </c>
      <c r="W254" s="124">
        <f>(IF(V254&lt;=O256,(W253+W249),NA()))</f>
        <v>9.0</v>
      </c>
      <c r="X254" s="124">
        <f>(IF(V254&lt;=O256,Q256,""))</f>
        <v>8.0</v>
      </c>
      <c r="Y254" s="124">
        <v>4</v>
      </c>
      <c r="Z254" s="124" t="e">
        <f>(IF(V254&lt;=O270,(Z253+Z249),NA()))</f>
        <v>#N/A</v>
      </c>
      <c r="AA254" s="124" t="str">
        <f>(IF(Y254&lt;=O270,((IF(M19="1 - Retângular",L27,L70))-Q270),""))</f>
        <v/>
      </c>
    </row>
    <row r="255" spans="11:32" x14ac:dyDescent="0.25">
      <c r="O255" s="122" t="s">
        <v>261</v>
      </c>
      <c r="Q255" s="27"/>
      <c r="R255" s="129"/>
      <c r="S255" s="38"/>
      <c r="T255" s="38"/>
      <c r="V255" s="124">
        <v>5</v>
      </c>
      <c r="W255" s="124" t="e">
        <f>(IF(V255&lt;=O256,(W254+W249),NA()))</f>
        <v>#N/A</v>
      </c>
      <c r="X255" s="124" t="str">
        <f>(IF(V255&lt;=O256,Q256,""))</f>
        <v/>
      </c>
      <c r="Y255" s="124">
        <v>5</v>
      </c>
      <c r="Z255" s="124" t="e">
        <f>(IF(V255&lt;=O270,(Z254+Z249),NA()))</f>
        <v>#N/A</v>
      </c>
      <c r="AA255" s="124" t="str">
        <f>(IF(Y255&lt;=O270,((IF(M19="1 - Retângular",L27,L70))-Q270),""))</f>
        <v/>
      </c>
    </row>
    <row r="256" spans="11:32" x14ac:dyDescent="0.25">
      <c r="K256" s="80" t="s">
        <v>262</v>
      </c>
      <c r="L256" s="133">
        <v>2.5</v>
      </c>
      <c r="M256" s="38"/>
      <c r="O256" s="134">
        <v>4</v>
      </c>
      <c r="P256" s="135">
        <v>15.2</v>
      </c>
      <c r="Q256" s="136">
        <v>8</v>
      </c>
      <c r="R256" s="137" t="s">
        <v>35</v>
      </c>
      <c r="S256" s="38"/>
      <c r="T256" s="38"/>
      <c r="V256" s="124">
        <v>6</v>
      </c>
      <c r="W256" s="124" t="e">
        <f>(IF(V256&lt;=O256,(W255+W249),NA()))</f>
        <v>#N/A</v>
      </c>
      <c r="X256" s="124" t="str">
        <f>(IF(V256&lt;=O256,Q256,""))</f>
        <v/>
      </c>
      <c r="Y256" s="124">
        <v>6</v>
      </c>
      <c r="Z256" s="124" t="e">
        <f>(IF(V256&lt;=O270,(Z255+Z249),NA()))</f>
        <v>#N/A</v>
      </c>
      <c r="AA256" s="124" t="str">
        <f>(IF(Y256&lt;=O270,((IF(M19="1 - Retângular",L27,L70))-Q270),""))</f>
        <v/>
      </c>
    </row>
    <row r="257" spans="10:27" x14ac:dyDescent="0.25">
      <c r="K257" s="108" t="s">
        <v>263</v>
      </c>
      <c r="L257" s="138">
        <f>(N236*(100-L256))/100</f>
        <v>142.6425</v>
      </c>
      <c r="M257" s="38" t="s">
        <v>241</v>
      </c>
      <c r="O257" s="61"/>
      <c r="V257" s="124">
        <v>7</v>
      </c>
      <c r="W257" s="124" t="e">
        <f>(IF(V257&lt;=O256,(W256+W249),NA()))</f>
        <v>#N/A</v>
      </c>
      <c r="X257" s="124" t="str">
        <f>(IF(V257&lt;=O256,Q256,""))</f>
        <v/>
      </c>
      <c r="Y257" s="124">
        <v>7</v>
      </c>
      <c r="Z257" s="124" t="e">
        <f>(IF(V257&lt;=O270,(Z256+Z249),NA()))</f>
        <v>#N/A</v>
      </c>
      <c r="AA257" s="124" t="str">
        <f>(IF(Y257&lt;=O270,((IF(M19="1 - Retângular",L27,L70))-Q270),""))</f>
        <v/>
      </c>
    </row>
    <row r="258" spans="10:27" x14ac:dyDescent="0.25">
      <c r="M258" s="38"/>
      <c r="V258" s="124"/>
      <c r="W258" s="124"/>
      <c r="X258" s="124"/>
      <c r="Y258" s="124"/>
      <c r="Z258" s="124"/>
      <c r="AA258" s="124"/>
    </row>
    <row r="259" spans="10:27" x14ac:dyDescent="0.25">
      <c r="K259" s="658" t="s">
        <v>264</v>
      </c>
      <c r="L259" s="60">
        <f>(1.2*0.3*(L84*L84)^(1/3))</f>
        <v>3.8519549300342857</v>
      </c>
      <c r="M259" s="38" t="s">
        <v>233</v>
      </c>
      <c r="O259" s="651" t="s">
        <v>265</v>
      </c>
      <c r="P259" s="651"/>
      <c r="Q259" s="139">
        <f>(N236*(L85*100)/((VLOOKUP(L251,O242:Q244,3)*19500)))</f>
        <v>53.58974358974359</v>
      </c>
      <c r="R259" s="140" t="s">
        <v>35</v>
      </c>
      <c r="V259" s="124"/>
      <c r="W259" s="124">
        <f>L26/W260</f>
        <v>6.0</v>
      </c>
      <c r="X259" s="124"/>
      <c r="Y259" s="124"/>
      <c r="Z259" s="124">
        <f>L26/Z260</f>
        <v>30.0</v>
      </c>
      <c r="AA259" s="124"/>
    </row>
    <row r="260" spans="10:27" x14ac:dyDescent="0.25">
      <c r="K260" s="658"/>
      <c r="L260" s="105">
        <f>L259*1000</f>
        <v>3851.9549300342856</v>
      </c>
      <c r="M260" s="38" t="s">
        <v>234</v>
      </c>
      <c r="O260" s="648" t="str">
        <f>$K$1202</f>
        <v>€p (%)</v>
      </c>
      <c r="P260" s="648"/>
      <c r="Q260" s="141">
        <f ca="1">L1202</f>
        <v>5.3651309425196345</v>
      </c>
      <c r="R260" s="142" t="str">
        <f>R271</f>
        <v>%</v>
      </c>
      <c r="V260" s="124"/>
      <c r="W260" s="124">
        <f>O254+1</f>
        <v>5.0</v>
      </c>
      <c r="X260" s="124"/>
      <c r="Y260" s="124"/>
      <c r="Z260" s="124">
        <f>O252+1</f>
        <v>1.0</v>
      </c>
      <c r="AA260" s="124"/>
    </row>
    <row r="261" spans="10:27" x14ac:dyDescent="0.25">
      <c r="V261" s="124">
        <v>1</v>
      </c>
      <c r="W261" s="131">
        <f>(IF(V261&lt;=O254,((L26/-2)+$W$259),NA()))</f>
        <v>-9.0</v>
      </c>
      <c r="X261" s="124">
        <f>(IF(V261&lt;=O254,Q254,""))</f>
        <v>14.5</v>
      </c>
      <c r="Y261" s="124">
        <v>1</v>
      </c>
      <c r="Z261" s="131" t="e">
        <f>(IF(Y261&lt;=O252,((L26/-2)+$Z$259),NA()))</f>
        <v>#N/A</v>
      </c>
      <c r="AA261" s="124" t="str">
        <f>(IF(Y261&lt;=O252,Q252,""))</f>
        <v/>
      </c>
    </row>
    <row r="262" spans="10:27" x14ac:dyDescent="0.25">
      <c r="K262" s="80" t="s">
        <v>266</v>
      </c>
      <c r="L262" s="60">
        <f ca="1">(-L260-(L257*(VLOOKUP(L251,O242:Q244,3)*10)*(1/(L48/100^2)-L50/(L52/100^3)))-(M206/(L52/100^3)))/(L257*(1/(L48/100^2)+L50/(L52/100^3)))</f>
        <v>1.5699789991093973</v>
      </c>
      <c r="M262" s="38" t="s">
        <v>247</v>
      </c>
      <c r="O262" s="649" t="s">
        <v>267</v>
      </c>
      <c r="P262" s="649"/>
      <c r="Q262" s="649"/>
      <c r="R262" s="649"/>
      <c r="V262" s="124">
        <v>2</v>
      </c>
      <c r="W262" s="131">
        <f>(IF(V262&lt;=O254,(W261+W259),NA()))</f>
        <v>-3.0</v>
      </c>
      <c r="X262" s="124">
        <f>(IF(V262&lt;=O254,Q254,""))</f>
        <v>14.5</v>
      </c>
      <c r="Y262" s="124">
        <v>2</v>
      </c>
      <c r="Z262" s="131" t="e">
        <f>(IF(Y262&lt;=O252,(Z261+Z259),NA()))</f>
        <v>#N/A</v>
      </c>
      <c r="AA262" s="124" t="str">
        <f>(IF(Y262&lt;=O252,Q252,""))</f>
        <v/>
      </c>
    </row>
    <row r="263" spans="10:27" x14ac:dyDescent="0.25">
      <c r="M263" s="38"/>
      <c r="O263" s="122" t="s">
        <v>254</v>
      </c>
      <c r="Q263" s="27" t="s">
        <v>60</v>
      </c>
      <c r="R263" s="123"/>
      <c r="V263" s="124">
        <v>3</v>
      </c>
      <c r="W263" s="131">
        <f>(IF(V263&lt;=O254,(W262+W259),NA()))</f>
        <v>3.0</v>
      </c>
      <c r="X263" s="124">
        <f>(IF(V263&lt;=O254,Q254,""))</f>
        <v>14.5</v>
      </c>
      <c r="Y263" s="124">
        <v>3</v>
      </c>
      <c r="Z263" s="131" t="e">
        <f>(IF(Y263&lt;=O252,(Z262+Z259),NA()))</f>
        <v>#N/A</v>
      </c>
      <c r="AA263" s="124" t="str">
        <f>(IF(Y263&lt;=O252,Q252,""))</f>
        <v/>
      </c>
    </row>
    <row r="264" spans="10:27" x14ac:dyDescent="0.25">
      <c r="K264" s="31">
        <f ca="1">ROUNDUP((L262/(VLOOKUP(L264,O242:Q244,3))),0)</f>
        <v>2.0</v>
      </c>
      <c r="L264" s="130">
        <v>12.7</v>
      </c>
      <c r="M264" s="38" t="s">
        <v>255</v>
      </c>
      <c r="O264" s="126">
        <v>0</v>
      </c>
      <c r="P264" s="127">
        <v>12.7</v>
      </c>
      <c r="Q264" s="128">
        <f>R246+Q266</f>
        <v>25.5</v>
      </c>
      <c r="R264" s="129" t="s">
        <v>35</v>
      </c>
      <c r="V264" s="124">
        <v>4</v>
      </c>
      <c r="W264" s="124">
        <f>(IF(V264&lt;=O254,(W263+W259),NA()))</f>
        <v>9.0</v>
      </c>
      <c r="X264" s="124">
        <f>(IF(V264&lt;=O254,Q254,""))</f>
        <v>14.5</v>
      </c>
      <c r="Y264" s="124">
        <v>4</v>
      </c>
      <c r="Z264" s="124" t="e">
        <f>(IF(Y264&lt;=O252,(Z263+Z259),NA()))</f>
        <v>#N/A</v>
      </c>
      <c r="AA264" s="124" t="str">
        <f>(IF(Y264&lt;=O252,Q252,""))</f>
        <v/>
      </c>
    </row>
    <row r="265" spans="10:27" x14ac:dyDescent="0.25">
      <c r="K265" s="31">
        <f>O270+O268+O266+O264</f>
        <v>0.0</v>
      </c>
      <c r="L265" s="130">
        <f>P270</f>
        <v>12.7</v>
      </c>
      <c r="M265" s="38" t="s">
        <v>256</v>
      </c>
      <c r="O265" s="122" t="s">
        <v>257</v>
      </c>
      <c r="Q265" s="27"/>
      <c r="R265" s="129"/>
      <c r="V265" s="124">
        <v>5</v>
      </c>
      <c r="W265" s="124" t="e">
        <f>(IF(V265&lt;=O254,(W264+W259),NA()))</f>
        <v>#N/A</v>
      </c>
      <c r="X265" s="124" t="str">
        <f>(IF(V265&lt;=O254,Q254,""))</f>
        <v/>
      </c>
      <c r="Y265" s="124">
        <v>5</v>
      </c>
      <c r="Z265" s="124" t="e">
        <f>(IF(Y265&lt;=O252,(Z264+Z259),NA()))</f>
        <v>#N/A</v>
      </c>
      <c r="AA265" s="124" t="str">
        <f>(IF(Y265&lt;=O252,Q252,""))</f>
        <v/>
      </c>
    </row>
    <row r="266" spans="10:27" x14ac:dyDescent="0.25">
      <c r="K266" s="80" t="s">
        <v>268</v>
      </c>
      <c r="L266" s="132">
        <f>VLOOKUP(L265,O242:Q244,3)*K265</f>
        <v>0.0</v>
      </c>
      <c r="O266" s="126">
        <v>0</v>
      </c>
      <c r="P266" s="127">
        <v>12.7</v>
      </c>
      <c r="Q266" s="128">
        <f>Q268+R246</f>
        <v>19.0</v>
      </c>
      <c r="R266" s="129" t="s">
        <v>35</v>
      </c>
      <c r="V266" s="124">
        <v>6</v>
      </c>
      <c r="W266" s="124" t="e">
        <f>(IF(V266&lt;=O254,(W265+W259),NA()))</f>
        <v>#N/A</v>
      </c>
      <c r="X266" s="124" t="str">
        <f>(IF(V266&lt;=O254,Q254,""))</f>
        <v/>
      </c>
      <c r="Y266" s="124">
        <v>6</v>
      </c>
      <c r="Z266" s="124" t="e">
        <f>(IF(Y266&lt;=O252,(Z265+Z259),NA()))</f>
        <v>#N/A</v>
      </c>
      <c r="AA266" s="124" t="str">
        <f>(IF(Y266&lt;=O252,Q252,""))</f>
        <v/>
      </c>
    </row>
    <row r="267" spans="10:27" x14ac:dyDescent="0.25">
      <c r="M267" s="38"/>
      <c r="O267" s="122" t="s">
        <v>260</v>
      </c>
      <c r="Q267" s="27"/>
      <c r="R267" s="38">
        <f>IFERROR((O270*(VLOOKUP(P270,O241:Q244,3))*Q270+O268*(VLOOKUP(P268,O241:Q244,3))*Q268+O266*(VLOOKUP(P266,O241:Q244,3))*Q266+O264*(VLOOKUP(P264,O241:Q244,3))*Q264)/(O270*(VLOOKUP(P270,O241:Q244,3))+O268*(VLOOKUP(P268,O241:Q244,3))+O266*(VLOOKUP(P266,O241:Q244,3))+O264*(VLOOKUP(P264,O241:Q244,3))),0)</f>
        <v>0.0</v>
      </c>
      <c r="S267" s="38" t="s">
        <v>35</v>
      </c>
      <c r="V267" s="124">
        <v>7</v>
      </c>
      <c r="W267" s="124" t="e">
        <f>(IF(V267&lt;=O254,(W266+W259),NA()))</f>
        <v>#N/A</v>
      </c>
      <c r="X267" s="124" t="str">
        <f>(IF(V267&lt;=O254,Q254,""))</f>
        <v/>
      </c>
      <c r="Y267" s="124">
        <v>7</v>
      </c>
      <c r="Z267" s="124" t="e">
        <f>(IF(Y267&lt;=O252,(Z266+Z259),NA()))</f>
        <v>#N/A</v>
      </c>
      <c r="AA267" s="124" t="str">
        <f>(IF(Y267&lt;=O252,Q252,""))</f>
        <v/>
      </c>
    </row>
    <row r="268" spans="10:27" x14ac:dyDescent="0.25">
      <c r="J268" s="43"/>
      <c r="K268" s="705" t="s">
        <v>269</v>
      </c>
      <c r="L268" s="705"/>
      <c r="O268" s="126">
        <v>0</v>
      </c>
      <c r="P268" s="127">
        <v>12.7</v>
      </c>
      <c r="Q268" s="128">
        <f>Q270+R246</f>
        <v>12.5</v>
      </c>
      <c r="R268" s="129" t="s">
        <v>35</v>
      </c>
    </row>
    <row r="269" spans="10:27" x14ac:dyDescent="0.25">
      <c r="J269" s="43"/>
      <c r="K269" s="143">
        <f ca="1">N1153</f>
        <v>12.0</v>
      </c>
      <c r="L269" s="144">
        <f>Taxas!I57</f>
        <v>16.0</v>
      </c>
      <c r="M269" s="38"/>
      <c r="O269" s="122" t="s">
        <v>261</v>
      </c>
      <c r="Q269" s="27"/>
      <c r="R269" s="129"/>
    </row>
    <row r="270" spans="10:27" x14ac:dyDescent="0.25">
      <c r="K270" s="706">
        <f ca="1">(3.14*(L269/20)^2)*K269</f>
        <v>24.1152</v>
      </c>
      <c r="L270" s="706"/>
      <c r="M270" s="38" t="s">
        <v>247</v>
      </c>
      <c r="O270" s="134">
        <v>0</v>
      </c>
      <c r="P270" s="135">
        <v>12.7</v>
      </c>
      <c r="Q270" s="136">
        <v>6</v>
      </c>
      <c r="R270" s="137" t="s">
        <v>35</v>
      </c>
    </row>
    <row r="271" spans="10:27" x14ac:dyDescent="0.25">
      <c r="O271" s="650" t="str">
        <f>$K$1198</f>
        <v>€p (%)</v>
      </c>
      <c r="P271" s="650"/>
      <c r="Q271" s="141">
        <f ca="1">$L$1198</f>
        <v>5.544308758809232</v>
      </c>
      <c r="R271" s="145" t="str">
        <f>M1198</f>
        <v>%</v>
      </c>
    </row>
    <row r="272" spans="10:27" x14ac:dyDescent="0.25">
      <c r="K272" s="80" t="s">
        <v>270</v>
      </c>
      <c r="L272" s="132">
        <f ca="1">K270+L252</f>
        <v>35.315200000000004</v>
      </c>
      <c r="M272" s="38" t="s">
        <v>247</v>
      </c>
      <c r="O272" s="651" t="s">
        <v>265</v>
      </c>
      <c r="P272" s="651"/>
      <c r="Q272" s="139">
        <f>($N$236*($L$85*100)/((3.14*(($L$265/2)/10)^2)*19500))</f>
        <v>59.2560388125839</v>
      </c>
      <c r="R272" s="140" t="s">
        <v>35</v>
      </c>
    </row>
    <row r="273" spans="11:18" x14ac:dyDescent="0.25">
      <c r="K273" s="29"/>
    </row>
    <row r="274" spans="11:18" hidden="1" x14ac:dyDescent="0.25">
      <c r="K274" s="653" t="s">
        <v>271</v>
      </c>
      <c r="L274" s="653"/>
      <c r="M274" s="653"/>
      <c r="N274" s="653"/>
      <c r="O274" s="653"/>
      <c r="P274" s="653"/>
      <c r="Q274" s="653"/>
      <c r="R274" s="653"/>
    </row>
    <row r="275" spans="11:18" hidden="1" x14ac:dyDescent="0.25"/>
    <row r="276" spans="11:18" hidden="1" x14ac:dyDescent="0.25">
      <c r="K276" s="80" t="s">
        <v>272</v>
      </c>
      <c r="L276" s="31">
        <f>IFERROR((O270*(VLOOKUP(P270,O241:Q244,3))*Q270+O268*(VLOOKUP(P268,O241:Q244,3))*Q268+O266*(VLOOKUP(P266,O241:Q244,3))*Q266+O264*(VLOOKUP(P264,O241:Q244,3))*Q264)/(O270*(VLOOKUP(P270,O241:Q244,3))+O268*(VLOOKUP(P268,O241:Q244,3))+O266*(VLOOKUP(P266,O241:Q244,3))+O264*(VLOOKUP(P264,O241:Q244,3))),0)</f>
        <v>0.0</v>
      </c>
      <c r="M276" s="38" t="s">
        <v>35</v>
      </c>
      <c r="N276" s="4" t="s">
        <v>273</v>
      </c>
    </row>
    <row r="277" spans="11:18" hidden="1" x14ac:dyDescent="0.25">
      <c r="K277" s="80" t="s">
        <v>274</v>
      </c>
      <c r="L277" s="97">
        <f>IFERROR((O256*(VLOOKUP(P256,O241:Q244,3))*Q256+O254*(VLOOKUP(P254,O241:Q244,3))*Q254+O252*(VLOOKUP(P252,O241:Q244,3))*Q252+O250*(VLOOKUP(P250,O241:Q244,3))*Q250)/(O256*(VLOOKUP(P256,O241:Q244,3))+O254*(VLOOKUP(P254,O241:Q244,3))+O252*(VLOOKUP(P252,O241:Q244,3))+O250*(VLOOKUP(P250,O241:Q244,3))),0)</f>
        <v>11.25</v>
      </c>
      <c r="M277" s="38" t="s">
        <v>35</v>
      </c>
      <c r="N277" s="4" t="s">
        <v>275</v>
      </c>
      <c r="R277" s="27"/>
    </row>
    <row r="278" spans="11:18" ht="14.25" hidden="1" customHeight="1" x14ac:dyDescent="0.25">
      <c r="K278" s="80"/>
      <c r="L278" s="38"/>
      <c r="R278" s="27"/>
    </row>
    <row r="279" spans="11:18" x14ac:dyDescent="0.25">
      <c r="K279" s="653" t="s">
        <v>276</v>
      </c>
      <c r="L279" s="653"/>
      <c r="M279" s="653"/>
      <c r="N279" s="653"/>
      <c r="O279" s="653"/>
      <c r="P279" s="653"/>
      <c r="Q279" s="653"/>
      <c r="R279" s="653"/>
    </row>
    <row r="280" spans="11:18" hidden="1" x14ac:dyDescent="0.25">
      <c r="K280" s="80" t="s">
        <v>277</v>
      </c>
      <c r="L280" s="31">
        <f>L85</f>
        <v>100.0</v>
      </c>
      <c r="M280" s="38" t="s">
        <v>32</v>
      </c>
    </row>
    <row r="281" spans="11:18" hidden="1" x14ac:dyDescent="0.25">
      <c r="K281" s="80" t="s">
        <v>278</v>
      </c>
      <c r="L281" s="31">
        <v>0.6</v>
      </c>
      <c r="M281" s="38" t="s">
        <v>35</v>
      </c>
    </row>
    <row r="282" spans="11:18" hidden="1" x14ac:dyDescent="0.25">
      <c r="K282" s="80"/>
      <c r="M282" s="38"/>
    </row>
    <row r="283" spans="11:18" hidden="1" x14ac:dyDescent="0.25">
      <c r="K283" s="80" t="s">
        <v>279</v>
      </c>
      <c r="L283" s="23">
        <f>(2*10^4*L281/100)/L280</f>
        <v>1.2</v>
      </c>
      <c r="M283" s="38" t="s">
        <v>241</v>
      </c>
    </row>
    <row r="284" spans="11:18" hidden="1" x14ac:dyDescent="0.25"/>
    <row r="285" spans="11:18" hidden="1" x14ac:dyDescent="0.25"/>
    <row r="286" spans="11:18" hidden="1" x14ac:dyDescent="0.25"/>
    <row r="287" spans="11:18" hidden="1" x14ac:dyDescent="0.25">
      <c r="K287" s="663" t="s">
        <v>280</v>
      </c>
      <c r="L287" s="663"/>
      <c r="P287" s="663" t="s">
        <v>281</v>
      </c>
      <c r="Q287" s="663"/>
    </row>
    <row r="288" spans="11:18" hidden="1" x14ac:dyDescent="0.25">
      <c r="L288" s="27"/>
    </row>
    <row r="289" spans="11:18" hidden="1" x14ac:dyDescent="0.25">
      <c r="K289" s="80" t="s">
        <v>282</v>
      </c>
      <c r="L289" s="31">
        <f>N236-L283</f>
        <v>145.10000000000002</v>
      </c>
      <c r="M289" s="38" t="s">
        <v>241</v>
      </c>
      <c r="P289" s="80" t="s">
        <v>283</v>
      </c>
    </row>
    <row r="290" spans="11:18" hidden="1" x14ac:dyDescent="0.25">
      <c r="K290" s="80"/>
      <c r="L290" s="27"/>
      <c r="P290" s="80" t="s">
        <v>108</v>
      </c>
      <c r="Q290" s="56">
        <f ca="1">L48</f>
        <v>1800.0</v>
      </c>
      <c r="R290" s="38"/>
    </row>
    <row r="291" spans="11:18" hidden="1" x14ac:dyDescent="0.25">
      <c r="K291" s="80" t="s">
        <v>284</v>
      </c>
      <c r="L291" s="83">
        <f>L289/L88</f>
        <v>0.7636842105263159</v>
      </c>
      <c r="M291" s="146">
        <f>L291*100</f>
        <v>76.36842105263159</v>
      </c>
      <c r="P291" s="80" t="s">
        <v>285</v>
      </c>
      <c r="Q291" s="97">
        <f>IF(M19="1 - Retângular",L26+L27-L38+SQRT(L36^2+(L38-L37)^2)+L36+L26+L36+SQRT(L36^2+(L38-L37)^2)+L27-L38,L62+(SQRT(((L62/2)-(L61/2))+(L66^2)))+L67+L65+(SQRT(((L60/2)-(L61/2))^2+L64^2))+L63+L60+L63+(SQRT(((L60/2)-(L61/2))^2+L64^2))+L65+(SQRT(((L62/2)-(L63/2))+(L66^2)))+L67)</f>
        <v>201.62277660168377</v>
      </c>
      <c r="R291" s="38" t="s">
        <v>35</v>
      </c>
    </row>
    <row r="292" spans="11:18" hidden="1" x14ac:dyDescent="0.25">
      <c r="K292" s="80" t="s">
        <v>286</v>
      </c>
      <c r="L292" s="31">
        <f>IF(L291&lt;=$O$357,0,INDEX($P$357:$P$360,MIN(MATCH(L291,$O$357:$O$360,1),3))+(L291-INDEX($O$357:$O$360,MIN(MATCH(L291,$O$357:$O$360,1),3)))*(INDEX($P$357:$P$360,MIN(MATCH(L291,$O$357:$O$360,1),3)+1)-INDEX($P$357:$P$360,MIN(MATCH(L291,$O$357:$O$360,1),3)))/(INDEX($O$357:$O$360,MIN(MATCH(L291,$O$357:$O$360,1),3)+1)-INDEX($O$357:$O$360,MIN(MATCH(L291,$O$357:$O$360,1),3))))*(M332/41.67)^0.15</f>
        <v>1.7927475337319472</v>
      </c>
      <c r="P292" s="80"/>
      <c r="R292" s="38"/>
    </row>
    <row r="293" spans="11:18" hidden="1" x14ac:dyDescent="0.25">
      <c r="K293" s="80" t="s">
        <v>287</v>
      </c>
      <c r="L293" s="83">
        <f>L292/100*L289</f>
        <v>2.601276671445056</v>
      </c>
      <c r="M293" s="38" t="s">
        <v>241</v>
      </c>
      <c r="P293" s="80" t="s">
        <v>288</v>
      </c>
      <c r="R293" s="38"/>
    </row>
    <row r="294" spans="11:18" hidden="1" x14ac:dyDescent="0.25">
      <c r="P294" s="80" t="s">
        <v>108</v>
      </c>
      <c r="Q294" s="56">
        <f ca="1">M48</f>
        <v>3105.1953876719</v>
      </c>
      <c r="R294" s="38"/>
    </row>
    <row r="295" spans="11:18" hidden="1" x14ac:dyDescent="0.25">
      <c r="P295" s="80" t="s">
        <v>285</v>
      </c>
      <c r="Q295" s="97">
        <f>L43</f>
        <v>187.0</v>
      </c>
      <c r="R295" s="38" t="s">
        <v>35</v>
      </c>
    </row>
    <row r="296" spans="11:18" hidden="1" x14ac:dyDescent="0.25">
      <c r="K296" s="29" t="s">
        <v>289</v>
      </c>
      <c r="P296" s="80"/>
      <c r="R296" s="38"/>
    </row>
    <row r="297" spans="11:18" hidden="1" x14ac:dyDescent="0.25">
      <c r="P297" s="80"/>
      <c r="R297" s="38"/>
    </row>
    <row r="298" spans="11:18" hidden="1" x14ac:dyDescent="0.25">
      <c r="K298" s="80" t="s">
        <v>290</v>
      </c>
      <c r="L298" s="31">
        <f>K251*(VLOOKUP(L251,O241:Q244,3))</f>
        <v>11.2</v>
      </c>
      <c r="M298" s="38" t="s">
        <v>247</v>
      </c>
      <c r="P298" s="80" t="s">
        <v>291</v>
      </c>
      <c r="Q298" s="103">
        <f ca="1">L298*L324+L300*L326</f>
        <v>1475.413282676191</v>
      </c>
      <c r="R298" s="38" t="s">
        <v>292</v>
      </c>
    </row>
    <row r="299" spans="11:18" hidden="1" x14ac:dyDescent="0.25">
      <c r="K299" s="80" t="s">
        <v>293</v>
      </c>
      <c r="L299" s="97">
        <f ca="1">L30-L277</f>
        <v>18.75</v>
      </c>
      <c r="M299" s="38" t="s">
        <v>294</v>
      </c>
      <c r="P299" s="80" t="s">
        <v>295</v>
      </c>
      <c r="Q299" s="103">
        <f ca="1">L298*L324*L299/100-L300*L326*L301/100</f>
        <v>276.63999050178586</v>
      </c>
      <c r="R299" s="38" t="s">
        <v>216</v>
      </c>
    </row>
    <row r="300" spans="11:18" hidden="1" x14ac:dyDescent="0.25">
      <c r="K300" s="80" t="s">
        <v>296</v>
      </c>
      <c r="L300" s="31">
        <f>K265*(VLOOKUP(L265,O241:Q244,3))</f>
        <v>0.0</v>
      </c>
      <c r="M300" s="38" t="s">
        <v>247</v>
      </c>
      <c r="P300" s="80"/>
      <c r="R300" s="38"/>
    </row>
    <row r="301" spans="11:18" hidden="1" x14ac:dyDescent="0.25">
      <c r="K301" s="80" t="s">
        <v>297</v>
      </c>
      <c r="L301" s="97">
        <f ca="1">L31-R267</f>
        <v>30.0</v>
      </c>
      <c r="M301" s="38" t="s">
        <v>294</v>
      </c>
      <c r="P301" s="80"/>
      <c r="R301" s="38"/>
    </row>
    <row r="302" spans="11:18" hidden="1" x14ac:dyDescent="0.25">
      <c r="K302" s="80"/>
      <c r="L302" s="27"/>
      <c r="M302" s="38"/>
      <c r="P302" s="80" t="s">
        <v>298</v>
      </c>
      <c r="Q302" s="103">
        <f ca="1">(Q298/(L48/100^2)+(Q299-M206)/(L49/100^4)*(L299/100))*N332</f>
        <v>40548.95799171082</v>
      </c>
      <c r="R302" s="38" t="s">
        <v>234</v>
      </c>
    </row>
    <row r="303" spans="11:18" hidden="1" x14ac:dyDescent="0.25">
      <c r="K303" s="80"/>
      <c r="L303" s="27"/>
      <c r="M303" s="38"/>
      <c r="P303" s="80" t="s">
        <v>299</v>
      </c>
      <c r="Q303" s="103">
        <f ca="1">((M207*Q334+M208*Q335)*(L299/100))/(L49/100^4)</f>
        <v>16048.04988593875</v>
      </c>
      <c r="R303" s="38" t="s">
        <v>234</v>
      </c>
    </row>
    <row r="304" spans="11:18" hidden="1" x14ac:dyDescent="0.25">
      <c r="K304" s="80" t="s">
        <v>282</v>
      </c>
      <c r="L304" s="83">
        <f>N236-(L283+L293)</f>
        <v>142.49872332855495</v>
      </c>
      <c r="M304" s="38" t="s">
        <v>241</v>
      </c>
      <c r="P304" s="80" t="s">
        <v>300</v>
      </c>
      <c r="Q304" s="103">
        <f ca="1">((M210*Q336+M209*Q337)*((M30/100)-(L277/100)))/(M49/100^4)</f>
        <v>1158.3800555308364</v>
      </c>
      <c r="R304" s="38" t="s">
        <v>234</v>
      </c>
    </row>
    <row r="305" spans="11:18" hidden="1" x14ac:dyDescent="0.25">
      <c r="K305" s="80"/>
      <c r="M305" s="38"/>
      <c r="P305" s="80" t="s">
        <v>301</v>
      </c>
      <c r="Q305" s="103">
        <f ca="1">L77*((M211*((M30/100)-(L277/100)))/(M49/100^4))*Q338</f>
        <v>10835.525255155842</v>
      </c>
      <c r="R305" s="38" t="s">
        <v>234</v>
      </c>
    </row>
    <row r="306" spans="11:18" hidden="1" x14ac:dyDescent="0.25">
      <c r="K306" s="80"/>
      <c r="M306" s="38"/>
      <c r="P306" s="80"/>
      <c r="R306" s="38"/>
    </row>
    <row r="307" spans="11:18" hidden="1" x14ac:dyDescent="0.25">
      <c r="K307" s="80" t="s">
        <v>291</v>
      </c>
      <c r="L307" s="103">
        <f>L298*L304+L300*L304</f>
        <v>1595.9857012798152</v>
      </c>
      <c r="M307" s="38" t="s">
        <v>292</v>
      </c>
      <c r="P307" s="80"/>
      <c r="R307" s="38"/>
    </row>
    <row r="308" spans="11:18" hidden="1" x14ac:dyDescent="0.25">
      <c r="K308" s="80" t="s">
        <v>295</v>
      </c>
      <c r="L308" s="103">
        <f ca="1">L298*L304*L299/100-L300*L304*L301/100</f>
        <v>299.2473189899654</v>
      </c>
      <c r="M308" s="38" t="s">
        <v>217</v>
      </c>
      <c r="P308" s="80" t="s">
        <v>302</v>
      </c>
      <c r="Q308" s="83">
        <f>200000/(L1172*1000)</f>
        <v>5.050762722761053</v>
      </c>
      <c r="R308" s="38"/>
    </row>
    <row r="309" spans="11:18" hidden="1" x14ac:dyDescent="0.25">
      <c r="K309" s="80"/>
      <c r="M309" s="38"/>
      <c r="P309" s="658" t="s">
        <v>303</v>
      </c>
      <c r="Q309" s="103">
        <f ca="1">(Q308*(Q302-Q303-Q304-Q305))</f>
        <v>63169.90349088558</v>
      </c>
      <c r="R309" s="38" t="s">
        <v>234</v>
      </c>
    </row>
    <row r="310" spans="11:18" hidden="1" x14ac:dyDescent="0.25">
      <c r="K310" s="80"/>
      <c r="M310" s="38"/>
      <c r="P310" s="658"/>
      <c r="Q310" s="83">
        <f ca="1">Q309/100^2</f>
        <v>6.316990349088559</v>
      </c>
      <c r="R310" s="38" t="s">
        <v>241</v>
      </c>
    </row>
    <row r="311" spans="11:18" hidden="1" x14ac:dyDescent="0.25">
      <c r="K311" s="80" t="s">
        <v>304</v>
      </c>
      <c r="L311" s="103">
        <f ca="1">(L307/(L48/100^2)+((L308-M206)/(L49/100^4))*L299/100)</f>
        <v>17832.901202508187</v>
      </c>
      <c r="M311" s="38" t="s">
        <v>234</v>
      </c>
      <c r="P311" s="80"/>
      <c r="R311" s="38"/>
    </row>
    <row r="312" spans="11:18" hidden="1" x14ac:dyDescent="0.25">
      <c r="K312" s="80" t="s">
        <v>305</v>
      </c>
      <c r="L312" s="103">
        <f ca="1">(L307/(L48/100^2)+((-L308+M206)/(L49/100^4))*L301/100)</f>
        <v>-5479.515127749104</v>
      </c>
      <c r="M312" s="38" t="s">
        <v>234</v>
      </c>
      <c r="P312" s="80"/>
      <c r="R312" s="38"/>
    </row>
    <row r="313" spans="11:18" hidden="1" x14ac:dyDescent="0.25">
      <c r="K313" s="80"/>
      <c r="M313" s="38"/>
      <c r="P313" s="80"/>
      <c r="R313" s="38"/>
    </row>
    <row r="314" spans="11:18" hidden="1" x14ac:dyDescent="0.25">
      <c r="K314" s="80"/>
      <c r="M314" s="38"/>
      <c r="P314" s="80" t="s">
        <v>306</v>
      </c>
      <c r="Q314" s="103">
        <f ca="1">(Q298/(L48/100^2)+((-Q299+M206)/(L49/100^4))*L301/100)*Q332</f>
        <v>-12115.111541255068</v>
      </c>
      <c r="R314" s="38" t="s">
        <v>234</v>
      </c>
    </row>
    <row r="315" spans="11:18" hidden="1" x14ac:dyDescent="0.25">
      <c r="K315" s="80"/>
      <c r="M315" s="38"/>
      <c r="P315" s="80" t="s">
        <v>299</v>
      </c>
      <c r="Q315" s="103">
        <f ca="1">((M207*Q334+M208*Q335)*L301/100)/(L49/100^4)</f>
        <v>25676.879817502</v>
      </c>
      <c r="R315" s="38" t="s">
        <v>234</v>
      </c>
    </row>
    <row r="316" spans="11:18" hidden="1" x14ac:dyDescent="0.25">
      <c r="K316" s="80" t="s">
        <v>307</v>
      </c>
      <c r="L316" s="83">
        <f>L1180*1000</f>
        <v>33130.04678535785</v>
      </c>
      <c r="M316" s="38" t="s">
        <v>233</v>
      </c>
      <c r="P316" s="80" t="s">
        <v>300</v>
      </c>
      <c r="Q316" s="103">
        <f ca="1">((M210*Q336+M209*Q337)*((IF(M19="1 - Retângular",L27,L70)-R267-M30)/100))/(M49/100^4)</f>
        <v>249.43857515189765</v>
      </c>
      <c r="R316" s="38" t="s">
        <v>234</v>
      </c>
    </row>
    <row r="317" spans="11:18" hidden="1" x14ac:dyDescent="0.25">
      <c r="K317" s="80" t="s">
        <v>308</v>
      </c>
      <c r="L317" s="83">
        <f>200000/L316</f>
        <v>6.036816105203689</v>
      </c>
      <c r="M317" s="38"/>
      <c r="P317" s="80" t="s">
        <v>301</v>
      </c>
      <c r="Q317" s="103">
        <f ca="1">L77*((M211*((IF(M19="1 - Retângular",L27,L70)-R267-M30)/100)))/(M49/100^4)*Q338</f>
        <v>2333.2566611136076</v>
      </c>
      <c r="R317" s="38" t="s">
        <v>234</v>
      </c>
    </row>
    <row r="318" spans="11:18" hidden="1" x14ac:dyDescent="0.25">
      <c r="K318" s="80"/>
      <c r="M318" s="38"/>
      <c r="P318" s="80"/>
      <c r="Q318" s="105"/>
      <c r="R318" s="38"/>
    </row>
    <row r="319" spans="11:18" hidden="1" x14ac:dyDescent="0.25">
      <c r="K319" s="80"/>
      <c r="M319" s="38"/>
      <c r="P319" s="80"/>
      <c r="Q319" s="105"/>
      <c r="R319" s="38"/>
    </row>
    <row r="320" spans="11:18" hidden="1" x14ac:dyDescent="0.25">
      <c r="K320" s="80" t="s">
        <v>309</v>
      </c>
      <c r="L320" s="83">
        <f ca="1">L317*L311/10000</f>
        <v>10.765394518180766</v>
      </c>
      <c r="M320" s="38" t="s">
        <v>241</v>
      </c>
      <c r="P320" s="658" t="s">
        <v>310</v>
      </c>
      <c r="Q320" s="103">
        <f ca="1">Q308*ABS(-Q314-Q315-Q316-Q317)</f>
        <v>81541.85448797379</v>
      </c>
      <c r="R320" s="38" t="s">
        <v>234</v>
      </c>
    </row>
    <row r="321" spans="11:43" hidden="1" x14ac:dyDescent="0.25">
      <c r="K321" s="80" t="s">
        <v>311</v>
      </c>
      <c r="L321" s="83">
        <f ca="1">L317*L312/10000</f>
        <v>-3.3078825171903046</v>
      </c>
      <c r="M321" s="38" t="s">
        <v>241</v>
      </c>
      <c r="P321" s="658"/>
      <c r="Q321" s="83">
        <f ca="1">Q320/100^2</f>
        <v>8.15418544879738</v>
      </c>
      <c r="R321" s="38" t="s">
        <v>241</v>
      </c>
    </row>
    <row r="322" spans="11:43" hidden="1" x14ac:dyDescent="0.25"/>
    <row r="323" spans="11:43" x14ac:dyDescent="0.25">
      <c r="M323" s="27"/>
      <c r="S323" s="27"/>
    </row>
    <row r="324" spans="11:43" x14ac:dyDescent="0.25">
      <c r="K324" s="80" t="s">
        <v>312</v>
      </c>
      <c r="L324" s="147">
        <f ca="1">N236-L283-L293-L320</f>
        <v>131.73332881037422</v>
      </c>
      <c r="M324" s="38" t="s">
        <v>241</v>
      </c>
      <c r="N324" s="38" t="s">
        <v>313</v>
      </c>
    </row>
    <row r="325" spans="11:43" x14ac:dyDescent="0.25">
      <c r="K325" s="80" t="s">
        <v>314</v>
      </c>
      <c r="L325" s="148">
        <f ca="1">100-(L324*100)/N236</f>
        <v>9.956713048274636</v>
      </c>
      <c r="M325" s="38"/>
      <c r="N325" s="38" t="s">
        <v>315</v>
      </c>
    </row>
    <row r="326" spans="11:43" x14ac:dyDescent="0.25">
      <c r="K326" s="80" t="s">
        <v>316</v>
      </c>
      <c r="L326" s="147">
        <f ca="1">N236-L283-L293-L321</f>
        <v>145.80660584574528</v>
      </c>
      <c r="M326" s="38" t="s">
        <v>241</v>
      </c>
      <c r="N326" s="38" t="s">
        <v>317</v>
      </c>
    </row>
    <row r="327" spans="11:43" x14ac:dyDescent="0.25">
      <c r="K327" s="80" t="s">
        <v>318</v>
      </c>
      <c r="L327" s="148">
        <f ca="1">100-(L326*100)/N236</f>
        <v>0.3372482257380227</v>
      </c>
      <c r="N327" s="38" t="s">
        <v>319</v>
      </c>
    </row>
    <row r="328" spans="11:43" x14ac:dyDescent="0.25">
      <c r="K328" s="80"/>
    </row>
    <row r="329" spans="11:43" hidden="1" x14ac:dyDescent="0.25">
      <c r="K329" s="653" t="s">
        <v>320</v>
      </c>
      <c r="L329" s="653"/>
      <c r="M329" s="653"/>
      <c r="N329" s="653"/>
      <c r="O329" s="653"/>
      <c r="P329" s="653"/>
      <c r="Q329" s="653"/>
      <c r="R329" s="653"/>
    </row>
    <row r="330" spans="11:43" x14ac:dyDescent="0.25">
      <c r="K330" s="80" t="s">
        <v>2164</v>
      </c>
      <c r="L330" s="23">
        <v>70</v>
      </c>
      <c r="M330" s="38" t="s">
        <v>621</v>
      </c>
      <c r="N330" s="46" t="s">
        <v>2165</v>
      </c>
    </row>
    <row r="331" spans="11:43" ht="30" hidden="1" x14ac:dyDescent="0.25">
      <c r="L331" s="149" t="s">
        <v>321</v>
      </c>
      <c r="M331" s="150" t="s">
        <v>322</v>
      </c>
      <c r="N331" s="150" t="s">
        <v>323</v>
      </c>
      <c r="O331" s="150" t="s">
        <v>324</v>
      </c>
      <c r="P331" s="150" t="s">
        <v>325</v>
      </c>
      <c r="Q331" s="151" t="s">
        <v>326</v>
      </c>
    </row>
    <row r="332" spans="11:43" hidden="1" x14ac:dyDescent="0.25">
      <c r="L332" s="152" t="s">
        <v>327</v>
      </c>
      <c r="M332" s="153">
        <v>1</v>
      </c>
      <c r="N332" s="154">
        <f ca="1">Fluência!$B$44</f>
        <v>2.4758069056368184</v>
      </c>
      <c r="O332" s="153" t="s">
        <v>328</v>
      </c>
      <c r="P332" s="153" t="s">
        <v>328</v>
      </c>
      <c r="Q332" s="155">
        <f ca="1">AVERAGE(N332,P332)</f>
        <v>2.4758069056368184</v>
      </c>
    </row>
    <row r="333" spans="11:43" hidden="1" x14ac:dyDescent="0.25">
      <c r="L333" s="156" t="s">
        <v>329</v>
      </c>
      <c r="M333" s="33">
        <v>1</v>
      </c>
      <c r="N333" s="157">
        <f ca="1">Fluência!$B$44</f>
        <v>2.4758069056368184</v>
      </c>
      <c r="O333" s="33" t="s">
        <v>328</v>
      </c>
      <c r="P333" s="33" t="s">
        <v>328</v>
      </c>
      <c r="Q333" s="158">
        <f ca="1">AVERAGE(N333,P333)</f>
        <v>2.4758069056368184</v>
      </c>
    </row>
    <row r="334" spans="11:43" hidden="1" x14ac:dyDescent="0.25">
      <c r="L334" s="156" t="s">
        <v>330</v>
      </c>
      <c r="M334" s="33">
        <v>15</v>
      </c>
      <c r="N334" s="159">
        <f ca="1">Fluência!$V$44</f>
        <v>1.5488539282372031</v>
      </c>
      <c r="O334" s="33" t="s">
        <v>328</v>
      </c>
      <c r="P334" s="33" t="s">
        <v>328</v>
      </c>
      <c r="Q334" s="158">
        <f ca="1">AVERAGE(N334,P334)</f>
        <v>1.5488539282372031</v>
      </c>
      <c r="AK334" s="4" t="s">
        <v>331</v>
      </c>
    </row>
    <row r="335" spans="11:43" hidden="1" x14ac:dyDescent="0.25">
      <c r="L335" s="156" t="s">
        <v>332</v>
      </c>
      <c r="M335" s="33">
        <v>30</v>
      </c>
      <c r="N335" s="160">
        <f ca="1">Fluência!$AF$44</f>
        <v>1.3348678903117144</v>
      </c>
      <c r="O335" s="33">
        <v>1</v>
      </c>
      <c r="P335" s="157">
        <f ca="1">IF(M18="1 - Sim",IFERROR(Fluência!$B$92,0),N335)</f>
        <v>3.7602554455892188</v>
      </c>
      <c r="Q335" s="158">
        <f ca="1">(N335*$L$48+P335*($M$48-$L$48))/$M$48</f>
        <v>2.354322145278393</v>
      </c>
    </row>
    <row r="336" spans="11:43" hidden="1" x14ac:dyDescent="0.25">
      <c r="L336" s="156" t="s">
        <v>30</v>
      </c>
      <c r="M336" s="33">
        <v>45</v>
      </c>
      <c r="N336" s="160">
        <f ca="1">Fluência!$AP$44</f>
        <v>1.2168856028020962</v>
      </c>
      <c r="O336" s="33">
        <v>15</v>
      </c>
      <c r="P336" s="157">
        <f ca="1">IF(M18="1 - Sim",IFERROR(Fluência!$L$92,0),N336)</f>
        <v>2.7082556212039037</v>
      </c>
      <c r="Q336" s="158">
        <f ca="1">(N336*$L$48+P336*($M$48-$L$48))/$M$48</f>
        <v>1.843747692401422</v>
      </c>
      <c r="AN336" s="701" t="s">
        <v>333</v>
      </c>
      <c r="AO336" s="701"/>
      <c r="AP336" s="701"/>
      <c r="AQ336" s="701"/>
    </row>
    <row r="337" spans="11:43" ht="18" hidden="1" x14ac:dyDescent="0.25">
      <c r="L337" s="156" t="s">
        <v>334</v>
      </c>
      <c r="M337" s="33">
        <v>60</v>
      </c>
      <c r="N337" s="160">
        <f ca="1">Fluência!$AZ$44</f>
        <v>1.1348004805255467</v>
      </c>
      <c r="O337" s="33">
        <v>30</v>
      </c>
      <c r="P337" s="157">
        <f ca="1">IF(M18="1 - Sim",IFERROR(Fluência!$V$92,0),N337)</f>
        <v>2.4054950850187087</v>
      </c>
      <c r="Q337" s="158">
        <f ca="1">(N337*$L$48+P337*($M$48-$L$48))/$M$48</f>
        <v>1.6689068828178346</v>
      </c>
      <c r="Y337" s="702" t="s">
        <v>335</v>
      </c>
      <c r="Z337" s="702"/>
      <c r="AA337" s="702"/>
      <c r="AB337" s="702"/>
      <c r="AC337" s="702"/>
      <c r="AD337" s="702"/>
      <c r="AE337" s="702"/>
      <c r="AF337" s="702"/>
      <c r="AG337" s="702"/>
      <c r="AH337" s="702"/>
      <c r="AI337" s="702"/>
      <c r="AJ337" s="701" t="s">
        <v>336</v>
      </c>
      <c r="AK337" s="701"/>
      <c r="AL337" s="701"/>
      <c r="AM337" s="701"/>
      <c r="AN337" s="161">
        <v>55</v>
      </c>
      <c r="AO337" s="25">
        <v>70</v>
      </c>
      <c r="AP337" s="25">
        <v>75</v>
      </c>
      <c r="AQ337" s="162">
        <v>90</v>
      </c>
    </row>
    <row r="338" spans="11:43" ht="27.75" hidden="1" customHeight="1" x14ac:dyDescent="0.25">
      <c r="L338" s="156" t="s">
        <v>337</v>
      </c>
      <c r="M338" s="33">
        <v>75</v>
      </c>
      <c r="N338" s="160">
        <f ca="1">Fluência!$BJ$44</f>
        <v>1.071738641828687</v>
      </c>
      <c r="O338" s="33">
        <v>45</v>
      </c>
      <c r="P338" s="157">
        <f ca="1">IF(M18="1 - Sim",IFERROR(Fluência!$AF$92,0),N338)</f>
        <v>2.235982527712816</v>
      </c>
      <c r="Q338" s="158">
        <f ca="1">(N338*$L$48+P338*($M$48-$L$48))/$M$48</f>
        <v>1.561101004021444</v>
      </c>
      <c r="Y338" s="696" t="s">
        <v>338</v>
      </c>
      <c r="Z338" s="696"/>
      <c r="AA338" s="696"/>
      <c r="AB338" s="703">
        <v>40</v>
      </c>
      <c r="AC338" s="703"/>
      <c r="AD338" s="703">
        <v>55</v>
      </c>
      <c r="AE338" s="703"/>
      <c r="AF338" s="703">
        <v>75</v>
      </c>
      <c r="AG338" s="703"/>
      <c r="AH338" s="704">
        <v>90</v>
      </c>
      <c r="AI338" s="704"/>
      <c r="AJ338" s="161">
        <v>55</v>
      </c>
      <c r="AK338" s="25">
        <v>70</v>
      </c>
      <c r="AL338" s="25">
        <v>75</v>
      </c>
      <c r="AM338" s="162">
        <v>90</v>
      </c>
      <c r="AN338" s="163">
        <f ca="1">(2*Q294)/Q295</f>
        <v>33.21064585745347</v>
      </c>
      <c r="AO338" s="159">
        <f ca="1">(2*Q294)/Q295</f>
        <v>33.21064585745347</v>
      </c>
      <c r="AP338" s="132">
        <f ca="1">(2*Q294)/Q295</f>
        <v>33.21064585745347</v>
      </c>
      <c r="AQ338" s="164">
        <f ca="1">(2*Q294)/Q295</f>
        <v>33.21064585745347</v>
      </c>
    </row>
    <row r="339" spans="11:43" ht="27.75" hidden="1" customHeight="1" x14ac:dyDescent="0.25">
      <c r="L339" s="165" t="s">
        <v>339</v>
      </c>
      <c r="M339" s="166">
        <v>75</v>
      </c>
      <c r="N339" s="167">
        <f ca="1">Fluência!$BJ$44</f>
        <v>1.071738641828687</v>
      </c>
      <c r="O339" s="166">
        <v>45</v>
      </c>
      <c r="P339" s="167">
        <f ca="1">IF(M18="1 - Sim",IFERROR(Fluência!$AF$92,0),N338)</f>
        <v>2.235982527712816</v>
      </c>
      <c r="Q339" s="168">
        <f ca="1">(N339*$L$48+P339*($M$48-$L$48))/$M$48</f>
        <v>1.561101004021444</v>
      </c>
      <c r="Y339" s="696" t="s">
        <v>340</v>
      </c>
      <c r="Z339" s="696"/>
      <c r="AA339" s="696"/>
      <c r="AB339" s="169">
        <v>20</v>
      </c>
      <c r="AC339" s="170">
        <v>60</v>
      </c>
      <c r="AD339" s="171">
        <v>20</v>
      </c>
      <c r="AE339" s="170">
        <v>60</v>
      </c>
      <c r="AF339" s="171">
        <v>20</v>
      </c>
      <c r="AG339" s="170">
        <v>60</v>
      </c>
      <c r="AH339" s="171">
        <v>20</v>
      </c>
      <c r="AI339" s="172">
        <v>60</v>
      </c>
      <c r="AJ339" s="163">
        <f ca="1">(2*Q290)/Q291</f>
        <v>17.85512559978274</v>
      </c>
      <c r="AK339" s="159">
        <f ca="1">(2*Q290)/Q291</f>
        <v>17.85512559978274</v>
      </c>
      <c r="AL339" s="132">
        <f ca="1">(2*Q290)/Q291</f>
        <v>17.85512559978274</v>
      </c>
      <c r="AM339" s="164">
        <f ca="1">(2*Q290)/Q291</f>
        <v>17.85512559978274</v>
      </c>
      <c r="AN339" s="163">
        <f ca="1">((AG340-AD340)/(AG339-AF339))*(AN338-AD339)+AD340</f>
        <v>3.4046007803454947</v>
      </c>
      <c r="AO339" s="159">
        <f ca="1">((AQ339-AQ339)/(AQ337-AP337))*(AO337-AP337)+AP339</f>
        <v>2.667893541425465</v>
      </c>
      <c r="AP339" s="132">
        <f ca="1">((AG340-AF340)/(AG339-AF339))*(AP338-AF339)+AF340</f>
        <v>2.667893541425465</v>
      </c>
      <c r="AQ339" s="164">
        <f ca="1">((AI340-AH340)/(AI339-AH339))*(AQ338-AH339)+AH340</f>
        <v>1.9669733853563662</v>
      </c>
    </row>
    <row r="340" spans="11:43" ht="15" customHeight="1" x14ac:dyDescent="0.25">
      <c r="K340" s="80" t="s">
        <v>2166</v>
      </c>
      <c r="L340" s="23">
        <v>20</v>
      </c>
      <c r="M340" s="38" t="s">
        <v>2167</v>
      </c>
      <c r="N340" s="46" t="s">
        <v>2168</v>
      </c>
      <c r="Y340" s="697" t="s">
        <v>341</v>
      </c>
      <c r="Z340" s="698" t="s">
        <v>342</v>
      </c>
      <c r="AA340" s="173">
        <v>5</v>
      </c>
      <c r="AB340" s="174">
        <v>4.5999999999999996</v>
      </c>
      <c r="AC340" s="175">
        <v>3.8</v>
      </c>
      <c r="AD340" s="174">
        <v>3.9</v>
      </c>
      <c r="AE340" s="175">
        <v>3.3</v>
      </c>
      <c r="AF340" s="174">
        <v>2.8</v>
      </c>
      <c r="AG340" s="175">
        <v>2.4</v>
      </c>
      <c r="AH340" s="174">
        <v>2</v>
      </c>
      <c r="AI340" s="176">
        <v>1.9</v>
      </c>
      <c r="AJ340" s="163">
        <f ca="1">((AE340-AD340)/(AE339-AD339))*(AJ339-AD339)+AD340</f>
        <v>3.9321731160032587</v>
      </c>
      <c r="AK340" s="159">
        <f ca="1">((AM340-AL340)/(AM338-AL338))*(AK338-AL338)+AL340</f>
        <v>3.0934775966693824</v>
      </c>
      <c r="AL340" s="132">
        <f ca="1">((AG340-AF340)/(AG339-AF339))*(AL339-AF339)+AF340</f>
        <v>2.8214487440021725</v>
      </c>
      <c r="AM340" s="164">
        <f ca="1">((AI340-AH340)/(AI339-AH339))*(AM339-AH339)+AH340</f>
        <v>2.0053621860005433</v>
      </c>
      <c r="AN340" s="163">
        <f ca="1">((AE341-AD341)/(AE339-AD339))*(AN338-AD339)+AD341</f>
        <v>2.800920156069099</v>
      </c>
      <c r="AO340" s="159">
        <f ca="1">((AQ340-AP340)/(AQ337-AP337))*(AO337-AP337)+AP340</f>
        <v>2.3229378991648546</v>
      </c>
      <c r="AP340" s="132">
        <f ca="1">((AG341-AF341)/(AG339-AF339))*(AP338-AF339)+AF341</f>
        <v>2.1339467707127326</v>
      </c>
      <c r="AQ340" s="164">
        <f ca="1">((AI341-AH341)/(AI339-AH339))*(AQ338-AH339)+AH341</f>
        <v>1.5669733853563663</v>
      </c>
    </row>
    <row r="341" spans="11:43" x14ac:dyDescent="0.25">
      <c r="K341" s="80" t="s">
        <v>2169</v>
      </c>
      <c r="L341" s="23">
        <v>15</v>
      </c>
      <c r="M341" s="38" t="s">
        <v>35</v>
      </c>
      <c r="N341" s="46" t="s">
        <v>2170</v>
      </c>
      <c r="Y341" s="697"/>
      <c r="Z341" s="698"/>
      <c r="AA341" s="173">
        <v>30</v>
      </c>
      <c r="AB341" s="174">
        <v>3.4</v>
      </c>
      <c r="AC341" s="175">
        <v>3</v>
      </c>
      <c r="AD341" s="174">
        <v>2.9</v>
      </c>
      <c r="AE341" s="175">
        <v>2.6</v>
      </c>
      <c r="AF341" s="174">
        <v>2.2000000000000002</v>
      </c>
      <c r="AG341" s="175">
        <v>2</v>
      </c>
      <c r="AH341" s="174">
        <v>1.6</v>
      </c>
      <c r="AI341" s="176">
        <v>1.5</v>
      </c>
      <c r="AJ341" s="163">
        <f ca="1">((AE341-AD341)/(AE339-AD339))*(AJ339-AD339)+AD341</f>
        <v>2.9160865580016293</v>
      </c>
      <c r="AK341" s="159">
        <f ca="1">((AM341-AL341)/(AM338-AL338))*(AK338-AL338)+AL341</f>
        <v>2.4125117673346006</v>
      </c>
      <c r="AL341" s="132">
        <f ca="1">((AG341-AF341)/(AG339-AF339))*(AL339-AF339)+AF341</f>
        <v>2.2107243720010863</v>
      </c>
      <c r="AM341" s="164">
        <f ca="1">((AI341-AH341)/(AI339-AH339))*(AM339-AH339)+AH341</f>
        <v>1.6053621860005431</v>
      </c>
      <c r="AN341" s="177">
        <f ca="1">((AE342-AD342)/(AE339-AD339))*(AN338-AD339)+AD342</f>
        <v>2.4339467707127325</v>
      </c>
      <c r="AO341" s="178">
        <f ca="1">((AQ341-AQ341)/(AQ337-AP337))*(AO337-AP337)+AP341</f>
        <v>1.8669733853563664</v>
      </c>
      <c r="AP341" s="179">
        <f ca="1">((AG342-AF342)/(AG339-AF339))*(AP338-AF339)+AF342</f>
        <v>1.8669733853563664</v>
      </c>
      <c r="AQ341" s="180">
        <f ca="1">((AI342-AH342)/(AI339-AH339))*(AQ338-AH339)+AH342</f>
        <v>1.4</v>
      </c>
    </row>
    <row r="342" spans="11:43" hidden="1" x14ac:dyDescent="0.25">
      <c r="K342" s="29" t="s">
        <v>343</v>
      </c>
      <c r="L342" s="27"/>
      <c r="O342" s="29" t="s">
        <v>344</v>
      </c>
      <c r="Y342" s="697"/>
      <c r="Z342" s="698"/>
      <c r="AA342" s="173">
        <v>60</v>
      </c>
      <c r="AB342" s="174">
        <v>2.9</v>
      </c>
      <c r="AC342" s="175">
        <v>2.7</v>
      </c>
      <c r="AD342" s="174">
        <v>2.5</v>
      </c>
      <c r="AE342" s="175">
        <v>2.2999999999999998</v>
      </c>
      <c r="AF342" s="174">
        <v>1.9</v>
      </c>
      <c r="AG342" s="175">
        <v>1.8</v>
      </c>
      <c r="AH342" s="174">
        <v>1.4</v>
      </c>
      <c r="AI342" s="176">
        <v>1.4</v>
      </c>
      <c r="AJ342" s="177">
        <f ca="1">((AE342-AD342)/(AE339-AD339))*(AJ339-AD339)+AD342</f>
        <v>2.510724372001086</v>
      </c>
      <c r="AK342" s="178">
        <f ca="1">((AM342-AL342)/(AM338-AL338))*(AK338-AL338)+AL342</f>
        <v>2.073816248000724</v>
      </c>
      <c r="AL342" s="179">
        <f ca="1">((AG342-AF342)/(AG339-AF339))*(AL339-AF339)+AF342</f>
        <v>1.905362186000543</v>
      </c>
      <c r="AM342" s="180">
        <f ca="1">((AI342-AH342)/(AI339-AH339))*(AM339-AH339)+AH342</f>
        <v>1.4</v>
      </c>
      <c r="AN342" s="27"/>
      <c r="AO342" s="27"/>
      <c r="AP342" s="27"/>
    </row>
    <row r="343" spans="11:43" ht="15" customHeight="1" x14ac:dyDescent="0.25">
      <c r="K343" s="80" t="s">
        <v>2171</v>
      </c>
      <c r="L343" s="23">
        <v>15</v>
      </c>
      <c r="M343" s="38" t="s">
        <v>35</v>
      </c>
      <c r="N343" s="46" t="s">
        <v>2172</v>
      </c>
      <c r="Y343" s="697" t="s">
        <v>345</v>
      </c>
      <c r="Z343" s="698"/>
      <c r="AA343" s="172">
        <v>5</v>
      </c>
      <c r="AB343" s="161">
        <v>2.7</v>
      </c>
      <c r="AC343" s="162">
        <v>2.4</v>
      </c>
      <c r="AD343" s="161">
        <v>2.4</v>
      </c>
      <c r="AE343" s="162">
        <v>2.1</v>
      </c>
      <c r="AF343" s="161">
        <v>1.9</v>
      </c>
      <c r="AG343" s="162">
        <v>1.8</v>
      </c>
      <c r="AH343" s="161">
        <v>1.6</v>
      </c>
      <c r="AI343" s="162">
        <v>1.5</v>
      </c>
      <c r="AJ343" s="27"/>
      <c r="AK343" s="27"/>
      <c r="AL343" s="27"/>
      <c r="AM343" s="27"/>
      <c r="AN343" s="27"/>
      <c r="AO343" s="27"/>
      <c r="AP343" s="27"/>
    </row>
    <row r="344" spans="11:43" hidden="1" x14ac:dyDescent="0.25">
      <c r="K344" s="108" t="s">
        <v>346</v>
      </c>
      <c r="L344" s="181">
        <f ca="1">Fluência!$D$30*2*10^4</f>
        <v>-10.617090839925885</v>
      </c>
      <c r="M344" s="4" t="s">
        <v>241</v>
      </c>
      <c r="O344" s="4" t="s">
        <v>347</v>
      </c>
      <c r="P344" s="83">
        <f ca="1">1+L355</f>
        <v>1.062407452527218</v>
      </c>
      <c r="Y344" s="697"/>
      <c r="Z344" s="698"/>
      <c r="AA344" s="172">
        <v>30</v>
      </c>
      <c r="AB344" s="161">
        <v>2</v>
      </c>
      <c r="AC344" s="162">
        <v>1.8</v>
      </c>
      <c r="AD344" s="161">
        <v>1.7</v>
      </c>
      <c r="AE344" s="162">
        <v>1.6</v>
      </c>
      <c r="AF344" s="161">
        <v>1.4</v>
      </c>
      <c r="AG344" s="162">
        <v>1.3</v>
      </c>
      <c r="AH344" s="161">
        <v>1.1000000000000001</v>
      </c>
      <c r="AI344" s="162">
        <v>1.1000000000000001</v>
      </c>
      <c r="AJ344" s="27"/>
      <c r="AK344" s="27"/>
      <c r="AL344" s="27"/>
      <c r="AM344" s="27"/>
      <c r="AN344" s="27"/>
      <c r="AO344" s="27"/>
      <c r="AP344" s="27"/>
    </row>
    <row r="345" spans="11:43" hidden="1" x14ac:dyDescent="0.25">
      <c r="K345" s="182"/>
      <c r="L345" s="27"/>
      <c r="O345" s="4" t="s">
        <v>348</v>
      </c>
      <c r="P345" s="83">
        <f ca="1">1+L356</f>
        <v>1.0826762025417147</v>
      </c>
      <c r="Y345" s="697"/>
      <c r="Z345" s="698"/>
      <c r="AA345" s="172">
        <v>60</v>
      </c>
      <c r="AB345" s="161">
        <v>1.7</v>
      </c>
      <c r="AC345" s="162">
        <v>1.6</v>
      </c>
      <c r="AD345" s="161">
        <v>1.5</v>
      </c>
      <c r="AE345" s="162">
        <v>1.4</v>
      </c>
      <c r="AF345" s="161">
        <v>1.2</v>
      </c>
      <c r="AG345" s="162">
        <v>1.2</v>
      </c>
      <c r="AH345" s="161">
        <v>1</v>
      </c>
      <c r="AI345" s="162">
        <v>1</v>
      </c>
      <c r="AJ345" s="27"/>
      <c r="AK345" s="27"/>
      <c r="AL345" s="27"/>
      <c r="AM345" s="27"/>
      <c r="AN345" s="27"/>
      <c r="AO345" s="27"/>
      <c r="AP345" s="27"/>
    </row>
    <row r="346" spans="11:43" ht="15" hidden="1" customHeight="1" x14ac:dyDescent="0.25">
      <c r="L346" s="27"/>
      <c r="P346" s="27"/>
      <c r="Y346" s="699" t="s">
        <v>349</v>
      </c>
      <c r="Z346" s="698"/>
      <c r="AA346" s="172">
        <v>5</v>
      </c>
      <c r="AB346" s="161">
        <v>-0.53</v>
      </c>
      <c r="AC346" s="162">
        <v>-0.47</v>
      </c>
      <c r="AD346" s="161">
        <v>-0.48</v>
      </c>
      <c r="AE346" s="162">
        <v>-0.43</v>
      </c>
      <c r="AF346" s="161">
        <v>-0.36</v>
      </c>
      <c r="AG346" s="162">
        <v>-0.32</v>
      </c>
      <c r="AH346" s="161">
        <v>-0.18</v>
      </c>
      <c r="AI346" s="162">
        <v>-0.15</v>
      </c>
      <c r="AJ346" s="27"/>
      <c r="AK346" s="27"/>
      <c r="AL346" s="27"/>
      <c r="AM346" s="27"/>
      <c r="AN346" s="27"/>
      <c r="AO346" s="27"/>
      <c r="AP346" s="27"/>
    </row>
    <row r="347" spans="11:43" hidden="1" x14ac:dyDescent="0.25">
      <c r="K347" s="29" t="s">
        <v>280</v>
      </c>
      <c r="L347" s="27"/>
      <c r="O347" s="4" t="s">
        <v>350</v>
      </c>
      <c r="P347" s="83">
        <f ca="1">1+0.5*Q332</f>
        <v>2.237903452818409</v>
      </c>
      <c r="Y347" s="699"/>
      <c r="Z347" s="698"/>
      <c r="AA347" s="172">
        <v>30</v>
      </c>
      <c r="AB347" s="161">
        <v>-0.44</v>
      </c>
      <c r="AC347" s="162">
        <v>-0.45</v>
      </c>
      <c r="AD347" s="161">
        <v>-0.41</v>
      </c>
      <c r="AE347" s="162">
        <v>-0.41</v>
      </c>
      <c r="AF347" s="161">
        <v>-0.33</v>
      </c>
      <c r="AG347" s="162">
        <v>-0.31</v>
      </c>
      <c r="AH347" s="161">
        <v>-0.17</v>
      </c>
      <c r="AI347" s="162">
        <v>-0.15</v>
      </c>
      <c r="AJ347" s="27"/>
      <c r="AK347" s="27"/>
      <c r="AL347" s="27"/>
      <c r="AM347" s="27"/>
      <c r="AN347" s="27"/>
      <c r="AO347" s="27"/>
      <c r="AP347" s="27"/>
    </row>
    <row r="348" spans="11:43" hidden="1" x14ac:dyDescent="0.25">
      <c r="K348" s="4" t="s">
        <v>351</v>
      </c>
      <c r="L348" s="27"/>
      <c r="O348" s="4" t="s">
        <v>352</v>
      </c>
      <c r="P348" s="83">
        <f ca="1">1+(L299/100)^2*((L48/100^2)/(L49/100^4))</f>
        <v>2.171875</v>
      </c>
      <c r="Y348" s="699"/>
      <c r="Z348" s="698"/>
      <c r="AA348" s="183">
        <v>60</v>
      </c>
      <c r="AB348" s="184">
        <v>-0.39</v>
      </c>
      <c r="AC348" s="185">
        <v>-0.43</v>
      </c>
      <c r="AD348" s="184">
        <v>-0.36</v>
      </c>
      <c r="AE348" s="185">
        <v>-0.4</v>
      </c>
      <c r="AF348" s="184">
        <v>-0.3</v>
      </c>
      <c r="AG348" s="185">
        <v>-0.31</v>
      </c>
      <c r="AH348" s="184">
        <v>-0.17</v>
      </c>
      <c r="AI348" s="185">
        <v>-0.15</v>
      </c>
      <c r="AJ348" s="27"/>
      <c r="AK348" s="27"/>
      <c r="AL348" s="27"/>
      <c r="AM348" s="27"/>
      <c r="AN348" s="27"/>
      <c r="AO348" s="27"/>
      <c r="AP348" s="27"/>
    </row>
    <row r="349" spans="11:43" hidden="1" x14ac:dyDescent="0.25">
      <c r="K349" s="80" t="s">
        <v>353</v>
      </c>
      <c r="L349" s="83">
        <f ca="1">L324/L88</f>
        <v>0.6933333095282853</v>
      </c>
      <c r="O349" s="4" t="s">
        <v>354</v>
      </c>
      <c r="P349" s="83">
        <f ca="1">1+(L301/100)^2*((L48/100^2)/(L49/100^4))</f>
        <v>3.9999999999999996</v>
      </c>
    </row>
    <row r="350" spans="11:43" hidden="1" x14ac:dyDescent="0.25">
      <c r="K350" s="80" t="s">
        <v>355</v>
      </c>
      <c r="L350" s="83">
        <f ca="1">L326/L88</f>
        <v>0.7674031886618172</v>
      </c>
      <c r="O350" s="4" t="s">
        <v>356</v>
      </c>
      <c r="P350" s="186">
        <f ca="1">(L298+L300)/(L48)</f>
        <v>0.006222222222222222</v>
      </c>
    </row>
    <row r="351" spans="11:43" hidden="1" x14ac:dyDescent="0.25">
      <c r="K351" s="80"/>
      <c r="P351" s="27"/>
    </row>
    <row r="352" spans="11:43" hidden="1" x14ac:dyDescent="0.25">
      <c r="K352" s="80" t="s">
        <v>357</v>
      </c>
      <c r="L352" s="83">
        <f ca="1">2.5*P362</f>
        <v>6.0499992858485605</v>
      </c>
      <c r="O352" s="24" t="s">
        <v>358</v>
      </c>
      <c r="P352" s="187">
        <f ca="1">(L344-Q310-L358)/(P344+P347*Q308*P348*P350)</f>
        <v>-20.701219629070614</v>
      </c>
      <c r="Q352" s="24" t="s">
        <v>241</v>
      </c>
    </row>
    <row r="353" spans="11:35" hidden="1" x14ac:dyDescent="0.25">
      <c r="K353" s="80" t="s">
        <v>359</v>
      </c>
      <c r="L353" s="83">
        <f ca="1">2.5*P363</f>
        <v>7.93507971654543</v>
      </c>
      <c r="O353" s="32" t="s">
        <v>360</v>
      </c>
      <c r="P353" s="188">
        <f ca="1">(L344-Q321-L359)/(P345+P347*Q308*P349*P350)</f>
        <v>-22.599744538873466</v>
      </c>
      <c r="Q353" s="32" t="s">
        <v>241</v>
      </c>
    </row>
    <row r="354" spans="11:35" hidden="1" x14ac:dyDescent="0.25">
      <c r="K354" s="80"/>
      <c r="O354" s="695" t="s">
        <v>361</v>
      </c>
      <c r="P354" s="695"/>
      <c r="Q354" s="695"/>
    </row>
    <row r="355" spans="11:35" hidden="1" x14ac:dyDescent="0.25">
      <c r="K355" s="80" t="s">
        <v>362</v>
      </c>
      <c r="L355" s="189">
        <f ca="1">-LN(1-L352/100)</f>
        <v>0.062407452527218056</v>
      </c>
      <c r="O355" s="27"/>
      <c r="P355" s="71" t="s">
        <v>253</v>
      </c>
      <c r="Q355" s="700" t="s">
        <v>363</v>
      </c>
      <c r="AD355" s="27"/>
      <c r="AE355" s="27"/>
      <c r="AF355" s="27"/>
      <c r="AG355" s="27"/>
      <c r="AH355" s="27"/>
      <c r="AI355" s="27"/>
    </row>
    <row r="356" spans="11:35" hidden="1" x14ac:dyDescent="0.25">
      <c r="K356" s="80" t="s">
        <v>364</v>
      </c>
      <c r="L356" s="189">
        <f ca="1">-LN(1-L353/100)</f>
        <v>0.08267620254171464</v>
      </c>
      <c r="O356" s="30" t="s">
        <v>365</v>
      </c>
      <c r="P356" s="77" t="s">
        <v>366</v>
      </c>
      <c r="Q356" s="700"/>
      <c r="AD356" s="27"/>
      <c r="AE356" s="27"/>
      <c r="AF356" s="27"/>
    </row>
    <row r="357" spans="11:35" hidden="1" x14ac:dyDescent="0.25">
      <c r="K357" s="80"/>
      <c r="L357" s="190"/>
      <c r="O357" s="27">
        <v>0.5</v>
      </c>
      <c r="P357" s="71">
        <v>0</v>
      </c>
      <c r="Q357" s="71">
        <v>0</v>
      </c>
    </row>
    <row r="358" spans="11:35" hidden="1" x14ac:dyDescent="0.25">
      <c r="K358" s="80" t="s">
        <v>367</v>
      </c>
      <c r="L358" s="83">
        <f ca="1">L324*L355</f>
        <v>8.221141463985836</v>
      </c>
      <c r="M358" s="4" t="s">
        <v>241</v>
      </c>
      <c r="O358" s="27">
        <v>0.6</v>
      </c>
      <c r="P358" s="71">
        <v>1.3</v>
      </c>
      <c r="Q358" s="71">
        <v>1.5</v>
      </c>
    </row>
    <row r="359" spans="11:35" hidden="1" x14ac:dyDescent="0.25">
      <c r="K359" s="80" t="s">
        <v>368</v>
      </c>
      <c r="L359" s="83">
        <f ca="1">L326*L356</f>
        <v>12.05473647682279</v>
      </c>
      <c r="M359" s="4" t="s">
        <v>241</v>
      </c>
      <c r="O359" s="27">
        <v>0.7</v>
      </c>
      <c r="P359" s="71">
        <v>2.5</v>
      </c>
      <c r="Q359" s="71">
        <v>4</v>
      </c>
    </row>
    <row r="360" spans="11:35" hidden="1" x14ac:dyDescent="0.25">
      <c r="O360" s="30">
        <v>0.8</v>
      </c>
      <c r="P360" s="77">
        <v>3.5</v>
      </c>
      <c r="Q360" s="77">
        <v>7</v>
      </c>
    </row>
    <row r="361" spans="11:35" hidden="1" x14ac:dyDescent="0.25">
      <c r="O361" s="27"/>
      <c r="P361" s="27"/>
      <c r="Q361" s="27"/>
    </row>
    <row r="362" spans="11:35" hidden="1" x14ac:dyDescent="0.25">
      <c r="O362" s="83">
        <f ca="1">L349</f>
        <v>0.6933333095282853</v>
      </c>
      <c r="P362" s="83">
        <f ca="1">IF(O362&lt;=$O$357,0,INDEX($P$357:$P$360,MIN(MATCH(O362,$O$357:$O$360,1),3))+(O362-INDEX($O$357:$O$360,MIN(MATCH(O362,$O$357:$O$360,1),3)))*(INDEX($P$357:$P$360,MIN(MATCH(O362,$O$357:$O$360,1),3)+1)-INDEX($P$357:$P$360,MIN(MATCH(O362,$O$357:$O$360,1),3)))/(INDEX($O$357:$O$360,MIN(MATCH(O362,$O$357:$O$360,1),3)+1)-INDEX($O$357:$O$360,MIN(MATCH(O362,$O$357:$O$360,1),3))))</f>
        <v>2.4199997143394243</v>
      </c>
      <c r="Q362" s="27"/>
    </row>
    <row r="363" spans="11:35" hidden="1" x14ac:dyDescent="0.25">
      <c r="O363" s="83">
        <f ca="1">L350</f>
        <v>0.7674031886618172</v>
      </c>
      <c r="P363" s="83">
        <f ca="1">IF(O363&lt;=$O$357,0,INDEX($P$357:$P$360,MIN(MATCH(O363,$O$357:$O$360,1),3))+(O363-INDEX($O$357:$O$360,MIN(MATCH(O363,$O$357:$O$360,1),3)))*(INDEX($P$357:$P$360,MIN(MATCH(O363,$O$357:$O$360,1),3)+1)-INDEX($P$357:$P$360,MIN(MATCH(O363,$O$357:$O$360,1),3)))/(INDEX($O$357:$O$360,MIN(MATCH(O363,$O$357:$O$360,1),3)+1)-INDEX($O$357:$O$360,MIN(MATCH(O363,$O$357:$O$360,1),3))))</f>
        <v>3.174031886618172</v>
      </c>
      <c r="Q363" s="27"/>
    </row>
    <row r="364" spans="11:35" hidden="1" x14ac:dyDescent="0.25">
      <c r="O364" s="27"/>
    </row>
    <row r="365" spans="11:35" x14ac:dyDescent="0.25">
      <c r="K365" s="653" t="s">
        <v>369</v>
      </c>
      <c r="L365" s="653"/>
      <c r="M365" s="653"/>
      <c r="N365" s="653"/>
      <c r="O365" s="653"/>
      <c r="P365" s="653"/>
      <c r="Q365" s="653"/>
      <c r="R365" s="653"/>
    </row>
    <row r="366" spans="11:35" x14ac:dyDescent="0.25">
      <c r="M366" s="694"/>
      <c r="N366" s="694"/>
      <c r="O366" s="694"/>
    </row>
    <row r="367" spans="11:35" x14ac:dyDescent="0.25">
      <c r="O367" s="27" t="s">
        <v>370</v>
      </c>
    </row>
    <row r="368" spans="11:35" x14ac:dyDescent="0.25">
      <c r="M368" s="4" t="s">
        <v>371</v>
      </c>
      <c r="N368" s="83">
        <f ca="1">L324-ABS(P352)</f>
        <v>111.03210918130361</v>
      </c>
      <c r="O368" s="191">
        <f ca="1">100-(N368*100)/N236</f>
        <v>24.10655558352454</v>
      </c>
    </row>
    <row r="369" spans="11:18" x14ac:dyDescent="0.25">
      <c r="M369" s="32" t="s">
        <v>372</v>
      </c>
      <c r="N369" s="83">
        <f ca="1">L326-ABS(P353)</f>
        <v>123.20686130687182</v>
      </c>
      <c r="O369" s="191">
        <f ca="1">100-(N369*100)/N236</f>
        <v>15.784783795713054</v>
      </c>
    </row>
    <row r="371" spans="11:18" hidden="1" x14ac:dyDescent="0.25">
      <c r="K371" s="653" t="s">
        <v>373</v>
      </c>
      <c r="L371" s="653"/>
      <c r="M371" s="653"/>
      <c r="N371" s="653"/>
      <c r="O371" s="653"/>
      <c r="P371" s="653"/>
      <c r="Q371" s="653"/>
      <c r="R371" s="653"/>
    </row>
    <row r="372" spans="11:18" hidden="1" x14ac:dyDescent="0.25"/>
    <row r="373" spans="11:18" hidden="1" x14ac:dyDescent="0.25">
      <c r="K373" s="80" t="s">
        <v>374</v>
      </c>
      <c r="L373" s="103">
        <f ca="1">L298*N368+L300*N369</f>
        <v>1243.5596228306003</v>
      </c>
      <c r="M373" s="38" t="s">
        <v>292</v>
      </c>
      <c r="N373" s="4" t="s">
        <v>375</v>
      </c>
    </row>
    <row r="374" spans="11:18" hidden="1" x14ac:dyDescent="0.25">
      <c r="K374" s="80" t="s">
        <v>376</v>
      </c>
      <c r="L374" s="103">
        <f ca="1">L298*N368*L299/100-L300*N369*L301/100</f>
        <v>233.16742928073757</v>
      </c>
      <c r="M374" s="38" t="s">
        <v>216</v>
      </c>
      <c r="N374" s="4" t="s">
        <v>377</v>
      </c>
    </row>
    <row r="375" spans="11:18" hidden="1" x14ac:dyDescent="0.25">
      <c r="K375" s="80"/>
      <c r="L375" s="38"/>
    </row>
    <row r="376" spans="11:18" hidden="1" x14ac:dyDescent="0.25">
      <c r="K376" s="80" t="s">
        <v>378</v>
      </c>
      <c r="L376" s="103">
        <f ca="1">L1435*N368+L1437*N369</f>
        <v>621.7798114153002</v>
      </c>
      <c r="M376" s="38" t="s">
        <v>292</v>
      </c>
      <c r="N376" s="4" t="s">
        <v>379</v>
      </c>
    </row>
    <row r="377" spans="11:18" hidden="1" x14ac:dyDescent="0.25">
      <c r="K377" s="80" t="s">
        <v>380</v>
      </c>
      <c r="L377" s="103">
        <f ca="1">L1435*N368*L1436/100-L1437*N369*L1438/100</f>
        <v>177.20724625336052</v>
      </c>
      <c r="M377" s="38" t="s">
        <v>216</v>
      </c>
      <c r="N377" s="4" t="s">
        <v>381</v>
      </c>
    </row>
    <row r="378" spans="11:18" hidden="1" x14ac:dyDescent="0.25"/>
    <row r="379" spans="11:18" hidden="1" x14ac:dyDescent="0.25"/>
    <row r="380" spans="11:18" hidden="1" x14ac:dyDescent="0.25">
      <c r="L380" s="694" t="s">
        <v>382</v>
      </c>
      <c r="M380" s="694"/>
      <c r="N380" s="694"/>
      <c r="O380" s="694"/>
      <c r="P380" s="694"/>
      <c r="Q380" s="694"/>
    </row>
    <row r="381" spans="11:18" hidden="1" x14ac:dyDescent="0.25">
      <c r="L381" s="96" t="s">
        <v>383</v>
      </c>
      <c r="M381" s="31">
        <f>0.7*L82*1000</f>
        <v>35000.0</v>
      </c>
      <c r="N381" s="96" t="s">
        <v>234</v>
      </c>
      <c r="O381" s="39" t="s">
        <v>384</v>
      </c>
      <c r="P381" s="96"/>
      <c r="Q381" s="39" t="s">
        <v>383</v>
      </c>
    </row>
    <row r="382" spans="11:18" hidden="1" x14ac:dyDescent="0.25">
      <c r="L382" s="32" t="s">
        <v>384</v>
      </c>
      <c r="M382" s="103">
        <f>0.21*POWER(L82,2/3)*1000</f>
        <v>2850.1384974246516</v>
      </c>
      <c r="N382" s="32" t="s">
        <v>234</v>
      </c>
      <c r="O382" s="103">
        <f>-M382</f>
        <v>-2850.1384974246516</v>
      </c>
      <c r="P382" s="39" t="s">
        <v>385</v>
      </c>
      <c r="Q382" s="31">
        <f>M381</f>
        <v>35000.0</v>
      </c>
    </row>
    <row r="383" spans="11:18" hidden="1" x14ac:dyDescent="0.25">
      <c r="L383" s="27"/>
    </row>
    <row r="384" spans="11:18" hidden="1" x14ac:dyDescent="0.25">
      <c r="K384" s="192"/>
    </row>
    <row r="385" spans="11:18" hidden="1" x14ac:dyDescent="0.25">
      <c r="K385" s="653" t="s">
        <v>386</v>
      </c>
      <c r="L385" s="653"/>
      <c r="M385" s="653"/>
      <c r="N385" s="653"/>
      <c r="O385" s="653"/>
      <c r="P385" s="653"/>
      <c r="Q385" s="653"/>
      <c r="R385" s="653"/>
    </row>
    <row r="386" spans="11:18" hidden="1" x14ac:dyDescent="0.25">
      <c r="K386" s="107"/>
      <c r="L386" s="107"/>
      <c r="M386" s="107"/>
      <c r="N386" s="107"/>
      <c r="O386" s="107"/>
      <c r="P386" s="107"/>
      <c r="Q386" s="107"/>
      <c r="R386" s="107"/>
    </row>
    <row r="387" spans="11:18" hidden="1" x14ac:dyDescent="0.25">
      <c r="K387" s="694" t="s">
        <v>387</v>
      </c>
      <c r="L387" s="694"/>
      <c r="M387" s="694"/>
      <c r="N387" s="694"/>
      <c r="O387" s="662" t="s">
        <v>388</v>
      </c>
      <c r="P387" s="662"/>
      <c r="Q387" s="662"/>
      <c r="R387" s="662"/>
    </row>
    <row r="388" spans="11:18" hidden="1" x14ac:dyDescent="0.25">
      <c r="K388" s="39" t="s">
        <v>389</v>
      </c>
      <c r="L388" s="103">
        <f ca="1">L391+L392-L393-L394-L395</f>
        <v>-10420.875982643945</v>
      </c>
      <c r="M388" s="39" t="s">
        <v>234</v>
      </c>
      <c r="N388" s="193">
        <f ca="1">L388/1000</f>
        <v>-10.420875982643945</v>
      </c>
      <c r="O388" s="39" t="s">
        <v>389</v>
      </c>
      <c r="P388" s="103">
        <f ca="1">P391+P392-P393-P394</f>
        <v>2910.556345309237</v>
      </c>
      <c r="Q388" s="39" t="s">
        <v>234</v>
      </c>
      <c r="R388" s="193">
        <f ca="1">P388/1000</f>
        <v>2.910556345309237</v>
      </c>
    </row>
    <row r="389" spans="11:18" hidden="1" x14ac:dyDescent="0.25"/>
    <row r="390" spans="11:18" hidden="1" x14ac:dyDescent="0.25"/>
    <row r="391" spans="11:18" hidden="1" x14ac:dyDescent="0.25">
      <c r="K391" s="80" t="s">
        <v>390</v>
      </c>
      <c r="L391" s="103">
        <f ca="1">L373/(L48/100^2)</f>
        <v>6908.664571281113</v>
      </c>
      <c r="O391" s="4" t="s">
        <v>390</v>
      </c>
      <c r="P391" s="105">
        <f ca="1">L373/(L48/100^2)</f>
        <v>6908.664571281113</v>
      </c>
    </row>
    <row r="392" spans="11:18" hidden="1" x14ac:dyDescent="0.25">
      <c r="K392" s="80" t="s">
        <v>391</v>
      </c>
      <c r="L392" s="103">
        <f ca="1">L374/(L53/100^3)</f>
        <v>12953.746071152087</v>
      </c>
      <c r="M392" s="61"/>
      <c r="O392" s="4" t="s">
        <v>391</v>
      </c>
      <c r="P392" s="105">
        <f ca="1">L374/(L53/100^3)</f>
        <v>12953.746071152087</v>
      </c>
    </row>
    <row r="393" spans="11:18" hidden="1" x14ac:dyDescent="0.25">
      <c r="K393" s="80" t="s">
        <v>392</v>
      </c>
      <c r="L393" s="103">
        <f ca="1">(M206+M207+M208)/(L53/100^3)</f>
        <v>16063.092141927084</v>
      </c>
      <c r="O393" s="4" t="s">
        <v>392</v>
      </c>
      <c r="P393" s="105">
        <f ca="1">(M206+M207+M208)/(L53/100^3)</f>
        <v>16063.092141927084</v>
      </c>
    </row>
    <row r="394" spans="11:18" hidden="1" x14ac:dyDescent="0.25">
      <c r="K394" s="80" t="s">
        <v>393</v>
      </c>
      <c r="L394" s="103">
        <f ca="1">(M209+M210)/(M53/100^3)</f>
        <v>888.7621551968783</v>
      </c>
      <c r="M394" s="61"/>
      <c r="O394" s="4" t="s">
        <v>393</v>
      </c>
      <c r="P394" s="105">
        <f ca="1">(M209+M210)/(M53/100^3)</f>
        <v>888.7621551968783</v>
      </c>
    </row>
    <row r="395" spans="11:18" hidden="1" x14ac:dyDescent="0.25">
      <c r="K395" s="80" t="s">
        <v>394</v>
      </c>
      <c r="L395" s="103">
        <f ca="1">(L76*M211)/(M53/100^3)</f>
        <v>13331.432327953182</v>
      </c>
      <c r="M395" s="61"/>
    </row>
    <row r="396" spans="11:18" hidden="1" x14ac:dyDescent="0.25"/>
    <row r="397" spans="11:18" hidden="1" x14ac:dyDescent="0.25"/>
    <row r="398" spans="11:18" hidden="1" x14ac:dyDescent="0.25">
      <c r="K398" s="653" t="s">
        <v>395</v>
      </c>
      <c r="L398" s="653"/>
      <c r="M398" s="653"/>
      <c r="N398" s="653"/>
      <c r="O398" s="653"/>
      <c r="P398" s="653"/>
      <c r="Q398" s="653"/>
      <c r="R398" s="653"/>
    </row>
    <row r="399" spans="11:18" hidden="1" x14ac:dyDescent="0.25">
      <c r="L399" s="71"/>
      <c r="M399" s="81">
        <f>IF(M19="1 - Retângular",L27,L70)</f>
        <v>60.0</v>
      </c>
    </row>
    <row r="400" spans="11:18" hidden="1" x14ac:dyDescent="0.25">
      <c r="K400" s="80" t="s">
        <v>396</v>
      </c>
      <c r="L400" s="194">
        <f ca="1">(IF(M19="1 - Retângular",L27,L70)-M30)/100</f>
        <v>0.08637568983412194</v>
      </c>
      <c r="M400" s="4" t="s">
        <v>32</v>
      </c>
    </row>
    <row r="401" spans="11:18" hidden="1" x14ac:dyDescent="0.25">
      <c r="K401" s="80" t="s">
        <v>397</v>
      </c>
      <c r="L401" s="194">
        <f ca="1">M49/(100^4)/L400</f>
        <v>0.3008463236466495</v>
      </c>
      <c r="M401" s="4" t="s">
        <v>398</v>
      </c>
    </row>
    <row r="402" spans="11:18" hidden="1" x14ac:dyDescent="0.25">
      <c r="K402" s="71"/>
    </row>
    <row r="403" spans="11:18" hidden="1" x14ac:dyDescent="0.25">
      <c r="K403" s="695" t="s">
        <v>387</v>
      </c>
      <c r="L403" s="695"/>
      <c r="M403" s="695"/>
      <c r="N403" s="695"/>
      <c r="O403" s="662" t="s">
        <v>388</v>
      </c>
      <c r="P403" s="662"/>
      <c r="Q403" s="662"/>
      <c r="R403" s="662"/>
    </row>
    <row r="404" spans="11:18" hidden="1" x14ac:dyDescent="0.25">
      <c r="K404" s="39" t="s">
        <v>389</v>
      </c>
      <c r="L404" s="195">
        <f ca="1">L406-L407+L408+L409+L410</f>
        <v>12409.40661718194</v>
      </c>
      <c r="M404" s="39" t="s">
        <v>234</v>
      </c>
      <c r="N404" s="196">
        <f ca="1">L404/1000</f>
        <v>12.40940661718194</v>
      </c>
      <c r="O404" s="106" t="s">
        <v>389</v>
      </c>
      <c r="P404" s="195">
        <f ca="1">P406-P407+P408+P409</f>
        <v>10167.472890501474</v>
      </c>
      <c r="Q404" s="39" t="s">
        <v>234</v>
      </c>
      <c r="R404" s="196">
        <f ca="1">P404/1000</f>
        <v>10.167472890501475</v>
      </c>
    </row>
    <row r="405" spans="11:18" hidden="1" x14ac:dyDescent="0.25"/>
    <row r="406" spans="11:18" hidden="1" x14ac:dyDescent="0.25">
      <c r="K406" s="80" t="s">
        <v>390</v>
      </c>
      <c r="L406" s="103">
        <f ca="1">L373/(L48/100^2)</f>
        <v>6908.664571281113</v>
      </c>
      <c r="O406" s="80" t="s">
        <v>390</v>
      </c>
      <c r="P406" s="103">
        <f ca="1">L373/(L48/100^2)</f>
        <v>6908.664571281113</v>
      </c>
    </row>
    <row r="407" spans="11:18" hidden="1" x14ac:dyDescent="0.25">
      <c r="K407" s="80" t="s">
        <v>399</v>
      </c>
      <c r="L407" s="103">
        <f ca="1">L374/(L52/100^3)</f>
        <v>12953.746071152087</v>
      </c>
      <c r="O407" s="80" t="s">
        <v>399</v>
      </c>
      <c r="P407" s="103">
        <f ca="1">L374/(L52/100^3)</f>
        <v>12953.746071152087</v>
      </c>
    </row>
    <row r="408" spans="11:18" hidden="1" x14ac:dyDescent="0.25">
      <c r="K408" s="80" t="s">
        <v>400</v>
      </c>
      <c r="L408" s="103">
        <f ca="1">(M206+M207+M208)/(L52/100^3)</f>
        <v>16063.092141927084</v>
      </c>
      <c r="M408" s="61"/>
      <c r="O408" s="80" t="s">
        <v>400</v>
      </c>
      <c r="P408" s="103">
        <f ca="1">(M206+M207+M208)/(L52/100^3)</f>
        <v>16063.092141927084</v>
      </c>
    </row>
    <row r="409" spans="11:18" hidden="1" x14ac:dyDescent="0.25">
      <c r="K409" s="80" t="s">
        <v>401</v>
      </c>
      <c r="L409" s="103">
        <f ca="1">(M209+M210)/(L401)</f>
        <v>149.4622484453643</v>
      </c>
      <c r="O409" s="80" t="s">
        <v>401</v>
      </c>
      <c r="P409" s="103">
        <f ca="1">(M209+M210)/(L401)</f>
        <v>149.4622484453643</v>
      </c>
    </row>
    <row r="410" spans="11:18" hidden="1" x14ac:dyDescent="0.25">
      <c r="K410" s="80" t="s">
        <v>402</v>
      </c>
      <c r="L410" s="103">
        <f ca="1">(L76*M211)/(L401)</f>
        <v>2241.9337266804655</v>
      </c>
    </row>
    <row r="411" spans="11:18" hidden="1" x14ac:dyDescent="0.25"/>
    <row r="412" spans="11:18" x14ac:dyDescent="0.25">
      <c r="K412" s="653" t="s">
        <v>248</v>
      </c>
      <c r="L412" s="653"/>
      <c r="M412" s="653"/>
      <c r="N412" s="653"/>
      <c r="O412" s="653"/>
      <c r="P412" s="653"/>
      <c r="Q412" s="653"/>
      <c r="R412" s="653"/>
    </row>
    <row r="413" spans="11:18" hidden="1" x14ac:dyDescent="0.25">
      <c r="K413" s="693" t="s">
        <v>403</v>
      </c>
      <c r="L413" s="693"/>
      <c r="M413" s="693"/>
      <c r="N413" s="693"/>
      <c r="O413" s="693"/>
      <c r="P413" s="693"/>
      <c r="Q413" s="693"/>
      <c r="R413" s="693"/>
    </row>
    <row r="414" spans="11:18" hidden="1" x14ac:dyDescent="0.25">
      <c r="K414" s="197" t="s">
        <v>404</v>
      </c>
      <c r="L414" s="197" t="s">
        <v>405</v>
      </c>
      <c r="M414" s="197" t="s">
        <v>406</v>
      </c>
      <c r="N414" s="197" t="s">
        <v>407</v>
      </c>
      <c r="O414" s="197" t="s">
        <v>408</v>
      </c>
      <c r="P414" s="197" t="s">
        <v>409</v>
      </c>
      <c r="Q414" s="197" t="s">
        <v>410</v>
      </c>
      <c r="R414" s="197" t="s">
        <v>411</v>
      </c>
    </row>
    <row r="415" spans="11:18" hidden="1" x14ac:dyDescent="0.25">
      <c r="K415" s="198">
        <f>(((($L$29/100)/20)-$L$415)*-1)</f>
        <v>-0.0</v>
      </c>
      <c r="L415" s="198">
        <f>($L$29/100)/20</f>
        <v>0.39249999999999996</v>
      </c>
      <c r="M415" s="198">
        <f>(($L$29/100)/20)+$L$415</f>
        <v>0.7849999999999999</v>
      </c>
      <c r="N415" s="198">
        <f>(($L$29/100)/20)+$M$415</f>
        <v>1.1774999999999998</v>
      </c>
      <c r="O415" s="198">
        <f>(($L$29/100)/20)+$N$415</f>
        <v>1.5699999999999998</v>
      </c>
      <c r="P415" s="198">
        <f>(($L$29/100)/20)+$O$415</f>
        <v>1.9625</v>
      </c>
      <c r="Q415" s="198">
        <f>(($L$29/100)/20)+$P$415</f>
        <v>2.355</v>
      </c>
      <c r="R415" s="198">
        <f>(($L$29/100)/20)+$Q$415</f>
        <v>2.7475</v>
      </c>
    </row>
    <row r="416" spans="11:18" hidden="1" x14ac:dyDescent="0.25">
      <c r="K416" s="105">
        <f>'Cargas adicionais'!$O$243</f>
        <v>0.0</v>
      </c>
      <c r="L416" s="105">
        <f ca="1">'Cargas adicionais'!$O$244</f>
        <v>54.93577512539062</v>
      </c>
      <c r="M416" s="105">
        <f ca="1">'Cargas adicionais'!$O$245</f>
        <v>104.0888370796875</v>
      </c>
      <c r="N416" s="105">
        <f ca="1">'Cargas adicionais'!$O$246</f>
        <v>147.45918586289062</v>
      </c>
      <c r="O416" s="105">
        <f ca="1">'Cargas adicionais'!$O$247</f>
        <v>185.046821475</v>
      </c>
      <c r="P416" s="105">
        <f ca="1">'Cargas adicionais'!$O$248</f>
        <v>216.85174391601564</v>
      </c>
      <c r="Q416" s="105">
        <f ca="1">'Cargas adicionais'!$O$249</f>
        <v>242.87395318593752</v>
      </c>
      <c r="R416" s="105">
        <f ca="1">'Cargas adicionais'!$O$250</f>
        <v>263.11344928476564</v>
      </c>
    </row>
    <row r="417" spans="11:21" hidden="1" x14ac:dyDescent="0.25">
      <c r="K417" s="197" t="s">
        <v>412</v>
      </c>
      <c r="L417" s="197" t="s">
        <v>413</v>
      </c>
      <c r="M417" s="197" t="s">
        <v>414</v>
      </c>
      <c r="N417" s="197" t="s">
        <v>415</v>
      </c>
      <c r="O417" s="197" t="s">
        <v>416</v>
      </c>
      <c r="P417" s="197" t="s">
        <v>417</v>
      </c>
      <c r="Q417" s="197" t="s">
        <v>418</v>
      </c>
      <c r="R417" s="199" t="s">
        <v>419</v>
      </c>
    </row>
    <row r="418" spans="11:21" hidden="1" x14ac:dyDescent="0.25">
      <c r="K418" s="198">
        <f>(($L$29/100)/20)+$R$415</f>
        <v>3.14</v>
      </c>
      <c r="L418" s="198">
        <f>(($L$29/100)/20)+$K$418</f>
        <v>3.5325</v>
      </c>
      <c r="M418" s="198">
        <f>(($L$29/100)/20)+$L$418</f>
        <v>3.9250000000000003</v>
      </c>
      <c r="N418" s="198">
        <f>(($L$29/100)/20)+$M$418</f>
        <v>4.3175</v>
      </c>
      <c r="O418" s="198">
        <f>(($L$29/100)/20)+$N$418</f>
        <v>4.71</v>
      </c>
      <c r="P418" s="198">
        <f>(($L$29/100)/20)+$O$418</f>
        <v>5.1025</v>
      </c>
      <c r="Q418" s="198">
        <f>(($L$29/100)/20)+$P$418</f>
        <v>5.495</v>
      </c>
      <c r="R418" s="198">
        <f>(($L$29/100)/20)+$Q$418</f>
        <v>5.8875</v>
      </c>
    </row>
    <row r="419" spans="11:21" hidden="1" x14ac:dyDescent="0.25">
      <c r="K419" s="105">
        <f ca="1">'Cargas adicionais'!$O$251</f>
        <v>277.5702322125</v>
      </c>
      <c r="L419" s="105">
        <f ca="1">'Cargas adicionais'!$O$252</f>
        <v>286.2443019691406</v>
      </c>
      <c r="M419" s="105">
        <f ca="1">'Cargas adicionais'!$O$253</f>
        <v>289.1356585546875</v>
      </c>
      <c r="N419" s="105">
        <f ca="1">'Cargas adicionais'!$O$254</f>
        <v>286.2443019691406</v>
      </c>
      <c r="O419" s="105">
        <f ca="1">'Cargas adicionais'!$O$255</f>
        <v>277.5702322125</v>
      </c>
      <c r="P419" s="105">
        <f ca="1">'Cargas adicionais'!$O$256</f>
        <v>263.11344928476564</v>
      </c>
      <c r="Q419" s="105">
        <f ca="1">'Cargas adicionais'!$O$257</f>
        <v>242.87395318593752</v>
      </c>
      <c r="R419" s="105">
        <f ca="1">'Cargas adicionais'!$O$258</f>
        <v>216.85174391601566</v>
      </c>
    </row>
    <row r="420" spans="11:21" hidden="1" x14ac:dyDescent="0.25">
      <c r="K420" s="197" t="s">
        <v>420</v>
      </c>
      <c r="L420" s="197" t="s">
        <v>421</v>
      </c>
      <c r="M420" s="197" t="s">
        <v>422</v>
      </c>
      <c r="N420" s="197" t="s">
        <v>423</v>
      </c>
      <c r="O420" s="197" t="s">
        <v>424</v>
      </c>
    </row>
    <row r="421" spans="11:21" hidden="1" x14ac:dyDescent="0.25">
      <c r="K421" s="198">
        <f>(($L$29/100)/20)+$R$418</f>
        <v>6.28</v>
      </c>
      <c r="L421" s="198">
        <f>(($L$29/100)/20)+$K$421</f>
        <v>6.6725</v>
      </c>
      <c r="M421" s="198">
        <f>(($L$29/100)/20)+$L$421</f>
        <v>7.065</v>
      </c>
      <c r="N421" s="198">
        <f>(($L$29/100)/20)+$M$421</f>
        <v>7.4575000000000005</v>
      </c>
      <c r="O421" s="198">
        <f>(($L$29/100)/20)+$N$421</f>
        <v>7.8500000000000005</v>
      </c>
    </row>
    <row r="422" spans="11:21" hidden="1" x14ac:dyDescent="0.25">
      <c r="K422" s="105">
        <f ca="1">'Cargas adicionais'!$O$259</f>
        <v>185.04682147500003</v>
      </c>
      <c r="L422" s="105">
        <f ca="1">'Cargas adicionais'!$O$260</f>
        <v>147.45918586289065</v>
      </c>
      <c r="M422" s="105">
        <f ca="1">'Cargas adicionais'!$O$261</f>
        <v>104.08883707968752</v>
      </c>
      <c r="N422" s="105">
        <f ca="1">'Cargas adicionais'!$O$262</f>
        <v>54.93577512539065</v>
      </c>
      <c r="O422" s="105">
        <f ca="1">'Cargas adicionais'!$O$263</f>
        <v>0.0</v>
      </c>
    </row>
    <row r="423" spans="11:21" hidden="1" x14ac:dyDescent="0.25"/>
    <row r="424" spans="11:21" hidden="1" x14ac:dyDescent="0.25">
      <c r="K424" s="693" t="s">
        <v>425</v>
      </c>
      <c r="L424" s="693"/>
      <c r="M424" s="693"/>
      <c r="N424" s="693"/>
      <c r="O424" s="693"/>
      <c r="P424" s="693"/>
      <c r="Q424" s="693"/>
      <c r="R424" s="693"/>
    </row>
    <row r="425" spans="11:21" hidden="1" x14ac:dyDescent="0.25">
      <c r="K425" s="197" t="s">
        <v>404</v>
      </c>
      <c r="L425" s="197" t="s">
        <v>405</v>
      </c>
      <c r="M425" s="197" t="s">
        <v>406</v>
      </c>
      <c r="N425" s="197" t="s">
        <v>407</v>
      </c>
      <c r="O425" s="197" t="s">
        <v>408</v>
      </c>
      <c r="P425" s="197" t="s">
        <v>409</v>
      </c>
      <c r="Q425" s="197" t="s">
        <v>410</v>
      </c>
      <c r="R425" s="197" t="s">
        <v>411</v>
      </c>
    </row>
    <row r="426" spans="11:21" hidden="1" x14ac:dyDescent="0.25">
      <c r="K426" s="198">
        <f>(((($L$29/100)/20)-$L426)*-1)</f>
        <v>-0.0</v>
      </c>
      <c r="L426" s="198">
        <f>($L$29/100)/20</f>
        <v>0.39249999999999996</v>
      </c>
      <c r="M426" s="198">
        <f t="shared" ref="M426:R426" si="8">(($L$29/100)/20)+L426</f>
        <v>0.7849999999999999</v>
      </c>
      <c r="N426" s="198">
        <f t="shared" si="8"/>
        <v>1.1774999999999998</v>
      </c>
      <c r="O426" s="198">
        <f t="shared" si="8"/>
        <v>1.5699999999999998</v>
      </c>
      <c r="P426" s="198">
        <f t="shared" si="8"/>
        <v>1.9625</v>
      </c>
      <c r="Q426" s="198">
        <f t="shared" si="8"/>
        <v>2.355</v>
      </c>
      <c r="R426" s="198">
        <f t="shared" si="8"/>
        <v>2.7475</v>
      </c>
    </row>
    <row r="427" spans="11:21" hidden="1" x14ac:dyDescent="0.25">
      <c r="K427" s="105">
        <f>'Cargas adicionais'!$R$243</f>
        <v>0.0</v>
      </c>
      <c r="L427" s="105">
        <f>'Cargas adicionais'!$R$244</f>
        <v>8.5433819140625</v>
      </c>
      <c r="M427" s="105">
        <f>'Cargas adicionais'!$R$245</f>
        <v>16.18746046875</v>
      </c>
      <c r="N427" s="105">
        <f>'Cargas adicionais'!$R$246</f>
        <v>22.9322356640625</v>
      </c>
      <c r="O427" s="105">
        <f>'Cargas adicionais'!$R$247</f>
        <v>28.777707499999998</v>
      </c>
      <c r="P427" s="105">
        <f>'Cargas adicionais'!$R$248</f>
        <v>33.723875976562496</v>
      </c>
      <c r="Q427" s="105">
        <f>'Cargas adicionais'!$R$249</f>
        <v>37.77074109375</v>
      </c>
      <c r="R427" s="105">
        <f>'Cargas adicionais'!$R$250</f>
        <v>40.918302851562494</v>
      </c>
    </row>
    <row r="428" spans="11:21" hidden="1" x14ac:dyDescent="0.25">
      <c r="K428" s="197" t="s">
        <v>412</v>
      </c>
      <c r="L428" s="197" t="s">
        <v>413</v>
      </c>
      <c r="M428" s="197" t="s">
        <v>414</v>
      </c>
      <c r="N428" s="197" t="s">
        <v>415</v>
      </c>
      <c r="O428" s="197" t="s">
        <v>416</v>
      </c>
      <c r="P428" s="197" t="s">
        <v>417</v>
      </c>
      <c r="Q428" s="197" t="s">
        <v>418</v>
      </c>
      <c r="R428" s="199" t="s">
        <v>419</v>
      </c>
      <c r="U428" s="105"/>
    </row>
    <row r="429" spans="11:21" hidden="1" x14ac:dyDescent="0.25">
      <c r="K429" s="198">
        <f>(($L$29/100)/20)+R426</f>
        <v>3.14</v>
      </c>
      <c r="L429" s="198">
        <f t="shared" ref="L429:R429" si="9">(($L$29/100)/20)+K429</f>
        <v>3.5325</v>
      </c>
      <c r="M429" s="198">
        <f t="shared" si="9"/>
        <v>3.9250000000000003</v>
      </c>
      <c r="N429" s="198">
        <f t="shared" si="9"/>
        <v>4.3175</v>
      </c>
      <c r="O429" s="198">
        <f t="shared" si="9"/>
        <v>4.71</v>
      </c>
      <c r="P429" s="198">
        <f t="shared" si="9"/>
        <v>5.1025</v>
      </c>
      <c r="Q429" s="198">
        <f t="shared" si="9"/>
        <v>5.495</v>
      </c>
      <c r="R429" s="198">
        <f t="shared" si="9"/>
        <v>5.8875</v>
      </c>
      <c r="U429" s="105"/>
    </row>
    <row r="430" spans="11:21" hidden="1" x14ac:dyDescent="0.25">
      <c r="K430" s="105">
        <f>'Cargas adicionais'!$R$251</f>
        <v>43.166561249999994</v>
      </c>
      <c r="L430" s="105">
        <f>'Cargas adicionais'!$R$252</f>
        <v>44.5155162890625</v>
      </c>
      <c r="M430" s="105">
        <f>'Cargas adicionais'!$R$253</f>
        <v>44.965167968749995</v>
      </c>
      <c r="N430" s="105">
        <f>'Cargas adicionais'!$R$254</f>
        <v>44.5155162890625</v>
      </c>
      <c r="O430" s="105">
        <f>'Cargas adicionais'!$R$255</f>
        <v>43.166561249999994</v>
      </c>
      <c r="P430" s="105">
        <f>'Cargas adicionais'!$R$256</f>
        <v>40.918302851562494</v>
      </c>
      <c r="Q430" s="105">
        <f>'Cargas adicionais'!$R$257</f>
        <v>37.77074109375</v>
      </c>
      <c r="R430" s="105">
        <f>'Cargas adicionais'!$R$258</f>
        <v>33.723875976562496</v>
      </c>
      <c r="U430" s="105"/>
    </row>
    <row r="431" spans="11:21" hidden="1" x14ac:dyDescent="0.25">
      <c r="K431" s="197" t="s">
        <v>420</v>
      </c>
      <c r="L431" s="197" t="s">
        <v>421</v>
      </c>
      <c r="M431" s="197" t="s">
        <v>422</v>
      </c>
      <c r="N431" s="197" t="s">
        <v>423</v>
      </c>
      <c r="O431" s="197" t="s">
        <v>424</v>
      </c>
    </row>
    <row r="432" spans="11:21" hidden="1" x14ac:dyDescent="0.25">
      <c r="K432" s="198">
        <f>(($L$29/100)/20)+R429</f>
        <v>6.28</v>
      </c>
      <c r="L432" s="198">
        <f>(($L$29/100)/20)+K432</f>
        <v>6.6725</v>
      </c>
      <c r="M432" s="198">
        <f>(($L$29/100)/20)+L432</f>
        <v>7.065</v>
      </c>
      <c r="N432" s="198">
        <f>(($L$29/100)/20)+M432</f>
        <v>7.4575000000000005</v>
      </c>
      <c r="O432" s="198">
        <f>(($L$29/100)/20)+N432</f>
        <v>7.8500000000000005</v>
      </c>
    </row>
    <row r="433" spans="11:31" hidden="1" x14ac:dyDescent="0.25">
      <c r="K433" s="105">
        <f>'Cargas adicionais'!$R$259</f>
        <v>28.777707499999998</v>
      </c>
      <c r="L433" s="105">
        <f>'Cargas adicionais'!$R$260</f>
        <v>22.932235664062496</v>
      </c>
      <c r="M433" s="105">
        <f>'Cargas adicionais'!$R$261</f>
        <v>16.187460468749997</v>
      </c>
      <c r="N433" s="105">
        <f>'Cargas adicionais'!$R$262</f>
        <v>8.543381914062497</v>
      </c>
      <c r="O433" s="105">
        <f>'Cargas adicionais'!$R$263</f>
        <v>0.0</v>
      </c>
    </row>
    <row r="434" spans="11:31" hidden="1" x14ac:dyDescent="0.25"/>
    <row r="435" spans="11:31" hidden="1" x14ac:dyDescent="0.25">
      <c r="K435" s="693" t="s">
        <v>426</v>
      </c>
      <c r="L435" s="693"/>
      <c r="M435" s="693"/>
      <c r="N435" s="693"/>
      <c r="O435" s="693"/>
      <c r="P435" s="693"/>
      <c r="Q435" s="693"/>
      <c r="R435" s="693"/>
    </row>
    <row r="436" spans="11:31" hidden="1" x14ac:dyDescent="0.25">
      <c r="K436" s="197" t="s">
        <v>404</v>
      </c>
      <c r="L436" s="197" t="s">
        <v>405</v>
      </c>
      <c r="M436" s="197" t="s">
        <v>406</v>
      </c>
      <c r="N436" s="197" t="s">
        <v>407</v>
      </c>
      <c r="O436" s="197" t="s">
        <v>408</v>
      </c>
      <c r="P436" s="197" t="s">
        <v>409</v>
      </c>
      <c r="Q436" s="197" t="s">
        <v>410</v>
      </c>
      <c r="R436" s="197" t="s">
        <v>411</v>
      </c>
    </row>
    <row r="437" spans="11:31" hidden="1" x14ac:dyDescent="0.25">
      <c r="K437" s="198">
        <f>(((($L$29/100)/20)-$L$437)*-1)</f>
        <v>-0.0</v>
      </c>
      <c r="L437" s="198">
        <f>($L$29/100)/20</f>
        <v>0.39249999999999996</v>
      </c>
      <c r="M437" s="198">
        <f t="shared" ref="M437:R437" si="10">(($L$29/100)/20)+L437</f>
        <v>0.7849999999999999</v>
      </c>
      <c r="N437" s="198">
        <f t="shared" si="10"/>
        <v>1.1774999999999998</v>
      </c>
      <c r="O437" s="198">
        <f t="shared" si="10"/>
        <v>1.5699999999999998</v>
      </c>
      <c r="P437" s="198">
        <f t="shared" si="10"/>
        <v>1.9625</v>
      </c>
      <c r="Q437" s="198">
        <f t="shared" si="10"/>
        <v>2.355</v>
      </c>
      <c r="R437" s="198">
        <f t="shared" si="10"/>
        <v>2.7475</v>
      </c>
    </row>
    <row r="438" spans="11:31" hidden="1" x14ac:dyDescent="0.25">
      <c r="K438" s="105">
        <f>'Cargas adicionais'!$U$243</f>
        <v>0.0</v>
      </c>
      <c r="L438" s="105">
        <f>'Cargas adicionais'!$U$244</f>
        <v>213.58454785156258</v>
      </c>
      <c r="M438" s="105">
        <f>'Cargas adicionais'!$U$245</f>
        <v>404.6865117187501</v>
      </c>
      <c r="N438" s="105">
        <f>'Cargas adicionais'!$U$246</f>
        <v>573.3058916015626</v>
      </c>
      <c r="O438" s="105">
        <f>'Cargas adicionais'!$U$247</f>
        <v>719.4426875000001</v>
      </c>
      <c r="P438" s="105">
        <f>'Cargas adicionais'!$U$248</f>
        <v>843.0968994140627</v>
      </c>
      <c r="Q438" s="105">
        <f>'Cargas adicionais'!$U$249</f>
        <v>944.2685273437503</v>
      </c>
      <c r="R438" s="105">
        <f>'Cargas adicionais'!$U$250</f>
        <v>1022.9575712890628</v>
      </c>
      <c r="V438" s="105"/>
      <c r="W438" s="105"/>
      <c r="X438" s="105"/>
      <c r="Y438" s="105"/>
      <c r="Z438" s="105"/>
      <c r="AA438" s="105"/>
      <c r="AB438" s="105"/>
      <c r="AC438" s="105"/>
      <c r="AD438" s="105"/>
      <c r="AE438" s="105"/>
    </row>
    <row r="439" spans="11:31" hidden="1" x14ac:dyDescent="0.25">
      <c r="K439" s="197" t="s">
        <v>412</v>
      </c>
      <c r="L439" s="197" t="s">
        <v>413</v>
      </c>
      <c r="M439" s="197" t="s">
        <v>414</v>
      </c>
      <c r="N439" s="197" t="s">
        <v>415</v>
      </c>
      <c r="O439" s="197" t="s">
        <v>416</v>
      </c>
      <c r="P439" s="197" t="s">
        <v>417</v>
      </c>
      <c r="Q439" s="197" t="s">
        <v>418</v>
      </c>
      <c r="R439" s="199" t="s">
        <v>419</v>
      </c>
      <c r="U439" s="105"/>
      <c r="V439" s="105"/>
      <c r="W439" s="105"/>
      <c r="X439" s="105"/>
      <c r="Y439" s="105"/>
      <c r="Z439" s="105"/>
      <c r="AA439" s="105"/>
      <c r="AB439" s="105"/>
      <c r="AC439" s="105"/>
      <c r="AD439" s="105"/>
      <c r="AE439" s="105"/>
    </row>
    <row r="440" spans="11:31" hidden="1" x14ac:dyDescent="0.25">
      <c r="K440" s="198">
        <f>(($L$29/100)/20)+R437</f>
        <v>3.14</v>
      </c>
      <c r="L440" s="198">
        <f t="shared" ref="L440:R440" si="11">(($L$29/100)/20)+K440</f>
        <v>3.5325</v>
      </c>
      <c r="M440" s="198">
        <f t="shared" si="11"/>
        <v>3.9250000000000003</v>
      </c>
      <c r="N440" s="198">
        <f t="shared" si="11"/>
        <v>4.3175</v>
      </c>
      <c r="O440" s="198">
        <f t="shared" si="11"/>
        <v>4.71</v>
      </c>
      <c r="P440" s="198">
        <f t="shared" si="11"/>
        <v>5.1025</v>
      </c>
      <c r="Q440" s="198">
        <f t="shared" si="11"/>
        <v>5.495</v>
      </c>
      <c r="R440" s="198">
        <f t="shared" si="11"/>
        <v>5.8875</v>
      </c>
      <c r="V440" s="105"/>
      <c r="W440" s="105"/>
      <c r="X440" s="105"/>
      <c r="Y440" s="105"/>
      <c r="Z440" s="105"/>
      <c r="AA440" s="105"/>
      <c r="AB440" s="105"/>
      <c r="AC440" s="105"/>
      <c r="AD440" s="105"/>
      <c r="AE440" s="105"/>
    </row>
    <row r="441" spans="11:31" hidden="1" x14ac:dyDescent="0.25">
      <c r="K441" s="105">
        <f>'Cargas adicionais'!$U$251</f>
        <v>1079.1640312500003</v>
      </c>
      <c r="L441" s="105">
        <f>'Cargas adicionais'!$U$252</f>
        <v>1112.887907226563</v>
      </c>
      <c r="M441" s="105">
        <f>'Cargas adicionais'!$U$253</f>
        <v>1124.1291992187505</v>
      </c>
      <c r="N441" s="105">
        <f>'Cargas adicionais'!$U$254</f>
        <v>1112.8879072265631</v>
      </c>
      <c r="O441" s="105">
        <f>'Cargas adicionais'!$U$255</f>
        <v>1079.1640312500008</v>
      </c>
      <c r="P441" s="105">
        <f>'Cargas adicionais'!$U$256</f>
        <v>1022.9575712890634</v>
      </c>
      <c r="Q441" s="105">
        <f>'Cargas adicionais'!$U$257</f>
        <v>944.2685273437509</v>
      </c>
      <c r="R441" s="105">
        <f>'Cargas adicionais'!$U$258</f>
        <v>843.0968994140634</v>
      </c>
      <c r="Y441" s="105"/>
      <c r="Z441" s="105"/>
      <c r="AA441" s="105"/>
      <c r="AB441" s="105"/>
      <c r="AC441" s="105"/>
      <c r="AD441" s="105"/>
      <c r="AE441" s="105"/>
    </row>
    <row r="442" spans="11:31" hidden="1" x14ac:dyDescent="0.25">
      <c r="K442" s="197" t="s">
        <v>420</v>
      </c>
      <c r="L442" s="197" t="s">
        <v>421</v>
      </c>
      <c r="M442" s="197" t="s">
        <v>422</v>
      </c>
      <c r="N442" s="197" t="s">
        <v>423</v>
      </c>
      <c r="O442" s="197" t="s">
        <v>424</v>
      </c>
      <c r="P442" s="105"/>
      <c r="Q442" s="105"/>
      <c r="R442" s="105"/>
      <c r="S442" s="105"/>
      <c r="T442" s="105"/>
      <c r="Y442" s="105"/>
      <c r="Z442" s="105"/>
      <c r="AA442" s="105"/>
      <c r="AB442" s="105"/>
      <c r="AC442" s="105"/>
      <c r="AD442" s="105"/>
      <c r="AE442" s="105"/>
    </row>
    <row r="443" spans="11:31" hidden="1" x14ac:dyDescent="0.25">
      <c r="K443" s="198">
        <f>(($L$29/100)/20)+R440</f>
        <v>6.28</v>
      </c>
      <c r="L443" s="198">
        <f>(($L$29/100)/20)+K443</f>
        <v>6.6725</v>
      </c>
      <c r="M443" s="198">
        <f>(($L$29/100)/20)+L443</f>
        <v>7.065</v>
      </c>
      <c r="N443" s="198">
        <f>(($L$29/100)/20)+M443</f>
        <v>7.4575000000000005</v>
      </c>
      <c r="O443" s="198">
        <f>(($L$29/100)/20)+N443</f>
        <v>7.8500000000000005</v>
      </c>
      <c r="P443" s="105"/>
      <c r="Q443" s="105"/>
      <c r="R443" s="105"/>
      <c r="S443" s="105"/>
      <c r="T443" s="105"/>
      <c r="Y443" s="105"/>
      <c r="Z443" s="105"/>
      <c r="AA443" s="105"/>
      <c r="AB443" s="105"/>
      <c r="AC443" s="105"/>
      <c r="AD443" s="105"/>
      <c r="AE443" s="105"/>
    </row>
    <row r="444" spans="11:31" hidden="1" x14ac:dyDescent="0.25">
      <c r="K444" s="105">
        <f>'Cargas adicionais'!$U$259</f>
        <v>719.4426875000009</v>
      </c>
      <c r="L444" s="105">
        <f>'Cargas adicionais'!$U$260</f>
        <v>573.3058916015634</v>
      </c>
      <c r="M444" s="105">
        <f>'Cargas adicionais'!$U$261</f>
        <v>404.6865117187509</v>
      </c>
      <c r="N444" s="105">
        <f>'Cargas adicionais'!$U$262</f>
        <v>213.58454785156346</v>
      </c>
      <c r="O444" s="105">
        <f>'Cargas adicionais'!$U$263</f>
        <v>9.947598300641403e-13</v>
      </c>
    </row>
    <row r="446" spans="11:31" x14ac:dyDescent="0.25">
      <c r="L446" s="691" t="s">
        <v>427</v>
      </c>
      <c r="M446" s="691"/>
      <c r="N446" s="691"/>
      <c r="O446" s="691"/>
      <c r="P446" s="691"/>
      <c r="Q446" s="39" t="s">
        <v>428</v>
      </c>
    </row>
    <row r="447" spans="11:31" x14ac:dyDescent="0.25">
      <c r="K447" s="198" t="str">
        <f ca="1">IF($K$437&lt;$N$1307/100,"Reduzir","OK")</f>
        <v>Reduzir</v>
      </c>
      <c r="L447" s="4" t="s">
        <v>429</v>
      </c>
      <c r="M447" s="105">
        <v>0</v>
      </c>
      <c r="N447" s="38" t="s">
        <v>234</v>
      </c>
      <c r="O447" s="138">
        <f t="shared" ref="O447:O467" si="12">M447/1000</f>
        <v>0.0</v>
      </c>
      <c r="P447" s="38" t="s">
        <v>160</v>
      </c>
      <c r="Q447" s="138">
        <f>V450</f>
        <v>2.8501384974246515</v>
      </c>
    </row>
    <row r="448" spans="11:31" x14ac:dyDescent="0.25">
      <c r="K448" s="198" t="str">
        <f ca="1">IF($L$437&lt;$N$1307/100,"Reduzir","OK")</f>
        <v>Reduzir</v>
      </c>
      <c r="L448" s="4" t="s">
        <v>430</v>
      </c>
      <c r="M448" s="200">
        <f ca="1">Tensões!O9</f>
        <v>-1628.4278786953296</v>
      </c>
      <c r="N448" s="38" t="s">
        <v>234</v>
      </c>
      <c r="O448" s="201">
        <f t="shared" ca="1" si="12"/>
        <v>-1.6284278786953297</v>
      </c>
      <c r="P448" s="38" t="s">
        <v>160</v>
      </c>
      <c r="Q448" s="138">
        <f>V450</f>
        <v>2.8501384974246515</v>
      </c>
      <c r="S448" s="652" t="s">
        <v>428</v>
      </c>
      <c r="T448" s="652"/>
      <c r="U448" s="652"/>
      <c r="V448" s="652"/>
      <c r="AC448" s="4" t="s">
        <v>160</v>
      </c>
    </row>
    <row r="449" spans="11:29" x14ac:dyDescent="0.25">
      <c r="K449" s="198" t="str">
        <f ca="1">IF($M$437&lt;$N$1307/100,"Reduzir","OK")</f>
        <v>Reduzir</v>
      </c>
      <c r="L449" s="4" t="s">
        <v>431</v>
      </c>
      <c r="M449" s="202">
        <f ca="1">Tensões!O10</f>
        <v>-2887.765995049601</v>
      </c>
      <c r="N449" s="38" t="s">
        <v>234</v>
      </c>
      <c r="O449" s="203">
        <f t="shared" ca="1" si="12"/>
        <v>-2.887765995049601</v>
      </c>
      <c r="P449" s="38" t="s">
        <v>160</v>
      </c>
      <c r="Q449" s="138">
        <f t="shared" ref="Q449:Q467" si="13">Q448</f>
        <v>2.8501384974246515</v>
      </c>
      <c r="S449" s="4" t="s">
        <v>383</v>
      </c>
      <c r="T449" s="27">
        <f>0.7*L82*-1000</f>
        <v>-35000.0</v>
      </c>
      <c r="U449" s="4" t="s">
        <v>234</v>
      </c>
      <c r="V449" s="27">
        <f>T449/1000</f>
        <v>-35.0</v>
      </c>
      <c r="AC449" s="4" t="s">
        <v>160</v>
      </c>
    </row>
    <row r="450" spans="11:29" x14ac:dyDescent="0.25">
      <c r="K450" s="198" t="str">
        <f ca="1">IF($N$437&lt;$N$1307/100,"Reduzir","OK")</f>
        <v>OK</v>
      </c>
      <c r="L450" s="4" t="s">
        <v>432</v>
      </c>
      <c r="M450" s="202">
        <f ca="1">Tensões!O11</f>
        <v>-3732.011871243197</v>
      </c>
      <c r="N450" s="38" t="s">
        <v>234</v>
      </c>
      <c r="O450" s="203">
        <f t="shared" ca="1" si="12"/>
        <v>-3.732011871243197</v>
      </c>
      <c r="P450" s="38" t="s">
        <v>160</v>
      </c>
      <c r="Q450" s="138">
        <f t="shared" si="13"/>
        <v>2.8501384974246515</v>
      </c>
      <c r="S450" s="4" t="s">
        <v>384</v>
      </c>
      <c r="T450" s="105">
        <f>0.21*POWER(L82,2/3)*1000</f>
        <v>2850.1384974246516</v>
      </c>
      <c r="U450" s="4" t="s">
        <v>234</v>
      </c>
      <c r="V450" s="138">
        <f>T450/1000</f>
        <v>2.8501384974246515</v>
      </c>
    </row>
    <row r="451" spans="11:29" x14ac:dyDescent="0.25">
      <c r="K451" s="198" t="str">
        <f ca="1">IF($O$437&lt;$N$1307/100,"Reduzir","OK")</f>
        <v>OK</v>
      </c>
      <c r="L451" s="4" t="s">
        <v>433</v>
      </c>
      <c r="M451" s="202">
        <f ca="1">Tensões!O12</f>
        <v>-6034.136100500944</v>
      </c>
      <c r="N451" s="38" t="s">
        <v>234</v>
      </c>
      <c r="O451" s="203">
        <f t="shared" ca="1" si="12"/>
        <v>-6.034136100500944</v>
      </c>
      <c r="P451" s="38" t="s">
        <v>160</v>
      </c>
      <c r="Q451" s="138">
        <f t="shared" si="13"/>
        <v>2.8501384974246515</v>
      </c>
    </row>
    <row r="452" spans="11:29" x14ac:dyDescent="0.25">
      <c r="K452" s="198" t="str">
        <f ca="1">IF($P$437&lt;$N$1307/100,"Reduzir","OK")</f>
        <v>OK</v>
      </c>
      <c r="L452" s="4" t="s">
        <v>434</v>
      </c>
      <c r="M452" s="202">
        <f ca="1">Tensões!O13</f>
        <v>-7982.110910622607</v>
      </c>
      <c r="N452" s="38" t="s">
        <v>234</v>
      </c>
      <c r="O452" s="203">
        <f t="shared" ca="1" si="12"/>
        <v>-7.982110910622607</v>
      </c>
      <c r="P452" s="38" t="s">
        <v>160</v>
      </c>
      <c r="Q452" s="138">
        <f t="shared" si="13"/>
        <v>2.8501384974246515</v>
      </c>
    </row>
    <row r="453" spans="11:29" x14ac:dyDescent="0.25">
      <c r="K453" s="198" t="str">
        <f ca="1">IF($Q$437&lt;$N$1307/100,"Reduzir","OK")</f>
        <v>OK</v>
      </c>
      <c r="L453" s="4" t="s">
        <v>435</v>
      </c>
      <c r="M453" s="202">
        <f ca="1">Tensões!O14</f>
        <v>-9575.924529537184</v>
      </c>
      <c r="N453" s="38" t="s">
        <v>234</v>
      </c>
      <c r="O453" s="203">
        <f t="shared" ca="1" si="12"/>
        <v>-9.575924529537184</v>
      </c>
      <c r="P453" s="38" t="s">
        <v>160</v>
      </c>
      <c r="Q453" s="138">
        <f t="shared" si="13"/>
        <v>2.8501384974246515</v>
      </c>
    </row>
    <row r="454" spans="11:29" x14ac:dyDescent="0.25">
      <c r="K454" s="198" t="str">
        <f ca="1">IF($R$437&lt;$N$1307/100,"Reduzir","OK")</f>
        <v>OK</v>
      </c>
      <c r="L454" s="4" t="s">
        <v>436</v>
      </c>
      <c r="M454" s="202">
        <f ca="1">Tensões!O15</f>
        <v>-10815.567327791894</v>
      </c>
      <c r="N454" s="38" t="s">
        <v>234</v>
      </c>
      <c r="O454" s="203">
        <f t="shared" ca="1" si="12"/>
        <v>-10.815567327791895</v>
      </c>
      <c r="P454" s="38" t="s">
        <v>160</v>
      </c>
      <c r="Q454" s="138">
        <f t="shared" si="13"/>
        <v>2.8501384974246515</v>
      </c>
    </row>
    <row r="455" spans="11:29" x14ac:dyDescent="0.25">
      <c r="K455" s="198" t="str">
        <f ca="1">IF($K$440&lt;$N$1307/100,"Reduzir","OK")</f>
        <v>OK</v>
      </c>
      <c r="L455" s="4" t="s">
        <v>437</v>
      </c>
      <c r="M455" s="202">
        <f ca="1">Tensões!O16</f>
        <v>-11701.031817206567</v>
      </c>
      <c r="N455" s="38" t="s">
        <v>234</v>
      </c>
      <c r="O455" s="203">
        <f t="shared" ca="1" si="12"/>
        <v>-11.701031817206568</v>
      </c>
      <c r="P455" s="38" t="s">
        <v>160</v>
      </c>
      <c r="Q455" s="138">
        <f t="shared" si="13"/>
        <v>2.8501384974246515</v>
      </c>
    </row>
    <row r="456" spans="11:29" x14ac:dyDescent="0.25">
      <c r="K456" s="198" t="str">
        <f ca="1">IF($L$440&lt;$N$1307/100,"Reduzir","OK")</f>
        <v>OK</v>
      </c>
      <c r="L456" s="4" t="s">
        <v>438</v>
      </c>
      <c r="M456" s="202">
        <f ca="1">Tensões!O17</f>
        <v>-12232.312649827745</v>
      </c>
      <c r="N456" s="38" t="s">
        <v>234</v>
      </c>
      <c r="O456" s="203">
        <f t="shared" ca="1" si="12"/>
        <v>-12.232312649827746</v>
      </c>
      <c r="P456" s="38" t="s">
        <v>160</v>
      </c>
      <c r="Q456" s="138">
        <f t="shared" si="13"/>
        <v>2.8501384974246515</v>
      </c>
    </row>
    <row r="457" spans="11:29" x14ac:dyDescent="0.25">
      <c r="K457" s="198" t="str">
        <f ca="1">IF($M$440&lt;$N$1307/100,"Reduzir","OK")</f>
        <v>OK</v>
      </c>
      <c r="L457" s="4" t="s">
        <v>439</v>
      </c>
      <c r="M457" s="202">
        <f ca="1">Tensões!O18</f>
        <v>-12409.40661718194</v>
      </c>
      <c r="N457" s="38" t="s">
        <v>234</v>
      </c>
      <c r="O457" s="203">
        <f t="shared" ca="1" si="12"/>
        <v>-12.40940661718194</v>
      </c>
      <c r="P457" s="38" t="s">
        <v>160</v>
      </c>
      <c r="Q457" s="138">
        <f t="shared" si="13"/>
        <v>2.8501384974246515</v>
      </c>
    </row>
    <row r="458" spans="11:29" x14ac:dyDescent="0.25">
      <c r="K458" s="198" t="str">
        <f ca="1">K456</f>
        <v>OK</v>
      </c>
      <c r="L458" s="4" t="s">
        <v>440</v>
      </c>
      <c r="M458" s="202">
        <f ca="1">Tensões!O19</f>
        <v>-12232.312649827745</v>
      </c>
      <c r="N458" s="38" t="str">
        <f t="shared" ref="N458:N467" si="14">N457</f>
        <v>kN/m²</v>
      </c>
      <c r="O458" s="203">
        <f t="shared" ca="1" si="12"/>
        <v>-12.232312649827746</v>
      </c>
      <c r="P458" s="38" t="s">
        <v>160</v>
      </c>
      <c r="Q458" s="138">
        <f t="shared" si="13"/>
        <v>2.8501384974246515</v>
      </c>
    </row>
    <row r="459" spans="11:29" x14ac:dyDescent="0.25">
      <c r="K459" s="198" t="str">
        <f ca="1">K455</f>
        <v>OK</v>
      </c>
      <c r="L459" s="4" t="s">
        <v>441</v>
      </c>
      <c r="M459" s="202">
        <f ca="1">Tensões!O20</f>
        <v>-11701.031817206567</v>
      </c>
      <c r="N459" s="38" t="str">
        <f t="shared" si="14"/>
        <v>kN/m²</v>
      </c>
      <c r="O459" s="203">
        <f t="shared" ca="1" si="12"/>
        <v>-11.701031817206568</v>
      </c>
      <c r="P459" s="38" t="s">
        <v>160</v>
      </c>
      <c r="Q459" s="138">
        <f t="shared" si="13"/>
        <v>2.8501384974246515</v>
      </c>
    </row>
    <row r="460" spans="11:29" x14ac:dyDescent="0.25">
      <c r="K460" s="198" t="str">
        <f ca="1">K454</f>
        <v>OK</v>
      </c>
      <c r="L460" s="4" t="s">
        <v>442</v>
      </c>
      <c r="M460" s="202">
        <f ca="1">Tensões!O21</f>
        <v>-10815.567327791896</v>
      </c>
      <c r="N460" s="38" t="str">
        <f t="shared" si="14"/>
        <v>kN/m²</v>
      </c>
      <c r="O460" s="203">
        <f t="shared" ca="1" si="12"/>
        <v>-10.815567327791896</v>
      </c>
      <c r="P460" s="38" t="s">
        <v>160</v>
      </c>
      <c r="Q460" s="138">
        <f t="shared" si="13"/>
        <v>2.8501384974246515</v>
      </c>
    </row>
    <row r="461" spans="11:29" x14ac:dyDescent="0.25">
      <c r="K461" s="198" t="str">
        <f ca="1">K453</f>
        <v>OK</v>
      </c>
      <c r="L461" s="4" t="s">
        <v>443</v>
      </c>
      <c r="M461" s="202">
        <f ca="1">Tensões!O22</f>
        <v>-9575.924529537184</v>
      </c>
      <c r="N461" s="38" t="str">
        <f t="shared" si="14"/>
        <v>kN/m²</v>
      </c>
      <c r="O461" s="203">
        <f t="shared" ca="1" si="12"/>
        <v>-9.575924529537184</v>
      </c>
      <c r="P461" s="38" t="s">
        <v>160</v>
      </c>
      <c r="Q461" s="138">
        <f t="shared" si="13"/>
        <v>2.8501384974246515</v>
      </c>
    </row>
    <row r="462" spans="11:29" x14ac:dyDescent="0.25">
      <c r="K462" s="198" t="str">
        <f ca="1">K452</f>
        <v>OK</v>
      </c>
      <c r="L462" s="4" t="s">
        <v>444</v>
      </c>
      <c r="M462" s="202">
        <f ca="1">Tensões!O23</f>
        <v>-7982.110910622608</v>
      </c>
      <c r="N462" s="38" t="str">
        <f t="shared" si="14"/>
        <v>kN/m²</v>
      </c>
      <c r="O462" s="203">
        <f t="shared" ca="1" si="12"/>
        <v>-7.982110910622608</v>
      </c>
      <c r="P462" s="38" t="s">
        <v>160</v>
      </c>
      <c r="Q462" s="138">
        <f t="shared" si="13"/>
        <v>2.8501384974246515</v>
      </c>
    </row>
    <row r="463" spans="11:29" x14ac:dyDescent="0.25">
      <c r="K463" s="198" t="str">
        <f ca="1">K451</f>
        <v>OK</v>
      </c>
      <c r="L463" s="4" t="s">
        <v>445</v>
      </c>
      <c r="M463" s="202">
        <f ca="1">Tensões!O24</f>
        <v>-6034.136100500948</v>
      </c>
      <c r="N463" s="38" t="str">
        <f t="shared" si="14"/>
        <v>kN/m²</v>
      </c>
      <c r="O463" s="203">
        <f t="shared" ca="1" si="12"/>
        <v>-6.034136100500947</v>
      </c>
      <c r="P463" s="38" t="s">
        <v>160</v>
      </c>
      <c r="Q463" s="138">
        <f t="shared" si="13"/>
        <v>2.8501384974246515</v>
      </c>
    </row>
    <row r="464" spans="11:29" x14ac:dyDescent="0.25">
      <c r="K464" s="198" t="str">
        <f ca="1">K450</f>
        <v>OK</v>
      </c>
      <c r="L464" s="4" t="s">
        <v>446</v>
      </c>
      <c r="M464" s="202">
        <f ca="1">Tensões!O25</f>
        <v>-3732.0118712431986</v>
      </c>
      <c r="N464" s="38" t="str">
        <f t="shared" si="14"/>
        <v>kN/m²</v>
      </c>
      <c r="O464" s="203">
        <f t="shared" ca="1" si="12"/>
        <v>-3.7320118712431984</v>
      </c>
      <c r="P464" s="38" t="s">
        <v>160</v>
      </c>
      <c r="Q464" s="138">
        <f t="shared" si="13"/>
        <v>2.8501384974246515</v>
      </c>
    </row>
    <row r="465" spans="9:17" x14ac:dyDescent="0.25">
      <c r="K465" s="198" t="str">
        <f ca="1">K449</f>
        <v>Reduzir</v>
      </c>
      <c r="L465" s="4" t="s">
        <v>447</v>
      </c>
      <c r="M465" s="202">
        <f ca="1">Tensões!O26</f>
        <v>-2887.7659950496045</v>
      </c>
      <c r="N465" s="38" t="str">
        <f t="shared" si="14"/>
        <v>kN/m²</v>
      </c>
      <c r="O465" s="203">
        <f t="shared" ca="1" si="12"/>
        <v>-2.8877659950496044</v>
      </c>
      <c r="P465" s="38" t="s">
        <v>160</v>
      </c>
      <c r="Q465" s="138">
        <f t="shared" si="13"/>
        <v>2.8501384974246515</v>
      </c>
    </row>
    <row r="466" spans="9:17" x14ac:dyDescent="0.25">
      <c r="K466" s="198" t="str">
        <f ca="1">K448</f>
        <v>Reduzir</v>
      </c>
      <c r="L466" s="4" t="s">
        <v>448</v>
      </c>
      <c r="M466" s="204">
        <f ca="1">Tensões!O27</f>
        <v>-1628.427878695333</v>
      </c>
      <c r="N466" s="38" t="str">
        <f t="shared" si="14"/>
        <v>kN/m²</v>
      </c>
      <c r="O466" s="205">
        <f t="shared" ca="1" si="12"/>
        <v>-1.628427878695333</v>
      </c>
      <c r="P466" s="38" t="s">
        <v>160</v>
      </c>
      <c r="Q466" s="138">
        <f t="shared" si="13"/>
        <v>2.8501384974246515</v>
      </c>
    </row>
    <row r="467" spans="9:17" x14ac:dyDescent="0.25">
      <c r="K467" s="198" t="str">
        <f ca="1">K447</f>
        <v>Reduzir</v>
      </c>
      <c r="L467" s="32" t="s">
        <v>449</v>
      </c>
      <c r="M467" s="206">
        <v>0</v>
      </c>
      <c r="N467" s="207" t="str">
        <f t="shared" si="14"/>
        <v>kN/m²</v>
      </c>
      <c r="O467" s="208">
        <f t="shared" si="12"/>
        <v>0.0</v>
      </c>
      <c r="P467" s="207" t="s">
        <v>160</v>
      </c>
      <c r="Q467" s="208">
        <f t="shared" si="13"/>
        <v>2.8501384974246515</v>
      </c>
    </row>
    <row r="469" spans="9:17" x14ac:dyDescent="0.25">
      <c r="L469" s="691" t="s">
        <v>450</v>
      </c>
      <c r="M469" s="691"/>
      <c r="N469" s="691"/>
      <c r="O469" s="691"/>
      <c r="P469" s="691"/>
      <c r="Q469" s="39" t="s">
        <v>428</v>
      </c>
    </row>
    <row r="470" spans="9:17" x14ac:dyDescent="0.25">
      <c r="K470" s="198" t="str">
        <f ca="1">IF($K$437&lt;$N$1308/100,"Reduzir","OK")</f>
        <v>Reduzir</v>
      </c>
      <c r="L470" s="4" t="s">
        <v>429</v>
      </c>
      <c r="M470" s="105">
        <v>0</v>
      </c>
      <c r="N470" s="38" t="s">
        <v>234</v>
      </c>
      <c r="O470" s="138">
        <f t="shared" ref="O470:O490" si="15">M470/1000</f>
        <v>0.0</v>
      </c>
      <c r="P470" s="38" t="s">
        <v>160</v>
      </c>
      <c r="Q470" s="138">
        <f>V449</f>
        <v>-35.0</v>
      </c>
    </row>
    <row r="471" spans="9:17" x14ac:dyDescent="0.25">
      <c r="I471" s="4">
        <f ca="1">(((Geometria!$N$368*(Geometria!$L$897*100))/Geometria!$N$1308))</f>
        <v>34.4924974936786</v>
      </c>
      <c r="K471" s="198" t="str">
        <f ca="1">IF($L$437&lt;$N$1308/100,"Reduzir","OK")</f>
        <v>Reduzir</v>
      </c>
      <c r="L471" s="4" t="s">
        <v>430</v>
      </c>
      <c r="M471" s="200">
        <f ca="1">Tensões!O32</f>
        <v>-416.5000928822924</v>
      </c>
      <c r="N471" s="38" t="s">
        <v>234</v>
      </c>
      <c r="O471" s="201">
        <f t="shared" ca="1" si="15"/>
        <v>-0.4165000928822924</v>
      </c>
      <c r="P471" s="38" t="s">
        <v>160</v>
      </c>
      <c r="Q471" s="138">
        <f t="shared" ref="Q471:Q490" si="16">Q470</f>
        <v>-35.0</v>
      </c>
    </row>
    <row r="472" spans="9:17" x14ac:dyDescent="0.25">
      <c r="K472" s="198" t="str">
        <f ca="1">IF($M$437&lt;$N$1308/100,"Reduzir","OK")</f>
        <v>Reduzir</v>
      </c>
      <c r="L472" s="4" t="s">
        <v>431</v>
      </c>
      <c r="M472" s="202">
        <f ca="1">Tensões!O33</f>
        <v>-1438.665918266127</v>
      </c>
      <c r="N472" s="38" t="s">
        <v>234</v>
      </c>
      <c r="O472" s="203">
        <f t="shared" ca="1" si="15"/>
        <v>-1.438665918266127</v>
      </c>
      <c r="P472" s="38" t="s">
        <v>160</v>
      </c>
      <c r="Q472" s="138">
        <f t="shared" si="16"/>
        <v>-35.0</v>
      </c>
    </row>
    <row r="473" spans="9:17" x14ac:dyDescent="0.25">
      <c r="K473" s="198" t="str">
        <f ca="1">IF($N$437&lt;$N$1308/100,"Reduzir","OK")</f>
        <v>Reduzir</v>
      </c>
      <c r="L473" s="4" t="s">
        <v>432</v>
      </c>
      <c r="M473" s="202">
        <f ca="1">Tensões!O34</f>
        <v>-3066.497476151507</v>
      </c>
      <c r="N473" s="38" t="s">
        <v>234</v>
      </c>
      <c r="O473" s="203">
        <f t="shared" ca="1" si="15"/>
        <v>-3.0664974761515067</v>
      </c>
      <c r="P473" s="38" t="s">
        <v>160</v>
      </c>
      <c r="Q473" s="138">
        <f t="shared" si="16"/>
        <v>-35.0</v>
      </c>
    </row>
    <row r="474" spans="9:17" x14ac:dyDescent="0.25">
      <c r="K474" s="198" t="str">
        <f ca="1">IF($O$437&lt;$N$1308/100,"Reduzir","OK")</f>
        <v>OK</v>
      </c>
      <c r="L474" s="4" t="s">
        <v>433</v>
      </c>
      <c r="M474" s="202">
        <f ca="1">Tensões!O35</f>
        <v>400.5984726926308</v>
      </c>
      <c r="N474" s="38" t="s">
        <v>234</v>
      </c>
      <c r="O474" s="203">
        <f t="shared" ca="1" si="15"/>
        <v>0.4005984726926308</v>
      </c>
      <c r="P474" s="38" t="s">
        <v>160</v>
      </c>
      <c r="Q474" s="138">
        <f t="shared" si="16"/>
        <v>-35.0</v>
      </c>
    </row>
    <row r="475" spans="9:17" x14ac:dyDescent="0.25">
      <c r="K475" s="198" t="str">
        <f ca="1">IF($P$437&lt;$N$1308/100,"Reduzir","OK")</f>
        <v>OK</v>
      </c>
      <c r="L475" s="4" t="s">
        <v>434</v>
      </c>
      <c r="M475" s="202">
        <f ca="1">Tensões!O36</f>
        <v>3462.2693866874497</v>
      </c>
      <c r="N475" s="38" t="s">
        <v>234</v>
      </c>
      <c r="O475" s="203">
        <f t="shared" ca="1" si="15"/>
        <v>3.4622693866874497</v>
      </c>
      <c r="P475" s="38" t="s">
        <v>160</v>
      </c>
      <c r="Q475" s="138">
        <f t="shared" si="16"/>
        <v>-35.0</v>
      </c>
    </row>
    <row r="476" spans="9:17" x14ac:dyDescent="0.25">
      <c r="K476" s="198" t="str">
        <f ca="1">IF($Q$437&lt;$N$1308/100,"Reduzir","OK")</f>
        <v>OK</v>
      </c>
      <c r="L476" s="4" t="s">
        <v>435</v>
      </c>
      <c r="M476" s="202">
        <f ca="1">Tensões!O37</f>
        <v>5967.32558762093</v>
      </c>
      <c r="N476" s="38" t="s">
        <v>234</v>
      </c>
      <c r="O476" s="203">
        <f t="shared" ca="1" si="15"/>
        <v>5.9673255876209295</v>
      </c>
      <c r="P476" s="38" t="s">
        <v>160</v>
      </c>
      <c r="Q476" s="138">
        <f t="shared" si="16"/>
        <v>-35.0</v>
      </c>
    </row>
    <row r="477" spans="9:17" x14ac:dyDescent="0.25">
      <c r="K477" s="198" t="str">
        <f ca="1">IF($R$437&lt;$N$1308/100,"Reduzir","OK")</f>
        <v>OK</v>
      </c>
      <c r="L477" s="4" t="s">
        <v>436</v>
      </c>
      <c r="M477" s="202">
        <f ca="1">Tensões!O38</f>
        <v>7915.735435862499</v>
      </c>
      <c r="N477" s="38" t="s">
        <v>234</v>
      </c>
      <c r="O477" s="203">
        <f t="shared" ca="1" si="15"/>
        <v>7.915735435862499</v>
      </c>
      <c r="P477" s="38" t="s">
        <v>160</v>
      </c>
      <c r="Q477" s="138">
        <f t="shared" si="16"/>
        <v>-35.0</v>
      </c>
    </row>
    <row r="478" spans="9:17" x14ac:dyDescent="0.25">
      <c r="K478" s="198" t="str">
        <f ca="1">IF($K$440&lt;$N$1308/100,"Reduzir","OK")</f>
        <v>OK</v>
      </c>
      <c r="L478" s="4" t="s">
        <v>437</v>
      </c>
      <c r="M478" s="202">
        <f ca="1">Tensões!O39</f>
        <v>9307.47432739159</v>
      </c>
      <c r="N478" s="38" t="s">
        <v>234</v>
      </c>
      <c r="O478" s="203">
        <f t="shared" ca="1" si="15"/>
        <v>9.30747432739159</v>
      </c>
      <c r="P478" s="38" t="s">
        <v>160</v>
      </c>
      <c r="Q478" s="138">
        <f t="shared" si="16"/>
        <v>-35.0</v>
      </c>
    </row>
    <row r="479" spans="9:17" x14ac:dyDescent="0.25">
      <c r="K479" s="198" t="str">
        <f ca="1">IF($L$440&lt;$N$1308/100,"Reduzir","OK")</f>
        <v>OK</v>
      </c>
      <c r="L479" s="4" t="s">
        <v>438</v>
      </c>
      <c r="M479" s="202">
        <f ca="1">Tensões!O40</f>
        <v>10142.52469036113</v>
      </c>
      <c r="N479" s="38" t="s">
        <v>234</v>
      </c>
      <c r="O479" s="203">
        <f t="shared" ca="1" si="15"/>
        <v>10.14252469036113</v>
      </c>
      <c r="P479" s="38" t="s">
        <v>160</v>
      </c>
      <c r="Q479" s="138">
        <f t="shared" si="16"/>
        <v>-35.0</v>
      </c>
    </row>
    <row r="480" spans="9:17" x14ac:dyDescent="0.25">
      <c r="K480" s="198" t="str">
        <f ca="1">IF($M$440&lt;$N$1308/100,"Reduzir","OK")</f>
        <v>OK</v>
      </c>
      <c r="L480" s="4" t="s">
        <v>439</v>
      </c>
      <c r="M480" s="202">
        <f ca="1">Tensões!O41</f>
        <v>10420.875982643945</v>
      </c>
      <c r="N480" s="38" t="s">
        <v>234</v>
      </c>
      <c r="O480" s="203">
        <f t="shared" ca="1" si="15"/>
        <v>10.420875982643945</v>
      </c>
      <c r="P480" s="38" t="s">
        <v>160</v>
      </c>
      <c r="Q480" s="138">
        <f t="shared" si="16"/>
        <v>-35.0</v>
      </c>
    </row>
    <row r="481" spans="11:17" x14ac:dyDescent="0.25">
      <c r="K481" s="198" t="str">
        <f ca="1">K479</f>
        <v>OK</v>
      </c>
      <c r="L481" s="4" t="s">
        <v>440</v>
      </c>
      <c r="M481" s="202">
        <f ca="1">Tensões!O42</f>
        <v>10142.524690361133</v>
      </c>
      <c r="N481" s="38" t="s">
        <v>234</v>
      </c>
      <c r="O481" s="203">
        <f t="shared" ca="1" si="15"/>
        <v>10.142524690361133</v>
      </c>
      <c r="P481" s="38" t="s">
        <v>160</v>
      </c>
      <c r="Q481" s="138">
        <f t="shared" si="16"/>
        <v>-35.0</v>
      </c>
    </row>
    <row r="482" spans="11:17" x14ac:dyDescent="0.25">
      <c r="K482" s="198" t="str">
        <f ca="1">K478</f>
        <v>OK</v>
      </c>
      <c r="L482" s="4" t="s">
        <v>441</v>
      </c>
      <c r="M482" s="202">
        <f ca="1">Tensões!O43</f>
        <v>9307.474327391597</v>
      </c>
      <c r="N482" s="38" t="s">
        <v>234</v>
      </c>
      <c r="O482" s="203">
        <f t="shared" ca="1" si="15"/>
        <v>9.307474327391597</v>
      </c>
      <c r="P482" s="38" t="s">
        <v>160</v>
      </c>
      <c r="Q482" s="138">
        <f t="shared" si="16"/>
        <v>-35.0</v>
      </c>
    </row>
    <row r="483" spans="11:17" x14ac:dyDescent="0.25">
      <c r="K483" s="198" t="str">
        <f ca="1">K477</f>
        <v>OK</v>
      </c>
      <c r="L483" s="4" t="s">
        <v>442</v>
      </c>
      <c r="M483" s="202">
        <f ca="1">Tensões!O44</f>
        <v>7915.735435862506</v>
      </c>
      <c r="N483" s="38" t="s">
        <v>234</v>
      </c>
      <c r="O483" s="203">
        <f t="shared" ca="1" si="15"/>
        <v>7.915735435862506</v>
      </c>
      <c r="P483" s="38" t="s">
        <v>160</v>
      </c>
      <c r="Q483" s="138">
        <f t="shared" si="16"/>
        <v>-35.0</v>
      </c>
    </row>
    <row r="484" spans="11:17" x14ac:dyDescent="0.25">
      <c r="K484" s="198" t="str">
        <f ca="1">K476</f>
        <v>OK</v>
      </c>
      <c r="L484" s="4" t="s">
        <v>443</v>
      </c>
      <c r="M484" s="202">
        <f ca="1">Tensões!O45</f>
        <v>5967.325587620935</v>
      </c>
      <c r="N484" s="38" t="s">
        <v>234</v>
      </c>
      <c r="O484" s="203">
        <f t="shared" ca="1" si="15"/>
        <v>5.967325587620935</v>
      </c>
      <c r="P484" s="38" t="s">
        <v>160</v>
      </c>
      <c r="Q484" s="138">
        <f t="shared" si="16"/>
        <v>-35.0</v>
      </c>
    </row>
    <row r="485" spans="11:17" x14ac:dyDescent="0.25">
      <c r="K485" s="198" t="str">
        <f ca="1">K475</f>
        <v>OK</v>
      </c>
      <c r="L485" s="4" t="s">
        <v>444</v>
      </c>
      <c r="M485" s="202">
        <f ca="1">Tensões!O46</f>
        <v>3462.269386687459</v>
      </c>
      <c r="N485" s="38" t="s">
        <v>234</v>
      </c>
      <c r="O485" s="203">
        <f t="shared" ca="1" si="15"/>
        <v>3.462269386687459</v>
      </c>
      <c r="P485" s="38" t="s">
        <v>160</v>
      </c>
      <c r="Q485" s="138">
        <f t="shared" si="16"/>
        <v>-35.0</v>
      </c>
    </row>
    <row r="486" spans="11:17" x14ac:dyDescent="0.25">
      <c r="K486" s="198" t="str">
        <f ca="1">K474</f>
        <v>OK</v>
      </c>
      <c r="L486" s="4" t="s">
        <v>445</v>
      </c>
      <c r="M486" s="202">
        <f ca="1">Tensões!O47</f>
        <v>400.59847269264174</v>
      </c>
      <c r="N486" s="38" t="s">
        <v>234</v>
      </c>
      <c r="O486" s="203">
        <f t="shared" ca="1" si="15"/>
        <v>0.40059847269264176</v>
      </c>
      <c r="P486" s="38" t="s">
        <v>160</v>
      </c>
      <c r="Q486" s="138">
        <f t="shared" si="16"/>
        <v>-35.0</v>
      </c>
    </row>
    <row r="487" spans="11:17" x14ac:dyDescent="0.25">
      <c r="K487" s="198" t="str">
        <f ca="1">K473</f>
        <v>Reduzir</v>
      </c>
      <c r="L487" s="4" t="s">
        <v>446</v>
      </c>
      <c r="M487" s="202">
        <f ca="1">Tensões!O48</f>
        <v>-3066.497476151496</v>
      </c>
      <c r="N487" s="38" t="s">
        <v>234</v>
      </c>
      <c r="O487" s="203">
        <f t="shared" ca="1" si="15"/>
        <v>-3.066497476151496</v>
      </c>
      <c r="P487" s="38" t="s">
        <v>160</v>
      </c>
      <c r="Q487" s="138">
        <f t="shared" si="16"/>
        <v>-35.0</v>
      </c>
    </row>
    <row r="488" spans="11:17" x14ac:dyDescent="0.25">
      <c r="K488" s="198" t="str">
        <f ca="1">K472</f>
        <v>Reduzir</v>
      </c>
      <c r="L488" s="4" t="s">
        <v>447</v>
      </c>
      <c r="M488" s="202">
        <f ca="1">Tensões!O49</f>
        <v>-1438.665918266116</v>
      </c>
      <c r="N488" s="38" t="s">
        <v>234</v>
      </c>
      <c r="O488" s="203">
        <f t="shared" ca="1" si="15"/>
        <v>-1.4386659182661161</v>
      </c>
      <c r="P488" s="38" t="s">
        <v>160</v>
      </c>
      <c r="Q488" s="138">
        <f t="shared" si="16"/>
        <v>-35.0</v>
      </c>
    </row>
    <row r="489" spans="11:17" x14ac:dyDescent="0.25">
      <c r="K489" s="198" t="str">
        <f ca="1">K471</f>
        <v>Reduzir</v>
      </c>
      <c r="L489" s="4" t="s">
        <v>448</v>
      </c>
      <c r="M489" s="204">
        <f ca="1">Tensões!O50</f>
        <v>-416.50009288227966</v>
      </c>
      <c r="N489" s="38" t="s">
        <v>234</v>
      </c>
      <c r="O489" s="205">
        <f t="shared" ca="1" si="15"/>
        <v>-0.4165000928822797</v>
      </c>
      <c r="P489" s="38" t="s">
        <v>160</v>
      </c>
      <c r="Q489" s="138">
        <f t="shared" si="16"/>
        <v>-35.0</v>
      </c>
    </row>
    <row r="490" spans="11:17" x14ac:dyDescent="0.25">
      <c r="K490" s="198" t="str">
        <f ca="1">K470</f>
        <v>Reduzir</v>
      </c>
      <c r="L490" s="32" t="s">
        <v>449</v>
      </c>
      <c r="M490" s="206">
        <v>0</v>
      </c>
      <c r="N490" s="207" t="s">
        <v>234</v>
      </c>
      <c r="O490" s="208">
        <f t="shared" si="15"/>
        <v>0.0</v>
      </c>
      <c r="P490" s="207" t="s">
        <v>160</v>
      </c>
      <c r="Q490" s="208">
        <f t="shared" si="16"/>
        <v>-35.0</v>
      </c>
    </row>
    <row r="511" spans="24:24" x14ac:dyDescent="0.25">
      <c r="X511" s="40"/>
    </row>
    <row r="512" spans="24:24" x14ac:dyDescent="0.25">
      <c r="X512" s="40"/>
    </row>
    <row r="513" spans="12:25" x14ac:dyDescent="0.25">
      <c r="X513" s="40"/>
      <c r="Y513" s="81"/>
    </row>
    <row r="528" spans="12:25" x14ac:dyDescent="0.25">
      <c r="L528" s="691" t="s">
        <v>451</v>
      </c>
      <c r="M528" s="691"/>
      <c r="N528" s="691"/>
      <c r="O528" s="691"/>
      <c r="P528" s="691"/>
      <c r="Q528" s="39" t="s">
        <v>428</v>
      </c>
    </row>
    <row r="529" spans="11:17" x14ac:dyDescent="0.25">
      <c r="K529" s="198" t="str">
        <f ca="1">IF($K$437&lt;$N$1307/100,"Reduzir","OK")</f>
        <v>Reduzir</v>
      </c>
      <c r="L529" s="4" t="s">
        <v>429</v>
      </c>
      <c r="M529" s="105">
        <v>0</v>
      </c>
      <c r="N529" s="38" t="s">
        <v>234</v>
      </c>
      <c r="O529" s="138">
        <f t="shared" ref="O529:O549" si="17">M529/1000</f>
        <v>0.0</v>
      </c>
      <c r="P529" s="38" t="s">
        <v>160</v>
      </c>
      <c r="Q529" s="138">
        <f>V450</f>
        <v>2.8501384974246515</v>
      </c>
    </row>
    <row r="530" spans="11:17" x14ac:dyDescent="0.25">
      <c r="K530" s="198" t="str">
        <f ca="1">IF($L$437&lt;$N$1307/100,"Reduzir","OK")</f>
        <v>Reduzir</v>
      </c>
      <c r="L530" s="4" t="s">
        <v>430</v>
      </c>
      <c r="M530" s="200">
        <f ca="1">Tensões!AA9</f>
        <v>-1628.4278786953296</v>
      </c>
      <c r="N530" s="38" t="s">
        <v>234</v>
      </c>
      <c r="O530" s="201">
        <f t="shared" ca="1" si="17"/>
        <v>-1.6284278786953297</v>
      </c>
      <c r="P530" s="38" t="s">
        <v>160</v>
      </c>
      <c r="Q530" s="138">
        <f t="shared" ref="Q530:Q549" si="18">Q529</f>
        <v>2.8501384974246515</v>
      </c>
    </row>
    <row r="531" spans="11:17" x14ac:dyDescent="0.25">
      <c r="K531" s="198" t="str">
        <f ca="1">IF($M$437&lt;$N$1307/100,"Reduzir","OK")</f>
        <v>Reduzir</v>
      </c>
      <c r="L531" s="4" t="s">
        <v>431</v>
      </c>
      <c r="M531" s="202">
        <f ca="1">Tensões!AA10</f>
        <v>-2887.765995049601</v>
      </c>
      <c r="N531" s="38" t="s">
        <v>234</v>
      </c>
      <c r="O531" s="203">
        <f t="shared" ca="1" si="17"/>
        <v>-2.887765995049601</v>
      </c>
      <c r="P531" s="38" t="s">
        <v>160</v>
      </c>
      <c r="Q531" s="138">
        <f t="shared" si="18"/>
        <v>2.8501384974246515</v>
      </c>
    </row>
    <row r="532" spans="11:17" x14ac:dyDescent="0.25">
      <c r="K532" s="198" t="str">
        <f ca="1">IF($N$437&lt;$N$1307/100,"Reduzir","OK")</f>
        <v>OK</v>
      </c>
      <c r="L532" s="4" t="s">
        <v>432</v>
      </c>
      <c r="M532" s="202">
        <f ca="1">Tensões!AA11</f>
        <v>-2588.62567063616</v>
      </c>
      <c r="N532" s="38" t="s">
        <v>234</v>
      </c>
      <c r="O532" s="203">
        <f t="shared" ca="1" si="17"/>
        <v>-2.58862567063616</v>
      </c>
      <c r="P532" s="38" t="s">
        <v>160</v>
      </c>
      <c r="Q532" s="138">
        <f t="shared" si="18"/>
        <v>2.8501384974246515</v>
      </c>
    </row>
    <row r="533" spans="11:17" x14ac:dyDescent="0.25">
      <c r="K533" s="198" t="str">
        <f ca="1">IF($O$437&lt;$N$1307/100,"Reduzir","OK")</f>
        <v>OK</v>
      </c>
      <c r="L533" s="4" t="s">
        <v>433</v>
      </c>
      <c r="M533" s="202">
        <f ca="1">Tensões!AA12</f>
        <v>-4599.298515425447</v>
      </c>
      <c r="N533" s="38" t="s">
        <v>234</v>
      </c>
      <c r="O533" s="203">
        <f t="shared" ca="1" si="17"/>
        <v>-4.599298515425446</v>
      </c>
      <c r="P533" s="38" t="s">
        <v>160</v>
      </c>
      <c r="Q533" s="138">
        <f t="shared" si="18"/>
        <v>2.8501384974246515</v>
      </c>
    </row>
    <row r="534" spans="11:17" x14ac:dyDescent="0.25">
      <c r="K534" s="198" t="str">
        <f ca="1">IF($P$437&lt;$N$1307/100,"Reduzir","OK")</f>
        <v>OK</v>
      </c>
      <c r="L534" s="4" t="s">
        <v>434</v>
      </c>
      <c r="M534" s="202">
        <f ca="1">Tensões!AA13</f>
        <v>-6300.660615612258</v>
      </c>
      <c r="N534" s="38" t="s">
        <v>234</v>
      </c>
      <c r="O534" s="203">
        <f t="shared" ca="1" si="17"/>
        <v>-6.300660615612258</v>
      </c>
      <c r="P534" s="38" t="s">
        <v>160</v>
      </c>
      <c r="Q534" s="138">
        <f t="shared" si="18"/>
        <v>2.8501384974246515</v>
      </c>
    </row>
    <row r="535" spans="11:17" x14ac:dyDescent="0.25">
      <c r="K535" s="198" t="str">
        <f ca="1">IF($Q$437&lt;$N$1307/100,"Reduzir","OK")</f>
        <v>OK</v>
      </c>
      <c r="L535" s="4" t="s">
        <v>435</v>
      </c>
      <c r="M535" s="202">
        <f ca="1">Tensões!AA14</f>
        <v>-7692.700199125593</v>
      </c>
      <c r="N535" s="38" t="s">
        <v>234</v>
      </c>
      <c r="O535" s="203">
        <f t="shared" ca="1" si="17"/>
        <v>-7.692700199125593</v>
      </c>
      <c r="P535" s="38" t="s">
        <v>160</v>
      </c>
      <c r="Q535" s="138">
        <f t="shared" si="18"/>
        <v>2.8501384974246515</v>
      </c>
    </row>
    <row r="536" spans="11:17" x14ac:dyDescent="0.25">
      <c r="K536" s="198" t="str">
        <f ca="1">IF($R$437&lt;$N$1307/100,"Reduzir","OK")</f>
        <v>OK</v>
      </c>
      <c r="L536" s="4" t="s">
        <v>436</v>
      </c>
      <c r="M536" s="202">
        <f ca="1">Tensões!AA15</f>
        <v>-8775.407636512671</v>
      </c>
      <c r="N536" s="38" t="s">
        <v>234</v>
      </c>
      <c r="O536" s="203">
        <f t="shared" ca="1" si="17"/>
        <v>-8.775407636512671</v>
      </c>
      <c r="P536" s="38" t="s">
        <v>160</v>
      </c>
      <c r="Q536" s="138">
        <f t="shared" si="18"/>
        <v>2.8501384974246515</v>
      </c>
    </row>
    <row r="537" spans="11:17" x14ac:dyDescent="0.25">
      <c r="K537" s="198" t="str">
        <f ca="1">IF($K$440&lt;$N$1307/100,"Reduzir","OK")</f>
        <v>OK</v>
      </c>
      <c r="L537" s="4" t="s">
        <v>437</v>
      </c>
      <c r="M537" s="202">
        <f ca="1">Tensões!AA16</f>
        <v>-9548.77543959332</v>
      </c>
      <c r="N537" s="38" t="s">
        <v>234</v>
      </c>
      <c r="O537" s="203">
        <f t="shared" ca="1" si="17"/>
        <v>-9.54877543959332</v>
      </c>
      <c r="P537" s="38" t="s">
        <v>160</v>
      </c>
      <c r="Q537" s="138">
        <f t="shared" si="18"/>
        <v>2.8501384974246515</v>
      </c>
    </row>
    <row r="538" spans="11:17" x14ac:dyDescent="0.25">
      <c r="K538" s="198" t="str">
        <f ca="1">IF($L$440&lt;$N$1307/100,"Reduzir","OK")</f>
        <v>OK</v>
      </c>
      <c r="L538" s="4" t="s">
        <v>438</v>
      </c>
      <c r="M538" s="202">
        <f ca="1">Tensões!AA17</f>
        <v>-10012.798260414085</v>
      </c>
      <c r="N538" s="38" t="s">
        <v>234</v>
      </c>
      <c r="O538" s="203">
        <f t="shared" ca="1" si="17"/>
        <v>-10.012798260414085</v>
      </c>
      <c r="P538" s="38" t="s">
        <v>160</v>
      </c>
      <c r="Q538" s="138">
        <f t="shared" si="18"/>
        <v>2.8501384974246515</v>
      </c>
    </row>
    <row r="539" spans="11:17" x14ac:dyDescent="0.25">
      <c r="K539" s="198" t="str">
        <f ca="1">IF($M$440&lt;$N$1307/100,"Reduzir","OK")</f>
        <v>OK</v>
      </c>
      <c r="L539" s="4" t="s">
        <v>439</v>
      </c>
      <c r="M539" s="202">
        <f ca="1">Tensões!AA18</f>
        <v>-10167.472890501474</v>
      </c>
      <c r="N539" s="38" t="s">
        <v>234</v>
      </c>
      <c r="O539" s="203">
        <f t="shared" ca="1" si="17"/>
        <v>-10.167472890501475</v>
      </c>
      <c r="P539" s="38" t="s">
        <v>160</v>
      </c>
      <c r="Q539" s="138">
        <f t="shared" si="18"/>
        <v>2.8501384974246515</v>
      </c>
    </row>
    <row r="540" spans="11:17" x14ac:dyDescent="0.25">
      <c r="K540" s="198" t="str">
        <f ca="1">K538</f>
        <v>OK</v>
      </c>
      <c r="L540" s="4" t="s">
        <v>440</v>
      </c>
      <c r="M540" s="202">
        <f ca="1">Tensões!AA19</f>
        <v>-10012.798260414085</v>
      </c>
      <c r="N540" s="38" t="s">
        <v>234</v>
      </c>
      <c r="O540" s="203">
        <f t="shared" ca="1" si="17"/>
        <v>-10.012798260414085</v>
      </c>
      <c r="P540" s="38" t="s">
        <v>160</v>
      </c>
      <c r="Q540" s="138">
        <f t="shared" si="18"/>
        <v>2.8501384974246515</v>
      </c>
    </row>
    <row r="541" spans="11:17" x14ac:dyDescent="0.25">
      <c r="K541" s="198" t="str">
        <f ca="1">K537</f>
        <v>OK</v>
      </c>
      <c r="L541" s="4" t="s">
        <v>441</v>
      </c>
      <c r="M541" s="202">
        <f ca="1">Tensões!AA20</f>
        <v>-9548.77543959332</v>
      </c>
      <c r="N541" s="38" t="s">
        <v>234</v>
      </c>
      <c r="O541" s="203">
        <f t="shared" ca="1" si="17"/>
        <v>-9.54877543959332</v>
      </c>
      <c r="P541" s="38" t="s">
        <v>160</v>
      </c>
      <c r="Q541" s="138">
        <f t="shared" si="18"/>
        <v>2.8501384974246515</v>
      </c>
    </row>
    <row r="542" spans="11:17" x14ac:dyDescent="0.25">
      <c r="K542" s="198" t="str">
        <f ca="1">K536</f>
        <v>OK</v>
      </c>
      <c r="L542" s="4" t="s">
        <v>442</v>
      </c>
      <c r="M542" s="202">
        <f ca="1">Tensões!AA21</f>
        <v>-8775.407636512671</v>
      </c>
      <c r="N542" s="38" t="s">
        <v>234</v>
      </c>
      <c r="O542" s="203">
        <f t="shared" ca="1" si="17"/>
        <v>-8.775407636512671</v>
      </c>
      <c r="P542" s="38" t="s">
        <v>160</v>
      </c>
      <c r="Q542" s="138">
        <f t="shared" si="18"/>
        <v>2.8501384974246515</v>
      </c>
    </row>
    <row r="543" spans="11:17" x14ac:dyDescent="0.25">
      <c r="K543" s="198" t="str">
        <f ca="1">K535</f>
        <v>OK</v>
      </c>
      <c r="L543" s="4" t="s">
        <v>443</v>
      </c>
      <c r="M543" s="202">
        <f ca="1">Tensões!AA22</f>
        <v>-7692.700199125593</v>
      </c>
      <c r="N543" s="38" t="s">
        <v>234</v>
      </c>
      <c r="O543" s="203">
        <f t="shared" ca="1" si="17"/>
        <v>-7.692700199125593</v>
      </c>
      <c r="P543" s="38" t="s">
        <v>160</v>
      </c>
      <c r="Q543" s="138">
        <f t="shared" si="18"/>
        <v>2.8501384974246515</v>
      </c>
    </row>
    <row r="544" spans="11:17" x14ac:dyDescent="0.25">
      <c r="K544" s="198" t="str">
        <f ca="1">K534</f>
        <v>OK</v>
      </c>
      <c r="L544" s="4" t="s">
        <v>444</v>
      </c>
      <c r="M544" s="202">
        <f ca="1">Tensões!AA23</f>
        <v>-6300.660615612258</v>
      </c>
      <c r="N544" s="38" t="s">
        <v>234</v>
      </c>
      <c r="O544" s="203">
        <f t="shared" ca="1" si="17"/>
        <v>-6.300660615612258</v>
      </c>
      <c r="P544" s="38" t="s">
        <v>160</v>
      </c>
      <c r="Q544" s="138">
        <f t="shared" si="18"/>
        <v>2.8501384974246515</v>
      </c>
    </row>
    <row r="545" spans="11:17" x14ac:dyDescent="0.25">
      <c r="K545" s="198" t="str">
        <f ca="1">K533</f>
        <v>OK</v>
      </c>
      <c r="L545" s="4" t="s">
        <v>445</v>
      </c>
      <c r="M545" s="202">
        <f ca="1">Tensões!AA24</f>
        <v>-4599.298515425448</v>
      </c>
      <c r="N545" s="38" t="s">
        <v>234</v>
      </c>
      <c r="O545" s="203">
        <f t="shared" ca="1" si="17"/>
        <v>-4.599298515425448</v>
      </c>
      <c r="P545" s="38" t="s">
        <v>160</v>
      </c>
      <c r="Q545" s="138">
        <f t="shared" si="18"/>
        <v>2.8501384974246515</v>
      </c>
    </row>
    <row r="546" spans="11:17" x14ac:dyDescent="0.25">
      <c r="K546" s="198" t="str">
        <f ca="1">K532</f>
        <v>OK</v>
      </c>
      <c r="L546" s="4" t="s">
        <v>446</v>
      </c>
      <c r="M546" s="202">
        <f ca="1">Tensões!AA25</f>
        <v>-2588.62567063616</v>
      </c>
      <c r="N546" s="38" t="s">
        <v>234</v>
      </c>
      <c r="O546" s="203">
        <f t="shared" ca="1" si="17"/>
        <v>-2.58862567063616</v>
      </c>
      <c r="P546" s="38" t="s">
        <v>160</v>
      </c>
      <c r="Q546" s="138">
        <f t="shared" si="18"/>
        <v>2.8501384974246515</v>
      </c>
    </row>
    <row r="547" spans="11:17" x14ac:dyDescent="0.25">
      <c r="K547" s="198" t="str">
        <f ca="1">K531</f>
        <v>Reduzir</v>
      </c>
      <c r="L547" s="4" t="s">
        <v>447</v>
      </c>
      <c r="M547" s="202">
        <f ca="1">Tensões!AA26</f>
        <v>-2887.7659950496045</v>
      </c>
      <c r="N547" s="38" t="s">
        <v>234</v>
      </c>
      <c r="O547" s="203">
        <f t="shared" ca="1" si="17"/>
        <v>-2.8877659950496044</v>
      </c>
      <c r="P547" s="38" t="s">
        <v>160</v>
      </c>
      <c r="Q547" s="138">
        <f t="shared" si="18"/>
        <v>2.8501384974246515</v>
      </c>
    </row>
    <row r="548" spans="11:17" x14ac:dyDescent="0.25">
      <c r="K548" s="198" t="str">
        <f ca="1">K530</f>
        <v>Reduzir</v>
      </c>
      <c r="L548" s="4" t="s">
        <v>448</v>
      </c>
      <c r="M548" s="204">
        <f ca="1">Tensões!AA27</f>
        <v>-1628.427878695333</v>
      </c>
      <c r="N548" s="38" t="s">
        <v>234</v>
      </c>
      <c r="O548" s="205">
        <f t="shared" ca="1" si="17"/>
        <v>-1.628427878695333</v>
      </c>
      <c r="P548" s="38" t="s">
        <v>160</v>
      </c>
      <c r="Q548" s="138">
        <f t="shared" si="18"/>
        <v>2.8501384974246515</v>
      </c>
    </row>
    <row r="549" spans="11:17" x14ac:dyDescent="0.25">
      <c r="K549" s="198" t="str">
        <f ca="1">K529</f>
        <v>Reduzir</v>
      </c>
      <c r="L549" s="32" t="s">
        <v>449</v>
      </c>
      <c r="M549" s="206">
        <v>0</v>
      </c>
      <c r="N549" s="207" t="s">
        <v>234</v>
      </c>
      <c r="O549" s="208">
        <f t="shared" si="17"/>
        <v>0.0</v>
      </c>
      <c r="P549" s="207" t="s">
        <v>160</v>
      </c>
      <c r="Q549" s="208">
        <f t="shared" si="18"/>
        <v>2.8501384974246515</v>
      </c>
    </row>
    <row r="551" spans="11:17" x14ac:dyDescent="0.25">
      <c r="L551" s="691" t="s">
        <v>452</v>
      </c>
      <c r="M551" s="691"/>
      <c r="N551" s="691"/>
      <c r="O551" s="691"/>
      <c r="P551" s="691"/>
      <c r="Q551" s="39" t="s">
        <v>428</v>
      </c>
    </row>
    <row r="552" spans="11:17" x14ac:dyDescent="0.25">
      <c r="K552" s="198" t="str">
        <f ca="1">IF($K$437&lt;$N$1308/100,"Reduzir","OK")</f>
        <v>Reduzir</v>
      </c>
      <c r="L552" s="4" t="s">
        <v>429</v>
      </c>
      <c r="M552" s="105">
        <v>0</v>
      </c>
      <c r="N552" s="38" t="s">
        <v>234</v>
      </c>
      <c r="O552" s="138">
        <f t="shared" ref="O552:O572" si="19">M552/1000</f>
        <v>0.0</v>
      </c>
      <c r="P552" s="38" t="s">
        <v>160</v>
      </c>
      <c r="Q552" s="138">
        <f>V449</f>
        <v>-35.0</v>
      </c>
    </row>
    <row r="553" spans="11:17" x14ac:dyDescent="0.25">
      <c r="K553" s="198" t="str">
        <f ca="1">IF($L$437&lt;$N$1308/100,"Reduzir","OK")</f>
        <v>Reduzir</v>
      </c>
      <c r="L553" s="4" t="s">
        <v>430</v>
      </c>
      <c r="M553" s="200">
        <f ca="1">Tensões!AA32</f>
        <v>-416.5000928822924</v>
      </c>
      <c r="N553" s="38" t="s">
        <v>234</v>
      </c>
      <c r="O553" s="201">
        <f t="shared" ca="1" si="19"/>
        <v>-0.4165000928822924</v>
      </c>
      <c r="P553" s="38" t="s">
        <v>160</v>
      </c>
      <c r="Q553" s="138">
        <f t="shared" ref="Q553:Q572" si="20">Q552</f>
        <v>-35.0</v>
      </c>
    </row>
    <row r="554" spans="11:17" x14ac:dyDescent="0.25">
      <c r="K554" s="198" t="str">
        <f ca="1">IF($M$437&lt;$N$1308/100,"Reduzir","OK")</f>
        <v>Reduzir</v>
      </c>
      <c r="L554" s="4" t="s">
        <v>431</v>
      </c>
      <c r="M554" s="202">
        <f ca="1">Tensões!AA33</f>
        <v>-1438.665918266127</v>
      </c>
      <c r="N554" s="38" t="s">
        <v>234</v>
      </c>
      <c r="O554" s="203">
        <f t="shared" ca="1" si="19"/>
        <v>-1.438665918266127</v>
      </c>
      <c r="P554" s="38" t="s">
        <v>160</v>
      </c>
      <c r="Q554" s="138">
        <f t="shared" si="20"/>
        <v>-35.0</v>
      </c>
    </row>
    <row r="555" spans="11:17" x14ac:dyDescent="0.25">
      <c r="K555" s="198" t="str">
        <f ca="1">IF($N$437&lt;$N$1308/100,"Reduzir","OK")</f>
        <v>Reduzir</v>
      </c>
      <c r="L555" s="4" t="s">
        <v>432</v>
      </c>
      <c r="M555" s="202">
        <f ca="1">Tensões!AA34</f>
        <v>-3066.497476151507</v>
      </c>
      <c r="N555" s="38" t="s">
        <v>234</v>
      </c>
      <c r="O555" s="203">
        <f t="shared" ca="1" si="19"/>
        <v>-3.0664974761515067</v>
      </c>
      <c r="P555" s="38" t="s">
        <v>160</v>
      </c>
      <c r="Q555" s="138">
        <f t="shared" si="20"/>
        <v>-35.0</v>
      </c>
    </row>
    <row r="556" spans="11:17" x14ac:dyDescent="0.25">
      <c r="K556" s="198" t="str">
        <f ca="1">IF($O$437&lt;$N$1308/100,"Reduzir","OK")</f>
        <v>OK</v>
      </c>
      <c r="L556" s="4" t="s">
        <v>433</v>
      </c>
      <c r="M556" s="202">
        <f ca="1">Tensões!AA35</f>
        <v>-8131.518217197403</v>
      </c>
      <c r="N556" s="38" t="s">
        <v>234</v>
      </c>
      <c r="O556" s="203">
        <f t="shared" ca="1" si="19"/>
        <v>-8.131518217197403</v>
      </c>
      <c r="P556" s="38" t="s">
        <v>160</v>
      </c>
      <c r="Q556" s="138">
        <f t="shared" si="20"/>
        <v>-35.0</v>
      </c>
    </row>
    <row r="557" spans="11:17" x14ac:dyDescent="0.25">
      <c r="K557" s="198" t="str">
        <f ca="1">IF($P$437&lt;$N$1308/100,"Reduzir","OK")</f>
        <v>OK</v>
      </c>
      <c r="L557" s="4" t="s">
        <v>434</v>
      </c>
      <c r="M557" s="202">
        <f ca="1">Tensões!AA36</f>
        <v>-6536.304859277433</v>
      </c>
      <c r="N557" s="38" t="s">
        <v>234</v>
      </c>
      <c r="O557" s="203">
        <f t="shared" ca="1" si="19"/>
        <v>-6.536304859277433</v>
      </c>
      <c r="P557" s="38" t="s">
        <v>160</v>
      </c>
      <c r="Q557" s="138">
        <f t="shared" si="20"/>
        <v>-35.0</v>
      </c>
    </row>
    <row r="558" spans="11:17" x14ac:dyDescent="0.25">
      <c r="K558" s="198" t="str">
        <f ca="1">IF($Q$437&lt;$N$1308/100,"Reduzir","OK")</f>
        <v>OK</v>
      </c>
      <c r="L558" s="4" t="s">
        <v>435</v>
      </c>
      <c r="M558" s="202">
        <f ca="1">Tensões!AA37</f>
        <v>-5231.07756785974</v>
      </c>
      <c r="N558" s="38" t="s">
        <v>234</v>
      </c>
      <c r="O558" s="203">
        <f t="shared" ca="1" si="19"/>
        <v>-5.2310775678597405</v>
      </c>
      <c r="P558" s="38" t="s">
        <v>160</v>
      </c>
      <c r="Q558" s="138">
        <f t="shared" si="20"/>
        <v>-35.0</v>
      </c>
    </row>
    <row r="559" spans="11:17" x14ac:dyDescent="0.25">
      <c r="K559" s="198" t="str">
        <f ca="1">IF($R$437&lt;$N$1308/100,"Reduzir","OK")</f>
        <v>OK</v>
      </c>
      <c r="L559" s="4" t="s">
        <v>436</v>
      </c>
      <c r="M559" s="202">
        <f ca="1">Tensões!AA38</f>
        <v>-4215.867982574894</v>
      </c>
      <c r="N559" s="38" t="s">
        <v>234</v>
      </c>
      <c r="O559" s="203">
        <f t="shared" ca="1" si="19"/>
        <v>-4.215867982574894</v>
      </c>
      <c r="P559" s="38" t="s">
        <v>160</v>
      </c>
      <c r="Q559" s="138">
        <f t="shared" si="20"/>
        <v>-35.0</v>
      </c>
    </row>
    <row r="560" spans="11:17" x14ac:dyDescent="0.25">
      <c r="K560" s="198" t="str">
        <f ca="1">IF($K$440&lt;$N$1308/100,"Reduzir","OK")</f>
        <v>OK</v>
      </c>
      <c r="L560" s="4" t="s">
        <v>437</v>
      </c>
      <c r="M560" s="202">
        <f ca="1">Tensões!AA39</f>
        <v>-3490.70070744346</v>
      </c>
      <c r="N560" s="38" t="s">
        <v>234</v>
      </c>
      <c r="O560" s="203">
        <f t="shared" ca="1" si="19"/>
        <v>-3.49070070744346</v>
      </c>
      <c r="P560" s="38" t="s">
        <v>160</v>
      </c>
      <c r="Q560" s="138">
        <f t="shared" si="20"/>
        <v>-35.0</v>
      </c>
    </row>
    <row r="561" spans="11:17" x14ac:dyDescent="0.25">
      <c r="K561" s="198" t="str">
        <f ca="1">IF($L$440&lt;$N$1308/100,"Reduzir","OK")</f>
        <v>OK</v>
      </c>
      <c r="L561" s="4" t="s">
        <v>438</v>
      </c>
      <c r="M561" s="202">
        <f ca="1">Tensões!AA40</f>
        <v>-3055.5933143125176</v>
      </c>
      <c r="N561" s="38" t="s">
        <v>234</v>
      </c>
      <c r="O561" s="203">
        <f t="shared" ca="1" si="19"/>
        <v>-3.055593314312518</v>
      </c>
      <c r="P561" s="38" t="s">
        <v>160</v>
      </c>
      <c r="Q561" s="138">
        <f t="shared" si="20"/>
        <v>-35.0</v>
      </c>
    </row>
    <row r="562" spans="11:17" x14ac:dyDescent="0.25">
      <c r="K562" s="198" t="str">
        <f ca="1">IF($M$440&lt;$N$1308/100,"Reduzir","OK")</f>
        <v>OK</v>
      </c>
      <c r="L562" s="4" t="s">
        <v>439</v>
      </c>
      <c r="M562" s="202">
        <f ca="1">Tensões!AA41</f>
        <v>-2910.556345309237</v>
      </c>
      <c r="N562" s="38" t="s">
        <v>234</v>
      </c>
      <c r="O562" s="203">
        <f t="shared" ca="1" si="19"/>
        <v>-2.910556345309237</v>
      </c>
      <c r="P562" s="38" t="s">
        <v>160</v>
      </c>
      <c r="Q562" s="138">
        <f t="shared" si="20"/>
        <v>-35.0</v>
      </c>
    </row>
    <row r="563" spans="11:17" x14ac:dyDescent="0.25">
      <c r="K563" s="198" t="str">
        <f ca="1">K561</f>
        <v>OK</v>
      </c>
      <c r="L563" s="4" t="s">
        <v>440</v>
      </c>
      <c r="M563" s="202">
        <f ca="1">Tensões!AA42</f>
        <v>-3055.5933143125176</v>
      </c>
      <c r="N563" s="38" t="s">
        <v>234</v>
      </c>
      <c r="O563" s="203">
        <f t="shared" ca="1" si="19"/>
        <v>-3.055593314312518</v>
      </c>
      <c r="P563" s="38" t="s">
        <v>160</v>
      </c>
      <c r="Q563" s="138">
        <f t="shared" si="20"/>
        <v>-35.0</v>
      </c>
    </row>
    <row r="564" spans="11:17" x14ac:dyDescent="0.25">
      <c r="K564" s="198" t="str">
        <f ca="1">K560</f>
        <v>OK</v>
      </c>
      <c r="L564" s="4" t="s">
        <v>441</v>
      </c>
      <c r="M564" s="202">
        <f ca="1">Tensões!AA43</f>
        <v>-3490.70070744346</v>
      </c>
      <c r="N564" s="38" t="s">
        <v>234</v>
      </c>
      <c r="O564" s="203">
        <f t="shared" ca="1" si="19"/>
        <v>-3.49070070744346</v>
      </c>
      <c r="P564" s="38" t="s">
        <v>160</v>
      </c>
      <c r="Q564" s="138">
        <f t="shared" si="20"/>
        <v>-35.0</v>
      </c>
    </row>
    <row r="565" spans="11:17" x14ac:dyDescent="0.25">
      <c r="K565" s="198" t="str">
        <f ca="1">K559</f>
        <v>OK</v>
      </c>
      <c r="L565" s="4" t="s">
        <v>442</v>
      </c>
      <c r="M565" s="202">
        <f ca="1">Tensões!AA44</f>
        <v>-4215.867982574894</v>
      </c>
      <c r="N565" s="38" t="s">
        <v>234</v>
      </c>
      <c r="O565" s="203">
        <f t="shared" ca="1" si="19"/>
        <v>-4.215867982574894</v>
      </c>
      <c r="P565" s="38" t="s">
        <v>160</v>
      </c>
      <c r="Q565" s="138">
        <f t="shared" si="20"/>
        <v>-35.0</v>
      </c>
    </row>
    <row r="566" spans="11:17" x14ac:dyDescent="0.25">
      <c r="K566" s="198" t="str">
        <f ca="1">K558</f>
        <v>OK</v>
      </c>
      <c r="L566" s="4" t="s">
        <v>443</v>
      </c>
      <c r="M566" s="202">
        <f ca="1">Tensões!AA45</f>
        <v>-5231.07756785974</v>
      </c>
      <c r="N566" s="38" t="s">
        <v>234</v>
      </c>
      <c r="O566" s="203">
        <f t="shared" ca="1" si="19"/>
        <v>-5.2310775678597405</v>
      </c>
      <c r="P566" s="38" t="s">
        <v>160</v>
      </c>
      <c r="Q566" s="138">
        <f t="shared" si="20"/>
        <v>-35.0</v>
      </c>
    </row>
    <row r="567" spans="11:17" x14ac:dyDescent="0.25">
      <c r="K567" s="198" t="str">
        <f ca="1">K557</f>
        <v>OK</v>
      </c>
      <c r="L567" s="4" t="s">
        <v>444</v>
      </c>
      <c r="M567" s="202">
        <f ca="1">Tensões!AA46</f>
        <v>-6536.304859277433</v>
      </c>
      <c r="N567" s="38" t="s">
        <v>234</v>
      </c>
      <c r="O567" s="203">
        <f t="shared" ca="1" si="19"/>
        <v>-6.536304859277433</v>
      </c>
      <c r="P567" s="38" t="s">
        <v>160</v>
      </c>
      <c r="Q567" s="138">
        <f t="shared" si="20"/>
        <v>-35.0</v>
      </c>
    </row>
    <row r="568" spans="11:17" x14ac:dyDescent="0.25">
      <c r="K568" s="198" t="str">
        <f ca="1">K556</f>
        <v>OK</v>
      </c>
      <c r="L568" s="4" t="s">
        <v>445</v>
      </c>
      <c r="M568" s="202">
        <f ca="1">Tensões!AA47</f>
        <v>-8131.518217197401</v>
      </c>
      <c r="N568" s="38" t="s">
        <v>234</v>
      </c>
      <c r="O568" s="203">
        <f t="shared" ca="1" si="19"/>
        <v>-8.131518217197401</v>
      </c>
      <c r="P568" s="38" t="s">
        <v>160</v>
      </c>
      <c r="Q568" s="138">
        <f t="shared" si="20"/>
        <v>-35.0</v>
      </c>
    </row>
    <row r="569" spans="11:17" x14ac:dyDescent="0.25">
      <c r="K569" s="198" t="str">
        <f ca="1">K555</f>
        <v>Reduzir</v>
      </c>
      <c r="L569" s="4" t="s">
        <v>446</v>
      </c>
      <c r="M569" s="202">
        <f ca="1">Tensões!AA48</f>
        <v>-3066.497476151496</v>
      </c>
      <c r="N569" s="38" t="s">
        <v>234</v>
      </c>
      <c r="O569" s="203">
        <f t="shared" ca="1" si="19"/>
        <v>-3.066497476151496</v>
      </c>
      <c r="P569" s="38" t="s">
        <v>160</v>
      </c>
      <c r="Q569" s="138">
        <f t="shared" si="20"/>
        <v>-35.0</v>
      </c>
    </row>
    <row r="570" spans="11:17" x14ac:dyDescent="0.25">
      <c r="K570" s="198" t="str">
        <f ca="1">K554</f>
        <v>Reduzir</v>
      </c>
      <c r="L570" s="4" t="s">
        <v>447</v>
      </c>
      <c r="M570" s="202">
        <f ca="1">Tensões!AA49</f>
        <v>-1438.665918266116</v>
      </c>
      <c r="N570" s="38" t="s">
        <v>234</v>
      </c>
      <c r="O570" s="203">
        <f t="shared" ca="1" si="19"/>
        <v>-1.4386659182661161</v>
      </c>
      <c r="P570" s="38" t="s">
        <v>160</v>
      </c>
      <c r="Q570" s="138">
        <f t="shared" si="20"/>
        <v>-35.0</v>
      </c>
    </row>
    <row r="571" spans="11:17" x14ac:dyDescent="0.25">
      <c r="K571" s="198" t="str">
        <f ca="1">K553</f>
        <v>Reduzir</v>
      </c>
      <c r="L571" s="4" t="s">
        <v>448</v>
      </c>
      <c r="M571" s="204">
        <f ca="1">Tensões!AA50</f>
        <v>-416.50009288227966</v>
      </c>
      <c r="N571" s="38" t="s">
        <v>234</v>
      </c>
      <c r="O571" s="205">
        <f t="shared" ca="1" si="19"/>
        <v>-0.4165000928822797</v>
      </c>
      <c r="P571" s="38" t="s">
        <v>160</v>
      </c>
      <c r="Q571" s="138">
        <f t="shared" si="20"/>
        <v>-35.0</v>
      </c>
    </row>
    <row r="572" spans="11:17" x14ac:dyDescent="0.25">
      <c r="K572" s="198" t="str">
        <f ca="1">K552</f>
        <v>Reduzir</v>
      </c>
      <c r="L572" s="32" t="s">
        <v>449</v>
      </c>
      <c r="M572" s="206">
        <v>0</v>
      </c>
      <c r="N572" s="207" t="s">
        <v>234</v>
      </c>
      <c r="O572" s="208">
        <f t="shared" si="19"/>
        <v>0.0</v>
      </c>
      <c r="P572" s="207" t="s">
        <v>160</v>
      </c>
      <c r="Q572" s="208">
        <f t="shared" si="20"/>
        <v>-35.0</v>
      </c>
    </row>
    <row r="581" spans="12:15" x14ac:dyDescent="0.25">
      <c r="L581" s="105"/>
      <c r="N581" s="105"/>
      <c r="O581" s="105"/>
    </row>
    <row r="582" spans="12:15" x14ac:dyDescent="0.25">
      <c r="L582" s="105"/>
      <c r="N582" s="105"/>
      <c r="O582" s="105"/>
    </row>
    <row r="610" spans="11:19" x14ac:dyDescent="0.25">
      <c r="K610" s="653" t="s">
        <v>2173</v>
      </c>
      <c r="L610" s="653"/>
      <c r="M610" s="653"/>
      <c r="N610" s="653"/>
      <c r="O610" s="653"/>
      <c r="P610" s="653"/>
      <c r="Q610" s="653"/>
      <c r="R610" s="653"/>
    </row>
    <row r="612" spans="11:19" x14ac:dyDescent="0.25">
      <c r="M612" s="685" t="s">
        <v>387</v>
      </c>
      <c r="N612" s="685"/>
      <c r="O612" s="685"/>
      <c r="P612" s="685"/>
    </row>
    <row r="613" spans="11:19" x14ac:dyDescent="0.25">
      <c r="M613" s="122" t="s">
        <v>454</v>
      </c>
      <c r="P613" s="123"/>
    </row>
    <row r="614" spans="11:19" x14ac:dyDescent="0.25">
      <c r="M614" s="209" t="s">
        <v>455</v>
      </c>
      <c r="N614" s="103">
        <f ca="1">M457</f>
        <v>-12409.40661718194</v>
      </c>
      <c r="O614" s="38" t="str">
        <f ca="1">IF(N614&gt;0,"Tração","Compressão")</f>
        <v>Compressão</v>
      </c>
      <c r="P614" s="123"/>
      <c r="Q614" s="686" t="str">
        <f>IF($M$19="1 - Retângular","Ok",IF(($L$63/100)&lt;N618,"OBS: Valor da linha neutra é MAIOR que hf1 - armadura ativa necessita verificação","Ok"))</f>
        <v>Ok</v>
      </c>
      <c r="R614" s="686"/>
      <c r="S614" s="211"/>
    </row>
    <row r="615" spans="11:19" x14ac:dyDescent="0.25">
      <c r="M615" s="209" t="s">
        <v>456</v>
      </c>
      <c r="N615" s="103">
        <f ca="1">M480</f>
        <v>10420.875982643945</v>
      </c>
      <c r="O615" s="38" t="str">
        <f ca="1">IF(N615&gt;0,"Tração","Compressão")</f>
        <v>Tração</v>
      </c>
      <c r="P615" s="123"/>
      <c r="Q615" s="686"/>
      <c r="R615" s="686"/>
      <c r="S615" s="211"/>
    </row>
    <row r="616" spans="11:19" x14ac:dyDescent="0.25">
      <c r="M616" s="209" t="s">
        <v>457</v>
      </c>
      <c r="N616" s="103">
        <f>IF(M19="1 - Retângular",L26,L61)</f>
        <v>30.0</v>
      </c>
      <c r="O616" s="38" t="s">
        <v>294</v>
      </c>
      <c r="P616" s="123"/>
      <c r="Q616" s="686"/>
      <c r="R616" s="686"/>
      <c r="S616" s="211"/>
    </row>
    <row r="617" spans="11:19" x14ac:dyDescent="0.25">
      <c r="M617" s="209" t="s">
        <v>60</v>
      </c>
      <c r="N617" s="103">
        <f>IF(M19="1 - Retângular",IF(M18="1 - Sim",L27+L42,L27),L70)</f>
        <v>85.0</v>
      </c>
      <c r="O617" s="38" t="s">
        <v>294</v>
      </c>
      <c r="P617" s="123"/>
      <c r="Q617" s="686"/>
      <c r="R617" s="686"/>
    </row>
    <row r="618" spans="11:19" x14ac:dyDescent="0.25">
      <c r="M618" s="209" t="s">
        <v>8</v>
      </c>
      <c r="N618" s="189">
        <f ca="1">IFERROR(((INDEX(N614:N615,MATCH("Tração",O614:O615,0)))/((INDEX(N614:N615,MATCH("Tração",O614:O615,0)))+(ABS(INDEX(N614:N615,MATCH("Compressão",O614:O615,0))))))*(L27/100),0)</f>
        <v>0.27386982891022343</v>
      </c>
      <c r="O618" s="38" t="s">
        <v>32</v>
      </c>
      <c r="P618" s="123"/>
      <c r="Q618" s="686"/>
      <c r="R618" s="686"/>
    </row>
    <row r="619" spans="11:19" x14ac:dyDescent="0.25">
      <c r="M619" s="209" t="s">
        <v>458</v>
      </c>
      <c r="N619" s="97">
        <f ca="1">IFERROR((INDEX(N614:N615,MATCH("Tração",O614:O615,0))*N616/100*(N618/2)),0)</f>
        <v>428.0945283692031</v>
      </c>
      <c r="O619" s="38" t="s">
        <v>292</v>
      </c>
      <c r="P619" s="123"/>
      <c r="Q619" s="686"/>
      <c r="R619" s="686"/>
    </row>
    <row r="620" spans="11:19" x14ac:dyDescent="0.25">
      <c r="M620" s="212" t="str">
        <f ca="1">IF(O614="Tração","A's (sup.)",IF(O615="Tração","As (inf.)","A's"))</f>
        <v>As (inf.)</v>
      </c>
      <c r="N620" s="83">
        <f ca="1">N619/((25))</f>
        <v>17.123781134768123</v>
      </c>
      <c r="O620" s="38" t="s">
        <v>247</v>
      </c>
      <c r="P620" s="123"/>
      <c r="Q620" s="686"/>
      <c r="R620" s="686"/>
    </row>
    <row r="621" spans="11:19" x14ac:dyDescent="0.25">
      <c r="M621" s="122"/>
      <c r="N621" s="61"/>
      <c r="P621" s="123"/>
      <c r="Q621" s="686"/>
      <c r="R621" s="686"/>
    </row>
    <row r="622" spans="11:19" x14ac:dyDescent="0.25">
      <c r="M622" s="213">
        <f ca="1">ROUNDUP(N620/VLOOKUP(O622,$S$1035:$T$1042,2),0)</f>
        <v>9.0</v>
      </c>
      <c r="N622" s="214" t="s">
        <v>459</v>
      </c>
      <c r="O622" s="215">
        <f ca="1">IF(O614="Tração",Taxas!I50,Taxas!I57)</f>
        <v>16.0</v>
      </c>
      <c r="P622" s="145" t="s">
        <v>460</v>
      </c>
      <c r="Q622" s="686"/>
      <c r="R622" s="686"/>
    </row>
    <row r="624" spans="11:19" x14ac:dyDescent="0.25">
      <c r="M624" s="692" t="s">
        <v>387</v>
      </c>
      <c r="N624" s="692"/>
      <c r="O624" s="692"/>
      <c r="P624" s="692"/>
    </row>
    <row r="625" spans="11:18" x14ac:dyDescent="0.25">
      <c r="M625" s="4" t="s">
        <v>454</v>
      </c>
    </row>
    <row r="626" spans="11:18" x14ac:dyDescent="0.25">
      <c r="M626" s="80" t="s">
        <v>455</v>
      </c>
      <c r="N626" s="103">
        <f ca="1">M539</f>
        <v>-10167.472890501474</v>
      </c>
      <c r="O626" s="38" t="str">
        <f ca="1">IF(N626&gt;0,"Tração","Compressão")</f>
        <v>Compressão</v>
      </c>
    </row>
    <row r="627" spans="11:18" x14ac:dyDescent="0.25">
      <c r="M627" s="80" t="s">
        <v>456</v>
      </c>
      <c r="N627" s="103">
        <f ca="1">M562</f>
        <v>-2910.556345309237</v>
      </c>
      <c r="O627" s="38" t="str">
        <f ca="1">IF(N627&gt;0,"Tração","Compressão")</f>
        <v>Compressão</v>
      </c>
    </row>
    <row r="628" spans="11:18" x14ac:dyDescent="0.25">
      <c r="M628" s="80" t="s">
        <v>457</v>
      </c>
      <c r="N628" s="103">
        <f>IF(M19="1 - Retângular",L26,L61)</f>
        <v>30.0</v>
      </c>
      <c r="O628" s="38" t="s">
        <v>294</v>
      </c>
    </row>
    <row r="629" spans="11:18" x14ac:dyDescent="0.25">
      <c r="M629" s="80" t="s">
        <v>60</v>
      </c>
      <c r="N629" s="103">
        <f>IF(M19="1 - Retângular",IF(M18="1 - Sim",L27+L42,L27),L70)</f>
        <v>85.0</v>
      </c>
      <c r="O629" s="38" t="s">
        <v>294</v>
      </c>
    </row>
    <row r="630" spans="11:18" x14ac:dyDescent="0.25">
      <c r="M630" s="80" t="s">
        <v>8</v>
      </c>
      <c r="N630" s="189">
        <f ca="1">IFERROR((((_xlfn.XLOOKUP("Tração",O626:O627,N626:N627))/((_xlfn.XLOOKUP("Tração",O626:O627,N626:N627))+(ABS(_xlfn.XLOOKUP("Compressão",O626:O627,N626:N627)))))*(L27/100)),0)</f>
        <v>0.0</v>
      </c>
      <c r="O630" s="38" t="s">
        <v>32</v>
      </c>
      <c r="Q630" s="60"/>
      <c r="R630" s="216"/>
    </row>
    <row r="631" spans="11:18" x14ac:dyDescent="0.25">
      <c r="M631" s="80" t="s">
        <v>458</v>
      </c>
      <c r="N631" s="97">
        <f ca="1">IFERROR((_xlfn.XLOOKUP("Tração",O626:O627,N626:N627)*N628/100*(N630/2)),0)</f>
        <v>0.0</v>
      </c>
      <c r="O631" s="38" t="s">
        <v>292</v>
      </c>
      <c r="P631" s="690" t="str">
        <f>IF($M$19="1 - Retângular","Ok",IF(($L$63/100)&lt;N630,"OBS: Valor da linha neutra é MAIOR que hf1 - armadura ativa necessita verificação","Ok"))</f>
        <v>Ok</v>
      </c>
      <c r="Q631" s="690"/>
      <c r="R631" s="690"/>
    </row>
    <row r="632" spans="11:18" x14ac:dyDescent="0.25">
      <c r="M632" s="217" t="str">
        <f ca="1">IF(O626="Tração","A's (sup.)",IF(O627="Tração","As (inf.)","A's"))</f>
        <v>A's</v>
      </c>
      <c r="N632" s="83">
        <f ca="1">N631/((25))</f>
        <v>0.0</v>
      </c>
      <c r="O632" s="38" t="s">
        <v>247</v>
      </c>
      <c r="P632" s="690"/>
      <c r="Q632" s="690"/>
      <c r="R632" s="690"/>
    </row>
    <row r="633" spans="11:18" x14ac:dyDescent="0.25">
      <c r="N633" s="61"/>
      <c r="P633" s="690"/>
      <c r="Q633" s="690"/>
      <c r="R633" s="690"/>
    </row>
    <row r="634" spans="11:18" x14ac:dyDescent="0.25">
      <c r="M634" s="39">
        <f ca="1">ROUNDUP(N632/VLOOKUP(O634,$S$1035:$T$1042,2),0)</f>
        <v>0.0</v>
      </c>
      <c r="N634" s="39" t="s">
        <v>459</v>
      </c>
      <c r="O634" s="218">
        <f ca="1">IF(O626="Tração",Taxas!I50,Taxas!I57)</f>
        <v>16.0</v>
      </c>
      <c r="P634" s="96" t="s">
        <v>460</v>
      </c>
    </row>
    <row r="635" spans="11:18" x14ac:dyDescent="0.25">
      <c r="M635" s="39"/>
      <c r="N635" s="39"/>
      <c r="O635" s="96"/>
      <c r="P635" s="96"/>
    </row>
    <row r="636" spans="11:18" x14ac:dyDescent="0.25">
      <c r="K636" s="653" t="s">
        <v>461</v>
      </c>
      <c r="L636" s="653"/>
      <c r="M636" s="653"/>
      <c r="N636" s="653"/>
      <c r="O636" s="653"/>
      <c r="P636" s="653"/>
      <c r="Q636" s="653"/>
      <c r="R636" s="653"/>
    </row>
    <row r="637" spans="11:18" hidden="1" x14ac:dyDescent="0.25"/>
    <row r="638" spans="11:18" hidden="1" x14ac:dyDescent="0.25"/>
    <row r="639" spans="11:18" hidden="1" x14ac:dyDescent="0.25">
      <c r="L639" s="691" t="s">
        <v>462</v>
      </c>
      <c r="M639" s="691"/>
      <c r="N639" s="691"/>
      <c r="O639" s="691"/>
      <c r="P639" s="691"/>
      <c r="Q639" s="691"/>
    </row>
    <row r="640" spans="11:18" hidden="1" x14ac:dyDescent="0.25">
      <c r="L640" s="4" t="s">
        <v>383</v>
      </c>
      <c r="M640" s="27">
        <f>0.7*L82*1000</f>
        <v>35000.0</v>
      </c>
      <c r="N640" s="38" t="s">
        <v>234</v>
      </c>
      <c r="O640" s="27" t="s">
        <v>384</v>
      </c>
      <c r="Q640" s="27" t="s">
        <v>383</v>
      </c>
    </row>
    <row r="641" spans="11:19" hidden="1" x14ac:dyDescent="0.25">
      <c r="L641" s="32" t="s">
        <v>384</v>
      </c>
      <c r="M641" s="30">
        <v>0</v>
      </c>
      <c r="N641" s="207" t="s">
        <v>234</v>
      </c>
      <c r="O641" s="206">
        <f>-M641</f>
        <v>-0.0</v>
      </c>
      <c r="P641" s="30" t="s">
        <v>385</v>
      </c>
      <c r="Q641" s="30">
        <f>M640</f>
        <v>35000.0</v>
      </c>
    </row>
    <row r="642" spans="11:19" hidden="1" x14ac:dyDescent="0.25"/>
    <row r="643" spans="11:19" hidden="1" x14ac:dyDescent="0.25"/>
    <row r="644" spans="11:19" hidden="1" x14ac:dyDescent="0.25"/>
    <row r="645" spans="11:19" hidden="1" x14ac:dyDescent="0.25">
      <c r="K645" s="663" t="s">
        <v>463</v>
      </c>
      <c r="L645" s="663"/>
      <c r="N645" s="29"/>
      <c r="O645" s="663" t="s">
        <v>464</v>
      </c>
      <c r="P645" s="663"/>
    </row>
    <row r="646" spans="11:19" hidden="1" x14ac:dyDescent="0.25">
      <c r="L646" s="663" t="s">
        <v>387</v>
      </c>
      <c r="M646" s="663"/>
      <c r="N646" s="29"/>
      <c r="P646" s="663" t="s">
        <v>387</v>
      </c>
      <c r="Q646" s="663"/>
      <c r="R646" s="29"/>
      <c r="S646" s="29"/>
    </row>
    <row r="647" spans="11:19" hidden="1" x14ac:dyDescent="0.25">
      <c r="K647" s="658" t="s">
        <v>389</v>
      </c>
      <c r="L647" s="103">
        <f ca="1">L650+L651-L652-L653-L654</f>
        <v>-3555.00045242523</v>
      </c>
      <c r="M647" s="38" t="s">
        <v>234</v>
      </c>
      <c r="O647" s="658" t="s">
        <v>389</v>
      </c>
      <c r="P647" s="103">
        <f ca="1">P649-P650+P651+P652+P653</f>
        <v>11662.095374955119</v>
      </c>
      <c r="Q647" s="38" t="s">
        <v>234</v>
      </c>
    </row>
    <row r="648" spans="11:19" hidden="1" x14ac:dyDescent="0.25">
      <c r="K648" s="658"/>
      <c r="L648" s="83">
        <f ca="1">L647/1000</f>
        <v>-3.55500045242523</v>
      </c>
      <c r="M648" s="64" t="s">
        <v>233</v>
      </c>
      <c r="O648" s="658"/>
      <c r="P648" s="83">
        <f ca="1">P647/1000</f>
        <v>11.662095374955118</v>
      </c>
      <c r="Q648" s="64" t="s">
        <v>233</v>
      </c>
    </row>
    <row r="649" spans="11:19" hidden="1" x14ac:dyDescent="0.25">
      <c r="M649" s="38"/>
      <c r="O649" s="80" t="s">
        <v>390</v>
      </c>
      <c r="P649" s="103">
        <f ca="1">(L373/(L48/100^2))</f>
        <v>6908.664571281113</v>
      </c>
      <c r="Q649" s="38"/>
    </row>
    <row r="650" spans="11:19" hidden="1" x14ac:dyDescent="0.25">
      <c r="K650" s="80" t="s">
        <v>390</v>
      </c>
      <c r="L650" s="103">
        <f ca="1">(L373/(L48/100^2))</f>
        <v>6908.664571281113</v>
      </c>
      <c r="M650" s="38"/>
      <c r="O650" s="80" t="s">
        <v>399</v>
      </c>
      <c r="P650" s="103">
        <f ca="1">(L374/(L52/100^3))</f>
        <v>12953.746071152087</v>
      </c>
      <c r="Q650" s="38"/>
    </row>
    <row r="651" spans="11:19" hidden="1" x14ac:dyDescent="0.25">
      <c r="K651" s="80" t="s">
        <v>391</v>
      </c>
      <c r="L651" s="103">
        <f ca="1">(L374/(L52/100^3))</f>
        <v>12953.746071152087</v>
      </c>
      <c r="M651" s="38"/>
      <c r="O651" s="80" t="s">
        <v>400</v>
      </c>
      <c r="P651" s="103">
        <f ca="1">((M206+M207+M208)/(L52/100^3))</f>
        <v>16063.092141927084</v>
      </c>
      <c r="Q651" s="38"/>
    </row>
    <row r="652" spans="11:19" hidden="1" x14ac:dyDescent="0.25">
      <c r="K652" s="80" t="s">
        <v>392</v>
      </c>
      <c r="L652" s="103">
        <f ca="1">((M206+M207+M208)/(L52/100^3))</f>
        <v>16063.092141927084</v>
      </c>
      <c r="M652" s="38"/>
      <c r="O652" s="80" t="s">
        <v>401</v>
      </c>
      <c r="P652" s="103">
        <f ca="1">((M209+M210)/(L401))</f>
        <v>149.4622484453643</v>
      </c>
      <c r="Q652" s="38"/>
    </row>
    <row r="653" spans="11:19" hidden="1" x14ac:dyDescent="0.25">
      <c r="K653" s="80" t="s">
        <v>393</v>
      </c>
      <c r="L653" s="103">
        <f ca="1">((M209+M210)/(M52/100^3))</f>
        <v>668.5744502664855</v>
      </c>
      <c r="M653" s="38"/>
      <c r="O653" s="80" t="s">
        <v>402</v>
      </c>
      <c r="P653" s="103">
        <f ca="1">((L77*M211)/(L401))</f>
        <v>1494.6224844536437</v>
      </c>
      <c r="Q653" s="38"/>
    </row>
    <row r="654" spans="11:19" hidden="1" x14ac:dyDescent="0.25">
      <c r="K654" s="80" t="s">
        <v>465</v>
      </c>
      <c r="L654" s="103">
        <f ca="1">((L77*M211)/(M52/100^3))</f>
        <v>6685.744502664859</v>
      </c>
      <c r="M654" s="38"/>
      <c r="O654" s="80"/>
      <c r="Q654" s="38"/>
    </row>
    <row r="655" spans="11:19" hidden="1" x14ac:dyDescent="0.25">
      <c r="M655" s="219"/>
      <c r="Q655" s="38"/>
    </row>
    <row r="656" spans="11:19" hidden="1" x14ac:dyDescent="0.25">
      <c r="L656" s="105"/>
      <c r="M656" s="38"/>
      <c r="O656" s="663" t="s">
        <v>388</v>
      </c>
      <c r="P656" s="663"/>
      <c r="Q656" s="220"/>
    </row>
    <row r="657" spans="11:31" hidden="1" x14ac:dyDescent="0.25">
      <c r="K657" s="663" t="s">
        <v>388</v>
      </c>
      <c r="L657" s="663"/>
      <c r="M657" s="220"/>
      <c r="Q657" s="38"/>
    </row>
    <row r="658" spans="11:31" hidden="1" x14ac:dyDescent="0.25">
      <c r="K658" s="658" t="s">
        <v>389</v>
      </c>
      <c r="L658" s="103">
        <f ca="1">L661+L662-L663-L664</f>
        <v>3130.7440502396294</v>
      </c>
      <c r="M658" s="38" t="s">
        <v>234</v>
      </c>
      <c r="O658" s="658" t="s">
        <v>389</v>
      </c>
      <c r="P658" s="103">
        <f ca="1">P661-P662+P663+P664</f>
        <v>10167.472890501474</v>
      </c>
      <c r="Q658" s="38" t="s">
        <v>234</v>
      </c>
    </row>
    <row r="659" spans="11:31" hidden="1" x14ac:dyDescent="0.25">
      <c r="K659" s="658"/>
      <c r="L659" s="83">
        <f ca="1">L658/1000</f>
        <v>3.1307440502396293</v>
      </c>
      <c r="M659" s="64" t="s">
        <v>233</v>
      </c>
      <c r="O659" s="658"/>
      <c r="P659" s="83">
        <f ca="1">P658/1000</f>
        <v>10.167472890501475</v>
      </c>
      <c r="Q659" s="64" t="s">
        <v>233</v>
      </c>
    </row>
    <row r="660" spans="11:31" hidden="1" x14ac:dyDescent="0.25">
      <c r="M660" s="38"/>
      <c r="Q660" s="38"/>
    </row>
    <row r="661" spans="11:31" hidden="1" x14ac:dyDescent="0.25">
      <c r="K661" s="80" t="s">
        <v>390</v>
      </c>
      <c r="L661" s="103">
        <f ca="1">L373/(L48/100^2)</f>
        <v>6908.664571281113</v>
      </c>
      <c r="O661" s="80" t="s">
        <v>390</v>
      </c>
      <c r="P661" s="103">
        <f ca="1">(L373/(L48/100^2))</f>
        <v>6908.664571281113</v>
      </c>
      <c r="Q661" s="38"/>
    </row>
    <row r="662" spans="11:31" hidden="1" x14ac:dyDescent="0.25">
      <c r="K662" s="80" t="s">
        <v>391</v>
      </c>
      <c r="L662" s="103">
        <f ca="1">L374/(L52/100^3)</f>
        <v>12953.746071152087</v>
      </c>
      <c r="O662" s="80" t="s">
        <v>399</v>
      </c>
      <c r="P662" s="103">
        <f ca="1">(L374/(L52/100^3))</f>
        <v>12953.746071152087</v>
      </c>
      <c r="Q662" s="38"/>
    </row>
    <row r="663" spans="11:31" hidden="1" x14ac:dyDescent="0.25">
      <c r="K663" s="80" t="s">
        <v>392</v>
      </c>
      <c r="L663" s="103">
        <f ca="1">(M206+M207+M208)/(L52/100^3)</f>
        <v>16063.092141927084</v>
      </c>
      <c r="O663" s="80" t="s">
        <v>400</v>
      </c>
      <c r="P663" s="103">
        <f ca="1">((M206+M207+M208)/(L52/100^3))</f>
        <v>16063.092141927084</v>
      </c>
      <c r="Q663" s="38"/>
    </row>
    <row r="664" spans="11:31" hidden="1" x14ac:dyDescent="0.25">
      <c r="K664" s="80" t="s">
        <v>393</v>
      </c>
      <c r="L664" s="103">
        <f ca="1">(M209+M210)/(M52/100^3)</f>
        <v>668.5744502664855</v>
      </c>
      <c r="O664" s="80" t="s">
        <v>401</v>
      </c>
      <c r="P664" s="103">
        <f ca="1">((M209+M210)/(L401))</f>
        <v>149.4622484453643</v>
      </c>
      <c r="Q664" s="38"/>
    </row>
    <row r="665" spans="11:31" hidden="1" x14ac:dyDescent="0.25">
      <c r="P665" s="80"/>
      <c r="Q665" s="38"/>
    </row>
    <row r="666" spans="11:31" hidden="1" x14ac:dyDescent="0.25">
      <c r="Q666" s="38"/>
    </row>
    <row r="667" spans="11:31" hidden="1" x14ac:dyDescent="0.25"/>
    <row r="668" spans="11:31" hidden="1" x14ac:dyDescent="0.25"/>
    <row r="669" spans="11:31" hidden="1" x14ac:dyDescent="0.25"/>
    <row r="670" spans="11:31" hidden="1" x14ac:dyDescent="0.25">
      <c r="K670" s="693" t="s">
        <v>466</v>
      </c>
      <c r="L670" s="693"/>
      <c r="M670" s="693"/>
      <c r="N670" s="693"/>
      <c r="O670" s="693"/>
      <c r="P670" s="693"/>
      <c r="Q670" s="693"/>
      <c r="R670" s="693"/>
    </row>
    <row r="671" spans="11:31" hidden="1" x14ac:dyDescent="0.25">
      <c r="K671" s="197" t="s">
        <v>404</v>
      </c>
      <c r="L671" s="197" t="s">
        <v>405</v>
      </c>
      <c r="M671" s="197" t="s">
        <v>406</v>
      </c>
      <c r="N671" s="197" t="s">
        <v>407</v>
      </c>
      <c r="O671" s="197" t="s">
        <v>408</v>
      </c>
      <c r="P671" s="197" t="s">
        <v>409</v>
      </c>
      <c r="Q671" s="197" t="s">
        <v>410</v>
      </c>
      <c r="R671" s="197" t="s">
        <v>411</v>
      </c>
      <c r="W671" s="27"/>
      <c r="X671" s="27"/>
      <c r="Y671" s="27"/>
      <c r="Z671" s="27"/>
      <c r="AA671" s="27"/>
      <c r="AB671" s="27"/>
      <c r="AC671" s="27"/>
      <c r="AD671" s="27"/>
      <c r="AE671" s="27"/>
    </row>
    <row r="672" spans="11:31" hidden="1" x14ac:dyDescent="0.25">
      <c r="K672" s="198">
        <f>(((($L$29/100)/20)-$L$672)*-1)</f>
        <v>-0.0</v>
      </c>
      <c r="L672" s="198">
        <f>($L$29/100)/20</f>
        <v>0.39249999999999996</v>
      </c>
      <c r="M672" s="198">
        <f>(($L$29/100)/20)+$L$672</f>
        <v>0.7849999999999999</v>
      </c>
      <c r="N672" s="198">
        <f>(($L$29/100)/20)+$M$672</f>
        <v>1.1774999999999998</v>
      </c>
      <c r="O672" s="198">
        <f>(($L$29/100)/20)+$N$672</f>
        <v>1.5699999999999998</v>
      </c>
      <c r="P672" s="198">
        <f>(($L$29/100)/20)+$O$672</f>
        <v>1.9625</v>
      </c>
      <c r="Q672" s="198">
        <f>(($L$29/100)/20)+$P$672</f>
        <v>2.355</v>
      </c>
      <c r="R672" s="198">
        <f>(($L$29/100)/20)+$Q$672</f>
        <v>2.7475</v>
      </c>
    </row>
    <row r="673" spans="11:31" hidden="1" x14ac:dyDescent="0.25">
      <c r="K673" s="105">
        <f>'Cargas adicionais'!$O$243</f>
        <v>0.0</v>
      </c>
      <c r="L673" s="105">
        <f ca="1">'Cargas adicionais'!$O$244</f>
        <v>54.93577512539062</v>
      </c>
      <c r="M673" s="105">
        <f ca="1">'Cargas adicionais'!$O$245</f>
        <v>104.0888370796875</v>
      </c>
      <c r="N673" s="105">
        <f ca="1">'Cargas adicionais'!$O$246</f>
        <v>147.45918586289062</v>
      </c>
      <c r="O673" s="105">
        <f ca="1">'Cargas adicionais'!$O$247</f>
        <v>185.046821475</v>
      </c>
      <c r="P673" s="105">
        <f ca="1">'Cargas adicionais'!$O$248</f>
        <v>216.85174391601564</v>
      </c>
      <c r="Q673" s="105">
        <f ca="1">'Cargas adicionais'!$O$249</f>
        <v>242.87395318593752</v>
      </c>
      <c r="R673" s="105">
        <f ca="1">'Cargas adicionais'!$O$250</f>
        <v>263.11344928476564</v>
      </c>
    </row>
    <row r="674" spans="11:31" hidden="1" x14ac:dyDescent="0.25">
      <c r="K674" s="197" t="s">
        <v>412</v>
      </c>
      <c r="L674" s="197" t="s">
        <v>413</v>
      </c>
      <c r="M674" s="197" t="s">
        <v>414</v>
      </c>
      <c r="N674" s="197" t="s">
        <v>415</v>
      </c>
      <c r="O674" s="197" t="s">
        <v>416</v>
      </c>
      <c r="P674" s="197" t="s">
        <v>417</v>
      </c>
      <c r="Q674" s="197" t="s">
        <v>418</v>
      </c>
      <c r="R674" s="199" t="s">
        <v>419</v>
      </c>
    </row>
    <row r="675" spans="11:31" hidden="1" x14ac:dyDescent="0.25">
      <c r="K675" s="198">
        <f>(($L$29/100)/20)+$R$672</f>
        <v>3.14</v>
      </c>
      <c r="L675" s="198">
        <f>(($L$29/100)/20)+$K$675</f>
        <v>3.5325</v>
      </c>
      <c r="M675" s="198">
        <f>(($L$29/100)/20)+$L$675</f>
        <v>3.9250000000000003</v>
      </c>
      <c r="N675" s="198">
        <f>(($L$29/100)/20)+$M$675</f>
        <v>4.3175</v>
      </c>
      <c r="O675" s="198">
        <f>(($L$29/100)/20)+$N$675</f>
        <v>4.71</v>
      </c>
      <c r="P675" s="198">
        <f>(($L$29/100)/20)+$O$675</f>
        <v>5.1025</v>
      </c>
      <c r="Q675" s="198">
        <f>(($L$29/100)/20)+$P$675</f>
        <v>5.495</v>
      </c>
      <c r="R675" s="198">
        <f>(($L$29/100)/20)+$Q$675</f>
        <v>5.8875</v>
      </c>
      <c r="U675" s="105"/>
      <c r="V675" s="105"/>
      <c r="W675" s="105"/>
      <c r="X675" s="105"/>
      <c r="Y675" s="105"/>
      <c r="Z675" s="105"/>
      <c r="AA675" s="105"/>
      <c r="AB675" s="105"/>
      <c r="AC675" s="105"/>
      <c r="AD675" s="105"/>
      <c r="AE675" s="105"/>
    </row>
    <row r="676" spans="11:31" ht="15.75" hidden="1" customHeight="1" x14ac:dyDescent="0.25">
      <c r="K676" s="105">
        <f ca="1">'Cargas adicionais'!$O$251</f>
        <v>277.5702322125</v>
      </c>
      <c r="L676" s="105">
        <f ca="1">'Cargas adicionais'!$O$252</f>
        <v>286.2443019691406</v>
      </c>
      <c r="M676" s="105">
        <f ca="1">'Cargas adicionais'!$O$253</f>
        <v>289.1356585546875</v>
      </c>
      <c r="N676" s="105">
        <f ca="1">'Cargas adicionais'!$O$254</f>
        <v>286.2443019691406</v>
      </c>
      <c r="O676" s="105">
        <f ca="1">'Cargas adicionais'!$O$255</f>
        <v>277.5702322125</v>
      </c>
      <c r="P676" s="105">
        <f ca="1">'Cargas adicionais'!$O$256</f>
        <v>263.11344928476564</v>
      </c>
      <c r="Q676" s="105">
        <f ca="1">'Cargas adicionais'!$O$257</f>
        <v>242.87395318593752</v>
      </c>
      <c r="R676" s="105">
        <f ca="1">'Cargas adicionais'!$O$258</f>
        <v>216.85174391601566</v>
      </c>
      <c r="U676" s="105"/>
      <c r="V676" s="105"/>
      <c r="W676" s="105"/>
      <c r="X676" s="105"/>
      <c r="Y676" s="105"/>
      <c r="Z676" s="105"/>
      <c r="AA676" s="105"/>
      <c r="AB676" s="105"/>
      <c r="AC676" s="105"/>
      <c r="AD676" s="105"/>
      <c r="AE676" s="105"/>
    </row>
    <row r="677" spans="11:31" ht="15.75" hidden="1" customHeight="1" x14ac:dyDescent="0.25">
      <c r="K677" s="197" t="s">
        <v>420</v>
      </c>
      <c r="L677" s="197" t="s">
        <v>421</v>
      </c>
      <c r="M677" s="197" t="s">
        <v>422</v>
      </c>
      <c r="N677" s="197" t="s">
        <v>423</v>
      </c>
      <c r="O677" s="197" t="s">
        <v>424</v>
      </c>
      <c r="U677" s="105"/>
      <c r="V677" s="105"/>
      <c r="W677" s="105"/>
      <c r="X677" s="105"/>
      <c r="Y677" s="105"/>
      <c r="Z677" s="105"/>
      <c r="AA677" s="105"/>
      <c r="AB677" s="105"/>
      <c r="AC677" s="105"/>
      <c r="AD677" s="105"/>
      <c r="AE677" s="105"/>
    </row>
    <row r="678" spans="11:31" ht="15.75" hidden="1" customHeight="1" x14ac:dyDescent="0.25">
      <c r="K678" s="198">
        <f>(($L$29/100)/20)+$R$675</f>
        <v>6.28</v>
      </c>
      <c r="L678" s="198">
        <f>(($L$29/100)/20)+$K$678</f>
        <v>6.6725</v>
      </c>
      <c r="M678" s="198">
        <f>(($L$29/100)/20)+$L$678</f>
        <v>7.065</v>
      </c>
      <c r="N678" s="198">
        <f>(($L$29/100)/20)+$M$678</f>
        <v>7.4575000000000005</v>
      </c>
      <c r="O678" s="198">
        <f>(($L$29/100)/20)+$N$678</f>
        <v>7.8500000000000005</v>
      </c>
      <c r="U678" s="105"/>
      <c r="V678" s="105"/>
      <c r="W678" s="105"/>
      <c r="X678" s="105"/>
      <c r="Y678" s="105"/>
      <c r="Z678" s="105"/>
      <c r="AA678" s="105"/>
      <c r="AB678" s="105"/>
      <c r="AC678" s="105"/>
      <c r="AD678" s="105"/>
      <c r="AE678" s="105"/>
    </row>
    <row r="679" spans="11:31" ht="15.75" hidden="1" customHeight="1" x14ac:dyDescent="0.25">
      <c r="K679" s="105">
        <f ca="1">'Cargas adicionais'!$O$259</f>
        <v>185.04682147500003</v>
      </c>
      <c r="L679" s="105">
        <f ca="1">'Cargas adicionais'!$O$260</f>
        <v>147.45918586289065</v>
      </c>
      <c r="M679" s="105">
        <f ca="1">'Cargas adicionais'!$O$261</f>
        <v>104.08883707968752</v>
      </c>
      <c r="N679" s="105">
        <f ca="1">'Cargas adicionais'!$O$262</f>
        <v>54.93577512539065</v>
      </c>
      <c r="O679" s="105">
        <f ca="1">'Cargas adicionais'!$O$263</f>
        <v>0.0</v>
      </c>
      <c r="U679" s="105"/>
      <c r="V679" s="105"/>
      <c r="W679" s="105"/>
      <c r="X679" s="105"/>
      <c r="Y679" s="105"/>
      <c r="Z679" s="105"/>
      <c r="AA679" s="105"/>
      <c r="AB679" s="105"/>
      <c r="AC679" s="105"/>
      <c r="AD679" s="105"/>
      <c r="AE679" s="105"/>
    </row>
    <row r="680" spans="11:31" ht="15.75" hidden="1" customHeight="1" x14ac:dyDescent="0.25">
      <c r="P680" s="105"/>
      <c r="Q680" s="105"/>
      <c r="R680" s="105"/>
      <c r="S680" s="105"/>
      <c r="T680" s="105"/>
      <c r="U680" s="105"/>
      <c r="V680" s="105"/>
      <c r="W680" s="105"/>
      <c r="X680" s="105"/>
      <c r="Y680" s="105"/>
      <c r="Z680" s="105"/>
      <c r="AA680" s="105"/>
      <c r="AB680" s="105"/>
      <c r="AC680" s="105"/>
      <c r="AD680" s="105"/>
      <c r="AE680" s="105"/>
    </row>
    <row r="681" spans="11:31" ht="15.75" hidden="1" customHeight="1" x14ac:dyDescent="0.25">
      <c r="K681" s="693" t="s">
        <v>467</v>
      </c>
      <c r="L681" s="693"/>
      <c r="M681" s="693"/>
      <c r="N681" s="693"/>
      <c r="O681" s="693"/>
      <c r="P681" s="693"/>
      <c r="Q681" s="693"/>
      <c r="R681" s="693"/>
      <c r="S681" s="105"/>
      <c r="T681" s="105"/>
      <c r="U681" s="105"/>
      <c r="V681" s="105"/>
      <c r="W681" s="105"/>
      <c r="X681" s="105"/>
      <c r="Y681" s="105"/>
      <c r="Z681" s="105"/>
      <c r="AA681" s="105"/>
      <c r="AB681" s="105"/>
      <c r="AC681" s="105"/>
      <c r="AD681" s="105"/>
      <c r="AE681" s="105"/>
    </row>
    <row r="682" spans="11:31" ht="15.75" hidden="1" customHeight="1" x14ac:dyDescent="0.25">
      <c r="K682" s="197" t="s">
        <v>404</v>
      </c>
      <c r="L682" s="197" t="s">
        <v>405</v>
      </c>
      <c r="M682" s="197" t="s">
        <v>406</v>
      </c>
      <c r="N682" s="197" t="s">
        <v>407</v>
      </c>
      <c r="O682" s="197" t="s">
        <v>408</v>
      </c>
      <c r="P682" s="197" t="s">
        <v>409</v>
      </c>
      <c r="Q682" s="197" t="s">
        <v>410</v>
      </c>
      <c r="R682" s="197" t="s">
        <v>411</v>
      </c>
      <c r="S682" s="105"/>
      <c r="T682" s="105"/>
      <c r="U682" s="105"/>
      <c r="V682" s="105"/>
      <c r="W682" s="105"/>
      <c r="X682" s="105"/>
      <c r="Y682" s="105"/>
      <c r="Z682" s="105"/>
      <c r="AA682" s="105"/>
      <c r="AB682" s="105"/>
      <c r="AC682" s="105"/>
      <c r="AD682" s="105"/>
      <c r="AE682" s="105"/>
    </row>
    <row r="683" spans="11:31" ht="15.75" hidden="1" customHeight="1" x14ac:dyDescent="0.25">
      <c r="K683" s="198">
        <f>(((($L$29/100)/20)-$L$683)*-1)</f>
        <v>-0.0</v>
      </c>
      <c r="L683" s="198">
        <f>($L$29/100)/20</f>
        <v>0.39249999999999996</v>
      </c>
      <c r="M683" s="198">
        <f>(($L$29/100)/20)+$L$683</f>
        <v>0.7849999999999999</v>
      </c>
      <c r="N683" s="198">
        <f>(($L$29/100)/20)+$M$683</f>
        <v>1.1774999999999998</v>
      </c>
      <c r="O683" s="198">
        <f>(($L$29/100)/20)+$N$683</f>
        <v>1.5699999999999998</v>
      </c>
      <c r="P683" s="198">
        <f>(($L$29/100)/20)+$O$683</f>
        <v>1.9625</v>
      </c>
      <c r="Q683" s="198">
        <f>(($L$29/100)/20)+$P$683</f>
        <v>2.355</v>
      </c>
      <c r="R683" s="198">
        <f>(($L$29/100)/20)+$Q$683</f>
        <v>2.7475</v>
      </c>
      <c r="S683" s="105"/>
      <c r="T683" s="105"/>
      <c r="U683" s="105"/>
      <c r="V683" s="105"/>
      <c r="W683" s="105"/>
      <c r="X683" s="105"/>
      <c r="Y683" s="105"/>
      <c r="Z683" s="105"/>
      <c r="AA683" s="105"/>
      <c r="AB683" s="105"/>
      <c r="AC683" s="105"/>
      <c r="AD683" s="105"/>
      <c r="AE683" s="105"/>
    </row>
    <row r="684" spans="11:31" ht="15.75" hidden="1" customHeight="1" x14ac:dyDescent="0.25">
      <c r="K684" s="105">
        <f>'Cargas adicionais'!$R$243</f>
        <v>0.0</v>
      </c>
      <c r="L684" s="105">
        <f>'Cargas adicionais'!$R$244</f>
        <v>8.5433819140625</v>
      </c>
      <c r="M684" s="105">
        <f>'Cargas adicionais'!$R$245</f>
        <v>16.18746046875</v>
      </c>
      <c r="N684" s="105">
        <f>'Cargas adicionais'!$R$246</f>
        <v>22.9322356640625</v>
      </c>
      <c r="O684" s="105">
        <f>'Cargas adicionais'!$R$247</f>
        <v>28.777707499999998</v>
      </c>
      <c r="P684" s="105">
        <f>'Cargas adicionais'!$R$248</f>
        <v>33.723875976562496</v>
      </c>
      <c r="Q684" s="105">
        <f>'Cargas adicionais'!$R$249</f>
        <v>37.77074109375</v>
      </c>
      <c r="R684" s="105">
        <f>'Cargas adicionais'!$R$250</f>
        <v>40.918302851562494</v>
      </c>
      <c r="V684" s="105"/>
      <c r="W684" s="105"/>
      <c r="X684" s="105"/>
      <c r="Y684" s="105"/>
      <c r="Z684" s="105"/>
      <c r="AA684" s="105"/>
      <c r="AB684" s="105"/>
      <c r="AC684" s="105"/>
      <c r="AD684" s="105"/>
      <c r="AE684" s="105"/>
    </row>
    <row r="685" spans="11:31" ht="15.75" hidden="1" customHeight="1" x14ac:dyDescent="0.25">
      <c r="K685" s="197" t="s">
        <v>412</v>
      </c>
      <c r="L685" s="197" t="s">
        <v>413</v>
      </c>
      <c r="M685" s="197" t="s">
        <v>414</v>
      </c>
      <c r="N685" s="197" t="s">
        <v>415</v>
      </c>
      <c r="O685" s="197" t="s">
        <v>416</v>
      </c>
      <c r="P685" s="197" t="s">
        <v>417</v>
      </c>
      <c r="Q685" s="197" t="s">
        <v>418</v>
      </c>
      <c r="R685" s="199" t="s">
        <v>419</v>
      </c>
      <c r="S685" s="105"/>
      <c r="T685" s="105"/>
      <c r="U685" s="105"/>
      <c r="V685" s="105"/>
      <c r="W685" s="105"/>
      <c r="X685" s="105"/>
      <c r="Y685" s="105"/>
      <c r="Z685" s="105"/>
      <c r="AA685" s="105"/>
      <c r="AB685" s="105"/>
      <c r="AC685" s="105"/>
      <c r="AD685" s="105"/>
      <c r="AE685" s="105"/>
    </row>
    <row r="686" spans="11:31" ht="15.75" hidden="1" customHeight="1" x14ac:dyDescent="0.25">
      <c r="K686" s="198">
        <f>(($L$29/100)/20)+$R$683</f>
        <v>3.14</v>
      </c>
      <c r="L686" s="198">
        <f>(($L$29/100)/20)+$K$686</f>
        <v>3.5325</v>
      </c>
      <c r="M686" s="198">
        <f>(($L$29/100)/20)+$L$686</f>
        <v>3.9250000000000003</v>
      </c>
      <c r="N686" s="198">
        <f>(($L$29/100)/20)+$M$686</f>
        <v>4.3175</v>
      </c>
      <c r="O686" s="198">
        <f>(($L$29/100)/20)+$N$686</f>
        <v>4.71</v>
      </c>
      <c r="P686" s="198">
        <f>(($L$29/100)/20)+$O$686</f>
        <v>5.1025</v>
      </c>
      <c r="Q686" s="198">
        <f>(($L$29/100)/20)+$P$686</f>
        <v>5.495</v>
      </c>
      <c r="R686" s="198">
        <f>(($L$29/100)/20)+$Q$686</f>
        <v>5.8875</v>
      </c>
      <c r="S686" s="105"/>
      <c r="T686" s="105"/>
      <c r="U686" s="105"/>
      <c r="V686" s="105"/>
      <c r="W686" s="105"/>
      <c r="X686" s="105"/>
      <c r="Y686" s="105"/>
      <c r="Z686" s="105"/>
      <c r="AA686" s="105"/>
      <c r="AB686" s="105"/>
      <c r="AC686" s="105"/>
      <c r="AD686" s="105"/>
      <c r="AE686" s="105"/>
    </row>
    <row r="687" spans="11:31" hidden="1" x14ac:dyDescent="0.25">
      <c r="K687" s="105">
        <f>'Cargas adicionais'!$R$251</f>
        <v>43.166561249999994</v>
      </c>
      <c r="L687" s="105">
        <f>'Cargas adicionais'!$R$252</f>
        <v>44.5155162890625</v>
      </c>
      <c r="M687" s="105">
        <f>'Cargas adicionais'!$R$253</f>
        <v>44.965167968749995</v>
      </c>
      <c r="N687" s="105">
        <f>'Cargas adicionais'!$R$254</f>
        <v>44.5155162890625</v>
      </c>
      <c r="O687" s="105">
        <f>'Cargas adicionais'!$R$255</f>
        <v>43.166561249999994</v>
      </c>
      <c r="P687" s="105">
        <f>'Cargas adicionais'!$R$256</f>
        <v>40.918302851562494</v>
      </c>
      <c r="Q687" s="105">
        <f>'Cargas adicionais'!$R$257</f>
        <v>37.77074109375</v>
      </c>
      <c r="R687" s="105">
        <f>'Cargas adicionais'!$R$258</f>
        <v>33.723875976562496</v>
      </c>
    </row>
    <row r="688" spans="11:31" hidden="1" x14ac:dyDescent="0.25">
      <c r="K688" s="197" t="s">
        <v>420</v>
      </c>
      <c r="L688" s="197" t="s">
        <v>421</v>
      </c>
      <c r="M688" s="197" t="s">
        <v>422</v>
      </c>
      <c r="N688" s="197" t="s">
        <v>423</v>
      </c>
      <c r="O688" s="197" t="s">
        <v>424</v>
      </c>
      <c r="P688" s="105"/>
      <c r="Q688" s="105"/>
      <c r="R688" s="105"/>
    </row>
    <row r="689" spans="11:31" hidden="1" x14ac:dyDescent="0.25">
      <c r="K689" s="198">
        <f>(($L$29/100)/20)+$R$686</f>
        <v>6.28</v>
      </c>
      <c r="L689" s="198">
        <f>(($L$29/100)/20)+$K$689</f>
        <v>6.6725</v>
      </c>
      <c r="M689" s="198">
        <f>(($L$29/100)/20)+$L$689</f>
        <v>7.065</v>
      </c>
      <c r="N689" s="198">
        <f>(($L$29/100)/20)+$M$689</f>
        <v>7.4575000000000005</v>
      </c>
      <c r="O689" s="198">
        <f>(($L$29/100)/20)+$N$689</f>
        <v>7.8500000000000005</v>
      </c>
      <c r="V689" s="27"/>
      <c r="W689" s="27"/>
      <c r="X689" s="27"/>
      <c r="Y689" s="27"/>
      <c r="Z689" s="27"/>
      <c r="AA689" s="27"/>
      <c r="AB689" s="27"/>
      <c r="AC689" s="27"/>
      <c r="AD689" s="27"/>
      <c r="AE689" s="27"/>
    </row>
    <row r="690" spans="11:31" hidden="1" x14ac:dyDescent="0.25">
      <c r="K690" s="105">
        <f>'Cargas adicionais'!$R$259</f>
        <v>28.777707499999998</v>
      </c>
      <c r="L690" s="105">
        <f>'Cargas adicionais'!$R$260</f>
        <v>22.932235664062496</v>
      </c>
      <c r="M690" s="105">
        <f>'Cargas adicionais'!$R$261</f>
        <v>16.187460468749997</v>
      </c>
      <c r="N690" s="105">
        <f>'Cargas adicionais'!$R$262</f>
        <v>8.543381914062497</v>
      </c>
      <c r="O690" s="105">
        <f>'Cargas adicionais'!$R$263</f>
        <v>0.0</v>
      </c>
    </row>
    <row r="691" spans="11:31" hidden="1" x14ac:dyDescent="0.25"/>
    <row r="692" spans="11:31" hidden="1" x14ac:dyDescent="0.25">
      <c r="K692" s="221" t="s">
        <v>468</v>
      </c>
      <c r="L692" s="221"/>
      <c r="N692" s="221"/>
      <c r="O692" s="221"/>
      <c r="P692" s="221"/>
      <c r="Q692" s="221"/>
      <c r="R692" s="221"/>
      <c r="W692" s="105"/>
      <c r="X692" s="105"/>
      <c r="Y692" s="105"/>
      <c r="Z692" s="105"/>
      <c r="AA692" s="105"/>
      <c r="AB692" s="105"/>
      <c r="AC692" s="105"/>
      <c r="AD692" s="105"/>
      <c r="AE692" s="105"/>
    </row>
    <row r="693" spans="11:31" hidden="1" x14ac:dyDescent="0.25">
      <c r="K693" s="197" t="s">
        <v>404</v>
      </c>
      <c r="L693" s="197" t="s">
        <v>405</v>
      </c>
      <c r="M693" s="197" t="s">
        <v>406</v>
      </c>
      <c r="N693" s="197" t="s">
        <v>407</v>
      </c>
      <c r="O693" s="197" t="s">
        <v>408</v>
      </c>
      <c r="P693" s="197" t="s">
        <v>409</v>
      </c>
      <c r="Q693" s="197" t="s">
        <v>410</v>
      </c>
      <c r="R693" s="197" t="s">
        <v>411</v>
      </c>
      <c r="W693" s="105"/>
      <c r="X693" s="105"/>
      <c r="Y693" s="105"/>
      <c r="Z693" s="105"/>
      <c r="AA693" s="105"/>
      <c r="AB693" s="105"/>
      <c r="AC693" s="105"/>
      <c r="AD693" s="105"/>
      <c r="AE693" s="105"/>
    </row>
    <row r="694" spans="11:31" hidden="1" x14ac:dyDescent="0.25">
      <c r="K694" s="198">
        <f>(((($L$29/100)/20)-$L$694)*-1)</f>
        <v>-0.0</v>
      </c>
      <c r="L694" s="198">
        <f>($L$29/100)/20</f>
        <v>0.39249999999999996</v>
      </c>
      <c r="M694" s="198">
        <f>(($L$29/100)/20)+$L$694</f>
        <v>0.7849999999999999</v>
      </c>
      <c r="N694" s="198">
        <f>(($L$29/100)/20)+$M$694</f>
        <v>1.1774999999999998</v>
      </c>
      <c r="O694" s="198">
        <f>(($L$29/100)/20)+$N$694</f>
        <v>1.5699999999999998</v>
      </c>
      <c r="P694" s="198">
        <f>(($L$29/100)/20)+$O$694</f>
        <v>1.9625</v>
      </c>
      <c r="Q694" s="198">
        <f>(($L$29/100)/20)+$P$694</f>
        <v>2.355</v>
      </c>
      <c r="R694" s="198">
        <f>(($L$29/100)/20)+$Q$694</f>
        <v>2.7475</v>
      </c>
    </row>
    <row r="695" spans="11:31" hidden="1" x14ac:dyDescent="0.25">
      <c r="K695" s="105">
        <f>'Cargas adicionais'!$U$243</f>
        <v>0.0</v>
      </c>
      <c r="L695" s="105">
        <f>'Cargas adicionais'!$U$244</f>
        <v>213.58454785156258</v>
      </c>
      <c r="M695" s="105">
        <f>'Cargas adicionais'!$U$245</f>
        <v>404.6865117187501</v>
      </c>
      <c r="N695" s="105">
        <f>'Cargas adicionais'!$U$246</f>
        <v>573.3058916015626</v>
      </c>
      <c r="O695" s="105">
        <f>'Cargas adicionais'!$U$247</f>
        <v>719.4426875000001</v>
      </c>
      <c r="P695" s="105">
        <f>'Cargas adicionais'!$U$248</f>
        <v>843.0968994140627</v>
      </c>
      <c r="Q695" s="105">
        <f>'Cargas adicionais'!$U$249</f>
        <v>944.2685273437503</v>
      </c>
      <c r="R695" s="105">
        <f>'Cargas adicionais'!$U$250</f>
        <v>1022.9575712890628</v>
      </c>
    </row>
    <row r="696" spans="11:31" hidden="1" x14ac:dyDescent="0.25">
      <c r="K696" s="197" t="s">
        <v>412</v>
      </c>
      <c r="L696" s="197" t="s">
        <v>413</v>
      </c>
      <c r="M696" s="197" t="s">
        <v>414</v>
      </c>
      <c r="N696" s="197" t="s">
        <v>415</v>
      </c>
      <c r="O696" s="197" t="s">
        <v>416</v>
      </c>
      <c r="P696" s="197" t="s">
        <v>417</v>
      </c>
      <c r="Q696" s="197" t="s">
        <v>418</v>
      </c>
      <c r="R696" s="199" t="s">
        <v>419</v>
      </c>
    </row>
    <row r="697" spans="11:31" hidden="1" x14ac:dyDescent="0.25">
      <c r="K697" s="198">
        <f>(($L$29/100)/20)+$R$694</f>
        <v>3.14</v>
      </c>
      <c r="L697" s="198">
        <f>(($L$29/100)/20)+$K$697</f>
        <v>3.5325</v>
      </c>
      <c r="M697" s="198">
        <f>(($L$29/100)/20)+$L$697</f>
        <v>3.9250000000000003</v>
      </c>
      <c r="N697" s="198">
        <f>(($L$29/100)/20)+$M$697</f>
        <v>4.3175</v>
      </c>
      <c r="O697" s="198">
        <f>(($L$29/100)/20)+$N$697</f>
        <v>4.71</v>
      </c>
      <c r="P697" s="198">
        <f>(($L$29/100)/20)+$O$697</f>
        <v>5.1025</v>
      </c>
      <c r="Q697" s="198">
        <f>(($L$29/100)/20)+$P$697</f>
        <v>5.495</v>
      </c>
      <c r="R697" s="198">
        <f>(($L$29/100)/20)+$Q$697</f>
        <v>5.8875</v>
      </c>
      <c r="V697" s="27"/>
      <c r="W697" s="27"/>
      <c r="X697" s="27"/>
      <c r="Y697" s="27"/>
      <c r="Z697" s="27"/>
      <c r="AA697" s="27"/>
      <c r="AB697" s="27"/>
      <c r="AC697" s="27"/>
      <c r="AD697" s="27"/>
      <c r="AE697" s="27"/>
    </row>
    <row r="698" spans="11:31" hidden="1" x14ac:dyDescent="0.25">
      <c r="K698" s="105">
        <f>'Cargas adicionais'!$U$251</f>
        <v>1079.1640312500003</v>
      </c>
      <c r="L698" s="105">
        <f>'Cargas adicionais'!$U$252</f>
        <v>1112.887907226563</v>
      </c>
      <c r="M698" s="105">
        <f>'Cargas adicionais'!$U$253</f>
        <v>1124.1291992187505</v>
      </c>
      <c r="N698" s="105">
        <f>'Cargas adicionais'!$U$254</f>
        <v>1112.8879072265631</v>
      </c>
      <c r="O698" s="105">
        <f>'Cargas adicionais'!$U$255</f>
        <v>1079.1640312500008</v>
      </c>
      <c r="P698" s="105">
        <f>'Cargas adicionais'!$U$256</f>
        <v>1022.9575712890634</v>
      </c>
      <c r="Q698" s="105">
        <f>'Cargas adicionais'!$U$257</f>
        <v>944.2685273437509</v>
      </c>
      <c r="R698" s="105">
        <f>'Cargas adicionais'!$U$258</f>
        <v>843.0968994140634</v>
      </c>
    </row>
    <row r="699" spans="11:31" hidden="1" x14ac:dyDescent="0.25">
      <c r="K699" s="197" t="s">
        <v>420</v>
      </c>
      <c r="L699" s="197" t="s">
        <v>421</v>
      </c>
      <c r="M699" s="197" t="s">
        <v>422</v>
      </c>
      <c r="N699" s="197" t="s">
        <v>423</v>
      </c>
      <c r="O699" s="197" t="s">
        <v>424</v>
      </c>
    </row>
    <row r="700" spans="11:31" hidden="1" x14ac:dyDescent="0.25">
      <c r="K700" s="198">
        <f>(($L$29/100)/20)+$R$697</f>
        <v>6.28</v>
      </c>
      <c r="L700" s="198">
        <f>(($L$29/100)/20)+$K$700</f>
        <v>6.6725</v>
      </c>
      <c r="M700" s="198">
        <f>(($L$29/100)/20)+$L$700</f>
        <v>7.065</v>
      </c>
      <c r="N700" s="198">
        <f>(($L$29/100)/20)+$M$700</f>
        <v>7.4575000000000005</v>
      </c>
      <c r="O700" s="198">
        <f>(($L$29/100)/20)+$N$700</f>
        <v>7.8500000000000005</v>
      </c>
      <c r="U700" s="105"/>
      <c r="V700" s="105"/>
      <c r="W700" s="105"/>
      <c r="X700" s="105"/>
      <c r="Y700" s="105"/>
      <c r="Z700" s="105"/>
      <c r="AA700" s="105"/>
      <c r="AB700" s="105"/>
      <c r="AC700" s="105"/>
      <c r="AD700" s="105"/>
      <c r="AE700" s="105"/>
    </row>
    <row r="701" spans="11:31" hidden="1" x14ac:dyDescent="0.25">
      <c r="K701" s="105">
        <f>'Cargas adicionais'!$U$259</f>
        <v>719.4426875000009</v>
      </c>
      <c r="L701" s="105">
        <f>'Cargas adicionais'!$U$260</f>
        <v>573.3058916015634</v>
      </c>
      <c r="M701" s="105">
        <f>'Cargas adicionais'!$U$261</f>
        <v>404.6865117187509</v>
      </c>
      <c r="N701" s="105">
        <f>'Cargas adicionais'!$U$262</f>
        <v>213.58454785156346</v>
      </c>
      <c r="O701" s="105">
        <f>'Cargas adicionais'!$U$263</f>
        <v>9.947598300641403e-13</v>
      </c>
      <c r="U701" s="105"/>
      <c r="V701" s="105"/>
      <c r="W701" s="105"/>
      <c r="X701" s="105"/>
      <c r="Y701" s="105"/>
      <c r="Z701" s="105"/>
      <c r="AA701" s="105"/>
      <c r="AB701" s="105"/>
      <c r="AC701" s="105"/>
      <c r="AD701" s="105"/>
      <c r="AE701" s="105"/>
    </row>
    <row r="702" spans="11:31" hidden="1" x14ac:dyDescent="0.25">
      <c r="U702" s="105"/>
      <c r="V702" s="105"/>
      <c r="W702" s="105"/>
      <c r="X702" s="105"/>
      <c r="Y702" s="105"/>
      <c r="Z702" s="105"/>
      <c r="AA702" s="105"/>
      <c r="AB702" s="105"/>
      <c r="AC702" s="105"/>
      <c r="AD702" s="105"/>
      <c r="AE702" s="105"/>
    </row>
    <row r="703" spans="11:31" hidden="1" x14ac:dyDescent="0.25">
      <c r="K703" s="105"/>
      <c r="L703" s="105"/>
      <c r="M703" s="105"/>
      <c r="N703" s="105"/>
      <c r="O703" s="105"/>
      <c r="P703" s="105"/>
      <c r="Q703" s="105"/>
      <c r="R703" s="105"/>
      <c r="S703" s="105"/>
      <c r="T703" s="105"/>
      <c r="U703" s="105"/>
    </row>
    <row r="704" spans="11:31" hidden="1" x14ac:dyDescent="0.25">
      <c r="K704" s="80" t="s">
        <v>469</v>
      </c>
      <c r="L704" s="103">
        <f ca="1">N368*L298+L300*N369</f>
        <v>1243.5596228306003</v>
      </c>
      <c r="M704" s="38" t="s">
        <v>292</v>
      </c>
      <c r="N704" s="105"/>
      <c r="O704" s="105"/>
      <c r="P704" s="105"/>
      <c r="Q704" s="105"/>
      <c r="R704" s="105"/>
      <c r="S704" s="105"/>
      <c r="T704" s="105"/>
      <c r="U704" s="105"/>
    </row>
    <row r="705" spans="11:21" ht="14.25" hidden="1" customHeight="1" x14ac:dyDescent="0.25">
      <c r="K705" s="80" t="s">
        <v>470</v>
      </c>
      <c r="L705" s="103">
        <f ca="1">L298*N368*L299/100-L300*N369*L301/100</f>
        <v>233.16742928073757</v>
      </c>
      <c r="M705" s="38" t="s">
        <v>292</v>
      </c>
      <c r="N705" s="105"/>
      <c r="O705" s="105"/>
      <c r="P705" s="105"/>
      <c r="Q705" s="105"/>
      <c r="R705" s="105"/>
      <c r="S705" s="105"/>
      <c r="T705" s="105"/>
      <c r="U705" s="105"/>
    </row>
    <row r="706" spans="11:21" ht="14.25" hidden="1" customHeight="1" x14ac:dyDescent="0.25">
      <c r="K706" s="80" t="s">
        <v>471</v>
      </c>
      <c r="L706" s="105">
        <f ca="1">+L298*N368</f>
        <v>1243.5596228306003</v>
      </c>
      <c r="M706" s="4" t="s">
        <v>292</v>
      </c>
      <c r="N706" s="105"/>
      <c r="O706" s="105"/>
      <c r="P706" s="105"/>
      <c r="Q706" s="105"/>
      <c r="R706" s="105"/>
      <c r="S706" s="105"/>
      <c r="T706" s="105"/>
      <c r="U706" s="105"/>
    </row>
    <row r="707" spans="11:21" ht="14.25" hidden="1" customHeight="1" x14ac:dyDescent="0.25">
      <c r="K707" s="80"/>
      <c r="L707" s="105"/>
      <c r="N707" s="105"/>
      <c r="O707" s="105"/>
      <c r="P707" s="105"/>
      <c r="Q707" s="105"/>
      <c r="R707" s="105"/>
      <c r="S707" s="105"/>
      <c r="T707" s="105"/>
      <c r="U707" s="105"/>
    </row>
    <row r="708" spans="11:21" ht="14.25" hidden="1" customHeight="1" x14ac:dyDescent="0.25">
      <c r="K708" s="80" t="s">
        <v>378</v>
      </c>
      <c r="L708" s="103">
        <f ca="1">N368*L1437+L1435*N369</f>
        <v>689.9584233184821</v>
      </c>
      <c r="M708" s="38" t="s">
        <v>292</v>
      </c>
      <c r="N708" s="4" t="s">
        <v>379</v>
      </c>
      <c r="P708" s="105"/>
      <c r="Q708" s="105"/>
      <c r="R708" s="105"/>
      <c r="S708" s="105"/>
      <c r="T708" s="105"/>
      <c r="U708" s="105"/>
    </row>
    <row r="709" spans="11:21" ht="14.25" hidden="1" customHeight="1" x14ac:dyDescent="0.25">
      <c r="K709" s="80" t="s">
        <v>380</v>
      </c>
      <c r="L709" s="103">
        <f ca="1">L1435*N368*L1436/100-L1437*N369*L1438/100</f>
        <v>177.20724625336052</v>
      </c>
      <c r="M709" s="38" t="s">
        <v>216</v>
      </c>
      <c r="N709" s="4" t="s">
        <v>381</v>
      </c>
      <c r="P709" s="105"/>
      <c r="Q709" s="105"/>
      <c r="R709" s="105"/>
      <c r="S709" s="105"/>
      <c r="T709" s="105"/>
      <c r="U709" s="105"/>
    </row>
    <row r="710" spans="11:21" ht="14.25" hidden="1" customHeight="1" x14ac:dyDescent="0.25">
      <c r="L710" s="105"/>
      <c r="N710" s="105"/>
      <c r="O710" s="105"/>
      <c r="P710" s="105"/>
      <c r="Q710" s="105"/>
      <c r="R710" s="105"/>
      <c r="S710" s="105"/>
      <c r="T710" s="105"/>
      <c r="U710" s="105"/>
    </row>
    <row r="711" spans="11:21" ht="14.25" hidden="1" customHeight="1" x14ac:dyDescent="0.25">
      <c r="K711" s="653" t="s">
        <v>472</v>
      </c>
      <c r="L711" s="653"/>
      <c r="M711" s="653"/>
      <c r="N711" s="653"/>
      <c r="O711" s="653"/>
      <c r="P711" s="653"/>
      <c r="Q711" s="653"/>
      <c r="R711" s="653"/>
      <c r="S711" s="105"/>
      <c r="T711" s="105"/>
      <c r="U711" s="105"/>
    </row>
    <row r="712" spans="11:21" ht="14.25" customHeight="1" x14ac:dyDescent="0.25">
      <c r="L712" s="105"/>
      <c r="N712" s="105"/>
      <c r="O712" s="105"/>
      <c r="P712" s="105"/>
      <c r="Q712" s="105"/>
      <c r="R712" s="105"/>
      <c r="S712" s="105"/>
      <c r="T712" s="105"/>
      <c r="U712" s="105"/>
    </row>
    <row r="713" spans="11:21" x14ac:dyDescent="0.25">
      <c r="L713" s="691" t="s">
        <v>427</v>
      </c>
      <c r="M713" s="691"/>
      <c r="N713" s="691"/>
      <c r="O713" s="691"/>
      <c r="P713" s="691"/>
      <c r="Q713" s="39" t="s">
        <v>428</v>
      </c>
      <c r="S713" s="105"/>
      <c r="T713" s="105"/>
      <c r="U713" s="105"/>
    </row>
    <row r="714" spans="11:21" x14ac:dyDescent="0.25">
      <c r="K714" s="198" t="str">
        <f ca="1">IF($K$437&lt;$N$1307/100,"Reduzir","OK")</f>
        <v>Reduzir</v>
      </c>
      <c r="L714" s="4" t="s">
        <v>429</v>
      </c>
      <c r="M714" s="105">
        <v>0</v>
      </c>
      <c r="N714" s="38" t="s">
        <v>234</v>
      </c>
      <c r="O714" s="138">
        <f t="shared" ref="O714:O734" si="21">M714/1000</f>
        <v>0.0</v>
      </c>
      <c r="P714" s="38" t="s">
        <v>160</v>
      </c>
      <c r="Q714" s="105">
        <f>Y837</f>
        <v>0.0</v>
      </c>
      <c r="S714" s="105"/>
      <c r="T714" s="105"/>
      <c r="U714" s="105"/>
    </row>
    <row r="715" spans="11:21" x14ac:dyDescent="0.25">
      <c r="K715" s="198" t="str">
        <f ca="1">IF($L$437&lt;$N$1307/100,"Reduzir","OK")</f>
        <v>Reduzir</v>
      </c>
      <c r="L715" s="4" t="s">
        <v>430</v>
      </c>
      <c r="M715" s="200">
        <f ca="1">Tensões!AM9</f>
        <v>-1628.4278786953296</v>
      </c>
      <c r="N715" s="38" t="s">
        <v>234</v>
      </c>
      <c r="O715" s="201">
        <f t="shared" ca="1" si="21"/>
        <v>-1.6284278786953297</v>
      </c>
      <c r="P715" s="38" t="s">
        <v>160</v>
      </c>
      <c r="Q715" s="105">
        <f t="shared" ref="Q715:Q734" si="22">Q714</f>
        <v>0.0</v>
      </c>
    </row>
    <row r="716" spans="11:21" x14ac:dyDescent="0.25">
      <c r="K716" s="198" t="str">
        <f ca="1">IF($M$437&lt;$N$1307/100,"Reduzir","OK")</f>
        <v>Reduzir</v>
      </c>
      <c r="L716" s="4" t="s">
        <v>431</v>
      </c>
      <c r="M716" s="202">
        <f ca="1">Tensões!AM10</f>
        <v>-2887.765995049601</v>
      </c>
      <c r="N716" s="38" t="s">
        <v>234</v>
      </c>
      <c r="O716" s="203">
        <f t="shared" ca="1" si="21"/>
        <v>-2.887765995049601</v>
      </c>
      <c r="P716" s="38" t="s">
        <v>160</v>
      </c>
      <c r="Q716" s="105">
        <f t="shared" si="22"/>
        <v>0.0</v>
      </c>
    </row>
    <row r="717" spans="11:21" x14ac:dyDescent="0.25">
      <c r="K717" s="198" t="str">
        <f ca="1">IF($N$437&lt;$N$1307/100,"Reduzir","OK")</f>
        <v>OK</v>
      </c>
      <c r="L717" s="4" t="s">
        <v>432</v>
      </c>
      <c r="M717" s="202">
        <f ca="1">Tensões!AM11</f>
        <v>-3350.883137707518</v>
      </c>
      <c r="N717" s="38" t="s">
        <v>234</v>
      </c>
      <c r="O717" s="203">
        <f t="shared" ca="1" si="21"/>
        <v>-3.350883137707518</v>
      </c>
      <c r="P717" s="38" t="s">
        <v>160</v>
      </c>
      <c r="Q717" s="105">
        <f t="shared" si="22"/>
        <v>0.0</v>
      </c>
    </row>
    <row r="718" spans="11:21" x14ac:dyDescent="0.25">
      <c r="K718" s="198" t="str">
        <f ca="1">IF($O$437&lt;$N$1307/100,"Reduzir","OK")</f>
        <v>OK</v>
      </c>
      <c r="L718" s="4" t="s">
        <v>433</v>
      </c>
      <c r="M718" s="202">
        <f ca="1">Tensões!AM12</f>
        <v>-5555.856905475778</v>
      </c>
      <c r="N718" s="38" t="s">
        <v>234</v>
      </c>
      <c r="O718" s="203">
        <f t="shared" ca="1" si="21"/>
        <v>-5.555856905475778</v>
      </c>
      <c r="P718" s="38" t="s">
        <v>160</v>
      </c>
      <c r="Q718" s="105">
        <f t="shared" si="22"/>
        <v>0.0</v>
      </c>
    </row>
    <row r="719" spans="11:21" x14ac:dyDescent="0.25">
      <c r="K719" s="198" t="str">
        <f ca="1">IF($P$437&lt;$N$1307/100,"Reduzir","OK")</f>
        <v>OK</v>
      </c>
      <c r="L719" s="4" t="s">
        <v>434</v>
      </c>
      <c r="M719" s="202">
        <f ca="1">Tensões!AM13</f>
        <v>-7421.6274789524905</v>
      </c>
      <c r="N719" s="38" t="s">
        <v>234</v>
      </c>
      <c r="O719" s="203">
        <f t="shared" ca="1" si="21"/>
        <v>-7.42162747895249</v>
      </c>
      <c r="P719" s="38" t="s">
        <v>160</v>
      </c>
      <c r="Q719" s="105">
        <f t="shared" si="22"/>
        <v>0.0</v>
      </c>
    </row>
    <row r="720" spans="11:21" x14ac:dyDescent="0.25">
      <c r="K720" s="198" t="str">
        <f ca="1">IF($Q$437&lt;$N$1307/100,"Reduzir","OK")</f>
        <v>OK</v>
      </c>
      <c r="L720" s="4" t="s">
        <v>435</v>
      </c>
      <c r="M720" s="202">
        <f ca="1">Tensões!AM14</f>
        <v>-8948.183086066654</v>
      </c>
      <c r="N720" s="38" t="s">
        <v>234</v>
      </c>
      <c r="O720" s="203">
        <f t="shared" ca="1" si="21"/>
        <v>-8.948183086066654</v>
      </c>
      <c r="P720" s="38" t="s">
        <v>160</v>
      </c>
      <c r="Q720" s="105">
        <f t="shared" si="22"/>
        <v>0.0</v>
      </c>
    </row>
    <row r="721" spans="11:34" x14ac:dyDescent="0.25">
      <c r="K721" s="198" t="str">
        <f ca="1">IF($R$437&lt;$N$1307/100,"Reduzir","OK")</f>
        <v>OK</v>
      </c>
      <c r="L721" s="4" t="s">
        <v>436</v>
      </c>
      <c r="M721" s="202">
        <f ca="1">Tensões!AM15</f>
        <v>-10135.514097365487</v>
      </c>
      <c r="N721" s="38" t="s">
        <v>234</v>
      </c>
      <c r="O721" s="203">
        <f t="shared" ca="1" si="21"/>
        <v>-10.135514097365487</v>
      </c>
      <c r="P721" s="38" t="s">
        <v>160</v>
      </c>
      <c r="Q721" s="105">
        <f t="shared" si="22"/>
        <v>0.0</v>
      </c>
    </row>
    <row r="722" spans="11:34" x14ac:dyDescent="0.25">
      <c r="K722" s="198" t="str">
        <f ca="1">IF($K$440&lt;$N$1307/100,"Reduzir","OK")</f>
        <v>OK</v>
      </c>
      <c r="L722" s="4" t="s">
        <v>437</v>
      </c>
      <c r="M722" s="202">
        <f ca="1">Tensões!AM16</f>
        <v>-10983.613024668819</v>
      </c>
      <c r="N722" s="38" t="s">
        <v>234</v>
      </c>
      <c r="O722" s="203">
        <f t="shared" ca="1" si="21"/>
        <v>-10.983613024668818</v>
      </c>
      <c r="P722" s="38" t="s">
        <v>160</v>
      </c>
      <c r="Q722" s="105">
        <f t="shared" si="22"/>
        <v>0.0</v>
      </c>
    </row>
    <row r="723" spans="11:34" x14ac:dyDescent="0.25">
      <c r="K723" s="198" t="str">
        <f ca="1">IF($L$440&lt;$N$1307/100,"Reduzir","OK")</f>
        <v>OK</v>
      </c>
      <c r="L723" s="4" t="s">
        <v>438</v>
      </c>
      <c r="M723" s="202">
        <f ca="1">Tensões!AM17</f>
        <v>-11492.474520023192</v>
      </c>
      <c r="N723" s="38" t="s">
        <v>234</v>
      </c>
      <c r="O723" s="203">
        <f t="shared" ca="1" si="21"/>
        <v>-11.492474520023192</v>
      </c>
      <c r="P723" s="38" t="s">
        <v>160</v>
      </c>
      <c r="Q723" s="105">
        <f t="shared" si="22"/>
        <v>0.0</v>
      </c>
    </row>
    <row r="724" spans="11:34" x14ac:dyDescent="0.25">
      <c r="K724" s="198" t="str">
        <f ca="1">IF($M$440&lt;$N$1307/100,"Reduzir","OK")</f>
        <v>OK</v>
      </c>
      <c r="L724" s="4" t="s">
        <v>439</v>
      </c>
      <c r="M724" s="202">
        <f ca="1">Tensões!AM18</f>
        <v>-11662.095374955119</v>
      </c>
      <c r="N724" s="38" t="s">
        <v>234</v>
      </c>
      <c r="O724" s="203">
        <f t="shared" ca="1" si="21"/>
        <v>-11.662095374955118</v>
      </c>
      <c r="P724" s="38" t="s">
        <v>160</v>
      </c>
      <c r="Q724" s="105">
        <f t="shared" si="22"/>
        <v>0.0</v>
      </c>
    </row>
    <row r="725" spans="11:34" x14ac:dyDescent="0.25">
      <c r="K725" s="198" t="str">
        <f ca="1">K723</f>
        <v>OK</v>
      </c>
      <c r="L725" s="4" t="s">
        <v>440</v>
      </c>
      <c r="M725" s="202">
        <f ca="1">Tensões!AM19</f>
        <v>-11492.474520023192</v>
      </c>
      <c r="N725" s="38" t="s">
        <v>234</v>
      </c>
      <c r="O725" s="203">
        <f t="shared" ca="1" si="21"/>
        <v>-11.492474520023192</v>
      </c>
      <c r="P725" s="38" t="s">
        <v>160</v>
      </c>
      <c r="Q725" s="105">
        <f t="shared" si="22"/>
        <v>0.0</v>
      </c>
    </row>
    <row r="726" spans="11:34" x14ac:dyDescent="0.25">
      <c r="K726" s="198" t="str">
        <f ca="1">K722</f>
        <v>OK</v>
      </c>
      <c r="L726" s="4" t="s">
        <v>441</v>
      </c>
      <c r="M726" s="202">
        <f ca="1">Tensões!AM20</f>
        <v>-10983.613024668819</v>
      </c>
      <c r="N726" s="38" t="s">
        <v>234</v>
      </c>
      <c r="O726" s="203">
        <f t="shared" ca="1" si="21"/>
        <v>-10.983613024668818</v>
      </c>
      <c r="P726" s="38" t="s">
        <v>160</v>
      </c>
      <c r="Q726" s="105">
        <f t="shared" si="22"/>
        <v>0.0</v>
      </c>
    </row>
    <row r="727" spans="11:34" x14ac:dyDescent="0.25">
      <c r="K727" s="198" t="str">
        <f ca="1">K721</f>
        <v>OK</v>
      </c>
      <c r="L727" s="4" t="s">
        <v>442</v>
      </c>
      <c r="M727" s="202">
        <f ca="1">Tensões!AM21</f>
        <v>-10135.514097365487</v>
      </c>
      <c r="N727" s="38" t="s">
        <v>234</v>
      </c>
      <c r="O727" s="203">
        <f t="shared" ca="1" si="21"/>
        <v>-10.135514097365487</v>
      </c>
      <c r="P727" s="38" t="s">
        <v>160</v>
      </c>
      <c r="Q727" s="105">
        <f t="shared" si="22"/>
        <v>0.0</v>
      </c>
      <c r="AD727" s="4" t="s">
        <v>428</v>
      </c>
    </row>
    <row r="728" spans="11:34" x14ac:dyDescent="0.25">
      <c r="K728" s="198" t="str">
        <f ca="1">K720</f>
        <v>OK</v>
      </c>
      <c r="L728" s="4" t="s">
        <v>443</v>
      </c>
      <c r="M728" s="202">
        <f ca="1">Tensões!AM22</f>
        <v>-8948.183086066654</v>
      </c>
      <c r="N728" s="38" t="s">
        <v>234</v>
      </c>
      <c r="O728" s="203">
        <f t="shared" ca="1" si="21"/>
        <v>-8.948183086066654</v>
      </c>
      <c r="P728" s="38" t="s">
        <v>160</v>
      </c>
      <c r="Q728" s="105">
        <f t="shared" si="22"/>
        <v>0.0</v>
      </c>
      <c r="AD728" s="4" t="s">
        <v>383</v>
      </c>
      <c r="AE728" s="27">
        <f>0.7*L82*-1000</f>
        <v>-35000.0</v>
      </c>
      <c r="AF728" s="4" t="s">
        <v>234</v>
      </c>
      <c r="AG728" s="27">
        <f>AE728/1000</f>
        <v>-35.0</v>
      </c>
      <c r="AH728" s="4" t="s">
        <v>160</v>
      </c>
    </row>
    <row r="729" spans="11:34" x14ac:dyDescent="0.25">
      <c r="K729" s="198" t="str">
        <f ca="1">K719</f>
        <v>OK</v>
      </c>
      <c r="L729" s="4" t="s">
        <v>444</v>
      </c>
      <c r="M729" s="202">
        <f ca="1">Tensões!AM23</f>
        <v>-7421.627478952491</v>
      </c>
      <c r="N729" s="38" t="s">
        <v>234</v>
      </c>
      <c r="O729" s="203">
        <f t="shared" ca="1" si="21"/>
        <v>-7.421627478952491</v>
      </c>
      <c r="P729" s="38" t="s">
        <v>160</v>
      </c>
      <c r="Q729" s="105">
        <f t="shared" si="22"/>
        <v>0.0</v>
      </c>
      <c r="AD729" s="4" t="s">
        <v>384</v>
      </c>
      <c r="AE729" s="105">
        <v>0</v>
      </c>
      <c r="AF729" s="4" t="s">
        <v>234</v>
      </c>
      <c r="AG729" s="138">
        <f>AE729/1000</f>
        <v>0.0</v>
      </c>
      <c r="AH729" s="4" t="s">
        <v>160</v>
      </c>
    </row>
    <row r="730" spans="11:34" x14ac:dyDescent="0.25">
      <c r="K730" s="198" t="str">
        <f ca="1">K718</f>
        <v>OK</v>
      </c>
      <c r="L730" s="4" t="s">
        <v>445</v>
      </c>
      <c r="M730" s="202">
        <f ca="1">Tensões!AM24</f>
        <v>-5555.856905475781</v>
      </c>
      <c r="N730" s="38" t="s">
        <v>234</v>
      </c>
      <c r="O730" s="203">
        <f t="shared" ca="1" si="21"/>
        <v>-5.555856905475781</v>
      </c>
      <c r="P730" s="38" t="s">
        <v>160</v>
      </c>
      <c r="Q730" s="105">
        <f t="shared" si="22"/>
        <v>0.0</v>
      </c>
    </row>
    <row r="731" spans="11:34" x14ac:dyDescent="0.25">
      <c r="K731" s="198" t="str">
        <f ca="1">K717</f>
        <v>OK</v>
      </c>
      <c r="L731" s="4" t="s">
        <v>446</v>
      </c>
      <c r="M731" s="202">
        <f ca="1">Tensões!AM25</f>
        <v>-3350.8831377075194</v>
      </c>
      <c r="N731" s="38" t="s">
        <v>234</v>
      </c>
      <c r="O731" s="203">
        <f t="shared" ca="1" si="21"/>
        <v>-3.350883137707519</v>
      </c>
      <c r="P731" s="38" t="s">
        <v>160</v>
      </c>
      <c r="Q731" s="105">
        <f t="shared" si="22"/>
        <v>0.0</v>
      </c>
    </row>
    <row r="732" spans="11:34" x14ac:dyDescent="0.25">
      <c r="K732" s="198" t="str">
        <f ca="1">K716</f>
        <v>Reduzir</v>
      </c>
      <c r="L732" s="4" t="s">
        <v>447</v>
      </c>
      <c r="M732" s="202">
        <f ca="1">Tensões!AM26</f>
        <v>-2887.7659950496045</v>
      </c>
      <c r="N732" s="38" t="s">
        <v>234</v>
      </c>
      <c r="O732" s="203">
        <f t="shared" ca="1" si="21"/>
        <v>-2.8877659950496044</v>
      </c>
      <c r="P732" s="38" t="s">
        <v>160</v>
      </c>
      <c r="Q732" s="105">
        <f t="shared" si="22"/>
        <v>0.0</v>
      </c>
    </row>
    <row r="733" spans="11:34" x14ac:dyDescent="0.25">
      <c r="K733" s="198" t="str">
        <f ca="1">K715</f>
        <v>Reduzir</v>
      </c>
      <c r="L733" s="4" t="s">
        <v>448</v>
      </c>
      <c r="M733" s="204">
        <f ca="1">Tensões!AM27</f>
        <v>-1628.427878695333</v>
      </c>
      <c r="N733" s="38" t="s">
        <v>234</v>
      </c>
      <c r="O733" s="205">
        <f t="shared" ca="1" si="21"/>
        <v>-1.628427878695333</v>
      </c>
      <c r="P733" s="38" t="s">
        <v>160</v>
      </c>
      <c r="Q733" s="105">
        <f t="shared" si="22"/>
        <v>0.0</v>
      </c>
    </row>
    <row r="734" spans="11:34" x14ac:dyDescent="0.25">
      <c r="K734" s="198" t="str">
        <f ca="1">K714</f>
        <v>Reduzir</v>
      </c>
      <c r="L734" s="32" t="s">
        <v>449</v>
      </c>
      <c r="M734" s="206">
        <v>0</v>
      </c>
      <c r="N734" s="207" t="s">
        <v>234</v>
      </c>
      <c r="O734" s="208">
        <f t="shared" si="21"/>
        <v>0.0</v>
      </c>
      <c r="P734" s="207" t="s">
        <v>160</v>
      </c>
      <c r="Q734" s="206">
        <f t="shared" si="22"/>
        <v>0.0</v>
      </c>
    </row>
    <row r="735" spans="11:34" x14ac:dyDescent="0.25">
      <c r="Q735" s="105"/>
    </row>
    <row r="736" spans="11:34" x14ac:dyDescent="0.25">
      <c r="L736" s="691" t="s">
        <v>450</v>
      </c>
      <c r="M736" s="691"/>
      <c r="N736" s="691"/>
      <c r="O736" s="691"/>
      <c r="P736" s="691"/>
      <c r="Q736" s="39" t="s">
        <v>428</v>
      </c>
    </row>
    <row r="737" spans="11:17" x14ac:dyDescent="0.25">
      <c r="K737" s="198" t="str">
        <f ca="1">IF($K$437&lt;$N$1308/100,"Reduzir","OK")</f>
        <v>Reduzir</v>
      </c>
      <c r="L737" s="4" t="s">
        <v>429</v>
      </c>
      <c r="M737" s="105">
        <v>0</v>
      </c>
      <c r="N737" s="38" t="s">
        <v>234</v>
      </c>
      <c r="O737" s="138">
        <f t="shared" ref="O737:O757" si="23">M737/1000</f>
        <v>0.0</v>
      </c>
      <c r="P737" s="38" t="s">
        <v>160</v>
      </c>
      <c r="Q737" s="138">
        <f>AG728</f>
        <v>-35.0</v>
      </c>
    </row>
    <row r="738" spans="11:17" x14ac:dyDescent="0.25">
      <c r="K738" s="198" t="str">
        <f ca="1">IF($L$437&lt;$N$1308/100,"Reduzir","OK")</f>
        <v>Reduzir</v>
      </c>
      <c r="L738" s="4" t="s">
        <v>430</v>
      </c>
      <c r="M738" s="200">
        <f ca="1">Tensões!AM32</f>
        <v>-416.5000928822924</v>
      </c>
      <c r="N738" s="38" t="s">
        <v>234</v>
      </c>
      <c r="O738" s="201">
        <f t="shared" ca="1" si="23"/>
        <v>-0.4165000928822924</v>
      </c>
      <c r="P738" s="38" t="s">
        <v>160</v>
      </c>
      <c r="Q738" s="138">
        <f t="shared" ref="Q738:Q757" si="24">Q737</f>
        <v>-35.0</v>
      </c>
    </row>
    <row r="739" spans="11:17" x14ac:dyDescent="0.25">
      <c r="K739" s="198" t="str">
        <f ca="1">IF($M$437&lt;$N$1308/100,"Reduzir","OK")</f>
        <v>Reduzir</v>
      </c>
      <c r="L739" s="4" t="s">
        <v>431</v>
      </c>
      <c r="M739" s="202">
        <f ca="1">Tensões!AM33</f>
        <v>-1438.665918266127</v>
      </c>
      <c r="N739" s="38" t="s">
        <v>234</v>
      </c>
      <c r="O739" s="203">
        <f t="shared" ca="1" si="23"/>
        <v>-1.438665918266127</v>
      </c>
      <c r="P739" s="38" t="s">
        <v>160</v>
      </c>
      <c r="Q739" s="138">
        <f t="shared" si="24"/>
        <v>-35.0</v>
      </c>
    </row>
    <row r="740" spans="11:17" x14ac:dyDescent="0.25">
      <c r="K740" s="198" t="str">
        <f ca="1">IF($N$437&lt;$N$1308/100,"Reduzir","OK")</f>
        <v>Reduzir</v>
      </c>
      <c r="L740" s="4" t="s">
        <v>432</v>
      </c>
      <c r="M740" s="202">
        <f ca="1">Tensões!AM34</f>
        <v>-3066.497476151507</v>
      </c>
      <c r="N740" s="38" t="s">
        <v>234</v>
      </c>
      <c r="O740" s="203">
        <f t="shared" ca="1" si="23"/>
        <v>-3.0664974761515067</v>
      </c>
      <c r="P740" s="38" t="s">
        <v>160</v>
      </c>
      <c r="Q740" s="138">
        <f t="shared" si="24"/>
        <v>-35.0</v>
      </c>
    </row>
    <row r="741" spans="11:17" x14ac:dyDescent="0.25">
      <c r="K741" s="198" t="str">
        <f ca="1">IF($O$437&lt;$N$1308/100,"Reduzir","OK")</f>
        <v>OK</v>
      </c>
      <c r="L741" s="4" t="s">
        <v>433</v>
      </c>
      <c r="M741" s="202">
        <f ca="1">Tensões!AM35</f>
        <v>-2443.44042393738</v>
      </c>
      <c r="N741" s="38" t="s">
        <v>234</v>
      </c>
      <c r="O741" s="203">
        <f t="shared" ca="1" si="23"/>
        <v>-2.4434404239373797</v>
      </c>
      <c r="P741" s="38" t="s">
        <v>160</v>
      </c>
      <c r="Q741" s="138">
        <f t="shared" si="24"/>
        <v>-35.0</v>
      </c>
    </row>
    <row r="742" spans="11:17" x14ac:dyDescent="0.25">
      <c r="K742" s="198" t="str">
        <f ca="1">IF($P$437&lt;$N$1308/100,"Reduzir","OK")</f>
        <v>OK</v>
      </c>
      <c r="L742" s="4" t="s">
        <v>434</v>
      </c>
      <c r="M742" s="202">
        <f ca="1">Tensões!AM36</f>
        <v>129.41130469915697</v>
      </c>
      <c r="N742" s="38" t="s">
        <v>234</v>
      </c>
      <c r="O742" s="203">
        <f t="shared" ca="1" si="23"/>
        <v>0.12941130469915696</v>
      </c>
      <c r="P742" s="38" t="s">
        <v>160</v>
      </c>
      <c r="Q742" s="138">
        <f t="shared" si="24"/>
        <v>-35.0</v>
      </c>
    </row>
    <row r="743" spans="11:17" x14ac:dyDescent="0.25">
      <c r="K743" s="198" t="str">
        <f ca="1">IF($Q$437&lt;$N$1308/100,"Reduzir","OK")</f>
        <v>OK</v>
      </c>
      <c r="L743" s="4" t="s">
        <v>435</v>
      </c>
      <c r="M743" s="202">
        <f ca="1">Tensões!AM37</f>
        <v>2234.5245357940403</v>
      </c>
      <c r="N743" s="38" t="s">
        <v>234</v>
      </c>
      <c r="O743" s="203">
        <f t="shared" ca="1" si="23"/>
        <v>2.23452453579404</v>
      </c>
      <c r="P743" s="38" t="s">
        <v>160</v>
      </c>
      <c r="Q743" s="138">
        <f t="shared" si="24"/>
        <v>-35.0</v>
      </c>
    </row>
    <row r="744" spans="11:17" x14ac:dyDescent="0.25">
      <c r="K744" s="198" t="str">
        <f ca="1">IF($R$437&lt;$N$1308/100,"Reduzir","OK")</f>
        <v>OK</v>
      </c>
      <c r="L744" s="4" t="s">
        <v>436</v>
      </c>
      <c r="M744" s="202">
        <f ca="1">Tensões!AM38</f>
        <v>3871.867629716702</v>
      </c>
      <c r="N744" s="38" t="s">
        <v>234</v>
      </c>
      <c r="O744" s="203">
        <f t="shared" ca="1" si="23"/>
        <v>3.8718676297167023</v>
      </c>
      <c r="P744" s="38" t="s">
        <v>160</v>
      </c>
      <c r="Q744" s="138">
        <f t="shared" si="24"/>
        <v>-35.0</v>
      </c>
    </row>
    <row r="745" spans="11:17" x14ac:dyDescent="0.25">
      <c r="K745" s="198" t="str">
        <f ca="1">IF($K$440&lt;$N$1308/100,"Reduzir","OK")</f>
        <v>OK</v>
      </c>
      <c r="L745" s="4" t="s">
        <v>437</v>
      </c>
      <c r="M745" s="202">
        <f ca="1">Tensões!AM39</f>
        <v>5041.415982446575</v>
      </c>
      <c r="N745" s="38" t="s">
        <v>234</v>
      </c>
      <c r="O745" s="203">
        <f t="shared" ca="1" si="23"/>
        <v>5.041415982446575</v>
      </c>
      <c r="P745" s="38" t="s">
        <v>160</v>
      </c>
      <c r="Q745" s="138">
        <f t="shared" si="24"/>
        <v>-35.0</v>
      </c>
    </row>
    <row r="746" spans="11:17" x14ac:dyDescent="0.25">
      <c r="K746" s="198" t="str">
        <f ca="1">IF($L$440&lt;$N$1308/100,"Reduzir","OK")</f>
        <v>OK</v>
      </c>
      <c r="L746" s="4" t="s">
        <v>438</v>
      </c>
      <c r="M746" s="202">
        <f ca="1">Tensões!AM40</f>
        <v>5743.152022136582</v>
      </c>
      <c r="N746" s="38" t="s">
        <v>234</v>
      </c>
      <c r="O746" s="203">
        <f t="shared" ca="1" si="23"/>
        <v>5.743152022136582</v>
      </c>
      <c r="P746" s="38" t="s">
        <v>160</v>
      </c>
      <c r="Q746" s="138">
        <f t="shared" si="24"/>
        <v>-35.0</v>
      </c>
    </row>
    <row r="747" spans="11:17" x14ac:dyDescent="0.25">
      <c r="K747" s="198" t="str">
        <f ca="1">IF($M$440&lt;$N$1308/100,"Reduzir","OK")</f>
        <v>OK</v>
      </c>
      <c r="L747" s="4" t="s">
        <v>439</v>
      </c>
      <c r="M747" s="202">
        <f ca="1">Tensões!AM41</f>
        <v>5977.065206659552</v>
      </c>
      <c r="N747" s="38" t="s">
        <v>234</v>
      </c>
      <c r="O747" s="203">
        <f t="shared" ca="1" si="23"/>
        <v>5.977065206659552</v>
      </c>
      <c r="P747" s="38" t="s">
        <v>160</v>
      </c>
      <c r="Q747" s="138">
        <f t="shared" si="24"/>
        <v>-35.0</v>
      </c>
    </row>
    <row r="748" spans="11:17" x14ac:dyDescent="0.25">
      <c r="K748" s="198" t="str">
        <f ca="1">K746</f>
        <v>OK</v>
      </c>
      <c r="L748" s="4" t="s">
        <v>440</v>
      </c>
      <c r="M748" s="202">
        <f ca="1">Tensões!AM42</f>
        <v>5743.152022136584</v>
      </c>
      <c r="N748" s="38" t="s">
        <v>234</v>
      </c>
      <c r="O748" s="203">
        <f t="shared" ca="1" si="23"/>
        <v>5.7431520221365835</v>
      </c>
      <c r="P748" s="38" t="s">
        <v>160</v>
      </c>
      <c r="Q748" s="138">
        <f t="shared" si="24"/>
        <v>-35.0</v>
      </c>
    </row>
    <row r="749" spans="11:17" x14ac:dyDescent="0.25">
      <c r="K749" s="198" t="str">
        <f ca="1">K745</f>
        <v>OK</v>
      </c>
      <c r="L749" s="4" t="s">
        <v>441</v>
      </c>
      <c r="M749" s="202">
        <f ca="1">Tensões!AM43</f>
        <v>5041.415982446579</v>
      </c>
      <c r="N749" s="38" t="s">
        <v>234</v>
      </c>
      <c r="O749" s="203">
        <f t="shared" ca="1" si="23"/>
        <v>5.041415982446579</v>
      </c>
      <c r="P749" s="38" t="s">
        <v>160</v>
      </c>
      <c r="Q749" s="138">
        <f t="shared" si="24"/>
        <v>-35.0</v>
      </c>
    </row>
    <row r="750" spans="11:17" x14ac:dyDescent="0.25">
      <c r="K750" s="198" t="str">
        <f ca="1">K744</f>
        <v>OK</v>
      </c>
      <c r="L750" s="4" t="s">
        <v>442</v>
      </c>
      <c r="M750" s="202">
        <f ca="1">Tensões!AM44</f>
        <v>3871.8676297167067</v>
      </c>
      <c r="N750" s="38" t="s">
        <v>234</v>
      </c>
      <c r="O750" s="203">
        <f t="shared" ca="1" si="23"/>
        <v>3.8718676297167067</v>
      </c>
      <c r="P750" s="38" t="s">
        <v>160</v>
      </c>
      <c r="Q750" s="138">
        <f t="shared" si="24"/>
        <v>-35.0</v>
      </c>
    </row>
    <row r="751" spans="11:17" x14ac:dyDescent="0.25">
      <c r="K751" s="198" t="str">
        <f ca="1">K743</f>
        <v>OK</v>
      </c>
      <c r="L751" s="4" t="s">
        <v>443</v>
      </c>
      <c r="M751" s="202">
        <f ca="1">Tensões!AM45</f>
        <v>2234.524535794045</v>
      </c>
      <c r="N751" s="38" t="s">
        <v>234</v>
      </c>
      <c r="O751" s="203">
        <f t="shared" ca="1" si="23"/>
        <v>2.2345245357940446</v>
      </c>
      <c r="P751" s="38" t="s">
        <v>160</v>
      </c>
      <c r="Q751" s="138">
        <f t="shared" si="24"/>
        <v>-35.0</v>
      </c>
    </row>
    <row r="752" spans="11:17" x14ac:dyDescent="0.25">
      <c r="K752" s="198" t="str">
        <f ca="1">K742</f>
        <v>OK</v>
      </c>
      <c r="L752" s="4" t="s">
        <v>444</v>
      </c>
      <c r="M752" s="202">
        <f ca="1">Tensões!AM46</f>
        <v>129.41130469916243</v>
      </c>
      <c r="N752" s="38" t="s">
        <v>234</v>
      </c>
      <c r="O752" s="203">
        <f t="shared" ca="1" si="23"/>
        <v>0.12941130469916243</v>
      </c>
      <c r="P752" s="38" t="s">
        <v>160</v>
      </c>
      <c r="Q752" s="138">
        <f t="shared" si="24"/>
        <v>-35.0</v>
      </c>
    </row>
    <row r="753" spans="11:21" x14ac:dyDescent="0.25">
      <c r="K753" s="198" t="str">
        <f ca="1">K741</f>
        <v>OK</v>
      </c>
      <c r="L753" s="4" t="s">
        <v>445</v>
      </c>
      <c r="M753" s="202">
        <f ca="1">Tensões!AM47</f>
        <v>-2443.4404239373725</v>
      </c>
      <c r="N753" s="38" t="s">
        <v>234</v>
      </c>
      <c r="O753" s="203">
        <f t="shared" ca="1" si="23"/>
        <v>-2.4434404239373726</v>
      </c>
      <c r="P753" s="38" t="s">
        <v>160</v>
      </c>
      <c r="Q753" s="138">
        <f t="shared" si="24"/>
        <v>-35.0</v>
      </c>
    </row>
    <row r="754" spans="11:21" x14ac:dyDescent="0.25">
      <c r="K754" s="198" t="str">
        <f ca="1">K740</f>
        <v>Reduzir</v>
      </c>
      <c r="L754" s="4" t="s">
        <v>446</v>
      </c>
      <c r="M754" s="202">
        <f ca="1">Tensões!AM48</f>
        <v>-3066.497476151496</v>
      </c>
      <c r="N754" s="38" t="s">
        <v>234</v>
      </c>
      <c r="O754" s="203">
        <f t="shared" ca="1" si="23"/>
        <v>-3.066497476151496</v>
      </c>
      <c r="P754" s="38" t="s">
        <v>160</v>
      </c>
      <c r="Q754" s="138">
        <f t="shared" si="24"/>
        <v>-35.0</v>
      </c>
    </row>
    <row r="755" spans="11:21" x14ac:dyDescent="0.25">
      <c r="K755" s="198" t="str">
        <f ca="1">K739</f>
        <v>Reduzir</v>
      </c>
      <c r="L755" s="4" t="s">
        <v>447</v>
      </c>
      <c r="M755" s="202">
        <f ca="1">Tensões!AM49</f>
        <v>-1438.665918266116</v>
      </c>
      <c r="N755" s="38" t="s">
        <v>234</v>
      </c>
      <c r="O755" s="203">
        <f t="shared" ca="1" si="23"/>
        <v>-1.4386659182661161</v>
      </c>
      <c r="P755" s="38" t="s">
        <v>160</v>
      </c>
      <c r="Q755" s="138">
        <f t="shared" si="24"/>
        <v>-35.0</v>
      </c>
    </row>
    <row r="756" spans="11:21" x14ac:dyDescent="0.25">
      <c r="K756" s="198" t="str">
        <f ca="1">K738</f>
        <v>Reduzir</v>
      </c>
      <c r="L756" s="4" t="s">
        <v>448</v>
      </c>
      <c r="M756" s="204">
        <f ca="1">Tensões!AM50</f>
        <v>-416.50009288227966</v>
      </c>
      <c r="N756" s="38" t="s">
        <v>234</v>
      </c>
      <c r="O756" s="205">
        <f t="shared" ca="1" si="23"/>
        <v>-0.4165000928822797</v>
      </c>
      <c r="P756" s="38" t="s">
        <v>160</v>
      </c>
      <c r="Q756" s="138">
        <f t="shared" si="24"/>
        <v>-35.0</v>
      </c>
    </row>
    <row r="757" spans="11:21" x14ac:dyDescent="0.25">
      <c r="K757" s="198" t="str">
        <f ca="1">K737</f>
        <v>Reduzir</v>
      </c>
      <c r="L757" s="32" t="s">
        <v>449</v>
      </c>
      <c r="M757" s="206">
        <v>0</v>
      </c>
      <c r="N757" s="32"/>
      <c r="O757" s="208">
        <f t="shared" si="23"/>
        <v>0.0</v>
      </c>
      <c r="P757" s="207" t="s">
        <v>160</v>
      </c>
      <c r="Q757" s="208">
        <f t="shared" si="24"/>
        <v>-35.0</v>
      </c>
    </row>
    <row r="758" spans="11:21" x14ac:dyDescent="0.25">
      <c r="P758" s="38"/>
      <c r="R758" s="105"/>
      <c r="S758" s="105"/>
    </row>
    <row r="759" spans="11:21" x14ac:dyDescent="0.25">
      <c r="R759" s="105"/>
      <c r="S759" s="105"/>
    </row>
    <row r="760" spans="11:21" x14ac:dyDescent="0.25">
      <c r="R760" s="105"/>
      <c r="S760" s="105"/>
    </row>
    <row r="761" spans="11:21" x14ac:dyDescent="0.25">
      <c r="R761" s="105"/>
      <c r="S761" s="105"/>
    </row>
    <row r="762" spans="11:21" x14ac:dyDescent="0.25">
      <c r="P762" s="105"/>
      <c r="Q762" s="105"/>
      <c r="R762" s="105"/>
      <c r="S762" s="105"/>
      <c r="T762" s="105"/>
      <c r="U762" s="105"/>
    </row>
    <row r="763" spans="11:21" x14ac:dyDescent="0.25">
      <c r="P763" s="105"/>
      <c r="Q763" s="105"/>
      <c r="R763" s="105"/>
      <c r="S763" s="105"/>
      <c r="T763" s="105"/>
      <c r="U763" s="105"/>
    </row>
    <row r="764" spans="11:21" x14ac:dyDescent="0.25">
      <c r="P764" s="105"/>
      <c r="Q764" s="105"/>
      <c r="R764" s="105"/>
      <c r="S764" s="105"/>
      <c r="T764" s="105"/>
      <c r="U764" s="105"/>
    </row>
    <row r="765" spans="11:21" x14ac:dyDescent="0.25">
      <c r="P765" s="105"/>
      <c r="Q765" s="105"/>
      <c r="R765" s="105"/>
      <c r="S765" s="105"/>
      <c r="T765" s="105"/>
      <c r="U765" s="105"/>
    </row>
    <row r="766" spans="11:21" x14ac:dyDescent="0.25">
      <c r="P766" s="105"/>
      <c r="Q766" s="105"/>
      <c r="R766" s="105"/>
      <c r="S766" s="105"/>
      <c r="T766" s="105"/>
      <c r="U766" s="105"/>
    </row>
    <row r="767" spans="11:21" x14ac:dyDescent="0.25">
      <c r="P767" s="105"/>
      <c r="Q767" s="105"/>
      <c r="R767" s="105"/>
      <c r="S767" s="105"/>
      <c r="T767" s="105"/>
      <c r="U767" s="105"/>
    </row>
    <row r="768" spans="11:21" x14ac:dyDescent="0.25">
      <c r="P768" s="105"/>
      <c r="Q768" s="105"/>
      <c r="R768" s="105"/>
      <c r="S768" s="105"/>
      <c r="T768" s="105"/>
      <c r="U768" s="105"/>
    </row>
    <row r="769" spans="16:21" x14ac:dyDescent="0.25">
      <c r="P769" s="105"/>
      <c r="Q769" s="105"/>
      <c r="R769" s="105"/>
      <c r="S769" s="105"/>
      <c r="T769" s="105"/>
      <c r="U769" s="105"/>
    </row>
    <row r="770" spans="16:21" x14ac:dyDescent="0.25">
      <c r="P770" s="105"/>
      <c r="Q770" s="105"/>
      <c r="R770" s="105"/>
      <c r="S770" s="105"/>
      <c r="T770" s="105"/>
      <c r="U770" s="105"/>
    </row>
    <row r="771" spans="16:21" x14ac:dyDescent="0.25">
      <c r="P771" s="105"/>
      <c r="Q771" s="105"/>
      <c r="R771" s="105"/>
      <c r="S771" s="105"/>
      <c r="T771" s="105"/>
      <c r="U771" s="105"/>
    </row>
    <row r="772" spans="16:21" x14ac:dyDescent="0.25">
      <c r="P772" s="105"/>
      <c r="Q772" s="105"/>
      <c r="R772" s="105"/>
      <c r="S772" s="105"/>
      <c r="T772" s="105"/>
      <c r="U772" s="105"/>
    </row>
    <row r="773" spans="16:21" x14ac:dyDescent="0.25">
      <c r="P773" s="105"/>
      <c r="Q773" s="105"/>
      <c r="R773" s="105"/>
      <c r="S773" s="105"/>
      <c r="T773" s="105"/>
      <c r="U773" s="105"/>
    </row>
    <row r="774" spans="16:21" x14ac:dyDescent="0.25">
      <c r="P774" s="105"/>
      <c r="Q774" s="105"/>
      <c r="R774" s="105"/>
      <c r="S774" s="105"/>
      <c r="T774" s="105"/>
      <c r="U774" s="105"/>
    </row>
    <row r="775" spans="16:21" x14ac:dyDescent="0.25">
      <c r="P775" s="105"/>
      <c r="Q775" s="105"/>
      <c r="R775" s="105"/>
      <c r="S775" s="105"/>
      <c r="T775" s="105"/>
      <c r="U775" s="105"/>
    </row>
    <row r="776" spans="16:21" x14ac:dyDescent="0.25">
      <c r="P776" s="105"/>
      <c r="Q776" s="105"/>
      <c r="R776" s="105"/>
      <c r="S776" s="105"/>
      <c r="T776" s="105"/>
      <c r="U776" s="105"/>
    </row>
    <row r="777" spans="16:21" x14ac:dyDescent="0.25">
      <c r="P777" s="105"/>
      <c r="Q777" s="105"/>
      <c r="R777" s="105"/>
      <c r="S777" s="105"/>
      <c r="T777" s="105"/>
      <c r="U777" s="105"/>
    </row>
    <row r="778" spans="16:21" x14ac:dyDescent="0.25">
      <c r="P778" s="105"/>
      <c r="Q778" s="105"/>
      <c r="R778" s="105"/>
      <c r="S778" s="105"/>
      <c r="T778" s="105"/>
      <c r="U778" s="105"/>
    </row>
    <row r="779" spans="16:21" x14ac:dyDescent="0.25">
      <c r="P779" s="105"/>
      <c r="Q779" s="105"/>
      <c r="R779" s="105"/>
      <c r="S779" s="105"/>
      <c r="T779" s="105"/>
      <c r="U779" s="105"/>
    </row>
    <row r="780" spans="16:21" x14ac:dyDescent="0.25">
      <c r="P780" s="105"/>
      <c r="Q780" s="105"/>
      <c r="R780" s="105"/>
      <c r="S780" s="105"/>
      <c r="T780" s="105"/>
      <c r="U780" s="105"/>
    </row>
    <row r="781" spans="16:21" x14ac:dyDescent="0.25">
      <c r="P781" s="105"/>
      <c r="Q781" s="105"/>
      <c r="R781" s="105"/>
      <c r="S781" s="105"/>
      <c r="T781" s="105"/>
      <c r="U781" s="105"/>
    </row>
    <row r="782" spans="16:21" x14ac:dyDescent="0.25">
      <c r="P782" s="105"/>
      <c r="Q782" s="105"/>
      <c r="R782" s="105"/>
      <c r="S782" s="105"/>
      <c r="T782" s="105"/>
      <c r="U782" s="105"/>
    </row>
    <row r="783" spans="16:21" x14ac:dyDescent="0.25">
      <c r="P783" s="105"/>
      <c r="Q783" s="105"/>
      <c r="R783" s="105"/>
      <c r="S783" s="105"/>
      <c r="T783" s="105"/>
      <c r="U783" s="105"/>
    </row>
    <row r="784" spans="16:21" x14ac:dyDescent="0.25">
      <c r="P784" s="105"/>
      <c r="Q784" s="105"/>
      <c r="R784" s="105"/>
      <c r="S784" s="105"/>
      <c r="T784" s="105"/>
      <c r="U784" s="105"/>
    </row>
    <row r="785" spans="11:21" x14ac:dyDescent="0.25">
      <c r="P785" s="105"/>
      <c r="Q785" s="105"/>
      <c r="R785" s="105"/>
      <c r="S785" s="105"/>
      <c r="T785" s="105"/>
      <c r="U785" s="105"/>
    </row>
    <row r="786" spans="11:21" x14ac:dyDescent="0.25">
      <c r="K786" s="653" t="s">
        <v>473</v>
      </c>
      <c r="L786" s="653"/>
      <c r="M786" s="653"/>
      <c r="N786" s="653"/>
      <c r="O786" s="653"/>
      <c r="P786" s="653"/>
      <c r="Q786" s="653"/>
      <c r="R786" s="653"/>
      <c r="S786" s="105"/>
      <c r="T786" s="105"/>
      <c r="U786" s="105"/>
    </row>
    <row r="787" spans="11:21" x14ac:dyDescent="0.25">
      <c r="P787" s="105"/>
      <c r="Q787" s="105"/>
      <c r="R787" s="105"/>
      <c r="S787" s="105"/>
      <c r="T787" s="105"/>
      <c r="U787" s="105"/>
    </row>
    <row r="788" spans="11:21" x14ac:dyDescent="0.25">
      <c r="L788" s="691" t="s">
        <v>451</v>
      </c>
      <c r="M788" s="691"/>
      <c r="N788" s="691"/>
      <c r="O788" s="691"/>
      <c r="P788" s="691"/>
      <c r="Q788" s="39" t="s">
        <v>428</v>
      </c>
      <c r="S788" s="105"/>
      <c r="T788" s="105"/>
      <c r="U788" s="105"/>
    </row>
    <row r="789" spans="11:21" x14ac:dyDescent="0.25">
      <c r="K789" s="198" t="str">
        <f ca="1">IF($K$437&lt;$N$1307/100,"Reduzir","OK")</f>
        <v>Reduzir</v>
      </c>
      <c r="L789" s="4" t="s">
        <v>429</v>
      </c>
      <c r="M789" s="105">
        <v>0</v>
      </c>
      <c r="N789" s="38" t="s">
        <v>234</v>
      </c>
      <c r="O789" s="138">
        <f t="shared" ref="O789:O809" si="25">M789/1000</f>
        <v>0.0</v>
      </c>
      <c r="P789" s="38" t="s">
        <v>160</v>
      </c>
      <c r="Q789" s="105">
        <f>L891</f>
        <v>0.0</v>
      </c>
      <c r="S789" s="105"/>
      <c r="T789" s="105"/>
      <c r="U789" s="105"/>
    </row>
    <row r="790" spans="11:21" x14ac:dyDescent="0.25">
      <c r="K790" s="198" t="str">
        <f ca="1">IF($L$437&lt;$N$1307/100,"Reduzir","OK")</f>
        <v>Reduzir</v>
      </c>
      <c r="L790" s="4" t="s">
        <v>430</v>
      </c>
      <c r="M790" s="200">
        <f ca="1">Tensões!AY9</f>
        <v>-1628.4278786953296</v>
      </c>
      <c r="N790" s="38" t="s">
        <v>234</v>
      </c>
      <c r="O790" s="201">
        <f t="shared" ca="1" si="25"/>
        <v>-1.6284278786953297</v>
      </c>
      <c r="P790" s="38" t="s">
        <v>160</v>
      </c>
      <c r="Q790" s="105">
        <f t="shared" ref="Q790:Q808" si="26">Q789</f>
        <v>0.0</v>
      </c>
    </row>
    <row r="791" spans="11:21" x14ac:dyDescent="0.25">
      <c r="K791" s="198" t="str">
        <f ca="1">IF($M$437&lt;$N$1307/100,"Reduzir","OK")</f>
        <v>Reduzir</v>
      </c>
      <c r="L791" s="4" t="s">
        <v>431</v>
      </c>
      <c r="M791" s="202">
        <f ca="1">Tensões!AY10</f>
        <v>-2887.765995049601</v>
      </c>
      <c r="N791" s="38" t="s">
        <v>234</v>
      </c>
      <c r="O791" s="203">
        <f t="shared" ca="1" si="25"/>
        <v>-2.887765995049601</v>
      </c>
      <c r="P791" s="38" t="s">
        <v>160</v>
      </c>
      <c r="Q791" s="105">
        <f t="shared" si="26"/>
        <v>0.0</v>
      </c>
    </row>
    <row r="792" spans="11:21" x14ac:dyDescent="0.25">
      <c r="K792" s="198" t="str">
        <f ca="1">IF($N$437&lt;$N$1307/100,"Reduzir","OK")</f>
        <v>OK</v>
      </c>
      <c r="L792" s="4" t="s">
        <v>432</v>
      </c>
      <c r="M792" s="202">
        <f ca="1">Tensões!AY11</f>
        <v>-2588.62567063616</v>
      </c>
      <c r="N792" s="38" t="s">
        <v>234</v>
      </c>
      <c r="O792" s="203">
        <f t="shared" ca="1" si="25"/>
        <v>-2.58862567063616</v>
      </c>
      <c r="P792" s="38" t="s">
        <v>160</v>
      </c>
      <c r="Q792" s="105">
        <f t="shared" si="26"/>
        <v>0.0</v>
      </c>
    </row>
    <row r="793" spans="11:21" x14ac:dyDescent="0.25">
      <c r="K793" s="198" t="str">
        <f ca="1">IF($O$437&lt;$N$1307/100,"Reduzir","OK")</f>
        <v>OK</v>
      </c>
      <c r="L793" s="4" t="s">
        <v>433</v>
      </c>
      <c r="M793" s="202">
        <f ca="1">Tensões!AY12</f>
        <v>-4599.298515425447</v>
      </c>
      <c r="N793" s="38" t="s">
        <v>234</v>
      </c>
      <c r="O793" s="203">
        <f t="shared" ca="1" si="25"/>
        <v>-4.599298515425446</v>
      </c>
      <c r="P793" s="38" t="s">
        <v>160</v>
      </c>
      <c r="Q793" s="105">
        <f t="shared" si="26"/>
        <v>0.0</v>
      </c>
    </row>
    <row r="794" spans="11:21" x14ac:dyDescent="0.25">
      <c r="K794" s="198" t="str">
        <f ca="1">IF($P$437&lt;$N$1307/100,"Reduzir","OK")</f>
        <v>OK</v>
      </c>
      <c r="L794" s="4" t="s">
        <v>434</v>
      </c>
      <c r="M794" s="202">
        <f ca="1">Tensões!AY13</f>
        <v>-6300.660615612258</v>
      </c>
      <c r="N794" s="38" t="s">
        <v>234</v>
      </c>
      <c r="O794" s="203">
        <f t="shared" ca="1" si="25"/>
        <v>-6.300660615612258</v>
      </c>
      <c r="P794" s="38" t="s">
        <v>160</v>
      </c>
      <c r="Q794" s="105">
        <f t="shared" si="26"/>
        <v>0.0</v>
      </c>
    </row>
    <row r="795" spans="11:21" x14ac:dyDescent="0.25">
      <c r="K795" s="198" t="str">
        <f ca="1">IF($Q$437&lt;$N$1307/100,"Reduzir","OK")</f>
        <v>OK</v>
      </c>
      <c r="L795" s="4" t="s">
        <v>435</v>
      </c>
      <c r="M795" s="202">
        <f ca="1">Tensões!AY14</f>
        <v>-7692.700199125593</v>
      </c>
      <c r="N795" s="38" t="s">
        <v>234</v>
      </c>
      <c r="O795" s="203">
        <f t="shared" ca="1" si="25"/>
        <v>-7.692700199125593</v>
      </c>
      <c r="P795" s="38" t="s">
        <v>160</v>
      </c>
      <c r="Q795" s="105">
        <f t="shared" si="26"/>
        <v>0.0</v>
      </c>
    </row>
    <row r="796" spans="11:21" x14ac:dyDescent="0.25">
      <c r="K796" s="198" t="str">
        <f ca="1">IF($R$437&lt;$N$1307/100,"Reduzir","OK")</f>
        <v>OK</v>
      </c>
      <c r="L796" s="4" t="s">
        <v>436</v>
      </c>
      <c r="M796" s="202">
        <f ca="1">Tensões!AY15</f>
        <v>-8775.407636512671</v>
      </c>
      <c r="N796" s="38" t="s">
        <v>234</v>
      </c>
      <c r="O796" s="203">
        <f t="shared" ca="1" si="25"/>
        <v>-8.775407636512671</v>
      </c>
      <c r="P796" s="38" t="s">
        <v>160</v>
      </c>
      <c r="Q796" s="105">
        <f t="shared" si="26"/>
        <v>0.0</v>
      </c>
    </row>
    <row r="797" spans="11:21" x14ac:dyDescent="0.25">
      <c r="K797" s="198" t="str">
        <f ca="1">IF($K$440&lt;$N$1307/100,"Reduzir","OK")</f>
        <v>OK</v>
      </c>
      <c r="L797" s="4" t="s">
        <v>437</v>
      </c>
      <c r="M797" s="202">
        <f ca="1">Tensões!AY16</f>
        <v>-9548.77543959332</v>
      </c>
      <c r="N797" s="38" t="s">
        <v>234</v>
      </c>
      <c r="O797" s="203">
        <f t="shared" ca="1" si="25"/>
        <v>-9.54877543959332</v>
      </c>
      <c r="P797" s="38" t="s">
        <v>160</v>
      </c>
      <c r="Q797" s="105">
        <f t="shared" si="26"/>
        <v>0.0</v>
      </c>
    </row>
    <row r="798" spans="11:21" x14ac:dyDescent="0.25">
      <c r="K798" s="198" t="str">
        <f ca="1">IF($L$440&lt;$N$1307/100,"Reduzir","OK")</f>
        <v>OK</v>
      </c>
      <c r="L798" s="4" t="s">
        <v>438</v>
      </c>
      <c r="M798" s="202">
        <f ca="1">Tensões!AY17</f>
        <v>-10012.798260414085</v>
      </c>
      <c r="N798" s="38" t="s">
        <v>234</v>
      </c>
      <c r="O798" s="203">
        <f t="shared" ca="1" si="25"/>
        <v>-10.012798260414085</v>
      </c>
      <c r="P798" s="38" t="s">
        <v>160</v>
      </c>
      <c r="Q798" s="105">
        <f t="shared" si="26"/>
        <v>0.0</v>
      </c>
    </row>
    <row r="799" spans="11:21" x14ac:dyDescent="0.25">
      <c r="K799" s="198" t="str">
        <f ca="1">IF($M$440&lt;$N$1307/100,"Reduzir","OK")</f>
        <v>OK</v>
      </c>
      <c r="L799" s="4" t="s">
        <v>439</v>
      </c>
      <c r="M799" s="202">
        <f ca="1">Tensões!AY18</f>
        <v>-10167.472890501474</v>
      </c>
      <c r="N799" s="38" t="s">
        <v>234</v>
      </c>
      <c r="O799" s="203">
        <f t="shared" ca="1" si="25"/>
        <v>-10.167472890501475</v>
      </c>
      <c r="P799" s="38" t="s">
        <v>160</v>
      </c>
      <c r="Q799" s="105">
        <f t="shared" si="26"/>
        <v>0.0</v>
      </c>
    </row>
    <row r="800" spans="11:21" x14ac:dyDescent="0.25">
      <c r="K800" s="198" t="str">
        <f ca="1">K798</f>
        <v>OK</v>
      </c>
      <c r="L800" s="4" t="s">
        <v>440</v>
      </c>
      <c r="M800" s="202">
        <f ca="1">Tensões!AY19</f>
        <v>-10012.798260414085</v>
      </c>
      <c r="N800" s="38" t="s">
        <v>234</v>
      </c>
      <c r="O800" s="203">
        <f t="shared" ca="1" si="25"/>
        <v>-10.012798260414085</v>
      </c>
      <c r="P800" s="38" t="s">
        <v>160</v>
      </c>
      <c r="Q800" s="105">
        <f t="shared" si="26"/>
        <v>0.0</v>
      </c>
    </row>
    <row r="801" spans="11:17" x14ac:dyDescent="0.25">
      <c r="K801" s="198" t="str">
        <f ca="1">K797</f>
        <v>OK</v>
      </c>
      <c r="L801" s="4" t="s">
        <v>441</v>
      </c>
      <c r="M801" s="202">
        <f ca="1">Tensões!AY20</f>
        <v>-9548.77543959332</v>
      </c>
      <c r="N801" s="38" t="s">
        <v>234</v>
      </c>
      <c r="O801" s="203">
        <f t="shared" ca="1" si="25"/>
        <v>-9.54877543959332</v>
      </c>
      <c r="P801" s="38" t="s">
        <v>160</v>
      </c>
      <c r="Q801" s="105">
        <f t="shared" si="26"/>
        <v>0.0</v>
      </c>
    </row>
    <row r="802" spans="11:17" x14ac:dyDescent="0.25">
      <c r="K802" s="198" t="str">
        <f ca="1">K796</f>
        <v>OK</v>
      </c>
      <c r="L802" s="4" t="s">
        <v>442</v>
      </c>
      <c r="M802" s="202">
        <f ca="1">Tensões!AY21</f>
        <v>-8775.407636512671</v>
      </c>
      <c r="N802" s="38" t="s">
        <v>234</v>
      </c>
      <c r="O802" s="203">
        <f t="shared" ca="1" si="25"/>
        <v>-8.775407636512671</v>
      </c>
      <c r="P802" s="38" t="s">
        <v>160</v>
      </c>
      <c r="Q802" s="105">
        <f t="shared" si="26"/>
        <v>0.0</v>
      </c>
    </row>
    <row r="803" spans="11:17" x14ac:dyDescent="0.25">
      <c r="K803" s="198" t="str">
        <f ca="1">K795</f>
        <v>OK</v>
      </c>
      <c r="L803" s="4" t="s">
        <v>443</v>
      </c>
      <c r="M803" s="202">
        <f ca="1">Tensões!AY22</f>
        <v>-7692.700199125593</v>
      </c>
      <c r="N803" s="38" t="s">
        <v>234</v>
      </c>
      <c r="O803" s="203">
        <f t="shared" ca="1" si="25"/>
        <v>-7.692700199125593</v>
      </c>
      <c r="P803" s="38" t="s">
        <v>160</v>
      </c>
      <c r="Q803" s="105">
        <f t="shared" si="26"/>
        <v>0.0</v>
      </c>
    </row>
    <row r="804" spans="11:17" x14ac:dyDescent="0.25">
      <c r="K804" s="198" t="str">
        <f ca="1">K794</f>
        <v>OK</v>
      </c>
      <c r="L804" s="4" t="s">
        <v>444</v>
      </c>
      <c r="M804" s="202">
        <f ca="1">Tensões!AY23</f>
        <v>-6300.660615612258</v>
      </c>
      <c r="N804" s="38" t="s">
        <v>234</v>
      </c>
      <c r="O804" s="203">
        <f t="shared" ca="1" si="25"/>
        <v>-6.300660615612258</v>
      </c>
      <c r="P804" s="38" t="s">
        <v>160</v>
      </c>
      <c r="Q804" s="105">
        <f t="shared" si="26"/>
        <v>0.0</v>
      </c>
    </row>
    <row r="805" spans="11:17" x14ac:dyDescent="0.25">
      <c r="K805" s="198" t="str">
        <f ca="1">K793</f>
        <v>OK</v>
      </c>
      <c r="L805" s="4" t="s">
        <v>445</v>
      </c>
      <c r="M805" s="202">
        <f ca="1">Tensões!AY24</f>
        <v>-4599.298515425448</v>
      </c>
      <c r="N805" s="38" t="s">
        <v>234</v>
      </c>
      <c r="O805" s="203">
        <f t="shared" ca="1" si="25"/>
        <v>-4.599298515425448</v>
      </c>
      <c r="P805" s="38" t="s">
        <v>160</v>
      </c>
      <c r="Q805" s="105">
        <f t="shared" si="26"/>
        <v>0.0</v>
      </c>
    </row>
    <row r="806" spans="11:17" x14ac:dyDescent="0.25">
      <c r="K806" s="198" t="str">
        <f ca="1">K792</f>
        <v>OK</v>
      </c>
      <c r="L806" s="4" t="s">
        <v>446</v>
      </c>
      <c r="M806" s="202">
        <f ca="1">Tensões!AY25</f>
        <v>-2588.62567063616</v>
      </c>
      <c r="N806" s="38" t="s">
        <v>234</v>
      </c>
      <c r="O806" s="203">
        <f t="shared" ca="1" si="25"/>
        <v>-2.58862567063616</v>
      </c>
      <c r="P806" s="38" t="s">
        <v>160</v>
      </c>
      <c r="Q806" s="105">
        <f t="shared" si="26"/>
        <v>0.0</v>
      </c>
    </row>
    <row r="807" spans="11:17" x14ac:dyDescent="0.25">
      <c r="K807" s="198" t="str">
        <f ca="1">K791</f>
        <v>Reduzir</v>
      </c>
      <c r="L807" s="4" t="s">
        <v>447</v>
      </c>
      <c r="M807" s="202">
        <f ca="1">Tensões!AY26</f>
        <v>-2887.7659950496045</v>
      </c>
      <c r="N807" s="38" t="s">
        <v>234</v>
      </c>
      <c r="O807" s="203">
        <f t="shared" ca="1" si="25"/>
        <v>-2.8877659950496044</v>
      </c>
      <c r="P807" s="38" t="s">
        <v>160</v>
      </c>
      <c r="Q807" s="105">
        <f t="shared" si="26"/>
        <v>0.0</v>
      </c>
    </row>
    <row r="808" spans="11:17" x14ac:dyDescent="0.25">
      <c r="K808" s="198" t="str">
        <f ca="1">K790</f>
        <v>Reduzir</v>
      </c>
      <c r="L808" s="4" t="s">
        <v>448</v>
      </c>
      <c r="M808" s="204">
        <f ca="1">Tensões!AY27</f>
        <v>-1628.427878695333</v>
      </c>
      <c r="N808" s="38" t="s">
        <v>234</v>
      </c>
      <c r="O808" s="205">
        <f t="shared" ca="1" si="25"/>
        <v>-1.628427878695333</v>
      </c>
      <c r="P808" s="38" t="s">
        <v>160</v>
      </c>
      <c r="Q808" s="105">
        <f t="shared" si="26"/>
        <v>0.0</v>
      </c>
    </row>
    <row r="809" spans="11:17" x14ac:dyDescent="0.25">
      <c r="K809" s="198" t="str">
        <f ca="1">K789</f>
        <v>Reduzir</v>
      </c>
      <c r="L809" s="32" t="s">
        <v>449</v>
      </c>
      <c r="M809" s="206">
        <v>0</v>
      </c>
      <c r="N809" s="207" t="s">
        <v>234</v>
      </c>
      <c r="O809" s="208">
        <f t="shared" si="25"/>
        <v>0.0</v>
      </c>
      <c r="P809" s="207" t="s">
        <v>160</v>
      </c>
      <c r="Q809" s="206">
        <v>0</v>
      </c>
    </row>
    <row r="810" spans="11:17" x14ac:dyDescent="0.25">
      <c r="O810" s="105"/>
      <c r="P810" s="105"/>
      <c r="Q810" s="105"/>
    </row>
    <row r="811" spans="11:17" x14ac:dyDescent="0.25">
      <c r="O811" s="105"/>
      <c r="P811" s="105"/>
      <c r="Q811" s="105"/>
    </row>
    <row r="812" spans="11:17" x14ac:dyDescent="0.25">
      <c r="L812" s="691" t="s">
        <v>452</v>
      </c>
      <c r="M812" s="691"/>
      <c r="N812" s="691"/>
      <c r="O812" s="691"/>
      <c r="P812" s="691"/>
      <c r="Q812" s="39" t="s">
        <v>428</v>
      </c>
    </row>
    <row r="813" spans="11:17" x14ac:dyDescent="0.25">
      <c r="K813" s="198" t="str">
        <f ca="1">IF($K$437&lt;$N$1308/100,"Reduzir","OK")</f>
        <v>Reduzir</v>
      </c>
      <c r="L813" s="4" t="s">
        <v>429</v>
      </c>
      <c r="M813" s="105">
        <v>0</v>
      </c>
      <c r="N813" s="38" t="s">
        <v>234</v>
      </c>
      <c r="O813" s="138">
        <f t="shared" ref="O813:O833" si="27">M813/1000</f>
        <v>0.0</v>
      </c>
      <c r="P813" s="38" t="s">
        <v>160</v>
      </c>
      <c r="Q813" s="138">
        <f>L889</f>
        <v>-35.0</v>
      </c>
    </row>
    <row r="814" spans="11:17" x14ac:dyDescent="0.25">
      <c r="K814" s="198" t="str">
        <f ca="1">IF($L$437&lt;$N$1308/100,"Reduzir","OK")</f>
        <v>Reduzir</v>
      </c>
      <c r="L814" s="4" t="s">
        <v>430</v>
      </c>
      <c r="M814" s="200">
        <f ca="1">Tensões!AY32</f>
        <v>-416.5000928822924</v>
      </c>
      <c r="N814" s="38" t="s">
        <v>234</v>
      </c>
      <c r="O814" s="201">
        <f t="shared" ca="1" si="27"/>
        <v>-0.4165000928822924</v>
      </c>
      <c r="P814" s="38" t="s">
        <v>160</v>
      </c>
      <c r="Q814" s="138">
        <f t="shared" ref="Q814:Q833" si="28">Q813</f>
        <v>-35.0</v>
      </c>
    </row>
    <row r="815" spans="11:17" x14ac:dyDescent="0.25">
      <c r="K815" s="198" t="str">
        <f ca="1">IF($M$437&lt;$N$1308/100,"Reduzir","OK")</f>
        <v>Reduzir</v>
      </c>
      <c r="L815" s="4" t="s">
        <v>431</v>
      </c>
      <c r="M815" s="202">
        <f ca="1">Tensões!AY33</f>
        <v>-1438.665918266127</v>
      </c>
      <c r="N815" s="38" t="s">
        <v>234</v>
      </c>
      <c r="O815" s="203">
        <f t="shared" ca="1" si="27"/>
        <v>-1.438665918266127</v>
      </c>
      <c r="P815" s="38" t="s">
        <v>160</v>
      </c>
      <c r="Q815" s="138">
        <f t="shared" si="28"/>
        <v>-35.0</v>
      </c>
    </row>
    <row r="816" spans="11:17" x14ac:dyDescent="0.25">
      <c r="K816" s="198" t="str">
        <f ca="1">IF($N$437&lt;$N$1308/100,"Reduzir","OK")</f>
        <v>Reduzir</v>
      </c>
      <c r="L816" s="4" t="s">
        <v>432</v>
      </c>
      <c r="M816" s="202">
        <f ca="1">Tensões!AY34</f>
        <v>-3066.497476151507</v>
      </c>
      <c r="N816" s="38" t="s">
        <v>234</v>
      </c>
      <c r="O816" s="203">
        <f t="shared" ca="1" si="27"/>
        <v>-3.0664974761515067</v>
      </c>
      <c r="P816" s="38" t="s">
        <v>160</v>
      </c>
      <c r="Q816" s="138">
        <f t="shared" si="28"/>
        <v>-35.0</v>
      </c>
    </row>
    <row r="817" spans="11:17" x14ac:dyDescent="0.25">
      <c r="K817" s="198" t="str">
        <f ca="1">IF($O$437&lt;$N$1308/100,"Reduzir","OK")</f>
        <v>OK</v>
      </c>
      <c r="L817" s="4" t="s">
        <v>433</v>
      </c>
      <c r="M817" s="202">
        <f ca="1">Tensões!AY35</f>
        <v>-8131.518217197403</v>
      </c>
      <c r="N817" s="38" t="s">
        <v>234</v>
      </c>
      <c r="O817" s="203">
        <f t="shared" ca="1" si="27"/>
        <v>-8.131518217197403</v>
      </c>
      <c r="P817" s="38" t="s">
        <v>160</v>
      </c>
      <c r="Q817" s="138">
        <f t="shared" si="28"/>
        <v>-35.0</v>
      </c>
    </row>
    <row r="818" spans="11:17" x14ac:dyDescent="0.25">
      <c r="K818" s="198" t="str">
        <f ca="1">IF($P$437&lt;$N$1308/100,"Reduzir","OK")</f>
        <v>OK</v>
      </c>
      <c r="L818" s="4" t="s">
        <v>434</v>
      </c>
      <c r="M818" s="202">
        <f ca="1">Tensões!AY36</f>
        <v>-6536.304859277433</v>
      </c>
      <c r="N818" s="38" t="s">
        <v>234</v>
      </c>
      <c r="O818" s="203">
        <f t="shared" ca="1" si="27"/>
        <v>-6.536304859277433</v>
      </c>
      <c r="P818" s="38" t="s">
        <v>160</v>
      </c>
      <c r="Q818" s="138">
        <f t="shared" si="28"/>
        <v>-35.0</v>
      </c>
    </row>
    <row r="819" spans="11:17" x14ac:dyDescent="0.25">
      <c r="K819" s="198" t="str">
        <f ca="1">IF($Q$437&lt;$N$1308/100,"Reduzir","OK")</f>
        <v>OK</v>
      </c>
      <c r="L819" s="4" t="s">
        <v>435</v>
      </c>
      <c r="M819" s="202">
        <f ca="1">Tensões!AY37</f>
        <v>-5231.07756785974</v>
      </c>
      <c r="N819" s="38" t="s">
        <v>234</v>
      </c>
      <c r="O819" s="203">
        <f t="shared" ca="1" si="27"/>
        <v>-5.2310775678597405</v>
      </c>
      <c r="P819" s="38" t="s">
        <v>160</v>
      </c>
      <c r="Q819" s="138">
        <f t="shared" si="28"/>
        <v>-35.0</v>
      </c>
    </row>
    <row r="820" spans="11:17" x14ac:dyDescent="0.25">
      <c r="K820" s="198" t="str">
        <f ca="1">IF($R$437&lt;$N$1308/100,"Reduzir","OK")</f>
        <v>OK</v>
      </c>
      <c r="L820" s="4" t="s">
        <v>436</v>
      </c>
      <c r="M820" s="202">
        <f ca="1">Tensões!AY38</f>
        <v>-4215.867982574894</v>
      </c>
      <c r="N820" s="38" t="s">
        <v>234</v>
      </c>
      <c r="O820" s="203">
        <f t="shared" ca="1" si="27"/>
        <v>-4.215867982574894</v>
      </c>
      <c r="P820" s="38" t="s">
        <v>160</v>
      </c>
      <c r="Q820" s="138">
        <f t="shared" si="28"/>
        <v>-35.0</v>
      </c>
    </row>
    <row r="821" spans="11:17" x14ac:dyDescent="0.25">
      <c r="K821" s="198" t="str">
        <f ca="1">IF($K$440&lt;$N$1308/100,"Reduzir","OK")</f>
        <v>OK</v>
      </c>
      <c r="L821" s="4" t="s">
        <v>437</v>
      </c>
      <c r="M821" s="202">
        <f ca="1">Tensões!AY39</f>
        <v>-3490.70070744346</v>
      </c>
      <c r="N821" s="38" t="s">
        <v>234</v>
      </c>
      <c r="O821" s="203">
        <f t="shared" ca="1" si="27"/>
        <v>-3.49070070744346</v>
      </c>
      <c r="P821" s="38" t="s">
        <v>160</v>
      </c>
      <c r="Q821" s="138">
        <f t="shared" si="28"/>
        <v>-35.0</v>
      </c>
    </row>
    <row r="822" spans="11:17" x14ac:dyDescent="0.25">
      <c r="K822" s="198" t="str">
        <f ca="1">IF($L$440&lt;$N$1308/100,"Reduzir","OK")</f>
        <v>OK</v>
      </c>
      <c r="L822" s="4" t="s">
        <v>438</v>
      </c>
      <c r="M822" s="202">
        <f ca="1">Tensões!AY40</f>
        <v>-3055.5933143125176</v>
      </c>
      <c r="N822" s="38" t="s">
        <v>234</v>
      </c>
      <c r="O822" s="203">
        <f t="shared" ca="1" si="27"/>
        <v>-3.055593314312518</v>
      </c>
      <c r="P822" s="38" t="s">
        <v>160</v>
      </c>
      <c r="Q822" s="138">
        <f t="shared" si="28"/>
        <v>-35.0</v>
      </c>
    </row>
    <row r="823" spans="11:17" x14ac:dyDescent="0.25">
      <c r="K823" s="198" t="str">
        <f ca="1">IF($M$440&lt;$N$1308/100,"Reduzir","OK")</f>
        <v>OK</v>
      </c>
      <c r="L823" s="4" t="s">
        <v>439</v>
      </c>
      <c r="M823" s="202">
        <f ca="1">Tensões!AY41</f>
        <v>-2910.556345309237</v>
      </c>
      <c r="N823" s="38" t="s">
        <v>234</v>
      </c>
      <c r="O823" s="203">
        <f t="shared" ca="1" si="27"/>
        <v>-2.910556345309237</v>
      </c>
      <c r="P823" s="38" t="s">
        <v>160</v>
      </c>
      <c r="Q823" s="138">
        <f t="shared" si="28"/>
        <v>-35.0</v>
      </c>
    </row>
    <row r="824" spans="11:17" x14ac:dyDescent="0.25">
      <c r="K824" s="198" t="str">
        <f ca="1">K822</f>
        <v>OK</v>
      </c>
      <c r="L824" s="4" t="s">
        <v>440</v>
      </c>
      <c r="M824" s="202">
        <f ca="1">Tensões!AY42</f>
        <v>-3055.5933143125176</v>
      </c>
      <c r="N824" s="38" t="s">
        <v>234</v>
      </c>
      <c r="O824" s="203">
        <f t="shared" ca="1" si="27"/>
        <v>-3.055593314312518</v>
      </c>
      <c r="P824" s="38" t="s">
        <v>160</v>
      </c>
      <c r="Q824" s="138">
        <f t="shared" si="28"/>
        <v>-35.0</v>
      </c>
    </row>
    <row r="825" spans="11:17" x14ac:dyDescent="0.25">
      <c r="K825" s="198" t="str">
        <f ca="1">K821</f>
        <v>OK</v>
      </c>
      <c r="L825" s="4" t="s">
        <v>441</v>
      </c>
      <c r="M825" s="202">
        <f ca="1">Tensões!AY43</f>
        <v>-3490.70070744346</v>
      </c>
      <c r="N825" s="38" t="s">
        <v>234</v>
      </c>
      <c r="O825" s="203">
        <f t="shared" ca="1" si="27"/>
        <v>-3.49070070744346</v>
      </c>
      <c r="P825" s="38" t="s">
        <v>160</v>
      </c>
      <c r="Q825" s="138">
        <f t="shared" si="28"/>
        <v>-35.0</v>
      </c>
    </row>
    <row r="826" spans="11:17" x14ac:dyDescent="0.25">
      <c r="K826" s="198" t="str">
        <f ca="1">K820</f>
        <v>OK</v>
      </c>
      <c r="L826" s="4" t="s">
        <v>442</v>
      </c>
      <c r="M826" s="202">
        <f ca="1">Tensões!AY44</f>
        <v>-4215.867982574894</v>
      </c>
      <c r="N826" s="38" t="s">
        <v>234</v>
      </c>
      <c r="O826" s="203">
        <f t="shared" ca="1" si="27"/>
        <v>-4.215867982574894</v>
      </c>
      <c r="P826" s="38" t="s">
        <v>160</v>
      </c>
      <c r="Q826" s="138">
        <f t="shared" si="28"/>
        <v>-35.0</v>
      </c>
    </row>
    <row r="827" spans="11:17" x14ac:dyDescent="0.25">
      <c r="K827" s="198" t="str">
        <f ca="1">K819</f>
        <v>OK</v>
      </c>
      <c r="L827" s="4" t="s">
        <v>443</v>
      </c>
      <c r="M827" s="202">
        <f ca="1">Tensões!AY45</f>
        <v>-5231.07756785974</v>
      </c>
      <c r="N827" s="38" t="s">
        <v>234</v>
      </c>
      <c r="O827" s="203">
        <f t="shared" ca="1" si="27"/>
        <v>-5.2310775678597405</v>
      </c>
      <c r="P827" s="38" t="s">
        <v>160</v>
      </c>
      <c r="Q827" s="138">
        <f t="shared" si="28"/>
        <v>-35.0</v>
      </c>
    </row>
    <row r="828" spans="11:17" x14ac:dyDescent="0.25">
      <c r="K828" s="198" t="str">
        <f ca="1">K818</f>
        <v>OK</v>
      </c>
      <c r="L828" s="4" t="s">
        <v>444</v>
      </c>
      <c r="M828" s="202">
        <f ca="1">Tensões!AY46</f>
        <v>-6536.304859277433</v>
      </c>
      <c r="N828" s="38" t="s">
        <v>234</v>
      </c>
      <c r="O828" s="203">
        <f t="shared" ca="1" si="27"/>
        <v>-6.536304859277433</v>
      </c>
      <c r="P828" s="38" t="s">
        <v>160</v>
      </c>
      <c r="Q828" s="138">
        <f t="shared" si="28"/>
        <v>-35.0</v>
      </c>
    </row>
    <row r="829" spans="11:17" x14ac:dyDescent="0.25">
      <c r="K829" s="198" t="str">
        <f ca="1">K817</f>
        <v>OK</v>
      </c>
      <c r="L829" s="4" t="s">
        <v>445</v>
      </c>
      <c r="M829" s="202">
        <f ca="1">Tensões!AY47</f>
        <v>-8131.518217197401</v>
      </c>
      <c r="N829" s="38" t="s">
        <v>234</v>
      </c>
      <c r="O829" s="203">
        <f t="shared" ca="1" si="27"/>
        <v>-8.131518217197401</v>
      </c>
      <c r="P829" s="38" t="s">
        <v>160</v>
      </c>
      <c r="Q829" s="138">
        <f t="shared" si="28"/>
        <v>-35.0</v>
      </c>
    </row>
    <row r="830" spans="11:17" x14ac:dyDescent="0.25">
      <c r="K830" s="198" t="str">
        <f ca="1">K816</f>
        <v>Reduzir</v>
      </c>
      <c r="L830" s="4" t="s">
        <v>446</v>
      </c>
      <c r="M830" s="202">
        <f ca="1">Tensões!AY48</f>
        <v>-3066.497476151496</v>
      </c>
      <c r="N830" s="38" t="s">
        <v>234</v>
      </c>
      <c r="O830" s="203">
        <f t="shared" ca="1" si="27"/>
        <v>-3.066497476151496</v>
      </c>
      <c r="P830" s="38" t="s">
        <v>160</v>
      </c>
      <c r="Q830" s="138">
        <f t="shared" si="28"/>
        <v>-35.0</v>
      </c>
    </row>
    <row r="831" spans="11:17" x14ac:dyDescent="0.25">
      <c r="K831" s="198" t="str">
        <f ca="1">K815</f>
        <v>Reduzir</v>
      </c>
      <c r="L831" s="4" t="s">
        <v>447</v>
      </c>
      <c r="M831" s="202">
        <f ca="1">Tensões!AY49</f>
        <v>-1438.665918266116</v>
      </c>
      <c r="N831" s="38" t="s">
        <v>234</v>
      </c>
      <c r="O831" s="203">
        <f t="shared" ca="1" si="27"/>
        <v>-1.4386659182661161</v>
      </c>
      <c r="P831" s="38" t="s">
        <v>160</v>
      </c>
      <c r="Q831" s="138">
        <f t="shared" si="28"/>
        <v>-35.0</v>
      </c>
    </row>
    <row r="832" spans="11:17" x14ac:dyDescent="0.25">
      <c r="K832" s="198" t="str">
        <f ca="1">K814</f>
        <v>Reduzir</v>
      </c>
      <c r="L832" s="4" t="s">
        <v>448</v>
      </c>
      <c r="M832" s="204">
        <f ca="1">Tensões!AY50</f>
        <v>-416.50009288227966</v>
      </c>
      <c r="N832" s="38" t="s">
        <v>234</v>
      </c>
      <c r="O832" s="205">
        <f t="shared" ca="1" si="27"/>
        <v>-0.4165000928822797</v>
      </c>
      <c r="P832" s="38" t="s">
        <v>160</v>
      </c>
      <c r="Q832" s="138">
        <f t="shared" si="28"/>
        <v>-35.0</v>
      </c>
    </row>
    <row r="833" spans="11:25" x14ac:dyDescent="0.25">
      <c r="K833" s="198" t="str">
        <f ca="1">K813</f>
        <v>Reduzir</v>
      </c>
      <c r="L833" s="32" t="s">
        <v>449</v>
      </c>
      <c r="M833" s="206">
        <v>0</v>
      </c>
      <c r="N833" s="207" t="s">
        <v>234</v>
      </c>
      <c r="O833" s="208">
        <f t="shared" si="27"/>
        <v>0.0</v>
      </c>
      <c r="P833" s="207" t="s">
        <v>160</v>
      </c>
      <c r="Q833" s="208">
        <f t="shared" si="28"/>
        <v>-35.0</v>
      </c>
    </row>
    <row r="835" spans="11:25" x14ac:dyDescent="0.25">
      <c r="Q835" s="105"/>
      <c r="R835" s="105"/>
      <c r="S835" s="105"/>
      <c r="T835" s="105"/>
      <c r="U835" s="105"/>
    </row>
    <row r="836" spans="11:25" x14ac:dyDescent="0.25">
      <c r="Q836" s="105"/>
      <c r="R836" s="105"/>
      <c r="S836" s="105"/>
      <c r="T836" s="105"/>
      <c r="U836" s="105"/>
      <c r="W836" s="27"/>
      <c r="Y836" s="27"/>
    </row>
    <row r="837" spans="11:25" x14ac:dyDescent="0.25">
      <c r="Q837" s="105"/>
      <c r="R837" s="105"/>
      <c r="S837" s="105"/>
      <c r="T837" s="105"/>
      <c r="U837" s="105"/>
      <c r="W837" s="105"/>
      <c r="Y837" s="138"/>
    </row>
    <row r="838" spans="11:25" x14ac:dyDescent="0.25">
      <c r="Q838" s="105"/>
      <c r="R838" s="105"/>
      <c r="S838" s="105"/>
      <c r="T838" s="105"/>
      <c r="U838" s="105"/>
    </row>
    <row r="839" spans="11:25" x14ac:dyDescent="0.25">
      <c r="P839" s="105"/>
      <c r="Q839" s="105"/>
      <c r="R839" s="105"/>
      <c r="S839" s="105"/>
      <c r="T839" s="105"/>
      <c r="U839" s="105"/>
    </row>
    <row r="840" spans="11:25" x14ac:dyDescent="0.25">
      <c r="P840" s="105"/>
      <c r="Q840" s="105"/>
      <c r="R840" s="105"/>
      <c r="S840" s="105"/>
      <c r="T840" s="105"/>
      <c r="U840" s="105"/>
    </row>
    <row r="841" spans="11:25" x14ac:dyDescent="0.25">
      <c r="P841" s="105"/>
      <c r="Q841" s="105"/>
      <c r="R841" s="105"/>
      <c r="S841" s="105"/>
      <c r="T841" s="105"/>
      <c r="U841" s="105"/>
    </row>
    <row r="842" spans="11:25" x14ac:dyDescent="0.25">
      <c r="P842" s="105"/>
      <c r="Q842" s="105"/>
      <c r="R842" s="105"/>
      <c r="S842" s="105"/>
      <c r="T842" s="105"/>
      <c r="U842" s="105"/>
    </row>
    <row r="843" spans="11:25" x14ac:dyDescent="0.25">
      <c r="P843" s="105"/>
      <c r="Q843" s="105"/>
      <c r="R843" s="105"/>
      <c r="S843" s="105"/>
      <c r="T843" s="105"/>
      <c r="U843" s="105"/>
    </row>
    <row r="844" spans="11:25" x14ac:dyDescent="0.25">
      <c r="P844" s="105"/>
      <c r="Q844" s="105"/>
      <c r="R844" s="105"/>
      <c r="S844" s="105"/>
      <c r="T844" s="105"/>
      <c r="U844" s="105"/>
    </row>
    <row r="845" spans="11:25" x14ac:dyDescent="0.25">
      <c r="L845" s="105"/>
      <c r="N845" s="105"/>
      <c r="O845" s="105"/>
      <c r="P845" s="105"/>
      <c r="Q845" s="105"/>
      <c r="R845" s="105"/>
      <c r="S845" s="105"/>
      <c r="T845" s="105"/>
      <c r="U845" s="105"/>
    </row>
    <row r="846" spans="11:25" x14ac:dyDescent="0.25">
      <c r="Q846" s="105"/>
      <c r="R846" s="105"/>
      <c r="S846" s="105"/>
      <c r="T846" s="105"/>
      <c r="U846" s="105"/>
    </row>
    <row r="847" spans="11:25" x14ac:dyDescent="0.25">
      <c r="Q847" s="105"/>
      <c r="R847" s="105"/>
      <c r="S847" s="105"/>
      <c r="T847" s="105"/>
      <c r="U847" s="105"/>
    </row>
    <row r="848" spans="11:25" x14ac:dyDescent="0.25">
      <c r="Q848" s="105"/>
      <c r="R848" s="105"/>
      <c r="S848" s="105"/>
      <c r="T848" s="105"/>
      <c r="U848" s="105"/>
    </row>
    <row r="849" spans="11:21" x14ac:dyDescent="0.25">
      <c r="Q849" s="105"/>
      <c r="R849" s="105"/>
      <c r="S849" s="105"/>
      <c r="T849" s="105"/>
      <c r="U849" s="105"/>
    </row>
    <row r="850" spans="11:21" x14ac:dyDescent="0.25">
      <c r="Q850" s="105"/>
      <c r="R850" s="105"/>
      <c r="S850" s="105"/>
      <c r="T850" s="105"/>
      <c r="U850" s="105"/>
    </row>
    <row r="851" spans="11:21" x14ac:dyDescent="0.25">
      <c r="Q851" s="105"/>
      <c r="R851" s="105"/>
      <c r="S851" s="105"/>
      <c r="T851" s="105"/>
      <c r="U851" s="105"/>
    </row>
    <row r="852" spans="11:21" x14ac:dyDescent="0.25">
      <c r="Q852" s="105"/>
      <c r="R852" s="105"/>
      <c r="S852" s="105"/>
      <c r="T852" s="105"/>
      <c r="U852" s="105"/>
    </row>
    <row r="853" spans="11:21" x14ac:dyDescent="0.25">
      <c r="Q853" s="105"/>
      <c r="R853" s="105"/>
      <c r="S853" s="105"/>
      <c r="T853" s="105"/>
      <c r="U853" s="105"/>
    </row>
    <row r="854" spans="11:21" x14ac:dyDescent="0.25">
      <c r="Q854" s="105"/>
      <c r="R854" s="105"/>
    </row>
    <row r="855" spans="11:21" x14ac:dyDescent="0.25">
      <c r="Q855" s="105"/>
    </row>
    <row r="856" spans="11:21" x14ac:dyDescent="0.25">
      <c r="Q856" s="105"/>
    </row>
    <row r="857" spans="11:21" x14ac:dyDescent="0.25">
      <c r="Q857" s="105"/>
    </row>
    <row r="858" spans="11:21" x14ac:dyDescent="0.25">
      <c r="Q858" s="105"/>
    </row>
    <row r="859" spans="11:21" x14ac:dyDescent="0.25">
      <c r="Q859" s="105"/>
    </row>
    <row r="860" spans="11:21" x14ac:dyDescent="0.25">
      <c r="Q860" s="105"/>
    </row>
    <row r="861" spans="11:21" x14ac:dyDescent="0.25">
      <c r="K861" s="653" t="s">
        <v>2173</v>
      </c>
      <c r="L861" s="653"/>
      <c r="M861" s="653"/>
      <c r="N861" s="653"/>
      <c r="O861" s="653"/>
      <c r="P861" s="653"/>
      <c r="Q861" s="653"/>
      <c r="R861" s="653"/>
    </row>
    <row r="862" spans="11:21" x14ac:dyDescent="0.25">
      <c r="K862" s="107"/>
      <c r="L862" s="107"/>
      <c r="M862" s="2"/>
      <c r="N862" s="2"/>
      <c r="O862" s="2"/>
      <c r="P862" s="2"/>
      <c r="Q862" s="107"/>
      <c r="R862" s="107"/>
    </row>
    <row r="863" spans="11:21" x14ac:dyDescent="0.25">
      <c r="M863" s="692" t="s">
        <v>387</v>
      </c>
      <c r="N863" s="692"/>
      <c r="O863" s="692"/>
      <c r="P863" s="692"/>
    </row>
    <row r="864" spans="11:21" x14ac:dyDescent="0.25">
      <c r="M864" s="4" t="s">
        <v>454</v>
      </c>
    </row>
    <row r="865" spans="13:18" x14ac:dyDescent="0.25">
      <c r="M865" s="80" t="s">
        <v>455</v>
      </c>
      <c r="N865" s="103">
        <f ca="1">M724</f>
        <v>-11662.095374955119</v>
      </c>
      <c r="O865" s="38" t="str">
        <f ca="1">IF(N865&gt;0,"Tração","Compressão")</f>
        <v>Compressão</v>
      </c>
    </row>
    <row r="866" spans="13:18" x14ac:dyDescent="0.25">
      <c r="M866" s="80" t="s">
        <v>456</v>
      </c>
      <c r="N866" s="103">
        <f ca="1">M747</f>
        <v>5977.065206659552</v>
      </c>
      <c r="O866" s="38" t="str">
        <f ca="1">IF(N866&gt;0,"Tração","Compressão")</f>
        <v>Tração</v>
      </c>
    </row>
    <row r="867" spans="13:18" x14ac:dyDescent="0.25">
      <c r="M867" s="80" t="s">
        <v>457</v>
      </c>
      <c r="N867" s="103">
        <f>L26</f>
        <v>30.0</v>
      </c>
      <c r="O867" s="38" t="s">
        <v>294</v>
      </c>
    </row>
    <row r="868" spans="13:18" x14ac:dyDescent="0.25">
      <c r="M868" s="80" t="s">
        <v>60</v>
      </c>
      <c r="N868" s="103">
        <f>L27</f>
        <v>60.0</v>
      </c>
      <c r="O868" s="38" t="s">
        <v>294</v>
      </c>
    </row>
    <row r="869" spans="13:18" x14ac:dyDescent="0.25">
      <c r="M869" s="80" t="s">
        <v>8</v>
      </c>
      <c r="N869" s="189">
        <f ca="1">IFERROR(((INDEX(N865:N866,MATCH("Tração",O865:O866,0)))/((INDEX(N865:N866,MATCH("Tração",O865:O866,0)))+(ABS(INDEX(N865:N866,MATCH("Compressão",O865:O866,0))))))*(L27/100),0)</f>
        <v>0.2033112124243415</v>
      </c>
      <c r="O869" s="38" t="s">
        <v>32</v>
      </c>
      <c r="Q869" s="60"/>
      <c r="R869" s="216"/>
    </row>
    <row r="870" spans="13:18" x14ac:dyDescent="0.25">
      <c r="M870" s="80" t="s">
        <v>458</v>
      </c>
      <c r="N870" s="97">
        <f ca="1">IFERROR(INDEX(N865:N866,MATCH("Tração",O865:O866,0))*N867/100*(N869/2),0)</f>
        <v>182.28065608579513</v>
      </c>
      <c r="O870" s="38" t="s">
        <v>292</v>
      </c>
      <c r="P870" s="690" t="str">
        <f>IF($M$19="1 - Retângular","Ok",IF(($L$63/100)&lt;N869,"OBS: Valor da linha neutra é MAIOR que hf1 - armadura ativa necessita verificação","Ok"))</f>
        <v>Ok</v>
      </c>
      <c r="Q870" s="690"/>
      <c r="R870" s="690"/>
    </row>
    <row r="871" spans="13:18" x14ac:dyDescent="0.25">
      <c r="M871" s="217" t="str">
        <f ca="1">IF(O865="Tração","A's (sup.)",IF(O866="Tração","As (inf.)","A's"))</f>
        <v>As (inf.)</v>
      </c>
      <c r="N871" s="83">
        <f ca="1">N870/((25))</f>
        <v>7.291226243431805</v>
      </c>
      <c r="O871" s="38" t="s">
        <v>247</v>
      </c>
      <c r="P871" s="690"/>
      <c r="Q871" s="690"/>
      <c r="R871" s="690"/>
    </row>
    <row r="872" spans="13:18" x14ac:dyDescent="0.25">
      <c r="N872" s="61"/>
      <c r="P872" s="690"/>
      <c r="Q872" s="690"/>
      <c r="R872" s="690"/>
    </row>
    <row r="873" spans="13:18" x14ac:dyDescent="0.25">
      <c r="M873" s="39">
        <f ca="1">ROUNDUP(N871/VLOOKUP(O873,$S$1035:$T$1042,2),0)</f>
        <v>4.0</v>
      </c>
      <c r="N873" s="39" t="s">
        <v>459</v>
      </c>
      <c r="O873" s="218">
        <f ca="1">IF(O865="Tração",Taxas!I50,Taxas!I57)</f>
        <v>16.0</v>
      </c>
      <c r="P873" s="96" t="s">
        <v>460</v>
      </c>
    </row>
    <row r="875" spans="13:18" x14ac:dyDescent="0.25">
      <c r="M875" s="692" t="s">
        <v>387</v>
      </c>
      <c r="N875" s="692"/>
      <c r="O875" s="692"/>
      <c r="P875" s="692"/>
    </row>
    <row r="876" spans="13:18" x14ac:dyDescent="0.25">
      <c r="M876" s="4" t="s">
        <v>454</v>
      </c>
    </row>
    <row r="877" spans="13:18" x14ac:dyDescent="0.25">
      <c r="M877" s="80" t="s">
        <v>455</v>
      </c>
      <c r="N877" s="103">
        <f ca="1">M799</f>
        <v>-10167.472890501474</v>
      </c>
      <c r="O877" s="38" t="str">
        <f ca="1">IF(N877&gt;0,"Tração","Compressão")</f>
        <v>Compressão</v>
      </c>
    </row>
    <row r="878" spans="13:18" x14ac:dyDescent="0.25">
      <c r="M878" s="80" t="s">
        <v>456</v>
      </c>
      <c r="N878" s="103">
        <f ca="1">M823</f>
        <v>-2910.556345309237</v>
      </c>
      <c r="O878" s="38" t="str">
        <f ca="1">IF(N878&gt;0,"Tração","Compressão")</f>
        <v>Compressão</v>
      </c>
    </row>
    <row r="879" spans="13:18" x14ac:dyDescent="0.25">
      <c r="M879" s="80" t="s">
        <v>457</v>
      </c>
      <c r="N879" s="103">
        <f>L26</f>
        <v>30.0</v>
      </c>
      <c r="O879" s="38" t="s">
        <v>294</v>
      </c>
    </row>
    <row r="880" spans="13:18" x14ac:dyDescent="0.25">
      <c r="M880" s="80" t="s">
        <v>60</v>
      </c>
      <c r="N880" s="103">
        <f>L27</f>
        <v>60.0</v>
      </c>
      <c r="O880" s="38" t="s">
        <v>294</v>
      </c>
    </row>
    <row r="881" spans="11:31" x14ac:dyDescent="0.25">
      <c r="M881" s="80" t="s">
        <v>8</v>
      </c>
      <c r="N881" s="189">
        <f ca="1">IFERROR(((_xlfn.XLOOKUP("Tração",O877:O878,N877:N878))/((_xlfn.XLOOKUP("Tração",O877:O878,N877:N878))+(ABS(_xlfn.XLOOKUP("Compressão",O877:O878,N877:N878)))))*(L27/100),0)</f>
        <v>0.0</v>
      </c>
      <c r="O881" s="38" t="s">
        <v>32</v>
      </c>
      <c r="Q881" s="60"/>
      <c r="R881" s="216"/>
    </row>
    <row r="882" spans="11:31" x14ac:dyDescent="0.25">
      <c r="M882" s="80" t="s">
        <v>458</v>
      </c>
      <c r="N882" s="97">
        <f ca="1">IFERROR(_xlfn.XLOOKUP("Tração",O877:O878,N877:N878)*N879/100*(N881/2),0)</f>
        <v>0.0</v>
      </c>
      <c r="O882" s="38" t="s">
        <v>292</v>
      </c>
      <c r="P882" s="690" t="str">
        <f>IF($M$19="1 - Retângular","Ok",IF(($L$63/100)&lt;N881,"OBS: Valor da linha neutra é MAIOR que hf1 - armadura ativa necessita verificação","Ok"))</f>
        <v>Ok</v>
      </c>
      <c r="Q882" s="690"/>
      <c r="R882" s="690"/>
    </row>
    <row r="883" spans="11:31" x14ac:dyDescent="0.25">
      <c r="M883" s="217" t="str">
        <f ca="1">IF(O877="Tração","A's (sup.)",IF(O878="Tração","As (inf.)","A's"))</f>
        <v>A's</v>
      </c>
      <c r="N883" s="83">
        <f ca="1">N882/((25))</f>
        <v>0.0</v>
      </c>
      <c r="O883" s="38" t="s">
        <v>247</v>
      </c>
      <c r="P883" s="690"/>
      <c r="Q883" s="690"/>
      <c r="R883" s="690"/>
    </row>
    <row r="884" spans="11:31" x14ac:dyDescent="0.25">
      <c r="N884" s="61"/>
      <c r="P884" s="690"/>
      <c r="Q884" s="690"/>
      <c r="R884" s="690"/>
    </row>
    <row r="885" spans="11:31" x14ac:dyDescent="0.25">
      <c r="M885" s="39">
        <f ca="1">ROUNDUP(N883/VLOOKUP(O885,$S$1035:$T$1042,2),0)</f>
        <v>0.0</v>
      </c>
      <c r="N885" s="39" t="s">
        <v>459</v>
      </c>
      <c r="O885" s="218">
        <f ca="1">IF(O877="Tração",Taxas!I50,Taxas!I57)</f>
        <v>16.0</v>
      </c>
      <c r="P885" s="96" t="s">
        <v>460</v>
      </c>
    </row>
    <row r="886" spans="11:31" x14ac:dyDescent="0.25">
      <c r="P886" s="105"/>
      <c r="Q886" s="105"/>
      <c r="R886" s="105"/>
      <c r="S886" s="105"/>
      <c r="T886" s="105"/>
      <c r="U886" s="105"/>
    </row>
    <row r="887" spans="11:31" hidden="1" x14ac:dyDescent="0.25">
      <c r="K887" s="652" t="s">
        <v>462</v>
      </c>
      <c r="L887" s="652"/>
      <c r="P887" s="105"/>
      <c r="Q887" s="105"/>
      <c r="R887" s="105"/>
      <c r="S887" s="105"/>
      <c r="T887" s="105"/>
      <c r="U887" s="105"/>
    </row>
    <row r="888" spans="11:31" hidden="1" x14ac:dyDescent="0.25">
      <c r="K888" s="658" t="s">
        <v>383</v>
      </c>
      <c r="L888" s="31">
        <f>0.7*L82*-1000</f>
        <v>-35000.0</v>
      </c>
      <c r="M888" s="38" t="s">
        <v>234</v>
      </c>
      <c r="P888" s="105"/>
      <c r="Q888" s="105"/>
      <c r="R888" s="105"/>
      <c r="S888" s="105"/>
      <c r="T888" s="105"/>
      <c r="U888" s="105"/>
    </row>
    <row r="889" spans="11:31" hidden="1" x14ac:dyDescent="0.25">
      <c r="K889" s="658"/>
      <c r="L889" s="31">
        <f>L888/1000</f>
        <v>-35.0</v>
      </c>
      <c r="M889" s="38" t="s">
        <v>160</v>
      </c>
      <c r="P889" s="105"/>
      <c r="Q889" s="105"/>
      <c r="R889" s="105"/>
      <c r="S889" s="105"/>
      <c r="T889" s="105"/>
      <c r="U889" s="105"/>
    </row>
    <row r="890" spans="11:31" hidden="1" x14ac:dyDescent="0.25">
      <c r="K890" s="658" t="s">
        <v>384</v>
      </c>
      <c r="L890" s="103">
        <v>0</v>
      </c>
      <c r="M890" s="38" t="s">
        <v>234</v>
      </c>
      <c r="P890" s="105"/>
      <c r="Q890" s="105"/>
      <c r="R890" s="105"/>
      <c r="S890" s="105"/>
      <c r="T890" s="105"/>
      <c r="U890" s="105"/>
    </row>
    <row r="891" spans="11:31" hidden="1" x14ac:dyDescent="0.25">
      <c r="K891" s="658"/>
      <c r="L891" s="97">
        <f>L890/1000</f>
        <v>0.0</v>
      </c>
      <c r="M891" s="38" t="s">
        <v>160</v>
      </c>
      <c r="N891" s="138"/>
      <c r="P891" s="105"/>
      <c r="Q891" s="105"/>
      <c r="R891" s="105"/>
      <c r="S891" s="105"/>
      <c r="T891" s="105"/>
      <c r="U891" s="105"/>
    </row>
    <row r="892" spans="11:31" ht="15.75" hidden="1" customHeight="1" x14ac:dyDescent="0.25">
      <c r="L892" s="105"/>
      <c r="N892" s="105"/>
      <c r="O892" s="105"/>
      <c r="P892" s="105"/>
      <c r="Q892" s="105"/>
      <c r="R892" s="105"/>
      <c r="S892" s="105"/>
      <c r="T892" s="105"/>
      <c r="U892" s="105"/>
    </row>
    <row r="893" spans="11:31" ht="15.75" customHeight="1" x14ac:dyDescent="0.25">
      <c r="K893" s="653" t="s">
        <v>474</v>
      </c>
      <c r="L893" s="653"/>
      <c r="M893" s="653"/>
      <c r="N893" s="653"/>
      <c r="O893" s="653"/>
      <c r="P893" s="653"/>
      <c r="Q893" s="653"/>
      <c r="R893" s="653"/>
      <c r="S893" s="105"/>
      <c r="T893" s="105"/>
      <c r="U893" s="105"/>
    </row>
    <row r="894" spans="11:31" ht="15.75" hidden="1" customHeight="1" x14ac:dyDescent="0.25">
      <c r="K894" s="107"/>
      <c r="L894" s="107"/>
      <c r="M894" s="107"/>
      <c r="N894" s="107"/>
      <c r="O894" s="107"/>
      <c r="P894" s="107"/>
      <c r="Q894" s="107"/>
      <c r="R894" s="107"/>
      <c r="S894" s="105"/>
      <c r="T894" s="105"/>
      <c r="U894" s="105"/>
    </row>
    <row r="895" spans="11:31" ht="15.75" hidden="1" customHeight="1" x14ac:dyDescent="0.25">
      <c r="K895" s="662" t="s">
        <v>475</v>
      </c>
      <c r="L895" s="662"/>
      <c r="M895" s="662"/>
      <c r="N895" s="662"/>
      <c r="O895" s="662"/>
      <c r="P895" s="662"/>
      <c r="Q895" s="662"/>
      <c r="R895" s="662"/>
      <c r="S895" s="105"/>
      <c r="T895" s="105"/>
      <c r="U895" s="105"/>
    </row>
    <row r="896" spans="11:31" ht="15.75" hidden="1" customHeight="1" x14ac:dyDescent="0.25">
      <c r="K896" s="197" t="s">
        <v>404</v>
      </c>
      <c r="L896" s="197" t="s">
        <v>405</v>
      </c>
      <c r="M896" s="197" t="s">
        <v>406</v>
      </c>
      <c r="N896" s="197" t="s">
        <v>407</v>
      </c>
      <c r="O896" s="197" t="s">
        <v>408</v>
      </c>
      <c r="P896" s="197" t="s">
        <v>409</v>
      </c>
      <c r="Q896" s="197" t="s">
        <v>410</v>
      </c>
      <c r="R896" s="197" t="s">
        <v>411</v>
      </c>
      <c r="S896" s="105"/>
      <c r="T896" s="105"/>
      <c r="U896" s="105"/>
      <c r="V896" s="27"/>
      <c r="W896" s="27"/>
      <c r="X896" s="27"/>
      <c r="Y896" s="27"/>
      <c r="Z896" s="27"/>
      <c r="AA896" s="27"/>
      <c r="AB896" s="27"/>
      <c r="AC896" s="27"/>
      <c r="AD896" s="27"/>
      <c r="AE896" s="27"/>
    </row>
    <row r="897" spans="11:32" ht="15.75" hidden="1" customHeight="1" x14ac:dyDescent="0.25">
      <c r="K897" s="27">
        <f>(($L$29/100)/20)-$L$897</f>
        <v>0.0</v>
      </c>
      <c r="L897" s="27">
        <f>($L$29/100)/20</f>
        <v>0.39249999999999996</v>
      </c>
      <c r="M897" s="27">
        <f>(($L$29/100)/20)+$L$897</f>
        <v>0.7849999999999999</v>
      </c>
      <c r="N897" s="27">
        <f>(($L$29/100)/20)+$M$897</f>
        <v>1.1774999999999998</v>
      </c>
      <c r="O897" s="27">
        <f>(($L$29/100)/20)+$N$897</f>
        <v>1.5699999999999998</v>
      </c>
      <c r="P897" s="27">
        <f>(($L$29/100)/20)+$O$897</f>
        <v>1.9625</v>
      </c>
      <c r="Q897" s="27">
        <f>(($L$29/100)/20)+$P$897</f>
        <v>2.355</v>
      </c>
      <c r="R897" s="27">
        <f>(($L$29/100)/20)+$Q$897</f>
        <v>2.7475</v>
      </c>
      <c r="S897" s="105"/>
      <c r="T897" s="105"/>
      <c r="U897" s="105"/>
    </row>
    <row r="898" spans="11:32" ht="15.75" hidden="1" customHeight="1" x14ac:dyDescent="0.25">
      <c r="K898" s="105">
        <f>'Cargas adicionais'!$X$243</f>
        <v>0.0</v>
      </c>
      <c r="L898" s="105">
        <f ca="1">'Cargas adicionais'!$X$244</f>
        <v>7.793320546874998</v>
      </c>
      <c r="M898" s="105">
        <f ca="1">'Cargas adicionais'!$X$245</f>
        <v>14.766291562499998</v>
      </c>
      <c r="N898" s="105">
        <f ca="1">'Cargas adicionais'!$X$246</f>
        <v>20.918913046874994</v>
      </c>
      <c r="O898" s="105">
        <f ca="1">'Cargas adicionais'!$X$247</f>
        <v>26.251184999999992</v>
      </c>
      <c r="P898" s="105">
        <f ca="1">'Cargas adicionais'!$X$248</f>
        <v>30.76310742187499</v>
      </c>
      <c r="Q898" s="105">
        <f ca="1">'Cargas adicionais'!$X$249</f>
        <v>34.45468031249999</v>
      </c>
      <c r="R898" s="105">
        <f ca="1">'Cargas adicionais'!$X$250</f>
        <v>37.32590367187498</v>
      </c>
      <c r="S898" s="105"/>
      <c r="T898" s="105"/>
      <c r="U898" s="105"/>
    </row>
    <row r="899" spans="11:32" ht="15.75" hidden="1" customHeight="1" x14ac:dyDescent="0.25">
      <c r="K899" s="197" t="s">
        <v>412</v>
      </c>
      <c r="L899" s="197" t="s">
        <v>413</v>
      </c>
      <c r="M899" s="197" t="s">
        <v>414</v>
      </c>
      <c r="N899" s="197" t="s">
        <v>415</v>
      </c>
      <c r="O899" s="197" t="s">
        <v>416</v>
      </c>
      <c r="P899" s="197" t="s">
        <v>417</v>
      </c>
      <c r="Q899" s="197" t="s">
        <v>418</v>
      </c>
      <c r="R899" s="199" t="s">
        <v>419</v>
      </c>
      <c r="U899" s="105"/>
      <c r="V899" s="105"/>
      <c r="W899" s="105"/>
      <c r="X899" s="105"/>
      <c r="Y899" s="105"/>
      <c r="Z899" s="105"/>
      <c r="AA899" s="105"/>
      <c r="AB899" s="105"/>
      <c r="AC899" s="105"/>
      <c r="AD899" s="105"/>
      <c r="AE899" s="105"/>
    </row>
    <row r="900" spans="11:32" ht="15.75" hidden="1" customHeight="1" x14ac:dyDescent="0.25">
      <c r="K900" s="27">
        <f>(($L$29/100)/20)+$R$897</f>
        <v>3.14</v>
      </c>
      <c r="L900" s="27">
        <f>(($L$29/100)/20)+$K$900</f>
        <v>3.5325</v>
      </c>
      <c r="M900" s="27">
        <f>(($L$29/100)/20)+$L$900</f>
        <v>3.9250000000000003</v>
      </c>
      <c r="N900" s="27">
        <f>(($L$29/100)/20)+$M$900</f>
        <v>4.3175</v>
      </c>
      <c r="O900" s="27">
        <f>(($L$29/100)/20)+$N$900</f>
        <v>4.71</v>
      </c>
      <c r="P900" s="27">
        <f>(($L$29/100)/20)+$O$900</f>
        <v>5.1025</v>
      </c>
      <c r="Q900" s="27">
        <f>(($L$29/100)/20)+$P$900</f>
        <v>5.495</v>
      </c>
      <c r="R900" s="27">
        <f>(($L$29/100)/20)+$Q$900</f>
        <v>5.8875</v>
      </c>
      <c r="U900" s="105"/>
      <c r="V900" s="105"/>
      <c r="W900" s="105"/>
      <c r="X900" s="105"/>
      <c r="Y900" s="105"/>
      <c r="Z900" s="105"/>
      <c r="AA900" s="105"/>
      <c r="AB900" s="105"/>
      <c r="AC900" s="105"/>
      <c r="AD900" s="105"/>
      <c r="AE900" s="105"/>
    </row>
    <row r="901" spans="11:32" ht="15.75" hidden="1" customHeight="1" x14ac:dyDescent="0.25">
      <c r="K901" s="105">
        <f ca="1">'Cargas adicionais'!$X$251</f>
        <v>39.37677749999998</v>
      </c>
      <c r="L901" s="105">
        <f ca="1">'Cargas adicionais'!$X$252</f>
        <v>40.60730179687498</v>
      </c>
      <c r="M901" s="105">
        <f ca="1">'Cargas adicionais'!$X$253</f>
        <v>41.01747656249998</v>
      </c>
      <c r="N901" s="105">
        <f ca="1">'Cargas adicionais'!$X$254</f>
        <v>40.60730179687498</v>
      </c>
      <c r="O901" s="105">
        <f ca="1">'Cargas adicionais'!$X$255</f>
        <v>39.376777499999974</v>
      </c>
      <c r="P901" s="105">
        <f ca="1">'Cargas adicionais'!$X$256</f>
        <v>37.32590367187497</v>
      </c>
      <c r="Q901" s="105">
        <f ca="1">'Cargas adicionais'!$X$257</f>
        <v>34.45468031249997</v>
      </c>
      <c r="R901" s="105">
        <f ca="1">'Cargas adicionais'!$X$258</f>
        <v>30.763107421874963</v>
      </c>
      <c r="U901" s="105"/>
      <c r="V901" s="105"/>
      <c r="W901" s="105"/>
      <c r="X901" s="105"/>
      <c r="Y901" s="105"/>
      <c r="Z901" s="105"/>
      <c r="AA901" s="105"/>
      <c r="AB901" s="105"/>
      <c r="AC901" s="105"/>
      <c r="AD901" s="105"/>
      <c r="AE901" s="105"/>
    </row>
    <row r="902" spans="11:32" ht="15.75" hidden="1" customHeight="1" x14ac:dyDescent="0.25">
      <c r="K902" s="197" t="s">
        <v>420</v>
      </c>
      <c r="L902" s="197" t="s">
        <v>421</v>
      </c>
      <c r="M902" s="197" t="s">
        <v>422</v>
      </c>
      <c r="N902" s="197" t="s">
        <v>423</v>
      </c>
      <c r="O902" s="197" t="s">
        <v>424</v>
      </c>
      <c r="P902" s="105"/>
      <c r="Q902" s="105"/>
      <c r="R902" s="105"/>
      <c r="S902" s="105"/>
      <c r="T902" s="105"/>
      <c r="U902" s="105"/>
      <c r="V902" s="105"/>
      <c r="W902" s="105"/>
      <c r="X902" s="105"/>
      <c r="Y902" s="105"/>
      <c r="Z902" s="105"/>
      <c r="AA902" s="105"/>
      <c r="AB902" s="105"/>
      <c r="AC902" s="105"/>
      <c r="AD902" s="105"/>
      <c r="AE902" s="105"/>
    </row>
    <row r="903" spans="11:32" ht="15.75" hidden="1" customHeight="1" x14ac:dyDescent="0.25">
      <c r="K903" s="27">
        <f>(($L$29/100)/20)+$R$900</f>
        <v>6.28</v>
      </c>
      <c r="L903" s="27">
        <f>(($L$29/100)/20)+$K$903</f>
        <v>6.6725</v>
      </c>
      <c r="M903" s="27">
        <f>(($L$29/100)/20)+$L$903</f>
        <v>7.065</v>
      </c>
      <c r="N903" s="27">
        <f>(($L$29/100)/20)+$M$903</f>
        <v>7.4575000000000005</v>
      </c>
      <c r="O903" s="27">
        <f>(($L$29/100)/20)+$N$903</f>
        <v>7.8500000000000005</v>
      </c>
      <c r="U903" s="105"/>
      <c r="V903" s="105"/>
      <c r="W903" s="105"/>
      <c r="X903" s="105"/>
      <c r="Y903" s="105"/>
      <c r="Z903" s="105"/>
      <c r="AA903" s="105"/>
      <c r="AB903" s="105"/>
      <c r="AC903" s="105"/>
      <c r="AD903" s="105"/>
      <c r="AE903" s="105"/>
    </row>
    <row r="904" spans="11:32" ht="15.75" hidden="1" customHeight="1" x14ac:dyDescent="0.25">
      <c r="K904" s="105">
        <f ca="1">'Cargas adicionais'!$X$259</f>
        <v>26.25118499999996</v>
      </c>
      <c r="L904" s="105">
        <f ca="1">'Cargas adicionais'!$X$260</f>
        <v>20.918913046874955</v>
      </c>
      <c r="M904" s="105">
        <f ca="1">'Cargas adicionais'!$X$261</f>
        <v>14.766291562499951</v>
      </c>
      <c r="N904" s="105">
        <f ca="1">'Cargas adicionais'!$X$262</f>
        <v>7.793320546874948</v>
      </c>
      <c r="O904" s="105">
        <f ca="1">'Cargas adicionais'!$X$263</f>
        <v>-5.417888360170764e-14</v>
      </c>
      <c r="U904" s="105"/>
      <c r="V904" s="105"/>
      <c r="W904" s="105"/>
      <c r="X904" s="105"/>
      <c r="Y904" s="105"/>
      <c r="Z904" s="105"/>
      <c r="AA904" s="105"/>
      <c r="AB904" s="105"/>
      <c r="AC904" s="105"/>
      <c r="AD904" s="105"/>
      <c r="AE904" s="105"/>
    </row>
    <row r="905" spans="11:32" ht="15.75" hidden="1" customHeight="1" x14ac:dyDescent="0.25">
      <c r="K905" s="105"/>
      <c r="L905" s="105"/>
      <c r="M905" s="105"/>
      <c r="N905" s="105"/>
      <c r="O905" s="105"/>
      <c r="P905" s="105"/>
      <c r="Q905" s="105"/>
      <c r="R905" s="105"/>
      <c r="S905" s="105"/>
      <c r="T905" s="105"/>
      <c r="U905" s="105"/>
      <c r="V905" s="105"/>
      <c r="W905" s="105"/>
      <c r="X905" s="105"/>
      <c r="Y905" s="105"/>
      <c r="Z905" s="105"/>
      <c r="AA905" s="105"/>
      <c r="AB905" s="105"/>
      <c r="AC905" s="105"/>
      <c r="AD905" s="105"/>
      <c r="AE905" s="105"/>
    </row>
    <row r="906" spans="11:32" ht="15.75" hidden="1" customHeight="1" x14ac:dyDescent="0.25">
      <c r="K906" s="4" t="s">
        <v>291</v>
      </c>
      <c r="L906" s="103">
        <f ca="1">$L$298*$L$324+$L$300*$L$326</f>
        <v>1475.413282676191</v>
      </c>
      <c r="M906" s="38" t="s">
        <v>292</v>
      </c>
      <c r="N906" s="103">
        <f ca="1">-L906/(L48/100^2)-(L907/(L52/100^3))</f>
        <v>-23565.6288205225</v>
      </c>
      <c r="O906" s="103">
        <f ca="1">N906/1000</f>
        <v>-23.565628820522498</v>
      </c>
      <c r="P906" s="105"/>
      <c r="Q906" s="105"/>
      <c r="R906" s="105"/>
      <c r="S906" s="105"/>
      <c r="T906" s="105"/>
      <c r="U906" s="105"/>
      <c r="V906" s="105"/>
      <c r="W906" s="105"/>
      <c r="X906" s="105"/>
      <c r="Y906" s="105"/>
      <c r="Z906" s="105"/>
      <c r="AA906" s="105"/>
      <c r="AB906" s="105"/>
      <c r="AC906" s="105"/>
      <c r="AD906" s="105"/>
      <c r="AE906" s="105"/>
    </row>
    <row r="907" spans="11:32" ht="15.75" hidden="1" customHeight="1" x14ac:dyDescent="0.25">
      <c r="K907" s="4" t="s">
        <v>295</v>
      </c>
      <c r="L907" s="103">
        <f ca="1">$L$298*$L$324*$L$299/100-$L$300*$L$326*$L$301/100</f>
        <v>276.63999050178586</v>
      </c>
      <c r="M907" s="38" t="s">
        <v>292</v>
      </c>
      <c r="N907" s="103">
        <f ca="1">-L906/(L48/100^2)+(L907/(L52/100^3))</f>
        <v>7172.147901898154</v>
      </c>
      <c r="O907" s="103">
        <f ca="1">N907/1000</f>
        <v>7.172147901898153</v>
      </c>
      <c r="P907" s="105"/>
      <c r="Q907" s="105"/>
      <c r="R907" s="105"/>
      <c r="S907" s="105"/>
      <c r="T907" s="105"/>
      <c r="U907" s="105"/>
    </row>
    <row r="908" spans="11:32" ht="15.75" hidden="1" customHeight="1" x14ac:dyDescent="0.25">
      <c r="L908" s="38"/>
      <c r="P908" s="105"/>
      <c r="Q908" s="105"/>
      <c r="R908" s="105"/>
      <c r="S908" s="105"/>
      <c r="T908" s="105"/>
      <c r="U908" s="105"/>
    </row>
    <row r="909" spans="11:32" ht="15.75" hidden="1" customHeight="1" x14ac:dyDescent="0.25">
      <c r="K909" s="4" t="s">
        <v>476</v>
      </c>
      <c r="L909" s="103">
        <f ca="1">$L$1435*'Isolamento de cabos'!N47+$L$1437*'Isolamento de cabos'!N48</f>
        <v>749.9028001915608</v>
      </c>
      <c r="M909" s="38" t="s">
        <v>292</v>
      </c>
      <c r="N909" s="4" t="s">
        <v>379</v>
      </c>
      <c r="P909" s="105"/>
      <c r="Q909" s="105"/>
      <c r="R909" s="105"/>
      <c r="S909" s="105"/>
      <c r="T909" s="105"/>
      <c r="U909" s="105"/>
    </row>
    <row r="910" spans="11:32" ht="15.75" hidden="1" customHeight="1" x14ac:dyDescent="0.25">
      <c r="K910" s="4" t="s">
        <v>477</v>
      </c>
      <c r="L910" s="103">
        <f ca="1">$L$1435*'Isolamento de cabos'!N47*$L$1436/100-$L$1437*'Isolamento de cabos'!N48*$L$1438/100</f>
        <v>213.72229805459483</v>
      </c>
      <c r="M910" s="38" t="s">
        <v>216</v>
      </c>
      <c r="N910" s="4" t="s">
        <v>381</v>
      </c>
      <c r="P910" s="105"/>
      <c r="Q910" s="105"/>
      <c r="R910" s="105"/>
      <c r="S910" s="105"/>
      <c r="T910" s="105"/>
      <c r="U910" s="105"/>
    </row>
    <row r="911" spans="11:32" ht="15.75" hidden="1" customHeight="1" x14ac:dyDescent="0.25">
      <c r="L911" s="105"/>
      <c r="N911" s="105"/>
      <c r="O911" s="105"/>
      <c r="P911" s="105"/>
      <c r="Q911" s="105"/>
      <c r="R911" s="105"/>
      <c r="S911" s="105"/>
      <c r="T911" s="105"/>
      <c r="U911" s="105"/>
    </row>
    <row r="912" spans="11:32" ht="19.5" customHeight="1" x14ac:dyDescent="0.25">
      <c r="L912" s="691" t="s">
        <v>478</v>
      </c>
      <c r="M912" s="691"/>
      <c r="N912" s="691"/>
      <c r="O912" s="691"/>
      <c r="P912" s="691"/>
      <c r="Q912" s="39" t="s">
        <v>428</v>
      </c>
      <c r="AF912" s="61"/>
    </row>
    <row r="913" spans="11:32" x14ac:dyDescent="0.25">
      <c r="K913" s="198"/>
      <c r="L913" s="4" t="s">
        <v>429</v>
      </c>
      <c r="M913" s="105">
        <v>0</v>
      </c>
      <c r="N913" s="38" t="s">
        <v>234</v>
      </c>
      <c r="O913" s="138">
        <f t="shared" ref="O913:O933" si="29">M913/1000</f>
        <v>0.0</v>
      </c>
      <c r="P913" s="38" t="s">
        <v>160</v>
      </c>
      <c r="Q913" s="138">
        <f>P983</f>
        <v>3.8519549300342857</v>
      </c>
      <c r="AF913" s="61"/>
    </row>
    <row r="914" spans="11:32" ht="15.75" customHeight="1" x14ac:dyDescent="0.25">
      <c r="K914" s="198"/>
      <c r="L914" s="4" t="s">
        <v>430</v>
      </c>
      <c r="M914" s="200">
        <f ca="1">Tensões!C9</f>
        <v>1795.0895727156653</v>
      </c>
      <c r="N914" s="38" t="s">
        <v>234</v>
      </c>
      <c r="O914" s="201">
        <f t="shared" ca="1" si="29"/>
        <v>1.7950895727156653</v>
      </c>
      <c r="P914" s="38" t="s">
        <v>160</v>
      </c>
      <c r="Q914" s="138">
        <f t="shared" ref="Q914:Q933" si="30">Q913</f>
        <v>3.8519549300342857</v>
      </c>
      <c r="AF914" s="61"/>
    </row>
    <row r="915" spans="11:32" ht="15.75" customHeight="1" x14ac:dyDescent="0.25">
      <c r="K915" s="198"/>
      <c r="L915" s="4" t="s">
        <v>431</v>
      </c>
      <c r="M915" s="202">
        <f ca="1">Tensões!C10</f>
        <v>4023.1413980354973</v>
      </c>
      <c r="N915" s="38" t="s">
        <v>234</v>
      </c>
      <c r="O915" s="203">
        <f t="shared" ca="1" si="29"/>
        <v>4.023141398035498</v>
      </c>
      <c r="P915" s="38" t="s">
        <v>160</v>
      </c>
      <c r="Q915" s="138">
        <f t="shared" si="30"/>
        <v>3.8519549300342857</v>
      </c>
      <c r="AF915" s="61"/>
    </row>
    <row r="916" spans="11:32" ht="15.75" customHeight="1" x14ac:dyDescent="0.25">
      <c r="K916" s="198"/>
      <c r="L916" s="4" t="s">
        <v>432</v>
      </c>
      <c r="M916" s="202">
        <f ca="1">Tensões!C11</f>
        <v>5987.049201515409</v>
      </c>
      <c r="N916" s="38" t="s">
        <v>234</v>
      </c>
      <c r="O916" s="203">
        <f t="shared" ca="1" si="29"/>
        <v>5.987049201515409</v>
      </c>
      <c r="P916" s="38" t="s">
        <v>160</v>
      </c>
      <c r="Q916" s="138">
        <f t="shared" si="30"/>
        <v>3.8519549300342857</v>
      </c>
      <c r="AF916" s="61"/>
    </row>
    <row r="917" spans="11:32" ht="15.75" customHeight="1" x14ac:dyDescent="0.25">
      <c r="K917" s="198"/>
      <c r="L917" s="4" t="s">
        <v>433</v>
      </c>
      <c r="M917" s="202">
        <f ca="1">Tensões!C12</f>
        <v>5696.8971613533495</v>
      </c>
      <c r="N917" s="38" t="s">
        <v>234</v>
      </c>
      <c r="O917" s="203">
        <f t="shared" ca="1" si="29"/>
        <v>5.696897161353349</v>
      </c>
      <c r="P917" s="38" t="s">
        <v>160</v>
      </c>
      <c r="Q917" s="138">
        <f t="shared" si="30"/>
        <v>3.8519549300342857</v>
      </c>
      <c r="AF917" s="61"/>
    </row>
    <row r="918" spans="11:32" ht="15.75" customHeight="1" x14ac:dyDescent="0.25">
      <c r="K918" s="198"/>
      <c r="L918" s="4" t="s">
        <v>434</v>
      </c>
      <c r="M918" s="202">
        <f ca="1">Tensões!C13</f>
        <v>5451.383896600835</v>
      </c>
      <c r="N918" s="38" t="s">
        <v>234</v>
      </c>
      <c r="O918" s="203">
        <f t="shared" ca="1" si="29"/>
        <v>5.451383896600835</v>
      </c>
      <c r="P918" s="38" t="s">
        <v>160</v>
      </c>
      <c r="Q918" s="138">
        <f t="shared" si="30"/>
        <v>3.8519549300342857</v>
      </c>
      <c r="AF918" s="61"/>
    </row>
    <row r="919" spans="11:32" ht="15.75" customHeight="1" x14ac:dyDescent="0.25">
      <c r="K919" s="198"/>
      <c r="L919" s="4" t="s">
        <v>435</v>
      </c>
      <c r="M919" s="202">
        <f ca="1">Tensões!C14</f>
        <v>5250.509407257871</v>
      </c>
      <c r="N919" s="38" t="s">
        <v>234</v>
      </c>
      <c r="O919" s="203">
        <f t="shared" ca="1" si="29"/>
        <v>5.250509407257871</v>
      </c>
      <c r="P919" s="38" t="s">
        <v>160</v>
      </c>
      <c r="Q919" s="138">
        <f t="shared" si="30"/>
        <v>3.8519549300342857</v>
      </c>
      <c r="AF919" s="61"/>
    </row>
    <row r="920" spans="11:32" ht="15.75" customHeight="1" x14ac:dyDescent="0.25">
      <c r="K920" s="198"/>
      <c r="L920" s="4" t="s">
        <v>436</v>
      </c>
      <c r="M920" s="202">
        <f ca="1">Tensões!C15</f>
        <v>5094.273693324452</v>
      </c>
      <c r="N920" s="38" t="s">
        <v>234</v>
      </c>
      <c r="O920" s="203">
        <f t="shared" ca="1" si="29"/>
        <v>5.094273693324452</v>
      </c>
      <c r="P920" s="38" t="s">
        <v>160</v>
      </c>
      <c r="Q920" s="138">
        <f t="shared" si="30"/>
        <v>3.8519549300342857</v>
      </c>
      <c r="AF920" s="61"/>
    </row>
    <row r="921" spans="11:32" ht="15.75" customHeight="1" x14ac:dyDescent="0.25">
      <c r="K921" s="198"/>
      <c r="L921" s="4" t="s">
        <v>437</v>
      </c>
      <c r="M921" s="202">
        <f ca="1">Tensões!C16</f>
        <v>4982.676754800583</v>
      </c>
      <c r="N921" s="38" t="s">
        <v>234</v>
      </c>
      <c r="O921" s="203">
        <f t="shared" ca="1" si="29"/>
        <v>4.982676754800583</v>
      </c>
      <c r="P921" s="38" t="s">
        <v>160</v>
      </c>
      <c r="Q921" s="138">
        <f t="shared" si="30"/>
        <v>3.8519549300342857</v>
      </c>
      <c r="AF921" s="61"/>
    </row>
    <row r="922" spans="11:32" ht="15.75" customHeight="1" x14ac:dyDescent="0.25">
      <c r="K922" s="198"/>
      <c r="L922" s="4" t="s">
        <v>438</v>
      </c>
      <c r="M922" s="202">
        <f ca="1">Tensões!C17</f>
        <v>4915.718591686258</v>
      </c>
      <c r="N922" s="38" t="s">
        <v>234</v>
      </c>
      <c r="O922" s="203">
        <f t="shared" ca="1" si="29"/>
        <v>4.915718591686258</v>
      </c>
      <c r="P922" s="38" t="s">
        <v>160</v>
      </c>
      <c r="Q922" s="138">
        <f t="shared" si="30"/>
        <v>3.8519549300342857</v>
      </c>
      <c r="AF922" s="61"/>
    </row>
    <row r="923" spans="11:32" ht="15.75" customHeight="1" x14ac:dyDescent="0.25">
      <c r="K923" s="198"/>
      <c r="L923" s="4" t="s">
        <v>439</v>
      </c>
      <c r="M923" s="202">
        <f ca="1">Tensões!C18</f>
        <v>4893.3992039814875</v>
      </c>
      <c r="N923" s="38" t="s">
        <v>234</v>
      </c>
      <c r="O923" s="203">
        <f t="shared" ca="1" si="29"/>
        <v>4.893399203981487</v>
      </c>
      <c r="P923" s="38" t="s">
        <v>160</v>
      </c>
      <c r="Q923" s="138">
        <f t="shared" si="30"/>
        <v>3.8519549300342857</v>
      </c>
      <c r="AF923" s="61"/>
    </row>
    <row r="924" spans="11:32" ht="15.75" customHeight="1" x14ac:dyDescent="0.25">
      <c r="K924" s="198"/>
      <c r="L924" s="4" t="s">
        <v>440</v>
      </c>
      <c r="M924" s="202">
        <f ca="1">Tensões!C19</f>
        <v>4915.718591686258</v>
      </c>
      <c r="N924" s="38" t="s">
        <v>234</v>
      </c>
      <c r="O924" s="203">
        <f t="shared" ca="1" si="29"/>
        <v>4.915718591686258</v>
      </c>
      <c r="P924" s="38" t="s">
        <v>160</v>
      </c>
      <c r="Q924" s="138">
        <f t="shared" si="30"/>
        <v>3.8519549300342857</v>
      </c>
      <c r="AF924" s="61"/>
    </row>
    <row r="925" spans="11:32" ht="15.75" customHeight="1" x14ac:dyDescent="0.25">
      <c r="K925" s="198"/>
      <c r="L925" s="4" t="s">
        <v>441</v>
      </c>
      <c r="M925" s="202">
        <f ca="1">Tensões!C20</f>
        <v>4982.676754800583</v>
      </c>
      <c r="N925" s="38" t="s">
        <v>234</v>
      </c>
      <c r="O925" s="203">
        <f t="shared" ca="1" si="29"/>
        <v>4.982676754800583</v>
      </c>
      <c r="P925" s="38" t="s">
        <v>160</v>
      </c>
      <c r="Q925" s="138">
        <f t="shared" si="30"/>
        <v>3.8519549300342857</v>
      </c>
      <c r="AF925" s="61"/>
    </row>
    <row r="926" spans="11:32" ht="15.75" customHeight="1" x14ac:dyDescent="0.25">
      <c r="K926" s="198"/>
      <c r="L926" s="4" t="s">
        <v>442</v>
      </c>
      <c r="M926" s="202">
        <f ca="1">Tensões!C21</f>
        <v>5094.273693324452</v>
      </c>
      <c r="N926" s="38" t="s">
        <v>234</v>
      </c>
      <c r="O926" s="203">
        <f t="shared" ca="1" si="29"/>
        <v>5.094273693324452</v>
      </c>
      <c r="P926" s="38" t="s">
        <v>160</v>
      </c>
      <c r="Q926" s="138">
        <f t="shared" si="30"/>
        <v>3.8519549300342857</v>
      </c>
      <c r="AF926" s="61"/>
    </row>
    <row r="927" spans="11:32" ht="15.75" customHeight="1" x14ac:dyDescent="0.25">
      <c r="K927" s="198"/>
      <c r="L927" s="4" t="s">
        <v>443</v>
      </c>
      <c r="M927" s="202">
        <f ca="1">Tensões!C22</f>
        <v>5250.509407257872</v>
      </c>
      <c r="N927" s="38" t="s">
        <v>234</v>
      </c>
      <c r="O927" s="203">
        <f t="shared" ca="1" si="29"/>
        <v>5.250509407257872</v>
      </c>
      <c r="P927" s="38" t="s">
        <v>160</v>
      </c>
      <c r="Q927" s="138">
        <f t="shared" si="30"/>
        <v>3.8519549300342857</v>
      </c>
      <c r="AF927" s="61"/>
    </row>
    <row r="928" spans="11:32" ht="15.75" customHeight="1" x14ac:dyDescent="0.25">
      <c r="K928" s="198"/>
      <c r="L928" s="4" t="s">
        <v>444</v>
      </c>
      <c r="M928" s="202">
        <f ca="1">Tensões!C23</f>
        <v>5451.383896600837</v>
      </c>
      <c r="N928" s="38" t="s">
        <v>234</v>
      </c>
      <c r="O928" s="203">
        <f t="shared" ca="1" si="29"/>
        <v>5.451383896600837</v>
      </c>
      <c r="P928" s="38" t="s">
        <v>160</v>
      </c>
      <c r="Q928" s="138">
        <f t="shared" si="30"/>
        <v>3.8519549300342857</v>
      </c>
      <c r="AF928" s="61"/>
    </row>
    <row r="929" spans="11:40" ht="15.75" customHeight="1" x14ac:dyDescent="0.25">
      <c r="K929" s="198"/>
      <c r="L929" s="4" t="s">
        <v>445</v>
      </c>
      <c r="M929" s="202">
        <f ca="1">Tensões!C24</f>
        <v>5696.897161353351</v>
      </c>
      <c r="N929" s="38" t="s">
        <v>234</v>
      </c>
      <c r="O929" s="203">
        <f t="shared" ca="1" si="29"/>
        <v>5.696897161353351</v>
      </c>
      <c r="P929" s="38" t="s">
        <v>160</v>
      </c>
      <c r="Q929" s="138">
        <f t="shared" si="30"/>
        <v>3.8519549300342857</v>
      </c>
      <c r="AF929" s="61"/>
    </row>
    <row r="930" spans="11:40" ht="15.75" customHeight="1" x14ac:dyDescent="0.25">
      <c r="K930" s="198"/>
      <c r="L930" s="4" t="s">
        <v>446</v>
      </c>
      <c r="M930" s="202">
        <f ca="1">Tensões!C25</f>
        <v>5987.0492015154105</v>
      </c>
      <c r="N930" s="38" t="s">
        <v>234</v>
      </c>
      <c r="O930" s="203">
        <f t="shared" ca="1" si="29"/>
        <v>5.98704920151541</v>
      </c>
      <c r="P930" s="38" t="s">
        <v>160</v>
      </c>
      <c r="Q930" s="138">
        <f t="shared" si="30"/>
        <v>3.8519549300342857</v>
      </c>
      <c r="AF930" s="61"/>
    </row>
    <row r="931" spans="11:40" ht="15.75" customHeight="1" x14ac:dyDescent="0.25">
      <c r="K931" s="198"/>
      <c r="L931" s="4" t="s">
        <v>447</v>
      </c>
      <c r="M931" s="202">
        <f ca="1">Tensões!C26</f>
        <v>4023.1413980354973</v>
      </c>
      <c r="N931" s="38" t="s">
        <v>234</v>
      </c>
      <c r="O931" s="203">
        <f t="shared" ca="1" si="29"/>
        <v>4.023141398035498</v>
      </c>
      <c r="P931" s="38" t="s">
        <v>160</v>
      </c>
      <c r="Q931" s="138">
        <f t="shared" si="30"/>
        <v>3.8519549300342857</v>
      </c>
      <c r="AF931" s="61"/>
      <c r="AG931" s="105"/>
      <c r="AH931" s="105"/>
      <c r="AI931" s="105"/>
      <c r="AJ931" s="105"/>
    </row>
    <row r="932" spans="11:40" x14ac:dyDescent="0.25">
      <c r="K932" s="198"/>
      <c r="L932" s="4" t="s">
        <v>448</v>
      </c>
      <c r="M932" s="204">
        <f ca="1">Tensões!C27</f>
        <v>1795.0895727156653</v>
      </c>
      <c r="N932" s="38" t="s">
        <v>234</v>
      </c>
      <c r="O932" s="205">
        <f t="shared" ca="1" si="29"/>
        <v>1.7950895727156653</v>
      </c>
      <c r="P932" s="38" t="s">
        <v>160</v>
      </c>
      <c r="Q932" s="138">
        <f t="shared" si="30"/>
        <v>3.8519549300342857</v>
      </c>
      <c r="AB932" s="105"/>
      <c r="AC932" s="105"/>
      <c r="AD932" s="105"/>
      <c r="AE932" s="105"/>
      <c r="AF932" s="61"/>
      <c r="AK932" s="105"/>
      <c r="AL932" s="105"/>
      <c r="AM932" s="105"/>
      <c r="AN932" s="105"/>
    </row>
    <row r="933" spans="11:40" ht="15.75" customHeight="1" x14ac:dyDescent="0.25">
      <c r="K933" s="198"/>
      <c r="L933" s="32" t="s">
        <v>449</v>
      </c>
      <c r="M933" s="206">
        <v>0</v>
      </c>
      <c r="N933" s="207" t="s">
        <v>234</v>
      </c>
      <c r="O933" s="208">
        <f t="shared" si="29"/>
        <v>0.0</v>
      </c>
      <c r="P933" s="207" t="s">
        <v>160</v>
      </c>
      <c r="Q933" s="208">
        <f t="shared" si="30"/>
        <v>3.8519549300342857</v>
      </c>
      <c r="AF933" s="61"/>
    </row>
    <row r="934" spans="11:40" ht="24.75" customHeight="1" x14ac:dyDescent="0.25">
      <c r="O934" s="222"/>
      <c r="P934" s="105"/>
      <c r="Q934" s="105"/>
      <c r="AF934" s="61"/>
    </row>
    <row r="935" spans="11:40" ht="15.75" customHeight="1" x14ac:dyDescent="0.25">
      <c r="L935" s="691" t="s">
        <v>479</v>
      </c>
      <c r="M935" s="691"/>
      <c r="N935" s="691"/>
      <c r="O935" s="691"/>
      <c r="P935" s="691"/>
      <c r="Q935" s="39" t="s">
        <v>428</v>
      </c>
      <c r="AF935" s="61"/>
    </row>
    <row r="936" spans="11:40" ht="15.75" customHeight="1" x14ac:dyDescent="0.25">
      <c r="K936" s="198"/>
      <c r="L936" s="4" t="s">
        <v>429</v>
      </c>
      <c r="M936" s="105">
        <v>0</v>
      </c>
      <c r="N936" s="38" t="s">
        <v>234</v>
      </c>
      <c r="O936" s="138">
        <f t="shared" ref="O936:O956" si="31">M936/1000</f>
        <v>0.0</v>
      </c>
      <c r="P936" s="38" t="s">
        <v>160</v>
      </c>
      <c r="Q936" s="138">
        <f>P982</f>
        <v>-24.5</v>
      </c>
      <c r="AF936" s="61"/>
    </row>
    <row r="937" spans="11:40" ht="15.75" customHeight="1" x14ac:dyDescent="0.25">
      <c r="K937" s="198"/>
      <c r="L937" s="4" t="s">
        <v>430</v>
      </c>
      <c r="M937" s="200">
        <f ca="1">Tensões!C32</f>
        <v>-6887.779459160994</v>
      </c>
      <c r="N937" s="38" t="s">
        <v>234</v>
      </c>
      <c r="O937" s="201">
        <f t="shared" ca="1" si="31"/>
        <v>-6.887779459160994</v>
      </c>
      <c r="P937" s="38" t="s">
        <v>160</v>
      </c>
      <c r="Q937" s="138">
        <f t="shared" ref="Q937:Q956" si="32">Q936</f>
        <v>-24.5</v>
      </c>
      <c r="AF937" s="61"/>
    </row>
    <row r="938" spans="11:40" ht="15.75" customHeight="1" x14ac:dyDescent="0.25">
      <c r="K938" s="198"/>
      <c r="L938" s="4" t="s">
        <v>431</v>
      </c>
      <c r="M938" s="202">
        <f ca="1">Tensões!C33</f>
        <v>-14208.521170926155</v>
      </c>
      <c r="N938" s="38" t="s">
        <v>234</v>
      </c>
      <c r="O938" s="203">
        <f t="shared" ca="1" si="31"/>
        <v>-14.208521170926154</v>
      </c>
      <c r="P938" s="38" t="s">
        <v>160</v>
      </c>
      <c r="Q938" s="138">
        <f t="shared" si="32"/>
        <v>-24.5</v>
      </c>
      <c r="AF938" s="61"/>
    </row>
    <row r="939" spans="11:40" ht="15.75" customHeight="1" x14ac:dyDescent="0.25">
      <c r="K939" s="198"/>
      <c r="L939" s="4" t="s">
        <v>432</v>
      </c>
      <c r="M939" s="202">
        <f ca="1">Tensões!C34</f>
        <v>-21529.262882691306</v>
      </c>
      <c r="N939" s="38" t="s">
        <v>234</v>
      </c>
      <c r="O939" s="203">
        <f t="shared" ca="1" si="31"/>
        <v>-21.529262882691306</v>
      </c>
      <c r="P939" s="38" t="s">
        <v>160</v>
      </c>
      <c r="Q939" s="138">
        <f t="shared" si="32"/>
        <v>-24.5</v>
      </c>
      <c r="AF939" s="61"/>
    </row>
    <row r="940" spans="11:40" ht="15.75" customHeight="1" x14ac:dyDescent="0.25">
      <c r="K940" s="198"/>
      <c r="L940" s="4" t="s">
        <v>433</v>
      </c>
      <c r="M940" s="202">
        <f ca="1">Tensões!C35</f>
        <v>-22051.860196827667</v>
      </c>
      <c r="N940" s="38" t="s">
        <v>234</v>
      </c>
      <c r="O940" s="203">
        <f t="shared" ca="1" si="31"/>
        <v>-22.05186019682767</v>
      </c>
      <c r="P940" s="38" t="s">
        <v>160</v>
      </c>
      <c r="Q940" s="138">
        <f t="shared" si="32"/>
        <v>-24.5</v>
      </c>
      <c r="AF940" s="61"/>
    </row>
    <row r="941" spans="11:40" ht="15.75" customHeight="1" x14ac:dyDescent="0.25">
      <c r="K941" s="198"/>
      <c r="L941" s="4" t="s">
        <v>434</v>
      </c>
      <c r="M941" s="202">
        <f ca="1">Tensões!C36</f>
        <v>-21818.116285259886</v>
      </c>
      <c r="N941" s="38" t="s">
        <v>234</v>
      </c>
      <c r="O941" s="203">
        <f t="shared" ca="1" si="31"/>
        <v>-21.818116285259887</v>
      </c>
      <c r="P941" s="38" t="s">
        <v>160</v>
      </c>
      <c r="Q941" s="138">
        <f t="shared" si="32"/>
        <v>-24.5</v>
      </c>
      <c r="AF941" s="61"/>
    </row>
    <row r="942" spans="11:40" ht="15.75" customHeight="1" x14ac:dyDescent="0.25">
      <c r="K942" s="198"/>
      <c r="L942" s="4" t="s">
        <v>435</v>
      </c>
      <c r="M942" s="202">
        <f ca="1">Tensões!C37</f>
        <v>-21626.871266704427</v>
      </c>
      <c r="N942" s="38" t="s">
        <v>234</v>
      </c>
      <c r="O942" s="203">
        <f t="shared" ca="1" si="31"/>
        <v>-21.626871266704427</v>
      </c>
      <c r="P942" s="38" t="s">
        <v>160</v>
      </c>
      <c r="Q942" s="138">
        <f t="shared" si="32"/>
        <v>-24.5</v>
      </c>
      <c r="AF942" s="61"/>
    </row>
    <row r="943" spans="11:40" ht="15.75" customHeight="1" x14ac:dyDescent="0.25">
      <c r="K943" s="198"/>
      <c r="L943" s="4" t="s">
        <v>436</v>
      </c>
      <c r="M943" s="202">
        <f ca="1">Tensões!C38</f>
        <v>-21478.12514116129</v>
      </c>
      <c r="N943" s="38" t="s">
        <v>234</v>
      </c>
      <c r="O943" s="203">
        <f t="shared" ca="1" si="31"/>
        <v>-21.47812514116129</v>
      </c>
      <c r="P943" s="38" t="s">
        <v>160</v>
      </c>
      <c r="Q943" s="138">
        <f t="shared" si="32"/>
        <v>-24.5</v>
      </c>
      <c r="AF943" s="61"/>
    </row>
    <row r="944" spans="11:40" ht="15.75" customHeight="1" x14ac:dyDescent="0.25">
      <c r="K944" s="198"/>
      <c r="L944" s="4" t="s">
        <v>437</v>
      </c>
      <c r="M944" s="202">
        <f ca="1">Tensões!C39</f>
        <v>-21371.877908630486</v>
      </c>
      <c r="N944" s="38" t="s">
        <v>234</v>
      </c>
      <c r="O944" s="203">
        <f t="shared" ca="1" si="31"/>
        <v>-21.371877908630484</v>
      </c>
      <c r="P944" s="38" t="s">
        <v>160</v>
      </c>
      <c r="Q944" s="138">
        <f t="shared" si="32"/>
        <v>-24.5</v>
      </c>
    </row>
    <row r="945" spans="11:24" ht="15.75" customHeight="1" x14ac:dyDescent="0.25">
      <c r="K945" s="198"/>
      <c r="L945" s="4" t="s">
        <v>438</v>
      </c>
      <c r="M945" s="202">
        <f ca="1">Tensões!C40</f>
        <v>-21308.129569111992</v>
      </c>
      <c r="N945" s="38" t="s">
        <v>234</v>
      </c>
      <c r="O945" s="203">
        <f t="shared" ca="1" si="31"/>
        <v>-21.30812956911199</v>
      </c>
      <c r="P945" s="38" t="s">
        <v>160</v>
      </c>
      <c r="Q945" s="138">
        <f t="shared" si="32"/>
        <v>-24.5</v>
      </c>
    </row>
    <row r="946" spans="11:24" ht="15.75" customHeight="1" x14ac:dyDescent="0.25">
      <c r="K946" s="198"/>
      <c r="L946" s="4" t="s">
        <v>439</v>
      </c>
      <c r="M946" s="202">
        <f ca="1">Tensões!C41</f>
        <v>-21286.880122605835</v>
      </c>
      <c r="N946" s="38" t="s">
        <v>234</v>
      </c>
      <c r="O946" s="203">
        <f t="shared" ca="1" si="31"/>
        <v>-21.286880122605837</v>
      </c>
      <c r="P946" s="38" t="s">
        <v>160</v>
      </c>
      <c r="Q946" s="138">
        <f t="shared" si="32"/>
        <v>-24.5</v>
      </c>
    </row>
    <row r="947" spans="11:24" ht="15.75" customHeight="1" x14ac:dyDescent="0.25">
      <c r="K947" s="198"/>
      <c r="L947" s="4" t="s">
        <v>440</v>
      </c>
      <c r="M947" s="202">
        <f ca="1">Tensões!C42</f>
        <v>-21308.129569111992</v>
      </c>
      <c r="N947" s="38" t="s">
        <v>234</v>
      </c>
      <c r="O947" s="203">
        <f t="shared" ca="1" si="31"/>
        <v>-21.30812956911199</v>
      </c>
      <c r="P947" s="38" t="s">
        <v>160</v>
      </c>
      <c r="Q947" s="138">
        <f t="shared" si="32"/>
        <v>-24.5</v>
      </c>
    </row>
    <row r="948" spans="11:24" ht="15.75" customHeight="1" x14ac:dyDescent="0.25">
      <c r="K948" s="198"/>
      <c r="L948" s="4" t="s">
        <v>441</v>
      </c>
      <c r="M948" s="202">
        <f ca="1">Tensões!C43</f>
        <v>-21371.877908630486</v>
      </c>
      <c r="N948" s="38" t="s">
        <v>234</v>
      </c>
      <c r="O948" s="203">
        <f t="shared" ca="1" si="31"/>
        <v>-21.371877908630484</v>
      </c>
      <c r="P948" s="38" t="s">
        <v>160</v>
      </c>
      <c r="Q948" s="138">
        <f t="shared" si="32"/>
        <v>-24.5</v>
      </c>
    </row>
    <row r="949" spans="11:24" ht="15.75" customHeight="1" x14ac:dyDescent="0.25">
      <c r="K949" s="198"/>
      <c r="L949" s="4" t="s">
        <v>442</v>
      </c>
      <c r="M949" s="202">
        <f ca="1">Tensões!C44</f>
        <v>-21478.125141161294</v>
      </c>
      <c r="N949" s="38" t="s">
        <v>234</v>
      </c>
      <c r="O949" s="203">
        <f t="shared" ca="1" si="31"/>
        <v>-21.478125141161293</v>
      </c>
      <c r="P949" s="38" t="s">
        <v>160</v>
      </c>
      <c r="Q949" s="138">
        <f t="shared" si="32"/>
        <v>-24.5</v>
      </c>
    </row>
    <row r="950" spans="11:24" ht="15.75" customHeight="1" x14ac:dyDescent="0.25">
      <c r="K950" s="198"/>
      <c r="L950" s="4" t="s">
        <v>443</v>
      </c>
      <c r="M950" s="202">
        <f ca="1">Tensões!C45</f>
        <v>-21626.87126670443</v>
      </c>
      <c r="N950" s="38" t="s">
        <v>234</v>
      </c>
      <c r="O950" s="203">
        <f t="shared" ca="1" si="31"/>
        <v>-21.62687126670443</v>
      </c>
      <c r="P950" s="38" t="s">
        <v>160</v>
      </c>
      <c r="Q950" s="138">
        <f t="shared" si="32"/>
        <v>-24.5</v>
      </c>
    </row>
    <row r="951" spans="11:24" ht="15.75" customHeight="1" x14ac:dyDescent="0.25">
      <c r="K951" s="198"/>
      <c r="L951" s="4" t="s">
        <v>444</v>
      </c>
      <c r="M951" s="202">
        <f ca="1">Tensões!C46</f>
        <v>-21818.116285259886</v>
      </c>
      <c r="N951" s="38" t="s">
        <v>234</v>
      </c>
      <c r="O951" s="203">
        <f t="shared" ca="1" si="31"/>
        <v>-21.818116285259887</v>
      </c>
      <c r="P951" s="38" t="s">
        <v>160</v>
      </c>
      <c r="Q951" s="138">
        <f t="shared" si="32"/>
        <v>-24.5</v>
      </c>
    </row>
    <row r="952" spans="11:24" ht="15.75" customHeight="1" x14ac:dyDescent="0.25">
      <c r="K952" s="198"/>
      <c r="L952" s="4" t="s">
        <v>445</v>
      </c>
      <c r="M952" s="202">
        <f ca="1">Tensões!C47</f>
        <v>-22051.860196827667</v>
      </c>
      <c r="N952" s="38" t="s">
        <v>234</v>
      </c>
      <c r="O952" s="203">
        <f t="shared" ca="1" si="31"/>
        <v>-22.05186019682767</v>
      </c>
      <c r="P952" s="38" t="s">
        <v>160</v>
      </c>
      <c r="Q952" s="138">
        <f t="shared" si="32"/>
        <v>-24.5</v>
      </c>
    </row>
    <row r="953" spans="11:24" ht="15.75" customHeight="1" x14ac:dyDescent="0.25">
      <c r="K953" s="198"/>
      <c r="L953" s="4" t="s">
        <v>446</v>
      </c>
      <c r="M953" s="202">
        <f ca="1">Tensões!C48</f>
        <v>-21529.262882691306</v>
      </c>
      <c r="N953" s="38" t="s">
        <v>234</v>
      </c>
      <c r="O953" s="203">
        <f t="shared" ca="1" si="31"/>
        <v>-21.529262882691306</v>
      </c>
      <c r="P953" s="38" t="s">
        <v>160</v>
      </c>
      <c r="Q953" s="138">
        <f t="shared" si="32"/>
        <v>-24.5</v>
      </c>
    </row>
    <row r="954" spans="11:24" ht="15.75" customHeight="1" x14ac:dyDescent="0.25">
      <c r="K954" s="198"/>
      <c r="L954" s="4" t="s">
        <v>447</v>
      </c>
      <c r="M954" s="202">
        <f ca="1">Tensões!C49</f>
        <v>-14208.521170926155</v>
      </c>
      <c r="N954" s="38" t="s">
        <v>234</v>
      </c>
      <c r="O954" s="203">
        <f t="shared" ca="1" si="31"/>
        <v>-14.208521170926154</v>
      </c>
      <c r="P954" s="38" t="s">
        <v>160</v>
      </c>
      <c r="Q954" s="138">
        <f t="shared" si="32"/>
        <v>-24.5</v>
      </c>
    </row>
    <row r="955" spans="11:24" ht="15.75" customHeight="1" x14ac:dyDescent="0.25">
      <c r="K955" s="198"/>
      <c r="L955" s="4" t="s">
        <v>448</v>
      </c>
      <c r="M955" s="204">
        <f ca="1">Tensões!C50</f>
        <v>-6887.779459160994</v>
      </c>
      <c r="N955" s="38" t="s">
        <v>234</v>
      </c>
      <c r="O955" s="205">
        <f t="shared" ca="1" si="31"/>
        <v>-6.887779459160994</v>
      </c>
      <c r="P955" s="38" t="s">
        <v>160</v>
      </c>
      <c r="Q955" s="138">
        <f t="shared" si="32"/>
        <v>-24.5</v>
      </c>
    </row>
    <row r="956" spans="11:24" ht="15.75" customHeight="1" x14ac:dyDescent="0.25">
      <c r="K956" s="198"/>
      <c r="L956" s="32" t="s">
        <v>449</v>
      </c>
      <c r="M956" s="206">
        <f>A956</f>
        <v>0.0</v>
      </c>
      <c r="N956" s="207" t="s">
        <v>234</v>
      </c>
      <c r="O956" s="208">
        <f t="shared" si="31"/>
        <v>0.0</v>
      </c>
      <c r="P956" s="207" t="s">
        <v>160</v>
      </c>
      <c r="Q956" s="208">
        <f t="shared" si="32"/>
        <v>-24.5</v>
      </c>
    </row>
    <row r="957" spans="11:24" ht="15.75" customHeight="1" x14ac:dyDescent="0.25">
      <c r="X957" s="43"/>
    </row>
    <row r="958" spans="11:24" ht="15.75" customHeight="1" x14ac:dyDescent="0.25">
      <c r="X958" s="43"/>
    </row>
    <row r="959" spans="11:24" ht="15.75" customHeight="1" x14ac:dyDescent="0.25">
      <c r="X959" s="43"/>
    </row>
    <row r="960" spans="11:24" ht="15.75" customHeight="1" x14ac:dyDescent="0.25">
      <c r="X960" s="43"/>
    </row>
    <row r="961" spans="24:24" ht="15.75" customHeight="1" x14ac:dyDescent="0.25">
      <c r="X961" s="43"/>
    </row>
    <row r="962" spans="24:24" ht="15.75" customHeight="1" x14ac:dyDescent="0.25">
      <c r="X962" s="43"/>
    </row>
    <row r="963" spans="24:24" ht="15.75" customHeight="1" x14ac:dyDescent="0.25">
      <c r="X963" s="43"/>
    </row>
    <row r="964" spans="24:24" ht="15.75" customHeight="1" x14ac:dyDescent="0.25">
      <c r="X964" s="43"/>
    </row>
    <row r="965" spans="24:24" ht="15.75" customHeight="1" x14ac:dyDescent="0.25">
      <c r="X965" s="43"/>
    </row>
    <row r="966" spans="24:24" ht="15.75" customHeight="1" x14ac:dyDescent="0.25">
      <c r="X966" s="43"/>
    </row>
    <row r="967" spans="24:24" ht="15.75" customHeight="1" x14ac:dyDescent="0.25">
      <c r="X967" s="43"/>
    </row>
    <row r="968" spans="24:24" ht="15.75" customHeight="1" x14ac:dyDescent="0.25">
      <c r="X968" s="43"/>
    </row>
    <row r="969" spans="24:24" ht="15.75" customHeight="1" x14ac:dyDescent="0.25">
      <c r="X969" s="43"/>
    </row>
    <row r="970" spans="24:24" ht="15.75" customHeight="1" x14ac:dyDescent="0.25">
      <c r="X970" s="43"/>
    </row>
    <row r="971" spans="24:24" ht="15.75" customHeight="1" x14ac:dyDescent="0.25">
      <c r="X971" s="43"/>
    </row>
    <row r="972" spans="24:24" ht="15.75" customHeight="1" x14ac:dyDescent="0.25">
      <c r="X972" s="43"/>
    </row>
    <row r="973" spans="24:24" ht="15.75" customHeight="1" x14ac:dyDescent="0.25">
      <c r="X973" s="43"/>
    </row>
    <row r="974" spans="24:24" ht="15.75" customHeight="1" x14ac:dyDescent="0.25">
      <c r="X974" s="43"/>
    </row>
    <row r="975" spans="24:24" ht="15.75" customHeight="1" x14ac:dyDescent="0.25">
      <c r="X975" s="43"/>
    </row>
    <row r="976" spans="24:24" ht="15.75" customHeight="1" x14ac:dyDescent="0.25">
      <c r="X976" s="43"/>
    </row>
    <row r="977" spans="11:24" ht="15.75" customHeight="1" x14ac:dyDescent="0.25">
      <c r="X977" s="43"/>
    </row>
    <row r="978" spans="11:24" ht="15.75" customHeight="1" x14ac:dyDescent="0.25">
      <c r="X978" s="43"/>
    </row>
    <row r="979" spans="11:24" ht="15.75" customHeight="1" x14ac:dyDescent="0.25">
      <c r="X979" s="43"/>
    </row>
    <row r="980" spans="11:24" ht="15.75" hidden="1" customHeight="1" x14ac:dyDescent="0.25">
      <c r="X980" s="43"/>
    </row>
    <row r="981" spans="11:24" ht="15.75" hidden="1" customHeight="1" x14ac:dyDescent="0.25">
      <c r="M981" s="652" t="s">
        <v>428</v>
      </c>
      <c r="N981" s="652"/>
      <c r="O981" s="652"/>
      <c r="P981" s="652"/>
      <c r="X981" s="43"/>
    </row>
    <row r="982" spans="11:24" ht="15.75" hidden="1" customHeight="1" x14ac:dyDescent="0.25">
      <c r="M982" s="4" t="s">
        <v>383</v>
      </c>
      <c r="N982" s="31">
        <f>0.7*$L$84*1000</f>
        <v>24500.0</v>
      </c>
      <c r="O982" s="38" t="s">
        <v>234</v>
      </c>
      <c r="P982" s="31">
        <f>-0.7*$L$84</f>
        <v>-24.5</v>
      </c>
      <c r="Q982" s="38" t="s">
        <v>160</v>
      </c>
      <c r="R982" s="55"/>
      <c r="X982" s="43"/>
    </row>
    <row r="983" spans="11:24" ht="15.75" hidden="1" customHeight="1" x14ac:dyDescent="0.25">
      <c r="M983" s="4" t="s">
        <v>384</v>
      </c>
      <c r="N983" s="103">
        <f>1.2*0.3*POWER($L$84,2/3)*-1000</f>
        <v>-3851.9549300342856</v>
      </c>
      <c r="O983" s="38" t="s">
        <v>234</v>
      </c>
      <c r="P983" s="97">
        <f>1.2*0.3*POWER($L$84,2/3)</f>
        <v>3.8519549300342857</v>
      </c>
      <c r="Q983" s="38" t="s">
        <v>160</v>
      </c>
      <c r="X983" s="43"/>
    </row>
    <row r="984" spans="11:24" ht="15.75" hidden="1" customHeight="1" x14ac:dyDescent="0.25">
      <c r="O984" s="38"/>
      <c r="Q984" s="38"/>
      <c r="X984" s="43"/>
    </row>
    <row r="985" spans="11:24" ht="15.75" customHeight="1" x14ac:dyDescent="0.25">
      <c r="K985" s="653" t="s">
        <v>2173</v>
      </c>
      <c r="L985" s="653"/>
      <c r="M985" s="653"/>
      <c r="N985" s="653"/>
      <c r="O985" s="653"/>
      <c r="P985" s="653"/>
      <c r="Q985" s="653"/>
      <c r="R985" s="653"/>
      <c r="X985" s="43"/>
    </row>
    <row r="986" spans="11:24" ht="15.75" customHeight="1" x14ac:dyDescent="0.25">
      <c r="K986" s="107"/>
      <c r="L986" s="107"/>
      <c r="M986" s="107"/>
      <c r="N986" s="107"/>
      <c r="O986" s="107"/>
      <c r="P986" s="107"/>
      <c r="Q986" s="107"/>
      <c r="R986" s="107"/>
      <c r="X986" s="43"/>
    </row>
    <row r="987" spans="11:24" x14ac:dyDescent="0.25">
      <c r="M987" s="685" t="s">
        <v>387</v>
      </c>
      <c r="N987" s="685"/>
      <c r="O987" s="685"/>
      <c r="P987" s="685"/>
    </row>
    <row r="988" spans="11:24" x14ac:dyDescent="0.25">
      <c r="M988" s="122" t="s">
        <v>454</v>
      </c>
      <c r="P988" s="123"/>
    </row>
    <row r="989" spans="11:24" x14ac:dyDescent="0.25">
      <c r="M989" s="209" t="s">
        <v>455</v>
      </c>
      <c r="N989" s="103">
        <f ca="1">MAX($M$914:$M$932)</f>
        <v>5987.0492015154105</v>
      </c>
      <c r="O989" s="38" t="str">
        <f ca="1">IF(N989&gt;0,"Tração","Compressão")</f>
        <v>Tração</v>
      </c>
      <c r="P989" s="123"/>
      <c r="Q989" s="686" t="str">
        <f>IF($M$19="1 - Retângular","Ok",IF(($L$63/100)&lt;N993,"OBS: Valor da linha neutra é MAIOR que hf1 - armadura ativa necessita verificação","Ok"))</f>
        <v>Ok</v>
      </c>
      <c r="R989" s="686"/>
      <c r="S989" s="211"/>
    </row>
    <row r="990" spans="11:24" x14ac:dyDescent="0.25">
      <c r="M990" s="209" t="s">
        <v>456</v>
      </c>
      <c r="N990" s="103">
        <f ca="1">MIN(M936:M956)</f>
        <v>-22051.860196827667</v>
      </c>
      <c r="O990" s="38" t="str">
        <f ca="1">IF(N990&gt;0,"Tração","Compressão")</f>
        <v>Compressão</v>
      </c>
      <c r="P990" s="123"/>
      <c r="Q990" s="686"/>
      <c r="R990" s="686"/>
      <c r="S990" s="211"/>
    </row>
    <row r="991" spans="11:24" x14ac:dyDescent="0.25">
      <c r="M991" s="209" t="s">
        <v>457</v>
      </c>
      <c r="N991" s="103">
        <f>$L$26</f>
        <v>30.0</v>
      </c>
      <c r="O991" s="38" t="s">
        <v>294</v>
      </c>
      <c r="P991" s="123"/>
      <c r="Q991" s="686"/>
      <c r="R991" s="686"/>
      <c r="S991" s="211"/>
    </row>
    <row r="992" spans="11:24" x14ac:dyDescent="0.25">
      <c r="M992" s="209" t="s">
        <v>60</v>
      </c>
      <c r="N992" s="103">
        <f>$L$27</f>
        <v>60.0</v>
      </c>
      <c r="O992" s="38" t="s">
        <v>294</v>
      </c>
      <c r="P992" s="123"/>
      <c r="Q992" s="686"/>
      <c r="R992" s="686"/>
    </row>
    <row r="993" spans="11:24" x14ac:dyDescent="0.25">
      <c r="M993" s="209" t="s">
        <v>8</v>
      </c>
      <c r="N993" s="189">
        <f ca="1">IFERROR(((INDEX($N$989:$N$990,MATCH("Tração",$O$989:$O$990,0)))/((INDEX($N$989:$N$990,MATCH("Tração",$O$989:$O$990,0)))+(ABS(INDEX($N$989:$N$990,MATCH("Compressão",$O$989:$O$990,0))))))*($L$27/100),0)</f>
        <v>0.12811587889796897</v>
      </c>
      <c r="O993" s="38" t="s">
        <v>32</v>
      </c>
      <c r="P993" s="123"/>
      <c r="Q993" s="686"/>
      <c r="R993" s="686"/>
    </row>
    <row r="994" spans="11:24" x14ac:dyDescent="0.25">
      <c r="M994" s="209" t="s">
        <v>458</v>
      </c>
      <c r="N994" s="97">
        <f ca="1">IFERROR(INDEX($N$989:$N$990,MATCH("Tração",$O$989:$O$990,0))*$N$991/100*($N$993/2),0)</f>
        <v>115.05541056862951</v>
      </c>
      <c r="O994" s="38" t="s">
        <v>292</v>
      </c>
      <c r="P994" s="123"/>
      <c r="Q994" s="686"/>
      <c r="R994" s="686"/>
    </row>
    <row r="995" spans="11:24" x14ac:dyDescent="0.25">
      <c r="M995" s="212" t="str">
        <f ca="1">IF(O989="Tração","A's (sup.)",IF(O990="Tração","As (inf.)","A's"))</f>
        <v>A's (sup.)</v>
      </c>
      <c r="N995" s="83">
        <f ca="1">N994/((25))</f>
        <v>4.6022164227451805</v>
      </c>
      <c r="O995" s="38" t="s">
        <v>247</v>
      </c>
      <c r="P995" s="123"/>
      <c r="Q995" s="686"/>
      <c r="R995" s="686"/>
    </row>
    <row r="996" spans="11:24" x14ac:dyDescent="0.25">
      <c r="M996" s="122"/>
      <c r="N996" s="61"/>
      <c r="P996" s="123"/>
      <c r="Q996" s="686"/>
      <c r="R996" s="686"/>
    </row>
    <row r="997" spans="11:24" x14ac:dyDescent="0.25">
      <c r="M997" s="213">
        <f ca="1">ROUNDUP(N995/VLOOKUP(O997,$S$1035:$T$1042,2),0)</f>
        <v>3.0</v>
      </c>
      <c r="N997" s="214" t="s">
        <v>459</v>
      </c>
      <c r="O997" s="215">
        <f ca="1">IF(O989="Tração",Taxas!I50,Taxas!I57)</f>
        <v>16.0</v>
      </c>
      <c r="P997" s="145" t="s">
        <v>460</v>
      </c>
      <c r="Q997" s="686"/>
      <c r="R997" s="686"/>
    </row>
    <row r="998" spans="11:24" x14ac:dyDescent="0.25">
      <c r="M998" s="27"/>
      <c r="N998" s="27"/>
      <c r="Q998" s="210"/>
      <c r="R998" s="210"/>
    </row>
    <row r="999" spans="11:24" ht="15.75" customHeight="1" x14ac:dyDescent="0.25">
      <c r="K999" s="653" t="s">
        <v>480</v>
      </c>
      <c r="L999" s="653"/>
      <c r="M999" s="653"/>
      <c r="N999" s="653"/>
      <c r="O999" s="653"/>
      <c r="P999" s="653"/>
      <c r="Q999" s="653"/>
      <c r="R999" s="653"/>
      <c r="X999" s="43"/>
    </row>
    <row r="1000" spans="11:24" ht="15.75" customHeight="1" x14ac:dyDescent="0.25">
      <c r="K1000" s="107"/>
      <c r="L1000" s="107"/>
      <c r="M1000" s="107"/>
      <c r="N1000" s="107"/>
      <c r="O1000" s="107"/>
      <c r="P1000" s="107"/>
      <c r="Q1000" s="107"/>
      <c r="R1000" s="107"/>
      <c r="X1000" s="43"/>
    </row>
    <row r="1001" spans="11:24" ht="15.75" customHeight="1" x14ac:dyDescent="0.25">
      <c r="K1001" s="107"/>
      <c r="L1001" s="107"/>
      <c r="M1001" s="107"/>
      <c r="N1001" s="107"/>
      <c r="O1001" s="107"/>
      <c r="P1001" s="107"/>
      <c r="Q1001" s="107"/>
      <c r="R1001" s="107"/>
      <c r="X1001" s="43"/>
    </row>
    <row r="1002" spans="11:24" ht="15.75" customHeight="1" x14ac:dyDescent="0.25">
      <c r="K1002" s="107"/>
      <c r="L1002" s="107"/>
      <c r="M1002" s="107"/>
      <c r="N1002" s="107"/>
      <c r="O1002" s="107"/>
      <c r="P1002" s="107"/>
      <c r="Q1002" s="107"/>
      <c r="R1002" s="107"/>
      <c r="X1002" s="43"/>
    </row>
    <row r="1003" spans="11:24" ht="15.75" customHeight="1" x14ac:dyDescent="0.25">
      <c r="K1003" s="107"/>
      <c r="L1003" s="107"/>
      <c r="M1003" s="107"/>
      <c r="N1003" s="107"/>
      <c r="O1003" s="107"/>
      <c r="P1003" s="107"/>
      <c r="Q1003" s="107"/>
      <c r="R1003" s="107"/>
      <c r="X1003" s="43"/>
    </row>
    <row r="1004" spans="11:24" ht="15.75" customHeight="1" x14ac:dyDescent="0.25">
      <c r="K1004" s="107"/>
      <c r="L1004" s="107"/>
      <c r="M1004" s="107"/>
      <c r="N1004" s="107"/>
      <c r="O1004" s="107"/>
      <c r="P1004" s="107"/>
      <c r="Q1004" s="107"/>
      <c r="R1004" s="107"/>
      <c r="X1004" s="43"/>
    </row>
    <row r="1005" spans="11:24" ht="15.75" customHeight="1" x14ac:dyDescent="0.25">
      <c r="K1005" s="107"/>
      <c r="L1005" s="107"/>
      <c r="M1005" s="107"/>
      <c r="N1005" s="107"/>
      <c r="O1005" s="107"/>
      <c r="P1005" s="107"/>
      <c r="Q1005" s="107"/>
      <c r="R1005" s="107"/>
      <c r="X1005" s="43"/>
    </row>
    <row r="1006" spans="11:24" ht="15.75" customHeight="1" x14ac:dyDescent="0.25">
      <c r="K1006" s="107"/>
      <c r="L1006" s="107"/>
      <c r="M1006" s="107"/>
      <c r="N1006" s="107"/>
      <c r="O1006" s="107"/>
      <c r="P1006" s="107"/>
      <c r="Q1006" s="107"/>
      <c r="R1006" s="107"/>
      <c r="X1006" s="43"/>
    </row>
    <row r="1007" spans="11:24" ht="15.75" customHeight="1" x14ac:dyDescent="0.25">
      <c r="K1007" s="107"/>
      <c r="L1007" s="107"/>
      <c r="M1007" s="107"/>
      <c r="N1007" s="107"/>
      <c r="O1007" s="107"/>
      <c r="P1007" s="107"/>
      <c r="Q1007" s="107"/>
      <c r="R1007" s="107"/>
      <c r="X1007" s="43"/>
    </row>
    <row r="1008" spans="11:24" ht="15.75" customHeight="1" x14ac:dyDescent="0.25">
      <c r="K1008" s="107"/>
      <c r="L1008" s="107"/>
      <c r="M1008" s="107"/>
      <c r="N1008" s="107"/>
      <c r="O1008" s="107"/>
      <c r="P1008" s="107"/>
      <c r="Q1008" s="107"/>
      <c r="R1008" s="107"/>
      <c r="X1008" s="43"/>
    </row>
    <row r="1009" spans="11:24" ht="15.75" customHeight="1" x14ac:dyDescent="0.25">
      <c r="K1009" s="107"/>
      <c r="L1009" s="107"/>
      <c r="M1009" s="107"/>
      <c r="N1009" s="107"/>
      <c r="O1009" s="107"/>
      <c r="P1009" s="107"/>
      <c r="Q1009" s="107"/>
      <c r="R1009" s="107"/>
      <c r="X1009" s="43"/>
    </row>
    <row r="1010" spans="11:24" ht="15.75" customHeight="1" x14ac:dyDescent="0.25">
      <c r="K1010" s="107"/>
      <c r="L1010" s="107"/>
      <c r="M1010" s="107"/>
      <c r="N1010" s="107"/>
      <c r="O1010" s="107"/>
      <c r="P1010" s="107"/>
      <c r="Q1010" s="107"/>
      <c r="R1010" s="107"/>
      <c r="X1010" s="43"/>
    </row>
    <row r="1011" spans="11:24" ht="15.75" customHeight="1" x14ac:dyDescent="0.25">
      <c r="K1011" s="107"/>
      <c r="L1011" s="107"/>
      <c r="M1011" s="107"/>
      <c r="N1011" s="107"/>
      <c r="O1011" s="107"/>
      <c r="P1011" s="107"/>
      <c r="Q1011" s="107"/>
      <c r="R1011" s="107"/>
      <c r="X1011" s="43"/>
    </row>
    <row r="1012" spans="11:24" ht="15.75" customHeight="1" x14ac:dyDescent="0.25">
      <c r="K1012" s="107"/>
      <c r="L1012" s="107"/>
      <c r="M1012" s="107"/>
      <c r="N1012" s="107"/>
      <c r="O1012" s="107"/>
      <c r="P1012" s="107"/>
      <c r="Q1012" s="107"/>
      <c r="R1012" s="107"/>
      <c r="X1012" s="43"/>
    </row>
    <row r="1013" spans="11:24" ht="15.75" customHeight="1" x14ac:dyDescent="0.25">
      <c r="K1013" s="107"/>
      <c r="L1013" s="107"/>
      <c r="M1013" s="107"/>
      <c r="N1013" s="107"/>
      <c r="O1013" s="107"/>
      <c r="P1013" s="107"/>
      <c r="Q1013" s="107"/>
      <c r="R1013" s="107"/>
      <c r="X1013" s="43"/>
    </row>
    <row r="1014" spans="11:24" ht="15.75" customHeight="1" x14ac:dyDescent="0.25">
      <c r="K1014" s="107"/>
      <c r="L1014" s="107"/>
      <c r="M1014" s="107"/>
      <c r="N1014" s="107"/>
      <c r="O1014" s="107"/>
      <c r="P1014" s="107"/>
      <c r="Q1014" s="107"/>
      <c r="R1014" s="107"/>
      <c r="X1014" s="43"/>
    </row>
    <row r="1015" spans="11:24" ht="15.75" customHeight="1" x14ac:dyDescent="0.25">
      <c r="K1015" s="107"/>
      <c r="L1015" s="107"/>
      <c r="M1015" s="107"/>
      <c r="N1015" s="107"/>
      <c r="O1015" s="107"/>
      <c r="P1015" s="107"/>
      <c r="Q1015" s="107"/>
      <c r="R1015" s="107"/>
      <c r="X1015" s="43"/>
    </row>
    <row r="1016" spans="11:24" ht="15.75" customHeight="1" x14ac:dyDescent="0.25">
      <c r="K1016" s="107"/>
      <c r="L1016" s="107"/>
      <c r="M1016" s="107"/>
      <c r="N1016" s="107"/>
      <c r="O1016" s="107"/>
      <c r="P1016" s="107"/>
      <c r="Q1016" s="107"/>
      <c r="R1016" s="107"/>
      <c r="X1016" s="43"/>
    </row>
    <row r="1017" spans="11:24" ht="15.75" customHeight="1" x14ac:dyDescent="0.25">
      <c r="K1017" s="107"/>
      <c r="L1017" s="107"/>
      <c r="M1017" s="107"/>
      <c r="N1017" s="107"/>
      <c r="O1017" s="107"/>
      <c r="P1017" s="107"/>
      <c r="Q1017" s="107"/>
      <c r="R1017" s="107"/>
      <c r="X1017" s="43"/>
    </row>
    <row r="1018" spans="11:24" ht="15.75" customHeight="1" x14ac:dyDescent="0.25">
      <c r="K1018" s="107"/>
      <c r="L1018" s="107"/>
      <c r="M1018" s="107"/>
      <c r="N1018" s="107"/>
      <c r="O1018" s="107"/>
      <c r="P1018" s="107"/>
      <c r="Q1018" s="107"/>
      <c r="R1018" s="107"/>
      <c r="X1018" s="43"/>
    </row>
    <row r="1019" spans="11:24" ht="15.75" customHeight="1" x14ac:dyDescent="0.25">
      <c r="K1019" s="107"/>
      <c r="L1019" s="107"/>
      <c r="M1019" s="107"/>
      <c r="N1019" s="107"/>
      <c r="O1019" s="107"/>
      <c r="P1019" s="107"/>
      <c r="Q1019" s="107"/>
      <c r="R1019" s="107"/>
      <c r="X1019" s="43"/>
    </row>
    <row r="1020" spans="11:24" ht="15.75" customHeight="1" x14ac:dyDescent="0.25">
      <c r="K1020" s="107"/>
      <c r="L1020" s="107"/>
      <c r="M1020" s="107"/>
      <c r="N1020" s="107"/>
      <c r="O1020" s="107"/>
      <c r="P1020" s="107"/>
      <c r="Q1020" s="107"/>
      <c r="R1020" s="107"/>
      <c r="X1020" s="43"/>
    </row>
    <row r="1021" spans="11:24" ht="15.75" customHeight="1" x14ac:dyDescent="0.25">
      <c r="K1021" s="107"/>
      <c r="L1021" s="107"/>
      <c r="M1021" s="687" t="s">
        <v>481</v>
      </c>
      <c r="N1021" s="687"/>
      <c r="O1021" s="688">
        <v>75</v>
      </c>
      <c r="P1021" s="689" t="s">
        <v>35</v>
      </c>
      <c r="Q1021" s="107"/>
      <c r="R1021" s="107"/>
      <c r="X1021" s="43"/>
    </row>
    <row r="1022" spans="11:24" ht="15.75" customHeight="1" x14ac:dyDescent="0.25">
      <c r="K1022" s="107"/>
      <c r="L1022" s="107"/>
      <c r="M1022" s="687"/>
      <c r="N1022" s="687"/>
      <c r="O1022" s="688"/>
      <c r="P1022" s="689"/>
      <c r="Q1022" s="107"/>
      <c r="R1022" s="107"/>
      <c r="X1022" s="43"/>
    </row>
    <row r="1023" spans="11:24" ht="15.75" customHeight="1" x14ac:dyDescent="0.25">
      <c r="K1023" s="107"/>
      <c r="L1023" s="107"/>
      <c r="M1023" s="685" t="s">
        <v>482</v>
      </c>
      <c r="N1023" s="685"/>
      <c r="O1023" s="685"/>
      <c r="P1023" s="685"/>
      <c r="Q1023" s="107"/>
      <c r="R1023" s="107"/>
      <c r="X1023" s="43"/>
    </row>
    <row r="1024" spans="11:24" ht="15.75" customHeight="1" x14ac:dyDescent="0.25">
      <c r="K1024" s="107"/>
      <c r="L1024" s="107"/>
      <c r="M1024" s="122" t="s">
        <v>454</v>
      </c>
      <c r="P1024" s="123"/>
      <c r="Q1024" s="107"/>
      <c r="R1024" s="107"/>
      <c r="X1024" s="43"/>
    </row>
    <row r="1025" spans="11:24" ht="15.75" customHeight="1" x14ac:dyDescent="0.25">
      <c r="K1025" s="107"/>
      <c r="L1025" s="107"/>
      <c r="M1025" s="209" t="s">
        <v>455</v>
      </c>
      <c r="N1025" s="103">
        <f ca="1">MAX(Tensões!N76:N96)</f>
        <v>6857.9085765154105</v>
      </c>
      <c r="O1025" s="38" t="str">
        <f ca="1">IF(N1025&gt;0,"Tração","Compressão")</f>
        <v>Tração</v>
      </c>
      <c r="P1025" s="123"/>
      <c r="Q1025" s="107"/>
      <c r="R1025" s="107"/>
      <c r="X1025" s="43"/>
    </row>
    <row r="1026" spans="11:24" ht="15.75" customHeight="1" x14ac:dyDescent="0.25">
      <c r="K1026" s="107"/>
      <c r="L1026" s="107"/>
      <c r="M1026" s="209" t="s">
        <v>456</v>
      </c>
      <c r="N1026" s="103">
        <f ca="1">MIN(Tensões!N99:N119)</f>
        <v>-22051.860196827667</v>
      </c>
      <c r="O1026" s="38" t="str">
        <f ca="1">IF(N1026&gt;0,"Tração","Compressão")</f>
        <v>Compressão</v>
      </c>
      <c r="P1026" s="123"/>
      <c r="Q1026" s="107"/>
      <c r="R1026" s="107"/>
      <c r="X1026" s="43"/>
    </row>
    <row r="1027" spans="11:24" ht="15.75" customHeight="1" x14ac:dyDescent="0.25">
      <c r="K1027" s="107"/>
      <c r="L1027" s="107"/>
      <c r="M1027" s="209" t="s">
        <v>457</v>
      </c>
      <c r="N1027" s="103">
        <f>$L$26</f>
        <v>30.0</v>
      </c>
      <c r="O1027" s="38" t="s">
        <v>294</v>
      </c>
      <c r="P1027" s="123"/>
      <c r="Q1027" s="107"/>
      <c r="R1027" s="107"/>
      <c r="X1027" s="43"/>
    </row>
    <row r="1028" spans="11:24" ht="15.75" customHeight="1" x14ac:dyDescent="0.25">
      <c r="K1028" s="107"/>
      <c r="L1028" s="107"/>
      <c r="M1028" s="209" t="s">
        <v>60</v>
      </c>
      <c r="N1028" s="103">
        <f>$L$27</f>
        <v>60.0</v>
      </c>
      <c r="O1028" s="38" t="s">
        <v>294</v>
      </c>
      <c r="P1028" s="123"/>
      <c r="Q1028" s="107"/>
      <c r="R1028" s="107"/>
      <c r="X1028" s="43"/>
    </row>
    <row r="1029" spans="11:24" ht="15.75" customHeight="1" x14ac:dyDescent="0.25">
      <c r="K1029" s="107"/>
      <c r="L1029" s="107"/>
      <c r="M1029" s="209" t="s">
        <v>8</v>
      </c>
      <c r="N1029" s="189">
        <f ca="1">IFERROR(((INDEX($N$1025:$N$1026,MATCH("Tração",$O$1025:$O$1026,0)))/((INDEX($N$1025:$N$1026,MATCH("Tração",$O$1025:$O$1026,0)))+(ABS(INDEX($N$1025:$N$1026,MATCH("Compressão",$O$1025:$O$1026,0))))))*($L$27/100),0)</f>
        <v>0.14233061420066914</v>
      </c>
      <c r="O1029" s="38" t="s">
        <v>32</v>
      </c>
      <c r="P1029" s="123"/>
      <c r="Q1029" s="107"/>
      <c r="R1029" s="107"/>
      <c r="X1029" s="43"/>
    </row>
    <row r="1030" spans="11:24" ht="15.75" customHeight="1" x14ac:dyDescent="0.25">
      <c r="K1030" s="107"/>
      <c r="L1030" s="107"/>
      <c r="M1030" s="209" t="s">
        <v>458</v>
      </c>
      <c r="N1030" s="97">
        <f ca="1">IFERROR(INDEX($N$1025:$N$1026,MATCH("Tração",$O$1025:$O$1026,0))*$N$1027/100*($N$1029/2),0)</f>
        <v>146.41355097412125</v>
      </c>
      <c r="O1030" s="38" t="s">
        <v>292</v>
      </c>
      <c r="P1030" s="123"/>
      <c r="Q1030" s="107"/>
      <c r="R1030" s="107"/>
      <c r="X1030" s="43"/>
    </row>
    <row r="1031" spans="11:24" ht="15.75" customHeight="1" x14ac:dyDescent="0.25">
      <c r="K1031" s="107"/>
      <c r="L1031" s="107"/>
      <c r="M1031" s="212" t="str">
        <f ca="1">IF(O1025="Tração","A's (sup.)",IF(O1026="Tração","As (inf.)","A's"))</f>
        <v>A's (sup.)</v>
      </c>
      <c r="N1031" s="83">
        <f ca="1">N1030/((25))</f>
        <v>5.85654203896485</v>
      </c>
      <c r="O1031" s="38" t="s">
        <v>247</v>
      </c>
      <c r="P1031" s="123"/>
      <c r="Q1031" s="107"/>
      <c r="R1031" s="107"/>
      <c r="X1031" s="43"/>
    </row>
    <row r="1032" spans="11:24" ht="15.75" customHeight="1" x14ac:dyDescent="0.25">
      <c r="K1032" s="107"/>
      <c r="L1032" s="107"/>
      <c r="M1032" s="122"/>
      <c r="N1032" s="61"/>
      <c r="P1032" s="123"/>
      <c r="Q1032" s="107"/>
      <c r="R1032" s="107"/>
      <c r="X1032" s="43"/>
    </row>
    <row r="1033" spans="11:24" ht="15.75" customHeight="1" x14ac:dyDescent="0.25">
      <c r="K1033" s="107"/>
      <c r="L1033" s="107"/>
      <c r="M1033" s="213">
        <f ca="1">ROUNDUP(N1031/VLOOKUP(O1033,$S$1035:$T$1042,2),0)</f>
        <v>3.0</v>
      </c>
      <c r="N1033" s="214" t="s">
        <v>459</v>
      </c>
      <c r="O1033" s="215">
        <f ca="1">IF(O1025="Tração",Taxas!I50,Taxas!I57)</f>
        <v>16.0</v>
      </c>
      <c r="P1033" s="145" t="s">
        <v>460</v>
      </c>
      <c r="Q1033" s="107"/>
      <c r="R1033" s="107"/>
      <c r="X1033" s="43"/>
    </row>
    <row r="1034" spans="11:24" ht="15.75" customHeight="1" x14ac:dyDescent="0.25">
      <c r="K1034" s="107"/>
      <c r="L1034" s="107"/>
      <c r="M1034" s="107"/>
      <c r="N1034" s="107"/>
      <c r="O1034" s="107"/>
      <c r="P1034" s="107"/>
      <c r="Q1034" s="107"/>
      <c r="R1034" s="107"/>
      <c r="X1034" s="43"/>
    </row>
    <row r="1035" spans="11:24" ht="15.75" customHeight="1" x14ac:dyDescent="0.25">
      <c r="K1035" s="653" t="s">
        <v>483</v>
      </c>
      <c r="L1035" s="653"/>
      <c r="M1035" s="653"/>
      <c r="N1035" s="653"/>
      <c r="O1035" s="653"/>
      <c r="P1035" s="653"/>
      <c r="Q1035" s="653"/>
      <c r="R1035" s="653"/>
      <c r="S1035" s="4">
        <v>8</v>
      </c>
      <c r="T1035" s="4">
        <f t="shared" ref="T1035:T1042" si="33">3.14*((S1035/2)/10)^2</f>
        <v>0.5024000000000001</v>
      </c>
      <c r="U1035" s="4" t="s">
        <v>247</v>
      </c>
      <c r="X1035" s="43"/>
    </row>
    <row r="1036" spans="11:24" ht="15.75" customHeight="1" x14ac:dyDescent="0.25">
      <c r="S1036" s="4">
        <v>10</v>
      </c>
      <c r="T1036" s="4">
        <f t="shared" si="33"/>
        <v>0.785</v>
      </c>
      <c r="U1036" s="4" t="s">
        <v>247</v>
      </c>
      <c r="X1036" s="43"/>
    </row>
    <row r="1037" spans="11:24" ht="15.75" customHeight="1" x14ac:dyDescent="0.25">
      <c r="K1037" s="223" t="s">
        <v>484</v>
      </c>
      <c r="L1037" s="223"/>
      <c r="N1037" s="681" t="s">
        <v>485</v>
      </c>
      <c r="O1037" s="681"/>
      <c r="Q1037" s="681" t="s">
        <v>486</v>
      </c>
      <c r="R1037" s="681"/>
      <c r="S1037" s="4">
        <v>12.5</v>
      </c>
      <c r="T1037" s="4">
        <f t="shared" si="33"/>
        <v>1.2265625</v>
      </c>
      <c r="U1037" s="4" t="s">
        <v>247</v>
      </c>
      <c r="X1037" s="43"/>
    </row>
    <row r="1038" spans="11:24" ht="15.75" customHeight="1" x14ac:dyDescent="0.25">
      <c r="K1038" s="25" t="s">
        <v>487</v>
      </c>
      <c r="L1038" s="103">
        <f ca="1">(M206+M207)*O75+(M208+M209+M210+M211)*O77</f>
        <v>2022.2780032851567</v>
      </c>
      <c r="M1038" s="38" t="s">
        <v>216</v>
      </c>
      <c r="N1038" s="25" t="s">
        <v>488</v>
      </c>
      <c r="O1038" s="186">
        <f ca="1">L1038/((L26/100*(L27/100-R253/100)^2*((L82*1000)/$O$78)))</f>
        <v>0.7941972785200528</v>
      </c>
      <c r="Q1038" s="25" t="s">
        <v>489</v>
      </c>
      <c r="R1038" s="186">
        <f ca="1">L1038/((L60/100)*(L70/100-R253/100)^2*((L82*1000)/$O$78))</f>
        <v>0.4644267822487506</v>
      </c>
      <c r="S1038" s="4">
        <v>16</v>
      </c>
      <c r="T1038" s="4">
        <f t="shared" si="33"/>
        <v>2.0096000000000003</v>
      </c>
      <c r="U1038" s="4" t="s">
        <v>247</v>
      </c>
      <c r="X1038" s="43"/>
    </row>
    <row r="1039" spans="11:24" ht="15.75" customHeight="1" x14ac:dyDescent="0.25">
      <c r="K1039" s="25" t="s">
        <v>488</v>
      </c>
      <c r="L1039" s="186">
        <f ca="1">IF(M18="1 - Sim",L1038/((L43/100)*((L27+L42+L45-L277)/100)^2*((L83*1000)/$R$78)),O1038)</f>
        <v>0.0813776056300635</v>
      </c>
      <c r="M1039" s="38"/>
      <c r="N1039" s="25" t="s">
        <v>490</v>
      </c>
      <c r="O1039" s="186">
        <f ca="1">IFERROR(IF(INDEX($AF$1171:$AF$1226,MATCH(O1038,$AF$1171:$AF$1226,1))=IF(INDEX($AF$1171:$AF$1226,MATCH(O1038,$AF$1171:$AF$1226,1)+1)="",INDEX($AF$1171:$AF$1226,MATCH(O1038,$AF$1171:$AF$1226,1)+2),INDEX($AF$1171:$AF$1226,MATCH(O1038,$AF$1171:$AF$1226,1)+1)),INDEX($AG$1171:$AG$1226,MATCH(O1038,$AF$1171:$AF$1226,1)),INDEX($AG$1171:$AG$1226,MATCH(O1038,$AF$1171:$AF$1226,1))+(IF(INDEX($AG$1171:$AG$1226,MATCH(O1038,$AF$1171:$AF$1226,1)+1)="",INDEX($AG$1171:$AG$1226,MATCH(O1038,$AF$1171:$AF$1226,1)+2),INDEX($AG$1171:$AG$1226,MATCH(O1038,$AF$1171:$AF$1226,1)+1))-INDEX($AG$1171:$AG$1226,MATCH(O1038,$AF$1171:$AF$1226,1)))*(O1038-INDEX($AF$1171:$AF$1226,MATCH(O1038,$AF$1171:$AF$1226,1)))/(IF(INDEX($AF$1171:$AF$1226,MATCH(O1038,$AF$1171:$AF$1226,1)+1)="",INDEX($AF$1171:$AF$1226,MATCH(O1038,$AF$1171:$AF$1226,1)+2),INDEX($AF$1171:$AF$1226,MATCH(O1038,$AF$1171:$AF$1226,1)+1))-INDEX($AF$1171:$AF$1226,MATCH(O1038,$AF$1171:$AF$1226,1)))),INDEX($AG$1171:$AG$1226,MATCH(O1038,$AF$1171:$AF$1226,1)))</f>
        <v>0.628</v>
      </c>
      <c r="Q1039" s="25" t="s">
        <v>490</v>
      </c>
      <c r="R1039" s="186">
        <f ca="1">IFERROR(IF(INDEX($AF$1171:$AF$1226,MATCH(R1038,$AF$1171:$AF$1226,1))=IF(INDEX($AF$1171:$AF$1226,MATCH(R1038,$AF$1171:$AF$1226,1)+1)="",INDEX($AF$1171:$AF$1226,MATCH(R1038,$AF$1171:$AF$1226,1)+2),INDEX($AF$1171:$AF$1226,MATCH(R1038,$AF$1171:$AF$1226,1)+1)),INDEX($AG$1171:$AG$1226,MATCH(R1038,$AF$1171:$AF$1226,1)),INDEX($AG$1171:$AG$1226,MATCH(R1038,$AF$1171:$AF$1226,1))+(IF(INDEX($AG$1171:$AG$1226,MATCH(R1038,$AF$1171:$AF$1226,1)+1)="",INDEX($AG$1171:$AG$1226,MATCH(R1038,$AF$1171:$AF$1226,1)+2),INDEX($AG$1171:$AG$1226,MATCH(R1038,$AF$1171:$AF$1226,1)+1))-INDEX($AG$1171:$AG$1226,MATCH(R1038,$AF$1171:$AF$1226,1)))*(R1038-INDEX($AF$1171:$AF$1226,MATCH(R1038,$AF$1171:$AF$1226,1)))/(IF(INDEX($AF$1171:$AF$1226,MATCH(R1038,$AF$1171:$AF$1226,1)+1)="",INDEX($AF$1171:$AF$1226,MATCH(R1038,$AF$1171:$AF$1226,1)+2),INDEX($AF$1171:$AF$1226,MATCH(R1038,$AF$1171:$AF$1226,1)+1))-INDEX($AF$1171:$AF$1226,MATCH(R1038,$AF$1171:$AF$1226,1)))),INDEX($AG$1171:$AG$1226,MATCH(R1038,$AF$1171:$AF$1226,1)))</f>
        <v>0.628</v>
      </c>
      <c r="S1039" s="4">
        <v>20</v>
      </c>
      <c r="T1039" s="4">
        <f t="shared" si="33"/>
        <v>3.14</v>
      </c>
      <c r="U1039" s="4" t="s">
        <v>247</v>
      </c>
      <c r="X1039" s="43"/>
    </row>
    <row r="1040" spans="11:24" ht="15.75" customHeight="1" x14ac:dyDescent="0.25">
      <c r="K1040" s="25" t="s">
        <v>490</v>
      </c>
      <c r="L1040" s="186">
        <f ca="1">IFERROR(IF(INDEX($AF$1171:$AF$1226,MATCH(L1039,$AF$1171:$AF$1226,1))=IF(INDEX($AF$1171:$AF$1226,MATCH(L1039,$AF$1171:$AF$1226,1)+1)="",INDEX($AF$1171:$AF$1226,MATCH(L1039,$AF$1171:$AF$1226,1)+2),INDEX($AF$1171:$AF$1226,MATCH(L1039,$AF$1171:$AF$1226,1)+1)),INDEX($AG$1171:$AG$1226,MATCH(L1039,$AF$1171:$AF$1226,1)),INDEX($AG$1171:$AG$1226,MATCH(L1039,$AF$1171:$AF$1226,1))+(IF(INDEX($AG$1171:$AG$1226,MATCH(L1039,$AF$1171:$AF$1226,1)+1)="",INDEX($AG$1171:$AG$1226,MATCH(L1039,$AF$1171:$AF$1226,1)+2),INDEX($AG$1171:$AG$1226,MATCH(L1039,$AF$1171:$AF$1226,1)+1))-INDEX($AG$1171:$AG$1226,MATCH(L1039,$AF$1171:$AF$1226,1)))*(L1039-INDEX($AF$1171:$AF$1226,MATCH(L1039,$AF$1171:$AF$1226,1)))/(IF(INDEX($AF$1171:$AF$1226,MATCH(L1039,$AF$1171:$AF$1226,1)+1)="",INDEX($AF$1171:$AF$1226,MATCH(L1039,$AF$1171:$AF$1226,1)+2),INDEX($AF$1171:$AF$1226,MATCH(L1039,$AF$1171:$AF$1226,1)+1))-INDEX($AF$1171:$AF$1226,MATCH(L1039,$AF$1171:$AF$1226,1)))),INDEX($AG$1171:$AG$1226,MATCH(L1039,$AF$1171:$AF$1226,1)))</f>
        <v>0.12392864788208889</v>
      </c>
      <c r="M1040" s="38"/>
      <c r="N1040" s="25" t="s">
        <v>491</v>
      </c>
      <c r="O1040" s="186">
        <f ca="1">IFERROR(IF(INDEX($AF$1171:$AF$1226,MATCH(O1038,$AF$1171:$AF$1226,1))=IF(INDEX($AF$1171:$AF$1226,MATCH(O1038,$AF$1171:$AF$1226,1)+1)="",INDEX($AF$1171:$AF$1226,MATCH(O1038,$AF$1171:$AF$1226,1)+2),INDEX($AF$1171:$AF$1226,MATCH(O1038,$AF$1171:$AF$1226,1)+1)),INDEX($AH$1171:$AH$1226,MATCH(O1038,$AF$1171:$AF$1226,1)),INDEX($AH$1171:$AH$1226,MATCH(O1038,$AF$1171:$AF$1226,1))+(IF(INDEX($AH$1171:$AH$1226,MATCH(O1038,$AF$1171:$AF$1226,1)+1)="",INDEX($AH$1171:$AH$1226,MATCH(O1038,$AF$1171:$AF$1226,1)+2),INDEX($AH$1171:$AH$1226,MATCH(O1038,$AF$1171:$AF$1226,1)+1))-INDEX($AH$1171:$AH$1226,MATCH(O1038,$AF$1171:$AF$1226,1)))*(O1038-INDEX($AF$1171:$AF$1226,MATCH(O1038,$AF$1171:$AF$1226,1)))/(IF(INDEX($AF$1171:$AF$1226,MATCH(O1038,$AF$1171:$AF$1226,1)+1)="",INDEX($AF$1171:$AF$1226,MATCH(O1038,$AF$1171:$AF$1226,1)+2),INDEX($AF$1171:$AF$1226,MATCH(O1038,$AF$1171:$AF$1226,1)+1))-INDEX($AF$1171:$AF$1226,MATCH(O1038,$AF$1171:$AF$1226,1)))),INDEX($AH$1171:$AH$1226,MATCH(O1038,$AF$1171:$AF$1226,1)))</f>
        <v>0.748</v>
      </c>
      <c r="Q1040" s="25" t="s">
        <v>491</v>
      </c>
      <c r="R1040" s="186">
        <f ca="1">IFERROR(IF(INDEX($AF$1171:$AF$1226,MATCH(R1038,$AF$1171:$AF$1226,1))=IF(INDEX($AF$1171:$AF$1226,MATCH(R1038,$AF$1171:$AF$1226,1)+1)="",INDEX($AF$1171:$AF$1226,MATCH(R1038,$AF$1171:$AF$1226,1)+2),INDEX($AF$1171:$AF$1226,MATCH(R1038,$AF$1171:$AF$1226,1)+1)),INDEX($AH$1171:$AH$1226,MATCH(R1038,$AF$1171:$AF$1226,1)),INDEX($AH$1171:$AH$1226,MATCH(R1038,$AF$1171:$AF$1226,1))+(IF(INDEX($AH$1171:$AH$1226,MATCH(R1038,$AF$1171:$AF$1226,1)+1)="",INDEX($AH$1171:$AH$1226,MATCH(R1038,$AF$1171:$AF$1226,1)+2),INDEX($AH$1171:$AH$1226,MATCH(R1038,$AF$1171:$AF$1226,1)+1))-INDEX($AH$1171:$AH$1226,MATCH(R1038,$AF$1171:$AF$1226,1)))*(R1038-INDEX($AF$1171:$AF$1226,MATCH(R1038,$AF$1171:$AF$1226,1)))/(IF(INDEX($AF$1171:$AF$1226,MATCH(R1038,$AF$1171:$AF$1226,1)+1)="",INDEX($AF$1171:$AF$1226,MATCH(R1038,$AF$1171:$AF$1226,1)+2),INDEX($AF$1171:$AF$1226,MATCH(R1038,$AF$1171:$AF$1226,1)+1))-INDEX($AF$1171:$AF$1226,MATCH(R1038,$AF$1171:$AF$1226,1)))),INDEX($AH$1171:$AH$1226,MATCH(R1038,$AF$1171:$AF$1226,1)))</f>
        <v>0.748</v>
      </c>
      <c r="S1040" s="4">
        <v>25</v>
      </c>
      <c r="T1040" s="4">
        <f t="shared" si="33"/>
        <v>4.90625</v>
      </c>
      <c r="U1040" s="4" t="s">
        <v>247</v>
      </c>
      <c r="X1040" s="43"/>
    </row>
    <row r="1041" spans="11:24" ht="15.75" customHeight="1" x14ac:dyDescent="0.25">
      <c r="K1041" s="25" t="s">
        <v>491</v>
      </c>
      <c r="L1041" s="186">
        <f ca="1">IFERROR(IF(INDEX($AF$1171:$AF$1226,MATCH(L1039,$AF$1171:$AF$1226,1))=IF(INDEX($AF$1171:$AF$1226,MATCH(L1039,$AF$1171:$AF$1226,1)+1)="",INDEX($AF$1171:$AF$1226,MATCH(L1039,$AF$1171:$AF$1226,1)+2),INDEX($AF$1171:$AF$1226,MATCH(L1039,$AF$1171:$AF$1226,1)+1)),INDEX($AH$1171:$AH$1226,MATCH(L1039,$AF$1171:$AF$1226,1)),INDEX($AH$1171:$AH$1226,MATCH(L1039,$AF$1171:$AF$1226,1))+(IF(INDEX($AH$1171:$AH$1226,MATCH(L1039,$AF$1171:$AF$1226,1)+1)="",INDEX($AH$1171:$AH$1226,MATCH(L1039,$AF$1171:$AF$1226,1)+2),INDEX($AH$1171:$AH$1226,MATCH(L1039,$AF$1171:$AF$1226,1)+1))-INDEX($AH$1171:$AH$1226,MATCH(L1039,$AF$1171:$AF$1226,1)))*(L1039-INDEX($AF$1171:$AF$1226,MATCH(L1039,$AF$1171:$AF$1226,1)))/(IF(INDEX($AF$1171:$AF$1226,MATCH(L1039,$AF$1171:$AF$1226,1)+1)="",INDEX($AF$1171:$AF$1226,MATCH(L1039,$AF$1171:$AF$1226,1)+2),INDEX($AF$1171:$AF$1226,MATCH(L1039,$AF$1171:$AF$1226,1)+1))-INDEX($AF$1171:$AF$1226,MATCH(L1039,$AF$1171:$AF$1226,1)))),INDEX($AH$1171:$AH$1226,MATCH(L1039,$AF$1171:$AF$1226,1)))</f>
        <v>0.9511734366219619</v>
      </c>
      <c r="M1041" s="38"/>
      <c r="N1041" s="25" t="s">
        <v>492</v>
      </c>
      <c r="O1041" s="224">
        <f ca="1">IFERROR(IF(INDEX($AF$1171:$AF$1226,MATCH(O1038,$AF$1171:$AF$1226,1))=IF(INDEX($AF$1171:$AF$1226,MATCH(O1038,$AF$1171:$AF$1226,1)+1)="",INDEX($AF$1171:$AF$1226,MATCH(O1038,$AF$1171:$AF$1226,1)+2),INDEX($AF$1171:$AF$1226,MATCH(O1038,$AF$1171:$AF$1226,1)+1)),INDEX($AJ$1171:$AJ$1226,MATCH(O1038,$AF$1171:$AF$1226,1)),INDEX($AJ$1171:$AJ$1226,MATCH(O1038,$AF$1171:$AF$1226,1))+(IF(INDEX($AJ$1171:$AJ$1226,MATCH(O1038,$AF$1171:$AF$1226,1)+1)="",INDEX($AJ$1171:$AJ$1226,MATCH(O1038,$AF$1171:$AF$1226,1)+2),INDEX($AJ$1171:$AJ$1226,MATCH(O1038,$AF$1171:$AF$1226,1)+1))-INDEX($AJ$1171:$AJ$1226,MATCH(O1038,$AF$1171:$AF$1226,1)))*(O1038-INDEX($AF$1171:$AF$1226,MATCH(O1038,$AF$1171:$AF$1226,1)))/(IF(INDEX($AF$1171:$AF$1226,MATCH(O1038,$AF$1171:$AF$1226,1)+1)="",INDEX($AF$1171:$AF$1226,MATCH(O1038,$AF$1171:$AF$1226,1)+2),INDEX($AF$1171:$AF$1226,MATCH(O1038,$AF$1171:$AF$1226,1)+1))-INDEX($AF$1171:$AF$1226,MATCH(O1038,$AF$1171:$AF$1226,1)))),INDEX($AJ$1171:$AJ$1226,MATCH(O1038,$AF$1171:$AF$1226,1)))</f>
        <v>2.06</v>
      </c>
      <c r="Q1041" s="25" t="s">
        <v>492</v>
      </c>
      <c r="R1041" s="224">
        <f ca="1">IFERROR(IF(INDEX($AF$1171:$AF$1226,MATCH(R1038,$AF$1171:$AF$1226,1))=IF(INDEX($AF$1171:$AF$1226,MATCH(R1038,$AF$1171:$AF$1226,1)+1)="",INDEX($AF$1171:$AF$1226,MATCH(R1038,$AF$1171:$AF$1226,1)+2),INDEX($AF$1171:$AF$1226,MATCH(R1038,$AF$1171:$AF$1226,1)+1)),INDEX($AJ$1171:$AJ$1226,MATCH(R1038,$AF$1171:$AF$1226,1)),INDEX($AJ$1171:$AJ$1226,MATCH(R1038,$AF$1171:$AF$1226,1))+(IF(INDEX($AJ$1171:$AJ$1226,MATCH(R1038,$AF$1171:$AF$1226,1)+1)="",INDEX($AJ$1171:$AJ$1226,MATCH(R1038,$AF$1171:$AF$1226,1)+2),INDEX($AJ$1171:$AJ$1226,MATCH(R1038,$AF$1171:$AF$1226,1)+1))-INDEX($AJ$1171:$AJ$1226,MATCH(R1038,$AF$1171:$AF$1226,1)))*(R1038-INDEX($AF$1171:$AF$1226,MATCH(R1038,$AF$1171:$AF$1226,1)))/(IF(INDEX($AF$1171:$AF$1226,MATCH(R1038,$AF$1171:$AF$1226,1)+1)="",INDEX($AF$1171:$AF$1226,MATCH(R1038,$AF$1171:$AF$1226,1)+2),INDEX($AF$1171:$AF$1226,MATCH(R1038,$AF$1171:$AF$1226,1)+1))-INDEX($AF$1171:$AF$1226,MATCH(R1038,$AF$1171:$AF$1226,1)))),INDEX($AJ$1171:$AJ$1226,MATCH(R1038,$AF$1171:$AF$1226,1)))</f>
        <v>2.06</v>
      </c>
      <c r="S1041" s="4">
        <v>30</v>
      </c>
      <c r="T1041" s="4">
        <f t="shared" si="33"/>
        <v>7.065</v>
      </c>
      <c r="U1041" s="4" t="s">
        <v>247</v>
      </c>
      <c r="X1041" s="43"/>
    </row>
    <row r="1042" spans="11:24" ht="15.75" customHeight="1" x14ac:dyDescent="0.25">
      <c r="K1042" s="25" t="s">
        <v>492</v>
      </c>
      <c r="L1042" s="224">
        <f ca="1">IFERROR(IF(INDEX($AF$1171:$AF$1226,MATCH(L1039,$AF$1171:$AF$1226,1))=IF(INDEX($AF$1171:$AF$1226,MATCH(L1039,$AF$1171:$AF$1226,1)+1)="",INDEX($AF$1171:$AF$1226,MATCH(L1039,$AF$1171:$AF$1226,1)+2),INDEX($AF$1171:$AF$1226,MATCH(L1039,$AF$1171:$AF$1226,1)+1)),INDEX($AJ$1171:$AJ$1226,MATCH(L1039,$AF$1171:$AF$1226,1)),INDEX($AJ$1171:$AJ$1226,MATCH(L1039,$AF$1171:$AF$1226,1))+(IF(INDEX($AJ$1171:$AJ$1226,MATCH(L1039,$AF$1171:$AF$1226,1)+1)="",INDEX($AJ$1171:$AJ$1226,MATCH(L1039,$AF$1171:$AF$1226,1)+2),INDEX($AJ$1171:$AJ$1226,MATCH(L1039,$AF$1171:$AF$1226,1)+1))-INDEX($AJ$1171:$AJ$1226,MATCH(L1039,$AF$1171:$AF$1226,1)))*(L1039-INDEX($AF$1171:$AF$1226,MATCH(L1039,$AF$1171:$AF$1226,1)))/(IF(INDEX($AF$1171:$AF$1226,MATCH(L1039,$AF$1171:$AF$1226,1)+1)="",INDEX($AF$1171:$AF$1226,MATCH(L1039,$AF$1171:$AF$1226,1)+2),INDEX($AF$1171:$AF$1226,MATCH(L1039,$AF$1171:$AF$1226,1)+1))-INDEX($AF$1171:$AF$1226,MATCH(L1039,$AF$1171:$AF$1226,1)))),INDEX($AJ$1171:$AJ$1226,MATCH(L1039,$AF$1171:$AF$1226,1)))</f>
        <v>10.0</v>
      </c>
      <c r="M1042" s="38"/>
      <c r="N1042" s="25" t="s">
        <v>8</v>
      </c>
      <c r="O1042" s="186">
        <f ca="1">((L27-L277)/100)*O1039</f>
        <v>0.30615</v>
      </c>
      <c r="P1042" s="4" t="s">
        <v>32</v>
      </c>
      <c r="Q1042" s="25" t="s">
        <v>493</v>
      </c>
      <c r="R1042" s="186">
        <f>'ELU i'!G97/100</f>
        <v>0.2785927099389355</v>
      </c>
      <c r="S1042" s="4">
        <v>32</v>
      </c>
      <c r="T1042" s="4">
        <f t="shared" si="33"/>
        <v>8.038400000000001</v>
      </c>
      <c r="U1042" s="4" t="s">
        <v>247</v>
      </c>
      <c r="X1042" s="43"/>
    </row>
    <row r="1043" spans="11:24" ht="15.75" customHeight="1" x14ac:dyDescent="0.25">
      <c r="K1043" s="25" t="s">
        <v>8</v>
      </c>
      <c r="L1043" s="186">
        <f ca="1">((L27+L42+L45-L277)/100)*L1040</f>
        <v>0.097593810207145</v>
      </c>
      <c r="M1043" s="38" t="s">
        <v>32</v>
      </c>
      <c r="N1043" s="25" t="s">
        <v>494</v>
      </c>
      <c r="O1043" s="31">
        <f ca="1">VLOOKUP((ROUND(((O1041+L1202)/10),1)),S1129:W1140,5)</f>
        <v>132.0</v>
      </c>
      <c r="Q1043" s="25" t="s">
        <v>494</v>
      </c>
      <c r="R1043" s="31">
        <f ca="1">VLOOKUP((ROUND(((R1041+L1202)/10),1)),S1129:W1140,5)</f>
        <v>132.0</v>
      </c>
      <c r="X1043" s="43"/>
    </row>
    <row r="1044" spans="11:24" ht="15.75" customHeight="1" x14ac:dyDescent="0.25">
      <c r="K1044" s="25" t="s">
        <v>494</v>
      </c>
      <c r="L1044" s="31">
        <f ca="1">VLOOKUP((ROUND(((L1042+L1202)/10),1)),S1129:W1140,5)</f>
        <v>157.0</v>
      </c>
      <c r="N1044" s="25" t="s">
        <v>495</v>
      </c>
      <c r="O1044" s="97">
        <f ca="1">(0.85*((L82*1000)/$O$78))*(L26/100)*0.8*(O1042)*(((L27-L277)/100)-0.4*(O1042))</f>
        <v>814.2295422857143</v>
      </c>
      <c r="P1044" s="4" t="s">
        <v>216</v>
      </c>
      <c r="X1044" s="43"/>
    </row>
    <row r="1045" spans="11:24" ht="15.75" customHeight="1" x14ac:dyDescent="0.25">
      <c r="X1045" s="43"/>
    </row>
    <row r="1046" spans="11:24" ht="15.75" customHeight="1" x14ac:dyDescent="0.25">
      <c r="M1046" s="38"/>
      <c r="X1046" s="43"/>
    </row>
    <row r="1047" spans="11:24" ht="15.75" customHeight="1" x14ac:dyDescent="0.25">
      <c r="K1047" s="681" t="s">
        <v>496</v>
      </c>
      <c r="L1047" s="681"/>
      <c r="X1047" s="43"/>
    </row>
    <row r="1048" spans="11:24" x14ac:dyDescent="0.25">
      <c r="K1048" s="225" t="s">
        <v>497</v>
      </c>
      <c r="L1048" s="103">
        <f ca="1">L1038*100</f>
        <v>202227.80032851567</v>
      </c>
    </row>
    <row r="1049" spans="11:24" x14ac:dyDescent="0.25">
      <c r="K1049" s="25" t="s">
        <v>498</v>
      </c>
      <c r="L1049" s="31">
        <v>0.85</v>
      </c>
    </row>
    <row r="1050" spans="11:24" x14ac:dyDescent="0.25">
      <c r="K1050" s="25" t="s">
        <v>499</v>
      </c>
      <c r="L1050" s="31">
        <v>0.8</v>
      </c>
      <c r="V1050" s="226"/>
    </row>
    <row r="1051" spans="11:24" x14ac:dyDescent="0.25">
      <c r="K1051" s="25" t="s">
        <v>500</v>
      </c>
      <c r="L1051" s="31">
        <v>0.85</v>
      </c>
      <c r="U1051" s="60"/>
      <c r="V1051" s="190"/>
    </row>
    <row r="1052" spans="11:24" x14ac:dyDescent="0.25">
      <c r="K1052" s="25" t="s">
        <v>2174</v>
      </c>
      <c r="L1052" s="83">
        <f>IF(M18="1 - Sim",L83/($R$78*10),L82/($O$78*10))</f>
        <v>2.142857142857143</v>
      </c>
      <c r="U1052" s="27"/>
      <c r="V1052" s="227"/>
    </row>
    <row r="1053" spans="11:24" x14ac:dyDescent="0.25">
      <c r="K1053" s="25" t="s">
        <v>457</v>
      </c>
      <c r="L1053" s="42">
        <f>L26</f>
        <v>30.0</v>
      </c>
    </row>
    <row r="1054" spans="11:24" x14ac:dyDescent="0.25">
      <c r="K1054" s="25" t="s">
        <v>502</v>
      </c>
      <c r="L1054" s="103">
        <f>IF(M18="1 - Sim",L27+L42+L45-L277,L27-L277)</f>
        <v>78.75</v>
      </c>
      <c r="R1054" s="61"/>
    </row>
    <row r="1056" spans="11:24" x14ac:dyDescent="0.25">
      <c r="K1056" s="653" t="s">
        <v>503</v>
      </c>
      <c r="L1056" s="653"/>
      <c r="M1056" s="653"/>
      <c r="N1056" s="653"/>
      <c r="O1056" s="653"/>
      <c r="P1056" s="653"/>
      <c r="Q1056" s="653"/>
      <c r="R1056" s="653"/>
    </row>
    <row r="1058" spans="7:15" x14ac:dyDescent="0.25">
      <c r="K1058" s="682" t="s">
        <v>504</v>
      </c>
      <c r="L1058" s="682"/>
    </row>
    <row r="1059" spans="7:15" x14ac:dyDescent="0.25">
      <c r="K1059" s="228" t="s">
        <v>505</v>
      </c>
      <c r="L1059" s="229">
        <f ca="1">IF(M18="1 - Sim",IF(K1087="Seção 'T' Falsa",L1144*(L1054-L1050*L1086/2),L1049*L1052*((L43-L44)*L45*(L1054-L45/2)+L44*L1050*O1119*(L1054-L1050*O1119/2))),L1144*(L1054-L1050*L1086/2))/100</f>
        <v>2022.278003285156</v>
      </c>
      <c r="M1059" s="38" t="s">
        <v>216</v>
      </c>
      <c r="N1059" s="4" t="s">
        <v>2175</v>
      </c>
    </row>
    <row r="1060" spans="7:15" x14ac:dyDescent="0.25">
      <c r="M1060" s="38"/>
    </row>
    <row r="1061" spans="7:15" x14ac:dyDescent="0.25">
      <c r="K1061" s="682" t="s">
        <v>506</v>
      </c>
      <c r="L1061" s="682"/>
      <c r="M1061" s="38"/>
    </row>
    <row r="1062" spans="7:15" ht="15" customHeight="1" x14ac:dyDescent="0.25">
      <c r="K1062" s="228" t="s">
        <v>505</v>
      </c>
      <c r="L1062" s="229">
        <f ca="1">(0.85*((L82*1000)/$O$78))*(L26/100)*0.8*(L1086/100)*(((L27-L277)/100)-0.4*(L1086/100))</f>
        <v>323.79384757889306</v>
      </c>
      <c r="M1062" s="38" t="s">
        <v>216</v>
      </c>
      <c r="N1062" s="4" t="s">
        <v>507</v>
      </c>
    </row>
    <row r="1063" spans="7:15" x14ac:dyDescent="0.25">
      <c r="M1063" s="38"/>
    </row>
    <row r="1064" spans="7:15" x14ac:dyDescent="0.25">
      <c r="K1064" s="682" t="s">
        <v>508</v>
      </c>
      <c r="L1064" s="682"/>
      <c r="M1064" s="230"/>
      <c r="N1064" s="231"/>
      <c r="O1064" s="232"/>
    </row>
    <row r="1065" spans="7:15" x14ac:dyDescent="0.25">
      <c r="K1065" s="228" t="s">
        <v>509</v>
      </c>
      <c r="L1065" s="233">
        <f>(0.85*((L82*1000)/$O$78))*(L61/100)*0.8*(R1042)*(((L70-L277)/100)-0.4*(R1042))</f>
        <v>427.1098264031312</v>
      </c>
      <c r="M1065" s="38" t="s">
        <v>216</v>
      </c>
      <c r="N1065" s="4" t="s">
        <v>510</v>
      </c>
      <c r="O1065" s="232"/>
    </row>
    <row r="1066" spans="7:15" x14ac:dyDescent="0.25">
      <c r="G1066" s="43"/>
      <c r="K1066" s="228" t="s">
        <v>511</v>
      </c>
      <c r="L1066" s="233">
        <f>0.85*(L82/10)/$O$78*((L60/2-L61/2)*L63)*2</f>
        <v>1092.857142857143</v>
      </c>
      <c r="M1066" s="38" t="s">
        <v>512</v>
      </c>
      <c r="N1066" s="4" t="s">
        <v>513</v>
      </c>
    </row>
    <row r="1067" spans="7:15" x14ac:dyDescent="0.25">
      <c r="G1067" s="43"/>
      <c r="K1067" s="228" t="s">
        <v>514</v>
      </c>
      <c r="L1067" s="233">
        <f>(L1066*(L70-L277-(L63/2)))/100</f>
        <v>587.4107142857142</v>
      </c>
      <c r="M1067" s="38" t="s">
        <v>216</v>
      </c>
      <c r="N1067" s="4" t="s">
        <v>515</v>
      </c>
    </row>
    <row r="1068" spans="7:15" x14ac:dyDescent="0.25">
      <c r="G1068" s="43"/>
      <c r="K1068" s="228" t="s">
        <v>516</v>
      </c>
      <c r="L1068" s="233">
        <v>0</v>
      </c>
      <c r="M1068" s="38" t="s">
        <v>512</v>
      </c>
      <c r="N1068" s="4" t="s">
        <v>2176</v>
      </c>
    </row>
    <row r="1069" spans="7:15" x14ac:dyDescent="0.25">
      <c r="G1069" s="43"/>
      <c r="K1069" s="228" t="s">
        <v>517</v>
      </c>
      <c r="L1069" s="233">
        <v>0</v>
      </c>
      <c r="M1069" s="38" t="s">
        <v>216</v>
      </c>
      <c r="N1069" s="4" t="s">
        <v>2177</v>
      </c>
      <c r="O1069" s="232"/>
    </row>
    <row r="1070" spans="7:15" x14ac:dyDescent="0.25">
      <c r="G1070" s="43"/>
      <c r="K1070" s="228" t="s">
        <v>518</v>
      </c>
      <c r="L1070" s="229">
        <f>L1067+L1065</f>
        <v>1014.5205406888454</v>
      </c>
      <c r="M1070" s="38" t="s">
        <v>216</v>
      </c>
      <c r="N1070" s="4" t="s">
        <v>519</v>
      </c>
      <c r="O1070" s="232"/>
    </row>
    <row r="1071" spans="7:15" x14ac:dyDescent="0.25">
      <c r="G1071" s="43"/>
    </row>
    <row r="1072" spans="7:15" x14ac:dyDescent="0.25">
      <c r="G1072" s="43"/>
      <c r="L1072" s="27" t="s">
        <v>239</v>
      </c>
    </row>
    <row r="1073" spans="7:17" x14ac:dyDescent="0.25">
      <c r="G1073" s="43"/>
      <c r="K1073" s="80" t="s">
        <v>520</v>
      </c>
      <c r="L1073" s="31">
        <v>0.25900000000000001</v>
      </c>
    </row>
    <row r="1074" spans="7:17" x14ac:dyDescent="0.25">
      <c r="G1074" s="43"/>
      <c r="K1074" s="80" t="s">
        <v>521</v>
      </c>
      <c r="L1074" s="31">
        <v>0.628</v>
      </c>
    </row>
    <row r="1075" spans="7:17" x14ac:dyDescent="0.25">
      <c r="G1075" s="43"/>
      <c r="K1075" s="80" t="s">
        <v>522</v>
      </c>
      <c r="L1075" s="189">
        <f ca="1">(L1135)/(IF(M18="1 - Sim",L27+L42+L45-R76-(O1153/20),L27-R76-(O1153/20)))</f>
        <v>0.3759842065229768</v>
      </c>
      <c r="M1075" s="234" t="str">
        <f ca="1">IF(L1076&gt;=L1075,"Armadura simples","Armadura dupla")</f>
        <v>Armadura simples</v>
      </c>
    </row>
    <row r="1076" spans="7:17" x14ac:dyDescent="0.25">
      <c r="K1076" s="80" t="s">
        <v>523</v>
      </c>
      <c r="L1076" s="83">
        <f>Apoio!B31</f>
        <v>0.45</v>
      </c>
      <c r="M1076" s="38" t="s">
        <v>524</v>
      </c>
    </row>
    <row r="1077" spans="7:17" ht="15.75" x14ac:dyDescent="0.25">
      <c r="K1077" s="235" t="s">
        <v>525</v>
      </c>
      <c r="L1077" s="236">
        <f>L45/L1050</f>
        <v>6.25</v>
      </c>
      <c r="M1077" s="4" t="s">
        <v>526</v>
      </c>
      <c r="P1077" s="80"/>
      <c r="Q1077" s="237"/>
    </row>
    <row r="1078" spans="7:17" x14ac:dyDescent="0.25">
      <c r="K1078" s="238" t="s">
        <v>527</v>
      </c>
      <c r="L1078" s="239" t="str">
        <f ca="1">IF(L1075&lt;L1073,"Domínio 2",IF(AND(L1075&gt;L1073,L1075&lt;L1074),"Domínio 3",IF(L1075&gt;L1074,"Domínio 4")))</f>
        <v>Domínio 3</v>
      </c>
      <c r="P1078" s="80"/>
      <c r="Q1078" s="237"/>
    </row>
    <row r="1079" spans="7:17" x14ac:dyDescent="0.25">
      <c r="K1079" s="80"/>
      <c r="P1079" s="80"/>
      <c r="Q1079" s="237"/>
    </row>
    <row r="1080" spans="7:17" x14ac:dyDescent="0.25">
      <c r="L1080" s="27" t="s">
        <v>26</v>
      </c>
      <c r="P1080" s="80"/>
      <c r="Q1080" s="237"/>
    </row>
    <row r="1081" spans="7:17" x14ac:dyDescent="0.25">
      <c r="L1081" s="31">
        <v>0.25900000000000001</v>
      </c>
      <c r="P1081" s="80"/>
      <c r="Q1081" s="237"/>
    </row>
    <row r="1082" spans="7:17" x14ac:dyDescent="0.25">
      <c r="K1082" s="80" t="s">
        <v>521</v>
      </c>
      <c r="L1082" s="31">
        <v>0.628</v>
      </c>
      <c r="P1082" s="80"/>
      <c r="Q1082" s="237"/>
    </row>
    <row r="1083" spans="7:17" x14ac:dyDescent="0.25">
      <c r="K1083" s="80" t="s">
        <v>522</v>
      </c>
      <c r="L1083" s="189">
        <f>(R1042*100)/(L70-L277)</f>
        <v>0.43700817245323215</v>
      </c>
      <c r="M1083" s="234" t="str">
        <f>IF(L1084&gt;=L1083,"Armadura simples","Armadura dupla")</f>
        <v>Armadura simples</v>
      </c>
      <c r="P1083" s="80"/>
      <c r="Q1083" s="237"/>
    </row>
    <row r="1084" spans="7:17" x14ac:dyDescent="0.25">
      <c r="K1084" s="80" t="s">
        <v>523</v>
      </c>
      <c r="L1084" s="83">
        <f>Apoio!B31</f>
        <v>0.45</v>
      </c>
      <c r="M1084" s="38" t="s">
        <v>524</v>
      </c>
      <c r="P1084" s="80"/>
      <c r="Q1084" s="237"/>
    </row>
    <row r="1085" spans="7:17" x14ac:dyDescent="0.25">
      <c r="K1085" s="80"/>
      <c r="P1085" s="80"/>
      <c r="Q1085" s="237"/>
    </row>
    <row r="1086" spans="7:17" x14ac:dyDescent="0.25">
      <c r="K1086" s="240" t="s">
        <v>528</v>
      </c>
      <c r="L1086" s="239">
        <f ca="1">((ABS(-L1049*L1050*L1052*(IF(M18="1 - Sim",L43,L26))*L1054))-SQRT((ABS(-L1049*L1050*L1052*(IF(M18="1 - Sim",L43,L26))*L1054))^2-4*((L1049*L1050^2*L1052*(IF(M18="1 - Sim",L43,L26)))/2)*L1048))/(2*((L1049*L1050^2*L1052*(IF(M18="1 - Sim",L43,L26)))/2))</f>
        <v>9.924544918703766</v>
      </c>
      <c r="P1086" s="80"/>
      <c r="Q1086" s="237"/>
    </row>
    <row r="1087" spans="7:17" x14ac:dyDescent="0.25">
      <c r="K1087" s="683" t="str">
        <f ca="1">IF(L1086&gt;L1077,"Seção 'T' Verdadeira","Seção 'T' Falsa")</f>
        <v>Seção 'T' Verdadeira</v>
      </c>
      <c r="L1087" s="683"/>
      <c r="P1087" s="80"/>
      <c r="Q1087" s="237"/>
    </row>
    <row r="1088" spans="7:17" x14ac:dyDescent="0.25">
      <c r="K1088" s="80"/>
      <c r="P1088" s="80"/>
      <c r="Q1088" s="237"/>
    </row>
    <row r="1089" spans="11:21" x14ac:dyDescent="0.25">
      <c r="K1089" s="80"/>
      <c r="P1089" s="80"/>
      <c r="Q1089" s="237"/>
    </row>
    <row r="1090" spans="11:21" ht="15" customHeight="1" x14ac:dyDescent="0.3">
      <c r="K1090" s="684" t="s">
        <v>529</v>
      </c>
      <c r="L1090" s="684"/>
      <c r="M1090" s="684"/>
      <c r="N1090" s="684"/>
      <c r="O1090" s="684"/>
      <c r="P1090" s="684"/>
      <c r="Q1090" s="684"/>
      <c r="R1090" s="684"/>
      <c r="S1090" s="241"/>
      <c r="T1090" s="241"/>
      <c r="U1090" s="241"/>
    </row>
    <row r="1091" spans="11:21" ht="15" customHeight="1" x14ac:dyDescent="0.3">
      <c r="K1091" s="684"/>
      <c r="L1091" s="684"/>
      <c r="M1091" s="684"/>
      <c r="N1091" s="684"/>
      <c r="O1091" s="684"/>
      <c r="P1091" s="684"/>
      <c r="Q1091" s="684"/>
      <c r="R1091" s="684"/>
      <c r="S1091" s="241"/>
      <c r="T1091" s="241"/>
      <c r="U1091" s="241"/>
    </row>
    <row r="1092" spans="11:21" ht="15" customHeight="1" x14ac:dyDescent="0.25">
      <c r="K1092" s="684"/>
      <c r="L1092" s="684"/>
      <c r="M1092" s="684"/>
      <c r="N1092" s="684"/>
      <c r="O1092" s="684"/>
      <c r="P1092" s="684"/>
      <c r="Q1092" s="684"/>
      <c r="R1092" s="684"/>
    </row>
    <row r="1093" spans="11:21" ht="15" customHeight="1" x14ac:dyDescent="0.25">
      <c r="K1093" s="684"/>
      <c r="L1093" s="684"/>
      <c r="M1093" s="684"/>
      <c r="N1093" s="684"/>
      <c r="O1093" s="684"/>
      <c r="P1093" s="684"/>
      <c r="Q1093" s="684"/>
      <c r="R1093" s="684"/>
    </row>
    <row r="1094" spans="11:21" ht="15" customHeight="1" x14ac:dyDescent="0.25">
      <c r="K1094" s="684"/>
      <c r="L1094" s="684"/>
      <c r="M1094" s="684"/>
      <c r="N1094" s="684"/>
      <c r="O1094" s="684"/>
      <c r="P1094" s="684"/>
      <c r="Q1094" s="684"/>
      <c r="R1094" s="684"/>
    </row>
    <row r="1095" spans="11:21" x14ac:dyDescent="0.25">
      <c r="N1095" s="676" t="s">
        <v>530</v>
      </c>
      <c r="O1095" s="242">
        <f>(3.5/(3.5+10)*(L27+L42+L45-L277))</f>
        <v>20.416666666666664</v>
      </c>
      <c r="P1095" s="243" t="s">
        <v>531</v>
      </c>
    </row>
    <row r="1096" spans="11:21" x14ac:dyDescent="0.25">
      <c r="N1096" s="676"/>
      <c r="O1096" s="244">
        <f>(3.5/(3.5+10)*(L27-L277))</f>
        <v>12.638888888888888</v>
      </c>
      <c r="P1096" s="243" t="s">
        <v>532</v>
      </c>
    </row>
    <row r="1097" spans="11:21" x14ac:dyDescent="0.25">
      <c r="P1097" s="81"/>
    </row>
    <row r="1099" spans="11:21" x14ac:dyDescent="0.25">
      <c r="K1099" s="653" t="s">
        <v>533</v>
      </c>
      <c r="L1099" s="653"/>
      <c r="M1099" s="653"/>
      <c r="N1099" s="653"/>
      <c r="O1099" s="653"/>
      <c r="P1099" s="653"/>
      <c r="Q1099" s="653"/>
      <c r="R1099" s="653"/>
    </row>
    <row r="1101" spans="11:21" x14ac:dyDescent="0.25">
      <c r="L1101" s="245" t="s">
        <v>534</v>
      </c>
    </row>
    <row r="1103" spans="11:21" ht="15" customHeight="1" x14ac:dyDescent="0.25"/>
    <row r="1110" spans="11:16" ht="18" x14ac:dyDescent="0.25">
      <c r="N1110" s="246"/>
      <c r="O1110" s="246"/>
      <c r="P1110" s="246"/>
    </row>
    <row r="1113" spans="11:16" x14ac:dyDescent="0.25">
      <c r="K1113" s="80" t="s">
        <v>535</v>
      </c>
      <c r="L1113" s="31">
        <f>L1049*L1052*(L43-L44)*L45*(L1054-L45/2)</f>
        <v>109023.88392857143</v>
      </c>
      <c r="M1113" s="4" t="s">
        <v>217</v>
      </c>
      <c r="N1113" s="677" t="s">
        <v>2178</v>
      </c>
    </row>
    <row r="1114" spans="11:16" x14ac:dyDescent="0.25">
      <c r="K1114" s="80" t="s">
        <v>536</v>
      </c>
      <c r="L1114" s="103">
        <f ca="1">L1048-L1113</f>
        <v>93203.91639994424</v>
      </c>
      <c r="M1114" s="4" t="s">
        <v>217</v>
      </c>
      <c r="N1114" s="677" t="s">
        <v>2179</v>
      </c>
    </row>
    <row r="1115" spans="11:16" x14ac:dyDescent="0.25">
      <c r="K1115" s="80" t="s">
        <v>487</v>
      </c>
      <c r="L1115" s="103">
        <f ca="1">L1114+L1113</f>
        <v>202227.80032851567</v>
      </c>
      <c r="M1115" s="4" t="s">
        <v>217</v>
      </c>
      <c r="N1115" s="677"/>
    </row>
    <row r="1116" spans="11:16" x14ac:dyDescent="0.25">
      <c r="K1116" s="80"/>
      <c r="L1116" s="27">
        <f ca="1">L1115/100</f>
        <v>2022.2780032851567</v>
      </c>
    </row>
    <row r="1117" spans="11:16" x14ac:dyDescent="0.25">
      <c r="K1117" s="80"/>
      <c r="L1117" s="27"/>
    </row>
    <row r="1118" spans="11:16" x14ac:dyDescent="0.25">
      <c r="K1118" s="80" t="s">
        <v>537</v>
      </c>
      <c r="L1118" s="31">
        <v>0.25900000000000001</v>
      </c>
      <c r="N1118" s="654" t="s">
        <v>538</v>
      </c>
      <c r="O1118" s="654"/>
      <c r="P1118" s="654"/>
    </row>
    <row r="1119" spans="11:16" x14ac:dyDescent="0.25">
      <c r="K1119" s="80" t="s">
        <v>539</v>
      </c>
      <c r="L1119" s="31">
        <v>0.628</v>
      </c>
      <c r="N1119" s="676" t="s">
        <v>8</v>
      </c>
      <c r="O1119" s="678">
        <f ca="1">IFERROR((L1049*L1050*L1052*L44*L1054-SQRT((L1049*L1050*L1052*L44*L1054)^2-2*L1049*L1050^2*L1052*L44*L1114))/(L1049*L1050^2*L1052*L44),"Seção insuficiente")</f>
        <v>32.4098386022806</v>
      </c>
      <c r="P1119" s="671" t="str">
        <f ca="1">IF(O1119&gt;L1077,"Seção 'T' Verdadeira","Seção 'T' Falsa")</f>
        <v>Seção 'T' Verdadeira</v>
      </c>
    </row>
    <row r="1120" spans="11:16" x14ac:dyDescent="0.25">
      <c r="K1120" s="80" t="s">
        <v>540</v>
      </c>
      <c r="L1120" s="83">
        <f ca="1">O1119/(IF(M18="1 - Sim",L27+L42+L45-R76-(O1153/20),L27-R76-(O1153/20)))</f>
        <v>0.3759842065229768</v>
      </c>
      <c r="N1120" s="676"/>
      <c r="O1120" s="678"/>
      <c r="P1120" s="671"/>
    </row>
    <row r="1121" spans="7:25" x14ac:dyDescent="0.25">
      <c r="K1121" s="80"/>
      <c r="L1121" s="27"/>
    </row>
    <row r="1122" spans="7:25" x14ac:dyDescent="0.25">
      <c r="O1122" s="679" t="str">
        <f ca="1">IF(L1120&lt;L1118,"Domínio 2",IF(AND(L1120&gt;L1118,L1120&lt;L1119),"Domínio 3",IF(L1120&gt;L1119,"Domínio 4")))</f>
        <v>Domínio 3</v>
      </c>
    </row>
    <row r="1123" spans="7:25" x14ac:dyDescent="0.25">
      <c r="O1123" s="679"/>
    </row>
    <row r="1125" spans="7:25" x14ac:dyDescent="0.25">
      <c r="K1125" s="680" t="s">
        <v>541</v>
      </c>
      <c r="L1125" s="680"/>
      <c r="M1125" s="680"/>
      <c r="N1125" s="680"/>
      <c r="O1125" s="680"/>
      <c r="P1125" s="680"/>
      <c r="Q1125" s="680"/>
      <c r="R1125" s="680"/>
    </row>
    <row r="1126" spans="7:25" ht="15" customHeight="1" x14ac:dyDescent="0.25">
      <c r="K1126" s="671" t="s">
        <v>542</v>
      </c>
      <c r="L1126" s="671"/>
      <c r="M1126" s="671"/>
      <c r="N1126" s="671"/>
      <c r="O1126" s="671"/>
      <c r="P1126" s="671"/>
      <c r="Q1126" s="671"/>
      <c r="R1126" s="671"/>
      <c r="S1126" s="672" t="s">
        <v>543</v>
      </c>
      <c r="T1126" s="672"/>
      <c r="U1126" s="672"/>
      <c r="V1126" s="672"/>
      <c r="W1126" s="672"/>
      <c r="X1126" s="673" t="s">
        <v>544</v>
      </c>
      <c r="Y1126" s="673"/>
    </row>
    <row r="1127" spans="7:25" ht="24" customHeight="1" x14ac:dyDescent="0.25">
      <c r="K1127" s="671"/>
      <c r="L1127" s="671"/>
      <c r="M1127" s="671"/>
      <c r="N1127" s="671"/>
      <c r="O1127" s="671"/>
      <c r="P1127" s="671"/>
      <c r="Q1127" s="671"/>
      <c r="R1127" s="671"/>
      <c r="S1127" s="674" t="s">
        <v>545</v>
      </c>
      <c r="T1127" s="675" t="s">
        <v>546</v>
      </c>
      <c r="U1127" s="675"/>
      <c r="V1127" s="675"/>
      <c r="W1127" s="675"/>
      <c r="X1127" s="673"/>
      <c r="Y1127" s="673"/>
    </row>
    <row r="1128" spans="7:25" ht="28.5" customHeight="1" x14ac:dyDescent="0.25">
      <c r="K1128" s="108" t="s">
        <v>547</v>
      </c>
      <c r="L1128" s="247">
        <f>200/L1173</f>
        <v>5.460284024606545</v>
      </c>
      <c r="N1128" s="38" t="s">
        <v>548</v>
      </c>
      <c r="S1128" s="674"/>
      <c r="T1128" s="48" t="s">
        <v>549</v>
      </c>
      <c r="U1128" s="48" t="s">
        <v>550</v>
      </c>
      <c r="V1128" s="48" t="s">
        <v>551</v>
      </c>
      <c r="W1128" s="48" t="s">
        <v>552</v>
      </c>
      <c r="X1128" s="25">
        <v>20</v>
      </c>
      <c r="Y1128" s="25">
        <v>0.15</v>
      </c>
    </row>
    <row r="1129" spans="7:25" x14ac:dyDescent="0.25">
      <c r="K1129" s="80" t="s">
        <v>553</v>
      </c>
      <c r="L1129" s="83">
        <f ca="1">$R$77*(N368*L298+N369*L300)</f>
        <v>1119.2036605475403</v>
      </c>
      <c r="M1129" s="38" t="s">
        <v>292</v>
      </c>
      <c r="N1129" s="38"/>
      <c r="S1129" s="50">
        <v>0.5</v>
      </c>
      <c r="T1129" s="50">
        <v>70</v>
      </c>
      <c r="U1129" s="50">
        <v>98</v>
      </c>
      <c r="V1129" s="50">
        <v>100</v>
      </c>
      <c r="W1129" s="50">
        <v>100</v>
      </c>
      <c r="X1129" s="25">
        <v>25</v>
      </c>
      <c r="Y1129" s="25">
        <v>0.15</v>
      </c>
    </row>
    <row r="1130" spans="7:25" x14ac:dyDescent="0.25">
      <c r="K1130" s="80" t="s">
        <v>554</v>
      </c>
      <c r="L1130" s="83">
        <f ca="1">(L1129/L48)+$R$77*(N368*L298*L299-N369*L300*L301)*L299/L49</f>
        <v>1.350428027917605</v>
      </c>
      <c r="M1130" s="38" t="s">
        <v>241</v>
      </c>
      <c r="N1130" s="38" t="s">
        <v>555</v>
      </c>
      <c r="S1130" s="50">
        <v>0.6</v>
      </c>
      <c r="T1130" s="50">
        <v>70</v>
      </c>
      <c r="U1130" s="50">
        <v>104</v>
      </c>
      <c r="V1130" s="50">
        <v>118</v>
      </c>
      <c r="W1130" s="50">
        <v>120</v>
      </c>
      <c r="X1130" s="25">
        <v>30</v>
      </c>
      <c r="Y1130" s="25">
        <v>0.15</v>
      </c>
    </row>
    <row r="1131" spans="7:25" x14ac:dyDescent="0.25">
      <c r="K1131" s="80" t="s">
        <v>556</v>
      </c>
      <c r="L1131" s="83">
        <f ca="1">$R$77*N368*L298+L1128*L298*L1130</f>
        <v>1201.7893311243977</v>
      </c>
      <c r="M1131" s="38" t="s">
        <v>292</v>
      </c>
      <c r="N1131" s="38" t="s">
        <v>557</v>
      </c>
      <c r="S1131" s="50">
        <v>0.7</v>
      </c>
      <c r="T1131" s="50">
        <v>70</v>
      </c>
      <c r="U1131" s="50">
        <v>110</v>
      </c>
      <c r="V1131" s="50">
        <v>128</v>
      </c>
      <c r="W1131" s="50">
        <v>132</v>
      </c>
      <c r="X1131" s="25">
        <v>35</v>
      </c>
      <c r="Y1131" s="25">
        <v>0.16400000000000001</v>
      </c>
    </row>
    <row r="1132" spans="7:25" x14ac:dyDescent="0.25">
      <c r="K1132" s="80" t="s">
        <v>558</v>
      </c>
      <c r="L1132" s="83">
        <f ca="1">(L1131/(20000*L252))*1000</f>
        <v>5.365130942519633</v>
      </c>
      <c r="M1132" s="38" t="s">
        <v>559</v>
      </c>
      <c r="N1132" s="38" t="s">
        <v>560</v>
      </c>
      <c r="S1132" s="50">
        <v>0.8</v>
      </c>
      <c r="T1132" s="50">
        <v>70</v>
      </c>
      <c r="U1132" s="50">
        <v>112</v>
      </c>
      <c r="V1132" s="50">
        <v>133</v>
      </c>
      <c r="W1132" s="50">
        <v>141</v>
      </c>
      <c r="X1132" s="25">
        <v>40</v>
      </c>
      <c r="Y1132" s="25">
        <v>0.17899999999999999</v>
      </c>
    </row>
    <row r="1133" spans="7:25" x14ac:dyDescent="0.25">
      <c r="K1133" s="80" t="s">
        <v>561</v>
      </c>
      <c r="L1133" s="83">
        <f>0.259*P1136</f>
        <v>22.3258</v>
      </c>
      <c r="M1133" s="38" t="s">
        <v>35</v>
      </c>
      <c r="N1133" s="38"/>
      <c r="S1133" s="50">
        <v>0.9</v>
      </c>
      <c r="T1133" s="50">
        <v>70</v>
      </c>
      <c r="U1133" s="50">
        <v>116</v>
      </c>
      <c r="V1133" s="50">
        <v>138</v>
      </c>
      <c r="W1133" s="50">
        <v>147</v>
      </c>
      <c r="X1133" s="25">
        <v>45</v>
      </c>
      <c r="Y1133" s="25">
        <v>0.19400000000000001</v>
      </c>
    </row>
    <row r="1134" spans="7:25" x14ac:dyDescent="0.25">
      <c r="K1134" s="80" t="s">
        <v>562</v>
      </c>
      <c r="L1134" s="83">
        <f>0.628*P1136</f>
        <v>54.1336</v>
      </c>
      <c r="M1134" s="38" t="s">
        <v>35</v>
      </c>
      <c r="S1134" s="50">
        <v>1</v>
      </c>
      <c r="T1134" s="50">
        <v>71</v>
      </c>
      <c r="U1134" s="50">
        <v>117</v>
      </c>
      <c r="V1134" s="50">
        <v>140</v>
      </c>
      <c r="W1134" s="50">
        <v>149</v>
      </c>
      <c r="X1134" s="25">
        <v>50</v>
      </c>
      <c r="Y1134" s="25">
        <v>0.20799999999999999</v>
      </c>
    </row>
    <row r="1135" spans="7:25" x14ac:dyDescent="0.25">
      <c r="K1135" s="80" t="s">
        <v>563</v>
      </c>
      <c r="L1135" s="97">
        <f ca="1">IF(M18="2 - Não",L1086,(IF(K1087="Seção 'T' Falsa",L1086,O1119)))</f>
        <v>32.4098386022806</v>
      </c>
      <c r="M1135" s="38" t="str">
        <f ca="1">IF(L1135&lt;L1133,"Domínio 2",IF(AND(L1135&gt;L1133,L1135&lt;L1134),"Domínio 3",IF(L1135&gt;L1134,"Domínio 4")))</f>
        <v>Domínio 3</v>
      </c>
      <c r="N1135" s="38" t="s">
        <v>564</v>
      </c>
      <c r="S1135" s="50">
        <v>1.1000000000000001</v>
      </c>
      <c r="T1135" s="50">
        <v>72</v>
      </c>
      <c r="U1135" s="50">
        <v>118</v>
      </c>
      <c r="V1135" s="50">
        <v>141</v>
      </c>
      <c r="W1135" s="50">
        <v>151</v>
      </c>
      <c r="X1135" s="25">
        <v>55</v>
      </c>
      <c r="Y1135" s="25">
        <v>0.21099999999999999</v>
      </c>
    </row>
    <row r="1136" spans="7:25" ht="15" customHeight="1" x14ac:dyDescent="0.25">
      <c r="G1136" s="43"/>
      <c r="K1136" s="80" t="s">
        <v>565</v>
      </c>
      <c r="L1136" s="83">
        <f ca="1">MIN(10,(3.5*((IF(M19="1 - Retângular",L27,L70))+IF(M18="1 - Sim",L42+L45,0)-R253-L1135))/L1135)</f>
        <v>5.004362005079685</v>
      </c>
      <c r="M1136" s="38" t="s">
        <v>559</v>
      </c>
      <c r="O1136" s="4" t="s">
        <v>566</v>
      </c>
      <c r="P1136" s="4">
        <f>IF(M18="1 - Sim",(IF(M19="1 - Retângular",L27,L70))+L42+L45-R76-O5/20,(IF(M19="1 - Retângular",L27,L70))-R76-O5/20)</f>
        <v>86.2</v>
      </c>
      <c r="Q1136" s="4" t="s">
        <v>35</v>
      </c>
      <c r="S1136" s="50">
        <v>1.2</v>
      </c>
      <c r="T1136" s="50">
        <v>73</v>
      </c>
      <c r="U1136" s="50">
        <v>118</v>
      </c>
      <c r="V1136" s="50">
        <v>142</v>
      </c>
      <c r="W1136" s="248">
        <v>153</v>
      </c>
      <c r="X1136" s="25">
        <v>60</v>
      </c>
      <c r="Y1136" s="25">
        <v>0.219</v>
      </c>
    </row>
    <row r="1137" spans="7:27" ht="15" customHeight="1" x14ac:dyDescent="0.25">
      <c r="G1137" s="43"/>
      <c r="K1137" s="80"/>
      <c r="L1137" s="224">
        <v>10</v>
      </c>
      <c r="M1137" s="38"/>
      <c r="O1137" s="227"/>
      <c r="S1137" s="50">
        <v>1.3</v>
      </c>
      <c r="T1137" s="50">
        <v>74</v>
      </c>
      <c r="U1137" s="50">
        <v>119</v>
      </c>
      <c r="V1137" s="249">
        <v>143</v>
      </c>
      <c r="W1137" s="50">
        <v>154</v>
      </c>
      <c r="X1137" s="25">
        <v>65</v>
      </c>
      <c r="Y1137" s="25">
        <v>0.22600000000000001</v>
      </c>
    </row>
    <row r="1138" spans="7:27" x14ac:dyDescent="0.25">
      <c r="K1138" s="80" t="s">
        <v>567</v>
      </c>
      <c r="L1138" s="83">
        <f ca="1">L1132+L1136</f>
        <v>10.369492947599317</v>
      </c>
      <c r="M1138" s="38" t="s">
        <v>559</v>
      </c>
      <c r="S1138" s="50">
        <v>1.4</v>
      </c>
      <c r="T1138" s="50">
        <v>76</v>
      </c>
      <c r="U1138" s="50">
        <v>119</v>
      </c>
      <c r="V1138" s="50">
        <v>145</v>
      </c>
      <c r="W1138" s="250">
        <v>156</v>
      </c>
      <c r="X1138" s="25">
        <v>70</v>
      </c>
      <c r="Y1138" s="25">
        <v>0.23</v>
      </c>
    </row>
    <row r="1139" spans="7:27" x14ac:dyDescent="0.25">
      <c r="K1139" s="80" t="s">
        <v>568</v>
      </c>
      <c r="L1139" s="83">
        <f ca="1">(3.5*(P1136-L1135))/L1135</f>
        <v>5.8089016487348415</v>
      </c>
      <c r="M1139" s="38" t="s">
        <v>559</v>
      </c>
      <c r="S1139" s="50">
        <v>1.5</v>
      </c>
      <c r="T1139" s="50">
        <v>77</v>
      </c>
      <c r="U1139" s="50">
        <v>120</v>
      </c>
      <c r="V1139" s="50">
        <v>146</v>
      </c>
      <c r="W1139" s="50">
        <v>157</v>
      </c>
      <c r="X1139" s="25">
        <v>75</v>
      </c>
      <c r="Y1139" s="25">
        <v>0.23899999999999999</v>
      </c>
    </row>
    <row r="1140" spans="7:27" x14ac:dyDescent="0.25">
      <c r="K1140" s="80" t="s">
        <v>569</v>
      </c>
      <c r="L1140" s="224">
        <v>2.0699999999999998</v>
      </c>
      <c r="M1140" s="38"/>
      <c r="N1140" s="4" t="s">
        <v>570</v>
      </c>
      <c r="O1140" s="4">
        <f ca="1">MIN(MAX(L1138/10,0.5),1.6)</f>
        <v>1.0369492947599317</v>
      </c>
      <c r="P1140" s="227"/>
      <c r="S1140" s="50">
        <v>1.6</v>
      </c>
      <c r="T1140" s="50">
        <v>78</v>
      </c>
      <c r="U1140" s="50">
        <v>120</v>
      </c>
      <c r="V1140" s="50">
        <v>147</v>
      </c>
      <c r="W1140" s="50">
        <v>158</v>
      </c>
      <c r="X1140" s="25">
        <v>80</v>
      </c>
      <c r="Y1140" s="25">
        <v>0.245</v>
      </c>
    </row>
    <row r="1141" spans="7:27" x14ac:dyDescent="0.25">
      <c r="K1141" s="80" t="str">
        <f>K1138</f>
        <v xml:space="preserve">εt = </v>
      </c>
      <c r="L1141" s="97">
        <f ca="1">ROUND((L1138/10),1)</f>
        <v>1.0</v>
      </c>
      <c r="M1141" s="98"/>
      <c r="N1141" s="4" t="s">
        <v>571</v>
      </c>
      <c r="O1141" s="4">
        <f ca="1">MATCH(O1140,$S$1129:$S$1140,1)</f>
        <v>6.0</v>
      </c>
      <c r="P1141" s="4">
        <f ca="1">MIN(O1141+1,12)</f>
        <v>7.0</v>
      </c>
      <c r="X1141" s="25">
        <v>85</v>
      </c>
      <c r="Y1141" s="25">
        <v>0.251</v>
      </c>
    </row>
    <row r="1142" spans="7:27" x14ac:dyDescent="0.25">
      <c r="K1142" s="80" t="s">
        <v>572</v>
      </c>
      <c r="L1142" s="31">
        <f ca="1">INDEX($W$1129:$W$1140,O1141)+IF(INDEX($S$1129:$S$1140,P1141)=INDEX($S$1129:$S$1140,O1141),0,(INDEX($W$1129:$W$1140,P1141)-INDEX($W$1129:$W$1140,O1141))*(O1140-INDEX($S$1129:$S$1140,O1141))/(INDEX($S$1129:$S$1140,P1141)-INDEX($S$1129:$S$1140,O1141)))</f>
        <v>149.73898589519862</v>
      </c>
      <c r="M1142" s="38" t="s">
        <v>241</v>
      </c>
      <c r="X1142" s="25">
        <v>90</v>
      </c>
      <c r="Y1142" s="25">
        <v>0.25600000000000001</v>
      </c>
    </row>
    <row r="1143" spans="7:27" x14ac:dyDescent="0.25">
      <c r="K1143" s="80" t="s">
        <v>573</v>
      </c>
      <c r="L1143" s="83">
        <f ca="1">(L1142*1.15/O76)*L252</f>
        <v>1753.3073984819619</v>
      </c>
      <c r="M1143" s="38" t="s">
        <v>292</v>
      </c>
      <c r="N1143" s="38" t="s">
        <v>574</v>
      </c>
    </row>
    <row r="1144" spans="7:27" x14ac:dyDescent="0.25">
      <c r="K1144" s="80" t="s">
        <v>575</v>
      </c>
      <c r="L1144" s="83">
        <f ca="1">IF(M18="1 - Sim",IF(K1087="Seção 'T' Falsa",L1049*L1050*L1052*L43*L1086,L1049*L1052*((L43-L44)*L45+L44*L1050*O1119)),L1049*L1050*L1052*IF(M19="1 - Retângular",L26,L61)*L1086)</f>
        <v>2846.594373185409</v>
      </c>
      <c r="M1144" s="38" t="s">
        <v>292</v>
      </c>
      <c r="N1144" s="38" t="s">
        <v>576</v>
      </c>
    </row>
    <row r="1145" spans="7:27" x14ac:dyDescent="0.25">
      <c r="M1145" s="38"/>
    </row>
    <row r="1146" spans="7:27" ht="19.5" customHeight="1" x14ac:dyDescent="0.25"/>
    <row r="1147" spans="7:27" ht="15.75" customHeight="1" x14ac:dyDescent="0.25">
      <c r="K1147" s="653" t="s">
        <v>577</v>
      </c>
      <c r="L1147" s="653"/>
      <c r="M1147" s="653"/>
      <c r="N1147" s="653"/>
      <c r="O1147" s="653"/>
      <c r="P1147" s="653"/>
      <c r="Q1147" s="653"/>
      <c r="R1147" s="653"/>
    </row>
    <row r="1148" spans="7:27" ht="15" customHeight="1" x14ac:dyDescent="0.25">
      <c r="Q1148" s="652"/>
      <c r="R1148" s="652"/>
    </row>
    <row r="1149" spans="7:27" ht="15.75" customHeight="1" x14ac:dyDescent="0.25"/>
    <row r="1150" spans="7:27" x14ac:dyDescent="0.25">
      <c r="K1150" s="656" t="str">
        <f ca="1">IF(L1144&gt;L1143,"Necessita armadura passiva ELU","ELU OK")</f>
        <v>Necessita armadura passiva ELU</v>
      </c>
      <c r="L1150" s="656"/>
      <c r="N1150" s="648" t="s">
        <v>41</v>
      </c>
      <c r="O1150" s="648"/>
      <c r="Q1150" s="648" t="s">
        <v>578</v>
      </c>
      <c r="R1150" s="648"/>
      <c r="AA1150" s="105"/>
    </row>
    <row r="1151" spans="7:27" x14ac:dyDescent="0.25">
      <c r="K1151" s="656"/>
      <c r="L1151" s="656"/>
      <c r="N1151" s="670">
        <f ca="1">IFERROR(MAX(L1153:L1154),L1154)</f>
        <v>24.05231344347584</v>
      </c>
      <c r="O1151" s="670"/>
      <c r="Q1151" s="670" t="str">
        <f ca="1">'ELU i'!G146</f>
        <v>-</v>
      </c>
      <c r="R1151" s="670"/>
    </row>
    <row r="1152" spans="7:27" x14ac:dyDescent="0.25">
      <c r="N1152" s="670"/>
      <c r="O1152" s="670"/>
      <c r="Q1152" s="670"/>
      <c r="R1152" s="670"/>
    </row>
    <row r="1153" spans="11:21" x14ac:dyDescent="0.25">
      <c r="K1153" s="4" t="s">
        <v>579</v>
      </c>
      <c r="L1153" s="83">
        <f ca="1">(L1144-L1143)/(L81/(10*O76))</f>
        <v>24.05231344347584</v>
      </c>
      <c r="M1153" s="38" t="s">
        <v>247</v>
      </c>
      <c r="N1153" s="667">
        <f ca="1">ROUNDUP((N1151/(VLOOKUP(O1153,Taxas!V22:W29,2))),0)</f>
        <v>12.0</v>
      </c>
      <c r="O1153" s="668">
        <f>Taxas!I57</f>
        <v>16.0</v>
      </c>
      <c r="Q1153" s="667" t="str">
        <f ca="1">IF(ISNUMBER(Q1151),ROUNDUP((Q1151/(VLOOKUP(R1153,Taxas!V22:W29,2))),0),"-")</f>
        <v>-</v>
      </c>
      <c r="R1153" s="668">
        <f>Taxas!I57</f>
        <v>16.0</v>
      </c>
    </row>
    <row r="1154" spans="11:21" x14ac:dyDescent="0.25">
      <c r="K1154" s="4" t="s">
        <v>580</v>
      </c>
      <c r="L1154" s="31">
        <f>(VLOOKUP(L82,X1128:Y1142,2))/100*L26*L27</f>
        <v>3.7439999999999998</v>
      </c>
      <c r="M1154" s="38" t="s">
        <v>247</v>
      </c>
      <c r="N1154" s="667"/>
      <c r="O1154" s="668"/>
      <c r="Q1154" s="667"/>
      <c r="R1154" s="668"/>
    </row>
    <row r="1155" spans="11:21" x14ac:dyDescent="0.25">
      <c r="N1155" s="251"/>
      <c r="O1155" s="252"/>
    </row>
    <row r="1156" spans="11:21" x14ac:dyDescent="0.25">
      <c r="K1156" s="653" t="s">
        <v>581</v>
      </c>
      <c r="L1156" s="653"/>
      <c r="M1156" s="653"/>
      <c r="N1156" s="653"/>
      <c r="O1156" s="653"/>
      <c r="P1156" s="653"/>
      <c r="Q1156" s="653"/>
      <c r="R1156" s="653"/>
    </row>
    <row r="1157" spans="11:21" x14ac:dyDescent="0.25">
      <c r="K1157" s="669" t="s">
        <v>582</v>
      </c>
      <c r="L1157" s="669"/>
      <c r="M1157" s="669"/>
    </row>
    <row r="1158" spans="11:21" x14ac:dyDescent="0.25">
      <c r="K1158" s="80" t="s">
        <v>583</v>
      </c>
      <c r="L1158" s="83">
        <f ca="1">L1202+IF(M18="1 - Sim",L1042,O1041)</f>
        <v>15.365130942519635</v>
      </c>
      <c r="M1158" s="253">
        <f ca="1">ROUND((L1158/10),1)</f>
        <v>1.5</v>
      </c>
      <c r="Q1158" s="648" t="s">
        <v>584</v>
      </c>
      <c r="R1158" s="648"/>
    </row>
    <row r="1159" spans="11:21" x14ac:dyDescent="0.25">
      <c r="K1159" s="80" t="s">
        <v>585</v>
      </c>
      <c r="L1159" s="83">
        <f ca="1">L1038/((IF(M18="1 - Sim",L1041,O1040))*(((IF(M19="1 - Retângular",L27,L70))+M42+M45-L277)/100)*(VLOOKUP(M1158,S1129:W1140,5)))</f>
        <v>17.196138322794486</v>
      </c>
      <c r="M1159" s="38" t="s">
        <v>247</v>
      </c>
      <c r="N1159" s="38" t="s">
        <v>586</v>
      </c>
      <c r="Q1159" s="670">
        <f ca="1">3.14*(O1153/20)^2*N1153</f>
        <v>24.1152</v>
      </c>
      <c r="R1159" s="670"/>
    </row>
    <row r="1160" spans="11:21" x14ac:dyDescent="0.25">
      <c r="K1160" s="80" t="s">
        <v>587</v>
      </c>
      <c r="L1160" s="83">
        <f ca="1">MAX(L1159,(L252))</f>
        <v>17.196138322794486</v>
      </c>
      <c r="M1160" s="38" t="s">
        <v>247</v>
      </c>
      <c r="N1160" s="38" t="s">
        <v>588</v>
      </c>
      <c r="Q1160" s="670"/>
      <c r="R1160" s="670"/>
    </row>
    <row r="1161" spans="11:21" x14ac:dyDescent="0.25">
      <c r="K1161" s="652" t="s">
        <v>508</v>
      </c>
      <c r="L1161" s="652"/>
      <c r="M1161" s="652"/>
      <c r="N1161" s="38"/>
    </row>
    <row r="1162" spans="11:21" x14ac:dyDescent="0.25">
      <c r="K1162" s="80" t="s">
        <v>583</v>
      </c>
      <c r="L1162" s="254">
        <f ca="1">(R1041+L1202)</f>
        <v>7.425130942519635</v>
      </c>
      <c r="M1162" s="253">
        <f ca="1">ROUND((L1162/10),1)</f>
        <v>0.7</v>
      </c>
      <c r="N1162" s="38"/>
    </row>
    <row r="1163" spans="11:21" x14ac:dyDescent="0.25">
      <c r="K1163" s="80" t="s">
        <v>585</v>
      </c>
      <c r="L1163" s="83">
        <f ca="1">L1038/(R1040*((L70)/100)*(VLOOKUP(M1162,S1129:W1140,5)))</f>
        <v>27.3088910938956</v>
      </c>
      <c r="M1163" s="38" t="s">
        <v>247</v>
      </c>
      <c r="N1163" s="38" t="s">
        <v>589</v>
      </c>
      <c r="P1163" s="60"/>
    </row>
    <row r="1164" spans="11:21" x14ac:dyDescent="0.25">
      <c r="K1164" s="80" t="s">
        <v>590</v>
      </c>
      <c r="L1164" s="83">
        <f ca="1">MAX(L1163,(L252))</f>
        <v>27.3088910938956</v>
      </c>
      <c r="M1164" s="38" t="s">
        <v>247</v>
      </c>
      <c r="N1164" s="38" t="s">
        <v>588</v>
      </c>
      <c r="P1164" s="60"/>
    </row>
    <row r="1165" spans="11:21" x14ac:dyDescent="0.25">
      <c r="P1165" s="60"/>
      <c r="S1165" s="255"/>
      <c r="T1165" s="255"/>
      <c r="U1165" s="255"/>
    </row>
    <row r="1166" spans="11:21" hidden="1" x14ac:dyDescent="0.25">
      <c r="K1166" s="653" t="s">
        <v>591</v>
      </c>
      <c r="L1166" s="653"/>
      <c r="M1166" s="653"/>
      <c r="N1166" s="653"/>
      <c r="O1166" s="653"/>
      <c r="P1166" s="653"/>
      <c r="Q1166" s="653"/>
      <c r="R1166" s="653"/>
      <c r="S1166" s="255"/>
      <c r="T1166" s="255"/>
      <c r="U1166" s="255"/>
    </row>
    <row r="1167" spans="11:21" hidden="1" x14ac:dyDescent="0.25">
      <c r="S1167" s="255"/>
      <c r="T1167" s="255"/>
      <c r="U1167" s="255"/>
    </row>
    <row r="1168" spans="11:21" hidden="1" x14ac:dyDescent="0.25">
      <c r="K1168" s="652" t="s">
        <v>592</v>
      </c>
      <c r="L1168" s="652"/>
      <c r="S1168" s="255"/>
      <c r="T1168" s="255"/>
      <c r="U1168" s="255"/>
    </row>
    <row r="1169" spans="11:39" hidden="1" x14ac:dyDescent="0.25">
      <c r="K1169" s="80" t="s">
        <v>593</v>
      </c>
      <c r="L1169" s="31">
        <f>L82</f>
        <v>50.0</v>
      </c>
      <c r="M1169" s="38" t="s">
        <v>160</v>
      </c>
    </row>
    <row r="1170" spans="11:39" ht="14.25" hidden="1" customHeight="1" x14ac:dyDescent="0.25">
      <c r="K1170" s="80" t="s">
        <v>594</v>
      </c>
      <c r="L1170" s="256">
        <v>1</v>
      </c>
      <c r="M1170" s="38"/>
      <c r="AF1170" s="257" t="s">
        <v>595</v>
      </c>
      <c r="AG1170" s="257" t="s">
        <v>596</v>
      </c>
      <c r="AH1170" s="257" t="s">
        <v>597</v>
      </c>
      <c r="AI1170" s="257" t="s">
        <v>598</v>
      </c>
      <c r="AJ1170" s="257" t="s">
        <v>599</v>
      </c>
      <c r="AK1170" s="257" t="s">
        <v>600</v>
      </c>
      <c r="AL1170" s="257" t="s">
        <v>601</v>
      </c>
      <c r="AM1170" s="257" t="s">
        <v>602</v>
      </c>
    </row>
    <row r="1171" spans="11:39" hidden="1" x14ac:dyDescent="0.25">
      <c r="K1171" s="80" t="s">
        <v>603</v>
      </c>
      <c r="L1171" s="258">
        <f>0.8+0.2*(L1169/80)</f>
        <v>0.925</v>
      </c>
      <c r="M1171" s="38"/>
      <c r="AF1171" s="259">
        <v>0</v>
      </c>
      <c r="AG1171" s="259">
        <v>0</v>
      </c>
      <c r="AH1171" s="259">
        <v>1</v>
      </c>
      <c r="AI1171" s="259">
        <v>0</v>
      </c>
      <c r="AJ1171" s="259">
        <v>10</v>
      </c>
      <c r="AK1171" s="259">
        <v>21.74</v>
      </c>
      <c r="AL1171" s="259">
        <v>43.48</v>
      </c>
      <c r="AM1171" s="259">
        <v>52.17</v>
      </c>
    </row>
    <row r="1172" spans="11:39" hidden="1" x14ac:dyDescent="0.25">
      <c r="K1172" s="80" t="s">
        <v>604</v>
      </c>
      <c r="L1172" s="83">
        <f>IF(L1169&lt;=50,L1170*5600*SQRT(L1169)/1000,21.5*10^3*L1170*((L1169/10)+1.25)^(1/3)/1000)</f>
        <v>39.59797974644666</v>
      </c>
      <c r="M1172" s="38" t="s">
        <v>605</v>
      </c>
      <c r="N1172" s="38" t="s">
        <v>606</v>
      </c>
      <c r="AF1172" s="259">
        <v>5.0000000000000001E-3</v>
      </c>
      <c r="AG1172" s="259">
        <v>7.0000000000000001E-3</v>
      </c>
      <c r="AH1172" s="259">
        <v>0.997</v>
      </c>
      <c r="AI1172" s="259">
        <v>7.0000000000000007E-2</v>
      </c>
      <c r="AJ1172" s="259">
        <v>10</v>
      </c>
      <c r="AK1172" s="259">
        <v>21.68</v>
      </c>
      <c r="AL1172" s="259">
        <v>43.35</v>
      </c>
      <c r="AM1172" s="259">
        <v>52.02</v>
      </c>
    </row>
    <row r="1173" spans="11:39" hidden="1" x14ac:dyDescent="0.25">
      <c r="K1173" s="80" t="s">
        <v>607</v>
      </c>
      <c r="L1173" s="83">
        <f>L1172*L1171</f>
        <v>36.62813126546316</v>
      </c>
      <c r="M1173" s="38" t="s">
        <v>608</v>
      </c>
      <c r="N1173" s="38" t="s">
        <v>609</v>
      </c>
      <c r="AF1173" s="259">
        <v>0.01</v>
      </c>
      <c r="AG1173" s="259">
        <v>1.4999999999999999E-2</v>
      </c>
      <c r="AH1173" s="259">
        <v>0.99399999999999999</v>
      </c>
      <c r="AI1173" s="259">
        <v>0.15</v>
      </c>
      <c r="AJ1173" s="259">
        <v>10</v>
      </c>
      <c r="AK1173" s="259">
        <v>21.61</v>
      </c>
      <c r="AL1173" s="259">
        <v>43.22</v>
      </c>
      <c r="AM1173" s="259">
        <v>51.86</v>
      </c>
    </row>
    <row r="1174" spans="11:39" hidden="1" x14ac:dyDescent="0.25">
      <c r="K1174" s="80" t="s">
        <v>610</v>
      </c>
      <c r="L1174" s="83">
        <f>IF(L1169&lt;=50,0.3*L1169^(2/3),2.12*LN(1+0.11*L1169))</f>
        <v>4.071626424892359</v>
      </c>
      <c r="M1174" s="38" t="s">
        <v>233</v>
      </c>
      <c r="N1174" s="38" t="s">
        <v>611</v>
      </c>
      <c r="AF1174" s="259">
        <v>1.4999999999999999E-2</v>
      </c>
      <c r="AG1174" s="259">
        <v>2.1999999999999999E-2</v>
      </c>
      <c r="AH1174" s="259">
        <v>0.99099999999999999</v>
      </c>
      <c r="AI1174" s="259">
        <v>0.23</v>
      </c>
      <c r="AJ1174" s="259">
        <v>10</v>
      </c>
      <c r="AK1174" s="259">
        <v>21.55</v>
      </c>
      <c r="AL1174" s="259">
        <v>43.09</v>
      </c>
      <c r="AM1174" s="259">
        <v>51.71</v>
      </c>
    </row>
    <row r="1175" spans="11:39" hidden="1" x14ac:dyDescent="0.25">
      <c r="M1175" s="38"/>
      <c r="N1175" s="38"/>
      <c r="AF1175" s="259">
        <v>0.02</v>
      </c>
      <c r="AG1175" s="259">
        <v>0.03</v>
      </c>
      <c r="AH1175" s="259">
        <v>0.98799999999999999</v>
      </c>
      <c r="AI1175" s="259">
        <v>0.31</v>
      </c>
      <c r="AJ1175" s="259">
        <v>10</v>
      </c>
      <c r="AK1175" s="259">
        <v>21.48</v>
      </c>
      <c r="AL1175" s="259">
        <v>42.96</v>
      </c>
      <c r="AM1175" s="259">
        <v>51.55</v>
      </c>
    </row>
    <row r="1176" spans="11:39" hidden="1" x14ac:dyDescent="0.25">
      <c r="K1176" s="652" t="s">
        <v>612</v>
      </c>
      <c r="L1176" s="652"/>
      <c r="M1176" s="38"/>
      <c r="N1176" s="38"/>
      <c r="AF1176" s="259">
        <v>2.5000000000000001E-2</v>
      </c>
      <c r="AG1176" s="259">
        <v>3.6999999999999998E-2</v>
      </c>
      <c r="AH1176" s="259">
        <v>0.98499999999999999</v>
      </c>
      <c r="AI1176" s="259">
        <v>0.39</v>
      </c>
      <c r="AJ1176" s="259">
        <v>10</v>
      </c>
      <c r="AK1176" s="259">
        <v>21.42</v>
      </c>
      <c r="AL1176" s="259">
        <v>42.83</v>
      </c>
      <c r="AM1176" s="259">
        <v>51.39</v>
      </c>
    </row>
    <row r="1177" spans="11:39" hidden="1" x14ac:dyDescent="0.25">
      <c r="K1177" s="80" t="s">
        <v>613</v>
      </c>
      <c r="L1177" s="31">
        <f>L84</f>
        <v>35.0</v>
      </c>
      <c r="M1177" s="38" t="s">
        <v>160</v>
      </c>
      <c r="N1177" s="38"/>
      <c r="AF1177" s="259">
        <v>0.03</v>
      </c>
      <c r="AG1177" s="259">
        <v>4.4999999999999998E-2</v>
      </c>
      <c r="AH1177" s="259">
        <v>0.98199999999999998</v>
      </c>
      <c r="AI1177" s="259">
        <v>0.47</v>
      </c>
      <c r="AJ1177" s="259">
        <v>10</v>
      </c>
      <c r="AK1177" s="259">
        <v>21.35</v>
      </c>
      <c r="AL1177" s="259">
        <v>42.7</v>
      </c>
      <c r="AM1177" s="259">
        <v>51.23</v>
      </c>
    </row>
    <row r="1178" spans="11:39" hidden="1" x14ac:dyDescent="0.25">
      <c r="K1178" s="80" t="s">
        <v>594</v>
      </c>
      <c r="L1178" s="256">
        <v>1</v>
      </c>
      <c r="M1178" s="38"/>
      <c r="N1178" s="38"/>
      <c r="AF1178" s="259">
        <v>3.5000000000000003E-2</v>
      </c>
      <c r="AG1178" s="259">
        <v>5.2999999999999999E-2</v>
      </c>
      <c r="AH1178" s="259">
        <v>0.97899999999999998</v>
      </c>
      <c r="AI1178" s="259">
        <v>0.55000000000000004</v>
      </c>
      <c r="AJ1178" s="259">
        <v>10</v>
      </c>
      <c r="AK1178" s="259">
        <v>21.29</v>
      </c>
      <c r="AL1178" s="259">
        <v>42.57</v>
      </c>
      <c r="AM1178" s="259">
        <v>51.08</v>
      </c>
    </row>
    <row r="1179" spans="11:39" hidden="1" x14ac:dyDescent="0.25">
      <c r="K1179" s="80" t="s">
        <v>603</v>
      </c>
      <c r="L1179" s="258">
        <f>0.8+0.2*(L1177/80)</f>
        <v>0.8875000000000001</v>
      </c>
      <c r="M1179" s="38"/>
      <c r="N1179" s="38"/>
      <c r="AF1179" s="259">
        <v>0.04</v>
      </c>
      <c r="AG1179" s="259">
        <v>0.06</v>
      </c>
      <c r="AH1179" s="259">
        <v>0.97599999999999998</v>
      </c>
      <c r="AI1179" s="259">
        <v>0.64</v>
      </c>
      <c r="AJ1179" s="259">
        <v>10</v>
      </c>
      <c r="AK1179" s="259">
        <v>21.22</v>
      </c>
      <c r="AL1179" s="259">
        <v>42.43</v>
      </c>
      <c r="AM1179" s="259">
        <v>50.91</v>
      </c>
    </row>
    <row r="1180" spans="11:39" hidden="1" x14ac:dyDescent="0.25">
      <c r="K1180" s="80" t="s">
        <v>604</v>
      </c>
      <c r="L1180" s="83">
        <f>IF(L1177&lt;=50,L1178*5600*SQRT(L1177)/1000,21.5*10^3*L1178*((L1177/10)+1.25)^(1/3)/1000)</f>
        <v>33.130046785357855</v>
      </c>
      <c r="M1180" s="38" t="s">
        <v>605</v>
      </c>
      <c r="N1180" s="38" t="s">
        <v>606</v>
      </c>
      <c r="AF1180" s="259">
        <v>4.4999999999999998E-2</v>
      </c>
      <c r="AG1180" s="259">
        <v>6.8000000000000005E-2</v>
      </c>
      <c r="AH1180" s="259">
        <v>0.97299999999999998</v>
      </c>
      <c r="AI1180" s="259">
        <v>0.72</v>
      </c>
      <c r="AJ1180" s="259">
        <v>10</v>
      </c>
      <c r="AK1180" s="259">
        <v>21.16</v>
      </c>
      <c r="AL1180" s="259">
        <v>42.3</v>
      </c>
      <c r="AM1180" s="259">
        <v>50.75</v>
      </c>
    </row>
    <row r="1181" spans="11:39" hidden="1" x14ac:dyDescent="0.25">
      <c r="K1181" s="80" t="s">
        <v>607</v>
      </c>
      <c r="L1181" s="83">
        <f>L1180*L1179</f>
        <v>29.4029165220051</v>
      </c>
      <c r="M1181" s="38" t="s">
        <v>608</v>
      </c>
      <c r="N1181" s="38" t="s">
        <v>609</v>
      </c>
      <c r="AF1181" s="259">
        <v>0.05</v>
      </c>
      <c r="AG1181" s="259">
        <v>7.5999999999999998E-2</v>
      </c>
      <c r="AH1181" s="259">
        <v>0.97</v>
      </c>
      <c r="AI1181" s="259">
        <v>0.8</v>
      </c>
      <c r="AJ1181" s="259">
        <v>10</v>
      </c>
      <c r="AK1181" s="259">
        <v>21.09</v>
      </c>
      <c r="AL1181" s="259">
        <v>42.17</v>
      </c>
      <c r="AM1181" s="259">
        <v>50.59</v>
      </c>
    </row>
    <row r="1182" spans="11:39" hidden="1" x14ac:dyDescent="0.25">
      <c r="K1182" s="80" t="s">
        <v>610</v>
      </c>
      <c r="L1182" s="83">
        <f>IF(L1177&lt;=50,0.3*L1177^(2/3),2.12*LN(1+0.11*L1177))</f>
        <v>3.209962441695238</v>
      </c>
      <c r="M1182" s="38" t="s">
        <v>233</v>
      </c>
      <c r="N1182" s="38" t="s">
        <v>611</v>
      </c>
      <c r="AF1182" s="259">
        <v>5.5E-2</v>
      </c>
      <c r="AG1182" s="259">
        <v>8.3000000000000004E-2</v>
      </c>
      <c r="AH1182" s="259">
        <v>0.96699999999999997</v>
      </c>
      <c r="AI1182" s="259">
        <v>0.88</v>
      </c>
      <c r="AJ1182" s="259">
        <v>10</v>
      </c>
      <c r="AK1182" s="259">
        <v>21.03</v>
      </c>
      <c r="AL1182" s="259">
        <v>42.04</v>
      </c>
      <c r="AM1182" s="259">
        <v>50.42</v>
      </c>
    </row>
    <row r="1183" spans="11:39" hidden="1" x14ac:dyDescent="0.25">
      <c r="M1183" s="38"/>
      <c r="N1183" s="38"/>
      <c r="AF1183" s="259">
        <v>0.06</v>
      </c>
      <c r="AG1183" s="259">
        <v>9.0999999999999998E-2</v>
      </c>
      <c r="AH1183" s="259">
        <v>0.96399999999999997</v>
      </c>
      <c r="AI1183" s="259">
        <v>0.96</v>
      </c>
      <c r="AJ1183" s="259">
        <v>10</v>
      </c>
      <c r="AK1183" s="259">
        <v>20.96</v>
      </c>
      <c r="AL1183" s="259">
        <v>41.91</v>
      </c>
      <c r="AM1183" s="259">
        <v>50.26</v>
      </c>
    </row>
    <row r="1184" spans="11:39" hidden="1" x14ac:dyDescent="0.25">
      <c r="K1184" s="652" t="s">
        <v>614</v>
      </c>
      <c r="L1184" s="652"/>
      <c r="M1184" s="38"/>
      <c r="N1184" s="38"/>
      <c r="AF1184" s="259">
        <v>6.5000000000000002E-2</v>
      </c>
      <c r="AG1184" s="259">
        <v>9.9000000000000005E-2</v>
      </c>
      <c r="AH1184" s="259">
        <v>0.96099999999999997</v>
      </c>
      <c r="AI1184" s="259">
        <v>1.05</v>
      </c>
      <c r="AJ1184" s="259">
        <v>10</v>
      </c>
      <c r="AK1184" s="259">
        <v>20.9</v>
      </c>
      <c r="AL1184" s="259">
        <v>41.78</v>
      </c>
      <c r="AM1184" s="259">
        <v>50.1</v>
      </c>
    </row>
    <row r="1185" spans="11:39" hidden="1" x14ac:dyDescent="0.25">
      <c r="K1185" s="80" t="s">
        <v>613</v>
      </c>
      <c r="L1185" s="31">
        <f>L83</f>
        <v>30.0</v>
      </c>
      <c r="M1185" s="38" t="s">
        <v>160</v>
      </c>
      <c r="N1185" s="38"/>
      <c r="AF1185" s="259">
        <v>7.0000000000000007E-2</v>
      </c>
      <c r="AG1185" s="259">
        <v>0.106</v>
      </c>
      <c r="AH1185" s="259">
        <v>0.95799999999999996</v>
      </c>
      <c r="AI1185" s="259">
        <v>1.1299999999999999</v>
      </c>
      <c r="AJ1185" s="259">
        <v>10</v>
      </c>
      <c r="AK1185" s="259">
        <v>20.83</v>
      </c>
      <c r="AL1185" s="259">
        <v>41.65</v>
      </c>
      <c r="AM1185" s="259">
        <v>49.93</v>
      </c>
    </row>
    <row r="1186" spans="11:39" hidden="1" x14ac:dyDescent="0.25">
      <c r="K1186" s="80" t="s">
        <v>594</v>
      </c>
      <c r="L1186" s="256">
        <v>1</v>
      </c>
      <c r="M1186" s="38"/>
      <c r="N1186" s="38"/>
      <c r="AF1186" s="259">
        <v>7.4999999999999997E-2</v>
      </c>
      <c r="AG1186" s="259">
        <v>0.114</v>
      </c>
      <c r="AH1186" s="259">
        <v>0.95499999999999996</v>
      </c>
      <c r="AI1186" s="259">
        <v>1.21</v>
      </c>
      <c r="AJ1186" s="259">
        <v>10</v>
      </c>
      <c r="AK1186" s="259">
        <v>20.77</v>
      </c>
      <c r="AL1186" s="259">
        <v>41.53</v>
      </c>
      <c r="AM1186" s="259">
        <v>49.77</v>
      </c>
    </row>
    <row r="1187" spans="11:39" hidden="1" x14ac:dyDescent="0.25">
      <c r="K1187" s="80" t="s">
        <v>603</v>
      </c>
      <c r="L1187" s="258">
        <f>0.8+0.2*(L1185/80)</f>
        <v>0.875</v>
      </c>
      <c r="M1187" s="38"/>
      <c r="N1187" s="38"/>
      <c r="AF1187" s="259">
        <v>0.08</v>
      </c>
      <c r="AG1187" s="259">
        <v>0.122</v>
      </c>
      <c r="AH1187" s="259">
        <v>0.95199999999999996</v>
      </c>
      <c r="AI1187" s="259">
        <v>1.29</v>
      </c>
      <c r="AJ1187" s="259">
        <v>10</v>
      </c>
      <c r="AK1187" s="259">
        <v>20.7</v>
      </c>
      <c r="AL1187" s="259">
        <v>41.4</v>
      </c>
      <c r="AM1187" s="259">
        <v>49.61</v>
      </c>
    </row>
    <row r="1188" spans="11:39" hidden="1" x14ac:dyDescent="0.25">
      <c r="K1188" s="80" t="s">
        <v>604</v>
      </c>
      <c r="L1188" s="83">
        <f>IF(L1185&lt;=50,L1186*5600*SQRT(L1185)/1000,21.5*10^3*L1186*((L1185/10)+1.25)^(1/3)/1000)</f>
        <v>30.672463220289305</v>
      </c>
      <c r="M1188" s="38" t="s">
        <v>605</v>
      </c>
      <c r="N1188" s="38" t="s">
        <v>606</v>
      </c>
      <c r="AF1188" s="259">
        <v>8.5000000000000006E-2</v>
      </c>
      <c r="AG1188" s="259">
        <v>0.129</v>
      </c>
      <c r="AH1188" s="259">
        <v>0.94899999999999995</v>
      </c>
      <c r="AI1188" s="259">
        <v>1.37</v>
      </c>
      <c r="AJ1188" s="259">
        <v>10</v>
      </c>
      <c r="AK1188" s="259">
        <v>20.64</v>
      </c>
      <c r="AL1188" s="259">
        <v>41.27</v>
      </c>
      <c r="AM1188" s="259">
        <v>49.44</v>
      </c>
    </row>
    <row r="1189" spans="11:39" hidden="1" x14ac:dyDescent="0.25">
      <c r="K1189" s="80" t="s">
        <v>607</v>
      </c>
      <c r="L1189" s="83">
        <f>L1188*L1187</f>
        <v>26.838405317753143</v>
      </c>
      <c r="M1189" s="38" t="s">
        <v>608</v>
      </c>
      <c r="N1189" s="38" t="s">
        <v>609</v>
      </c>
      <c r="AF1189" s="259">
        <v>0.09</v>
      </c>
      <c r="AG1189" s="259">
        <v>0.13700000000000001</v>
      </c>
      <c r="AH1189" s="259">
        <v>0.94599999999999995</v>
      </c>
      <c r="AI1189" s="259">
        <v>1.45</v>
      </c>
      <c r="AJ1189" s="259">
        <v>10</v>
      </c>
      <c r="AK1189" s="259">
        <v>20.57</v>
      </c>
      <c r="AL1189" s="259">
        <v>41.14</v>
      </c>
      <c r="AM1189" s="259">
        <v>49.28</v>
      </c>
    </row>
    <row r="1190" spans="11:39" hidden="1" x14ac:dyDescent="0.25">
      <c r="K1190" s="80" t="s">
        <v>610</v>
      </c>
      <c r="L1190" s="83">
        <f>IF(L1185&lt;=50,0.3*L1185^(2/3),2.12*LN(1+0.11*L1185))</f>
        <v>2.896468153816889</v>
      </c>
      <c r="M1190" s="38" t="s">
        <v>233</v>
      </c>
      <c r="N1190" s="38" t="s">
        <v>611</v>
      </c>
      <c r="AF1190" s="259">
        <v>9.5000000000000001E-2</v>
      </c>
      <c r="AG1190" s="259">
        <v>0.14499999999999999</v>
      </c>
      <c r="AH1190" s="259">
        <v>0.94299999999999995</v>
      </c>
      <c r="AI1190" s="259">
        <v>1.53</v>
      </c>
      <c r="AJ1190" s="259">
        <v>10</v>
      </c>
      <c r="AK1190" s="259">
        <v>20.51</v>
      </c>
      <c r="AL1190" s="259">
        <v>41.01</v>
      </c>
      <c r="AM1190" s="259">
        <v>49.12</v>
      </c>
    </row>
    <row r="1191" spans="11:39" hidden="1" x14ac:dyDescent="0.25">
      <c r="M1191" s="38"/>
      <c r="AF1191" s="259">
        <v>0.1</v>
      </c>
      <c r="AG1191" s="259">
        <v>0.152</v>
      </c>
      <c r="AH1191" s="259">
        <v>0.94</v>
      </c>
      <c r="AI1191" s="259">
        <v>1.62</v>
      </c>
      <c r="AJ1191" s="259">
        <v>10</v>
      </c>
      <c r="AK1191" s="259">
        <v>20.440000000000001</v>
      </c>
      <c r="AL1191" s="259">
        <v>40.880000000000003</v>
      </c>
      <c r="AM1191" s="259">
        <v>48.95</v>
      </c>
    </row>
    <row r="1192" spans="11:39" hidden="1" x14ac:dyDescent="0.25">
      <c r="AF1192" s="259">
        <v>0.105</v>
      </c>
      <c r="AG1192" s="259">
        <v>0.16</v>
      </c>
      <c r="AH1192" s="259">
        <v>0.93700000000000006</v>
      </c>
      <c r="AI1192" s="259">
        <v>1.7</v>
      </c>
      <c r="AJ1192" s="259">
        <v>10</v>
      </c>
      <c r="AK1192" s="259">
        <v>20.38</v>
      </c>
      <c r="AL1192" s="259">
        <v>40.75</v>
      </c>
      <c r="AM1192" s="259">
        <v>48.79</v>
      </c>
    </row>
    <row r="1193" spans="11:39" hidden="1" x14ac:dyDescent="0.25">
      <c r="K1193" s="653" t="s">
        <v>615</v>
      </c>
      <c r="L1193" s="653"/>
      <c r="M1193" s="653"/>
      <c r="N1193" s="653"/>
      <c r="O1193" s="653"/>
      <c r="P1193" s="653"/>
      <c r="Q1193" s="653"/>
      <c r="R1193" s="653"/>
      <c r="AF1193" s="259">
        <v>0.11</v>
      </c>
      <c r="AG1193" s="259">
        <v>0.16800000000000001</v>
      </c>
      <c r="AH1193" s="259">
        <v>0.93400000000000005</v>
      </c>
      <c r="AI1193" s="259">
        <v>1.78</v>
      </c>
      <c r="AJ1193" s="259">
        <v>10</v>
      </c>
      <c r="AK1193" s="259">
        <v>20.309999999999999</v>
      </c>
      <c r="AL1193" s="259">
        <v>40.619999999999997</v>
      </c>
      <c r="AM1193" s="259">
        <v>48.63</v>
      </c>
    </row>
    <row r="1194" spans="11:39" hidden="1" x14ac:dyDescent="0.25">
      <c r="AF1194" s="259">
        <v>0.115</v>
      </c>
      <c r="AG1194" s="259">
        <v>0.17499999999999999</v>
      </c>
      <c r="AH1194" s="259">
        <v>0.93100000000000005</v>
      </c>
      <c r="AI1194" s="259">
        <v>1.86</v>
      </c>
      <c r="AJ1194" s="259">
        <v>10</v>
      </c>
      <c r="AK1194" s="259">
        <v>20.25</v>
      </c>
      <c r="AL1194" s="259">
        <v>40.5</v>
      </c>
      <c r="AM1194" s="259">
        <v>48.46</v>
      </c>
    </row>
    <row r="1195" spans="11:39" hidden="1" x14ac:dyDescent="0.25">
      <c r="K1195" s="652" t="s">
        <v>616</v>
      </c>
      <c r="L1195" s="652"/>
      <c r="AF1195" s="259">
        <v>0.12</v>
      </c>
      <c r="AG1195" s="259">
        <v>0.183</v>
      </c>
      <c r="AH1195" s="259">
        <v>0.92800000000000005</v>
      </c>
      <c r="AI1195" s="259">
        <v>1.94</v>
      </c>
      <c r="AJ1195" s="259">
        <v>10</v>
      </c>
      <c r="AK1195" s="259">
        <v>20.18</v>
      </c>
      <c r="AL1195" s="259">
        <v>40.369999999999997</v>
      </c>
      <c r="AM1195" s="259">
        <v>48.3</v>
      </c>
    </row>
    <row r="1196" spans="11:39" hidden="1" x14ac:dyDescent="0.25">
      <c r="K1196" s="80" t="s">
        <v>2180</v>
      </c>
      <c r="L1196" s="256">
        <f>$R$77</f>
        <v>0.9</v>
      </c>
      <c r="N1196" s="38" t="s">
        <v>617</v>
      </c>
      <c r="AF1196" s="259">
        <v>0.125</v>
      </c>
      <c r="AG1196" s="259">
        <v>0.2</v>
      </c>
      <c r="AH1196" s="259">
        <v>0.92</v>
      </c>
      <c r="AI1196" s="259">
        <v>2.5</v>
      </c>
      <c r="AJ1196" s="259">
        <v>10</v>
      </c>
      <c r="AK1196" s="259">
        <v>20</v>
      </c>
      <c r="AL1196" s="259">
        <v>40.01</v>
      </c>
      <c r="AM1196" s="259">
        <v>48</v>
      </c>
    </row>
    <row r="1197" spans="11:39" hidden="1" x14ac:dyDescent="0.25">
      <c r="K1197" s="260" t="s">
        <v>618</v>
      </c>
      <c r="L1197" s="83">
        <f ca="1">$N$369*10</f>
        <v>1232.0686130687182</v>
      </c>
      <c r="M1197" s="38" t="s">
        <v>233</v>
      </c>
      <c r="N1197" s="38" t="s">
        <v>619</v>
      </c>
      <c r="AF1197" s="259">
        <v>0.13</v>
      </c>
      <c r="AG1197" s="259">
        <v>0.20899999999999999</v>
      </c>
      <c r="AH1197" s="259">
        <v>0.91700000000000004</v>
      </c>
      <c r="AI1197" s="259">
        <v>2.41</v>
      </c>
      <c r="AJ1197" s="259">
        <v>10</v>
      </c>
      <c r="AK1197" s="259">
        <v>19.940000000000001</v>
      </c>
      <c r="AL1197" s="259">
        <v>39.869999999999997</v>
      </c>
      <c r="AM1197" s="259">
        <v>47.83</v>
      </c>
    </row>
    <row r="1198" spans="11:39" hidden="1" x14ac:dyDescent="0.25">
      <c r="K1198" s="261" t="s">
        <v>620</v>
      </c>
      <c r="L1198" s="262">
        <f ca="1">(($L$1197*$L$1196)/200000)*1000</f>
        <v>5.544308758809232</v>
      </c>
      <c r="M1198" s="38" t="s">
        <v>621</v>
      </c>
      <c r="N1198" s="38" t="s">
        <v>622</v>
      </c>
      <c r="AF1198" s="259">
        <v>0.13500000000000001</v>
      </c>
      <c r="AG1198" s="259">
        <v>0.217</v>
      </c>
      <c r="AH1198" s="259">
        <v>0.91300000000000003</v>
      </c>
      <c r="AI1198" s="259">
        <v>2.78</v>
      </c>
      <c r="AJ1198" s="259">
        <v>10</v>
      </c>
      <c r="AK1198" s="259">
        <v>19.87</v>
      </c>
      <c r="AL1198" s="259">
        <v>39.729999999999997</v>
      </c>
      <c r="AM1198" s="259">
        <v>47.67</v>
      </c>
    </row>
    <row r="1199" spans="11:39" hidden="1" x14ac:dyDescent="0.25">
      <c r="K1199" s="652" t="s">
        <v>623</v>
      </c>
      <c r="L1199" s="652"/>
      <c r="M1199" s="38"/>
      <c r="N1199" s="38"/>
      <c r="AF1199" s="259">
        <v>0.14000000000000001</v>
      </c>
      <c r="AG1199" s="259">
        <v>0.22600000000000001</v>
      </c>
      <c r="AH1199" s="259">
        <v>0.91</v>
      </c>
      <c r="AI1199" s="259">
        <v>2.86</v>
      </c>
      <c r="AJ1199" s="259">
        <v>10</v>
      </c>
      <c r="AK1199" s="259">
        <v>19.809999999999999</v>
      </c>
      <c r="AL1199" s="259">
        <v>39.590000000000003</v>
      </c>
      <c r="AM1199" s="259">
        <v>47.5</v>
      </c>
    </row>
    <row r="1200" spans="11:39" hidden="1" x14ac:dyDescent="0.25">
      <c r="K1200" s="80" t="s">
        <v>2180</v>
      </c>
      <c r="L1200" s="263">
        <f>$R$77</f>
        <v>0.9</v>
      </c>
      <c r="N1200" s="38" t="s">
        <v>617</v>
      </c>
      <c r="AF1200" s="259">
        <v>0.14499999999999999</v>
      </c>
      <c r="AG1200" s="259">
        <v>0.23499999999999999</v>
      </c>
      <c r="AH1200" s="259">
        <v>0.90600000000000003</v>
      </c>
      <c r="AI1200" s="259">
        <v>3.03</v>
      </c>
      <c r="AJ1200" s="259">
        <v>10</v>
      </c>
      <c r="AK1200" s="259">
        <v>19.739999999999998</v>
      </c>
      <c r="AL1200" s="259">
        <v>39.450000000000003</v>
      </c>
      <c r="AM1200" s="259">
        <v>47.33</v>
      </c>
    </row>
    <row r="1201" spans="11:39" hidden="1" x14ac:dyDescent="0.25">
      <c r="K1201" s="260" t="s">
        <v>618</v>
      </c>
      <c r="L1201" s="83">
        <f ca="1">$N$368*10</f>
        <v>1110.3210918130362</v>
      </c>
      <c r="N1201" s="38" t="s">
        <v>619</v>
      </c>
      <c r="R1201" s="264"/>
      <c r="AF1201" s="259">
        <v>0.15</v>
      </c>
      <c r="AG1201" s="259">
        <v>0.24399999999999999</v>
      </c>
      <c r="AH1201" s="259">
        <v>0.90200000000000002</v>
      </c>
      <c r="AI1201" s="259">
        <v>3.1</v>
      </c>
      <c r="AJ1201" s="259">
        <v>10</v>
      </c>
      <c r="AK1201" s="259">
        <v>19.68</v>
      </c>
      <c r="AL1201" s="259">
        <v>39.31</v>
      </c>
      <c r="AM1201" s="259">
        <v>47.16</v>
      </c>
    </row>
    <row r="1202" spans="11:39" hidden="1" x14ac:dyDescent="0.25">
      <c r="K1202" s="261" t="s">
        <v>620</v>
      </c>
      <c r="L1202" s="262">
        <f ca="1">(($L$1201*$L$1200)/200000)*1000+(L1130/(L1173*100))*1000</f>
        <v>5.3651309425196345</v>
      </c>
      <c r="N1202" s="38" t="s">
        <v>622</v>
      </c>
      <c r="R1202" s="264"/>
      <c r="AF1202" s="259">
        <v>0.155</v>
      </c>
      <c r="AG1202" s="259">
        <v>0.254</v>
      </c>
      <c r="AH1202" s="259">
        <v>0.89900000000000002</v>
      </c>
      <c r="AI1202" s="259">
        <v>3.4</v>
      </c>
      <c r="AJ1202" s="259">
        <v>10</v>
      </c>
      <c r="AK1202" s="259">
        <v>19.53</v>
      </c>
      <c r="AL1202" s="259">
        <v>39.07</v>
      </c>
      <c r="AM1202" s="259">
        <v>46.85</v>
      </c>
    </row>
    <row r="1203" spans="11:39" hidden="1" x14ac:dyDescent="0.25">
      <c r="AF1203" s="259"/>
      <c r="AG1203" s="259"/>
      <c r="AH1203" s="259"/>
      <c r="AI1203" s="259"/>
      <c r="AJ1203" s="259"/>
      <c r="AK1203" s="259"/>
      <c r="AL1203" s="259"/>
      <c r="AM1203" s="259"/>
    </row>
    <row r="1204" spans="11:39" hidden="1" x14ac:dyDescent="0.25">
      <c r="AF1204" s="259">
        <v>0.16</v>
      </c>
      <c r="AG1204" s="259">
        <v>0.26300000000000001</v>
      </c>
      <c r="AH1204" s="259">
        <v>0.89500000000000002</v>
      </c>
      <c r="AI1204" s="259">
        <v>3.5</v>
      </c>
      <c r="AJ1204" s="259">
        <v>9.81</v>
      </c>
      <c r="AK1204" s="259">
        <v>19.47</v>
      </c>
      <c r="AL1204" s="259">
        <v>38.93</v>
      </c>
      <c r="AM1204" s="259">
        <v>46.69</v>
      </c>
    </row>
    <row r="1205" spans="11:39" hidden="1" x14ac:dyDescent="0.25">
      <c r="K1205" s="653" t="s">
        <v>624</v>
      </c>
      <c r="L1205" s="653"/>
      <c r="M1205" s="653"/>
      <c r="N1205" s="653"/>
      <c r="O1205" s="653"/>
      <c r="P1205" s="653"/>
      <c r="Q1205" s="653"/>
      <c r="R1205" s="653"/>
      <c r="AF1205" s="259">
        <v>0.16300000000000001</v>
      </c>
      <c r="AG1205" s="259">
        <v>0.27200000000000002</v>
      </c>
      <c r="AH1205" s="259">
        <v>0.89100000000000001</v>
      </c>
      <c r="AI1205" s="259">
        <v>3.5</v>
      </c>
      <c r="AJ1205" s="259">
        <v>9.4499999999999993</v>
      </c>
      <c r="AK1205" s="259">
        <v>19.41</v>
      </c>
      <c r="AL1205" s="259">
        <v>38.82</v>
      </c>
      <c r="AM1205" s="259">
        <v>46.56</v>
      </c>
    </row>
    <row r="1206" spans="11:39" hidden="1" x14ac:dyDescent="0.25">
      <c r="K1206" s="4" t="s">
        <v>625</v>
      </c>
      <c r="AF1206" s="259">
        <v>0.17</v>
      </c>
      <c r="AG1206" s="259">
        <v>0.28199999999999997</v>
      </c>
      <c r="AH1206" s="259">
        <v>0.88700000000000001</v>
      </c>
      <c r="AI1206" s="259">
        <v>3.5</v>
      </c>
      <c r="AJ1206" s="259">
        <v>8.92</v>
      </c>
      <c r="AK1206" s="259">
        <v>19.29</v>
      </c>
      <c r="AL1206" s="259">
        <v>38.58</v>
      </c>
      <c r="AM1206" s="259">
        <v>46.29</v>
      </c>
    </row>
    <row r="1207" spans="11:39" hidden="1" x14ac:dyDescent="0.25">
      <c r="AF1207" s="259">
        <v>0.17499999999999999</v>
      </c>
      <c r="AG1207" s="259">
        <v>0.29099999999999998</v>
      </c>
      <c r="AH1207" s="259">
        <v>0.88300000000000001</v>
      </c>
      <c r="AI1207" s="259">
        <v>3.5</v>
      </c>
      <c r="AJ1207" s="259">
        <v>8.52</v>
      </c>
      <c r="AK1207" s="259">
        <v>19.23</v>
      </c>
      <c r="AL1207" s="259">
        <v>38.46</v>
      </c>
      <c r="AM1207" s="259">
        <v>46.15</v>
      </c>
    </row>
    <row r="1208" spans="11:39" hidden="1" x14ac:dyDescent="0.25">
      <c r="K1208" s="652" t="s">
        <v>626</v>
      </c>
      <c r="L1208" s="652"/>
      <c r="AF1208" s="259">
        <v>0.185</v>
      </c>
      <c r="AG1208" s="259">
        <v>0.311</v>
      </c>
      <c r="AH1208" s="259">
        <v>0.876</v>
      </c>
      <c r="AI1208" s="259">
        <v>3.5</v>
      </c>
      <c r="AJ1208" s="259">
        <v>7.77</v>
      </c>
      <c r="AK1208" s="259">
        <v>19.04</v>
      </c>
      <c r="AL1208" s="259">
        <v>38.07</v>
      </c>
      <c r="AM1208" s="259">
        <v>45.77</v>
      </c>
    </row>
    <row r="1209" spans="11:39" hidden="1" x14ac:dyDescent="0.25">
      <c r="K1209" s="80" t="s">
        <v>627</v>
      </c>
      <c r="L1209" s="103">
        <f ca="1">'Estádio - Flechas'!Q7/100</f>
        <v>510.85030469517636</v>
      </c>
      <c r="M1209" s="38" t="s">
        <v>216</v>
      </c>
      <c r="N1209" s="38" t="s">
        <v>628</v>
      </c>
      <c r="AF1209" s="259">
        <v>0.19</v>
      </c>
      <c r="AG1209" s="259">
        <v>0.32</v>
      </c>
      <c r="AH1209" s="259">
        <v>0.872</v>
      </c>
      <c r="AI1209" s="259">
        <v>3.5</v>
      </c>
      <c r="AJ1209" s="259">
        <v>7.41</v>
      </c>
      <c r="AK1209" s="259">
        <v>18.98</v>
      </c>
      <c r="AL1209" s="259">
        <v>37.97</v>
      </c>
      <c r="AM1209" s="259">
        <v>45.65</v>
      </c>
    </row>
    <row r="1210" spans="11:39" hidden="1" x14ac:dyDescent="0.25">
      <c r="K1210" s="80" t="s">
        <v>629</v>
      </c>
      <c r="L1210" s="103">
        <f>0.3*POWER(L84,2/3)*1000</f>
        <v>3209.9624416952383</v>
      </c>
      <c r="M1210" s="38" t="s">
        <v>234</v>
      </c>
      <c r="N1210" s="38" t="s">
        <v>630</v>
      </c>
      <c r="AF1210" s="259">
        <v>0.19500000000000001</v>
      </c>
      <c r="AG1210" s="259">
        <v>0.33</v>
      </c>
      <c r="AH1210" s="259">
        <v>0.86699999999999999</v>
      </c>
      <c r="AI1210" s="259">
        <v>3.5</v>
      </c>
      <c r="AJ1210" s="259">
        <v>7.09</v>
      </c>
      <c r="AK1210" s="259">
        <v>18.87</v>
      </c>
      <c r="AL1210" s="259">
        <v>37.729999999999997</v>
      </c>
      <c r="AM1210" s="259">
        <v>45.47</v>
      </c>
    </row>
    <row r="1211" spans="11:39" hidden="1" x14ac:dyDescent="0.25">
      <c r="K1211" s="80" t="s">
        <v>291</v>
      </c>
      <c r="L1211" s="103">
        <f ca="1">L324*L298+L300*L326</f>
        <v>1475.413282676191</v>
      </c>
      <c r="M1211" s="38" t="s">
        <v>292</v>
      </c>
      <c r="N1211" s="38" t="s">
        <v>631</v>
      </c>
      <c r="AF1211" s="259">
        <v>0.2</v>
      </c>
      <c r="AG1211" s="259">
        <v>0.34</v>
      </c>
      <c r="AH1211" s="259">
        <v>0.86399999999999999</v>
      </c>
      <c r="AI1211" s="259">
        <v>3.5</v>
      </c>
      <c r="AJ1211" s="259">
        <v>6.78</v>
      </c>
      <c r="AK1211" s="259">
        <v>18.8</v>
      </c>
      <c r="AL1211" s="259">
        <v>37.590000000000003</v>
      </c>
      <c r="AM1211" s="259">
        <v>45.31</v>
      </c>
    </row>
    <row r="1212" spans="11:39" hidden="1" x14ac:dyDescent="0.25">
      <c r="K1212" s="80" t="s">
        <v>295</v>
      </c>
      <c r="L1212" s="103">
        <f ca="1">(L324*L298*(L299/100))+(L300*L326*(L301/100))</f>
        <v>276.63999050178586</v>
      </c>
      <c r="M1212" s="38" t="s">
        <v>216</v>
      </c>
      <c r="N1212" s="38" t="s">
        <v>632</v>
      </c>
      <c r="AF1212" s="259">
        <v>0.20499999999999999</v>
      </c>
      <c r="AG1212" s="259">
        <v>0.35099999999999998</v>
      </c>
      <c r="AH1212" s="259">
        <v>0.86</v>
      </c>
      <c r="AI1212" s="259">
        <v>3.5</v>
      </c>
      <c r="AJ1212" s="259">
        <v>6.48</v>
      </c>
      <c r="AK1212" s="259">
        <v>18.690000000000001</v>
      </c>
      <c r="AL1212" s="259">
        <v>37.380000000000003</v>
      </c>
      <c r="AM1212" s="259">
        <v>45.06</v>
      </c>
    </row>
    <row r="1213" spans="11:39" hidden="1" x14ac:dyDescent="0.25">
      <c r="K1213" s="80"/>
      <c r="M1213" s="38"/>
      <c r="N1213" s="38"/>
      <c r="AF1213" s="259">
        <v>0.21</v>
      </c>
      <c r="AG1213" s="259">
        <v>0.36099999999999999</v>
      </c>
      <c r="AH1213" s="259">
        <v>0.85599999999999998</v>
      </c>
      <c r="AI1213" s="259">
        <v>3.5</v>
      </c>
      <c r="AJ1213" s="259">
        <v>6.2</v>
      </c>
      <c r="AK1213" s="259">
        <v>18.61</v>
      </c>
      <c r="AL1213" s="259">
        <v>37.229999999999997</v>
      </c>
      <c r="AM1213" s="259">
        <v>44.91</v>
      </c>
    </row>
    <row r="1214" spans="11:39" hidden="1" x14ac:dyDescent="0.25">
      <c r="K1214" s="80" t="s">
        <v>633</v>
      </c>
      <c r="L1214" s="265">
        <f ca="1">'Estádio - Flechas'!R7/100</f>
        <v>41.01747656249999</v>
      </c>
      <c r="M1214" s="38" t="s">
        <v>216</v>
      </c>
      <c r="N1214" s="38" t="s">
        <v>634</v>
      </c>
      <c r="AF1214" s="259">
        <v>0.215</v>
      </c>
      <c r="AG1214" s="259">
        <v>0.371</v>
      </c>
      <c r="AH1214" s="259">
        <v>0.85099999999999998</v>
      </c>
      <c r="AI1214" s="259">
        <v>3.5</v>
      </c>
      <c r="AJ1214" s="259">
        <v>5.93</v>
      </c>
      <c r="AK1214" s="259">
        <v>18.510000000000002</v>
      </c>
      <c r="AL1214" s="259">
        <v>37.01</v>
      </c>
      <c r="AM1214" s="259">
        <v>44.72</v>
      </c>
    </row>
    <row r="1215" spans="11:39" hidden="1" x14ac:dyDescent="0.25">
      <c r="M1215" s="38"/>
      <c r="N1215" s="38"/>
      <c r="AF1215" s="259">
        <v>0.22</v>
      </c>
      <c r="AG1215" s="259">
        <v>0.38200000000000001</v>
      </c>
      <c r="AH1215" s="259">
        <v>0.84699999999999998</v>
      </c>
      <c r="AI1215" s="259">
        <v>3.5</v>
      </c>
      <c r="AJ1215" s="259">
        <v>5.67</v>
      </c>
      <c r="AK1215" s="259">
        <v>18.41</v>
      </c>
      <c r="AL1215" s="259">
        <v>36.82</v>
      </c>
      <c r="AM1215" s="259">
        <v>44.52</v>
      </c>
    </row>
    <row r="1216" spans="11:39" hidden="1" x14ac:dyDescent="0.25">
      <c r="K1216" s="652" t="s">
        <v>635</v>
      </c>
      <c r="L1216" s="652"/>
      <c r="M1216" s="38"/>
      <c r="N1216" s="38"/>
      <c r="AF1216" s="259">
        <v>0.22500000000000001</v>
      </c>
      <c r="AG1216" s="259">
        <v>0.39200000000000002</v>
      </c>
      <c r="AH1216" s="259">
        <v>0.84299999999999997</v>
      </c>
      <c r="AI1216" s="259">
        <v>3.5</v>
      </c>
      <c r="AJ1216" s="259">
        <v>5.42</v>
      </c>
      <c r="AK1216" s="259">
        <v>18.329999999999998</v>
      </c>
      <c r="AL1216" s="259">
        <v>36.659999999999997</v>
      </c>
      <c r="AM1216" s="259">
        <v>43.98</v>
      </c>
    </row>
    <row r="1217" spans="11:39" hidden="1" x14ac:dyDescent="0.25">
      <c r="K1217" s="80" t="s">
        <v>291</v>
      </c>
      <c r="L1217" s="101">
        <f ca="1">L298*N368+L300*N369</f>
        <v>1243.5596228306003</v>
      </c>
      <c r="M1217" s="38" t="s">
        <v>512</v>
      </c>
      <c r="N1217" s="38" t="s">
        <v>631</v>
      </c>
      <c r="AF1217" s="259">
        <v>0.23</v>
      </c>
      <c r="AG1217" s="259">
        <v>0.40300000000000002</v>
      </c>
      <c r="AH1217" s="259">
        <v>0.83899999999999997</v>
      </c>
      <c r="AI1217" s="259">
        <v>3.5</v>
      </c>
      <c r="AJ1217" s="259">
        <v>5.18</v>
      </c>
      <c r="AK1217" s="259">
        <v>18.239999999999998</v>
      </c>
      <c r="AL1217" s="259">
        <v>36.479999999999997</v>
      </c>
      <c r="AM1217" s="259">
        <v>43.78</v>
      </c>
    </row>
    <row r="1218" spans="11:39" hidden="1" x14ac:dyDescent="0.25">
      <c r="K1218" s="80" t="s">
        <v>295</v>
      </c>
      <c r="L1218" s="103">
        <f ca="1">L298*N368*L299/100-L300*N369*L301/100</f>
        <v>233.16742928073757</v>
      </c>
      <c r="M1218" s="38" t="s">
        <v>216</v>
      </c>
      <c r="N1218" s="38" t="s">
        <v>632</v>
      </c>
      <c r="AF1218" s="259">
        <v>0.23499999999999999</v>
      </c>
      <c r="AG1218" s="259">
        <v>0.41399999999999998</v>
      </c>
      <c r="AH1218" s="259">
        <v>0.83399999999999996</v>
      </c>
      <c r="AI1218" s="259">
        <v>3.5</v>
      </c>
      <c r="AJ1218" s="259">
        <v>4.95</v>
      </c>
      <c r="AK1218" s="259">
        <v>18.14</v>
      </c>
      <c r="AL1218" s="259">
        <v>36.29</v>
      </c>
      <c r="AM1218" s="259">
        <v>43.53</v>
      </c>
    </row>
    <row r="1219" spans="11:39" hidden="1" x14ac:dyDescent="0.25">
      <c r="K1219" s="80" t="s">
        <v>629</v>
      </c>
      <c r="L1219" s="103">
        <f>0.3*POWER(L82,2/3)*1000</f>
        <v>4071.626424892359</v>
      </c>
      <c r="M1219" s="38" t="s">
        <v>234</v>
      </c>
      <c r="N1219" s="38" t="s">
        <v>630</v>
      </c>
      <c r="AF1219" s="259">
        <v>0.24</v>
      </c>
      <c r="AG1219" s="259">
        <v>0.42499999999999999</v>
      </c>
      <c r="AH1219" s="259">
        <v>0.83</v>
      </c>
      <c r="AI1219" s="259">
        <v>3.5</v>
      </c>
      <c r="AJ1219" s="259">
        <v>4.7300000000000004</v>
      </c>
      <c r="AK1219" s="259">
        <v>18.04</v>
      </c>
      <c r="AL1219" s="259">
        <v>36.08</v>
      </c>
      <c r="AM1219" s="259">
        <v>43.28</v>
      </c>
    </row>
    <row r="1220" spans="11:39" hidden="1" x14ac:dyDescent="0.25">
      <c r="K1220" s="80" t="s">
        <v>627</v>
      </c>
      <c r="L1220" s="103">
        <f ca="1">'Estádio - Flechas'!Q12/100</f>
        <v>666.5172517840213</v>
      </c>
      <c r="M1220" s="38" t="s">
        <v>216</v>
      </c>
      <c r="N1220" s="38" t="s">
        <v>628</v>
      </c>
      <c r="AF1220" s="259">
        <v>0.245</v>
      </c>
      <c r="AG1220" s="259">
        <v>0.436</v>
      </c>
      <c r="AH1220" s="259">
        <v>0.82499999999999996</v>
      </c>
      <c r="AI1220" s="259">
        <v>3.5</v>
      </c>
      <c r="AJ1220" s="259">
        <v>4.5199999999999996</v>
      </c>
      <c r="AK1220" s="259">
        <v>17.940000000000001</v>
      </c>
      <c r="AL1220" s="259">
        <v>35.89</v>
      </c>
      <c r="AM1220" s="259">
        <v>43.06</v>
      </c>
    </row>
    <row r="1221" spans="11:39" hidden="1" x14ac:dyDescent="0.25">
      <c r="K1221" s="80"/>
      <c r="M1221" s="38"/>
      <c r="N1221" s="38"/>
      <c r="AF1221" s="259">
        <v>0.246</v>
      </c>
      <c r="AG1221" s="259">
        <v>0.439</v>
      </c>
      <c r="AH1221" s="259">
        <v>0.82399999999999995</v>
      </c>
      <c r="AI1221" s="259">
        <v>3.5</v>
      </c>
      <c r="AJ1221" s="259">
        <v>4.4800000000000004</v>
      </c>
      <c r="AK1221" s="259">
        <v>17.920000000000002</v>
      </c>
      <c r="AL1221" s="259">
        <v>35.85</v>
      </c>
      <c r="AM1221" s="259">
        <v>43.01</v>
      </c>
    </row>
    <row r="1222" spans="11:39" hidden="1" x14ac:dyDescent="0.25">
      <c r="K1222" s="80" t="s">
        <v>636</v>
      </c>
      <c r="L1222" s="265">
        <f ca="1">'Estádio - Flechas'!R12/100</f>
        <v>1458.2300257421878</v>
      </c>
      <c r="M1222" s="38" t="s">
        <v>216</v>
      </c>
      <c r="N1222" s="38" t="s">
        <v>634</v>
      </c>
      <c r="AF1222" s="266">
        <v>0.3</v>
      </c>
      <c r="AG1222" s="266">
        <v>0.57199999999999995</v>
      </c>
      <c r="AH1222" s="266">
        <v>0.77100000000000002</v>
      </c>
      <c r="AI1222" s="266">
        <v>3.5</v>
      </c>
      <c r="AJ1222" s="266">
        <v>2.62</v>
      </c>
      <c r="AK1222" s="266">
        <v>16.760000000000002</v>
      </c>
      <c r="AL1222" s="266" t="s">
        <v>637</v>
      </c>
      <c r="AM1222" s="27"/>
    </row>
    <row r="1223" spans="11:39" hidden="1" x14ac:dyDescent="0.25">
      <c r="AF1223" s="266">
        <v>0.30499999999999999</v>
      </c>
      <c r="AG1223" s="266">
        <v>0.58599999999999997</v>
      </c>
      <c r="AH1223" s="266">
        <v>0.76600000000000001</v>
      </c>
      <c r="AI1223" s="266">
        <v>3.5</v>
      </c>
      <c r="AJ1223" s="266">
        <v>2.48</v>
      </c>
      <c r="AK1223" s="266">
        <v>16.649999999999999</v>
      </c>
      <c r="AL1223" s="266" t="s">
        <v>637</v>
      </c>
      <c r="AM1223" s="27"/>
    </row>
    <row r="1224" spans="11:39" hidden="1" x14ac:dyDescent="0.25">
      <c r="AF1224" s="266">
        <v>0.31</v>
      </c>
      <c r="AG1224" s="266">
        <v>0.6</v>
      </c>
      <c r="AH1224" s="266">
        <v>0.76</v>
      </c>
      <c r="AI1224" s="266">
        <v>3.5</v>
      </c>
      <c r="AJ1224" s="266">
        <v>2.34</v>
      </c>
      <c r="AK1224" s="266">
        <v>16.52</v>
      </c>
      <c r="AL1224" s="266" t="s">
        <v>637</v>
      </c>
      <c r="AM1224" s="27"/>
    </row>
    <row r="1225" spans="11:39" x14ac:dyDescent="0.25">
      <c r="K1225" s="653" t="s">
        <v>638</v>
      </c>
      <c r="L1225" s="653"/>
      <c r="M1225" s="653"/>
      <c r="N1225" s="653"/>
      <c r="O1225" s="653"/>
      <c r="P1225" s="653"/>
      <c r="Q1225" s="653"/>
      <c r="R1225" s="653"/>
      <c r="AF1225" s="266">
        <v>0.315</v>
      </c>
      <c r="AG1225" s="266">
        <v>0.61399999999999999</v>
      </c>
      <c r="AH1225" s="266">
        <v>0.754</v>
      </c>
      <c r="AI1225" s="266">
        <v>3.5</v>
      </c>
      <c r="AJ1225" s="266">
        <v>2.2000000000000002</v>
      </c>
      <c r="AK1225" s="266">
        <v>16.399999999999999</v>
      </c>
      <c r="AL1225" s="266" t="s">
        <v>637</v>
      </c>
      <c r="AM1225" s="27"/>
    </row>
    <row r="1226" spans="11:39" x14ac:dyDescent="0.25">
      <c r="K1226" s="107"/>
      <c r="L1226" s="107"/>
      <c r="M1226" s="107"/>
      <c r="N1226" s="107"/>
      <c r="O1226" s="107"/>
      <c r="P1226" s="107"/>
      <c r="Q1226" s="107"/>
      <c r="R1226" s="107"/>
      <c r="AF1226" s="266">
        <v>0.32</v>
      </c>
      <c r="AG1226" s="266">
        <v>0.628</v>
      </c>
      <c r="AH1226" s="266">
        <v>0.748</v>
      </c>
      <c r="AI1226" s="266">
        <v>3.5</v>
      </c>
      <c r="AJ1226" s="266">
        <v>2.06</v>
      </c>
      <c r="AK1226" s="266">
        <v>16.28</v>
      </c>
      <c r="AL1226" s="266" t="s">
        <v>637</v>
      </c>
      <c r="AM1226" s="27"/>
    </row>
    <row r="1227" spans="11:39" hidden="1" x14ac:dyDescent="0.25">
      <c r="L1227" s="663" t="s">
        <v>639</v>
      </c>
      <c r="M1227" s="663"/>
      <c r="O1227" s="107" t="s">
        <v>640</v>
      </c>
    </row>
    <row r="1228" spans="11:39" hidden="1" x14ac:dyDescent="0.25"/>
    <row r="1229" spans="11:39" hidden="1" x14ac:dyDescent="0.25">
      <c r="L1229" s="4" t="s">
        <v>2181</v>
      </c>
      <c r="M1229" s="103">
        <f>L1181*100^3</f>
        <v>29402916.5220051</v>
      </c>
      <c r="O1229" s="4" t="s">
        <v>641</v>
      </c>
      <c r="P1229" s="27">
        <f>Fluência!$B$17</f>
        <v>0.2</v>
      </c>
    </row>
    <row r="1230" spans="11:39" ht="17.25" hidden="1" customHeight="1" x14ac:dyDescent="0.3">
      <c r="O1230" s="4" t="s">
        <v>642</v>
      </c>
      <c r="P1230" s="190">
        <f>EXP(P1229*(1-(28/R1230)^(1/2)))</f>
        <v>0.9293665811479722</v>
      </c>
      <c r="Q1230" s="666" t="s">
        <v>643</v>
      </c>
      <c r="R1230" s="267">
        <f>$M$334</f>
        <v>15.0</v>
      </c>
    </row>
    <row r="1231" spans="11:39" hidden="1" x14ac:dyDescent="0.25">
      <c r="O1231" s="4" t="s">
        <v>2182</v>
      </c>
      <c r="P1231" s="105">
        <f>MIN(1,0.8+0.2*MAX($L$84,MIN($L$82,P1230*$L$82))/80)*IF($L$82&lt;=50,(MAX($L$84,MIN($L$82,P1230*$L$82))/$L$82)^0.5,(MAX($L$84,MIN($L$82,P1230*$L$82))/$L$82)^0.3)*$L$1172*100^3</f>
        <v>34973815.262865014</v>
      </c>
      <c r="Q1231" s="666"/>
      <c r="R1231" s="71" t="s">
        <v>644</v>
      </c>
    </row>
    <row r="1232" spans="11:39" hidden="1" x14ac:dyDescent="0.25"/>
    <row r="1233" spans="12:17" ht="16.5" hidden="1" customHeight="1" x14ac:dyDescent="0.25">
      <c r="L1233" s="664" t="s">
        <v>645</v>
      </c>
      <c r="M1233" s="186">
        <f ca="1">(5*M198*(L29/100)^4)/(384*(L49/100^4)*M1229)</f>
        <v>0.0016582608529038978</v>
      </c>
      <c r="N1233" s="38" t="s">
        <v>32</v>
      </c>
      <c r="O1233" s="664" t="s">
        <v>646</v>
      </c>
      <c r="P1233" s="186">
        <f ca="1">(5*M199*(L29/100)^4)/(384*(L49/100^4)*P1231)</f>
        <v>0.005146627398952458</v>
      </c>
      <c r="Q1233" s="38" t="s">
        <v>32</v>
      </c>
    </row>
    <row r="1234" spans="12:17" hidden="1" x14ac:dyDescent="0.25">
      <c r="L1234" s="664"/>
      <c r="M1234" s="189">
        <f ca="1">M1233*100</f>
        <v>0.16582608529038978</v>
      </c>
      <c r="N1234" s="38" t="s">
        <v>35</v>
      </c>
      <c r="O1234" s="664"/>
      <c r="P1234" s="83">
        <f ca="1">P1233*100</f>
        <v>0.5146627398952458</v>
      </c>
      <c r="Q1234" s="38" t="s">
        <v>35</v>
      </c>
    </row>
    <row r="1235" spans="12:17" hidden="1" x14ac:dyDescent="0.25">
      <c r="L1235" s="664"/>
      <c r="M1235" s="189">
        <f ca="1">M1234*10</f>
        <v>1.6582608529038978</v>
      </c>
      <c r="N1235" s="38" t="s">
        <v>460</v>
      </c>
      <c r="O1235" s="664"/>
      <c r="P1235" s="83">
        <f ca="1">P1234*10</f>
        <v>5.146627398952458</v>
      </c>
      <c r="Q1235" s="38" t="s">
        <v>460</v>
      </c>
    </row>
    <row r="1236" spans="12:17" hidden="1" x14ac:dyDescent="0.25">
      <c r="N1236" s="38"/>
      <c r="Q1236" s="38"/>
    </row>
    <row r="1237" spans="12:17" hidden="1" x14ac:dyDescent="0.25">
      <c r="N1237" s="38"/>
      <c r="Q1237" s="38"/>
    </row>
    <row r="1238" spans="12:17" hidden="1" x14ac:dyDescent="0.25">
      <c r="N1238" s="38"/>
      <c r="Q1238" s="38"/>
    </row>
    <row r="1239" spans="12:17" hidden="1" x14ac:dyDescent="0.25">
      <c r="L1239" s="663" t="s">
        <v>647</v>
      </c>
      <c r="M1239" s="663"/>
      <c r="N1239" s="38"/>
      <c r="O1239" s="663" t="s">
        <v>648</v>
      </c>
      <c r="P1239" s="663"/>
      <c r="Q1239" s="38"/>
    </row>
    <row r="1240" spans="12:17" hidden="1" x14ac:dyDescent="0.25">
      <c r="N1240" s="38"/>
      <c r="Q1240" s="38"/>
    </row>
    <row r="1241" spans="12:17" hidden="1" x14ac:dyDescent="0.25">
      <c r="L1241" s="4" t="s">
        <v>2183</v>
      </c>
      <c r="M1241" s="103">
        <f>MIN(1,0.8+0.2*MAX($L$84,MIN($L$82,EXP(Fluência!$B$17*(1-(28/$M$335)^(1/2)))*$L$82))/80)*IF($L$82&lt;=50,(MAX($L$84,MIN($L$82,EXP(Fluência!$B$17*(1-(28/$M$335)^(1/2)))*$L$82))/$L$82)^0.5,(MAX($L$84,MIN($L$82,EXP(Fluência!$B$17*(1-(28/$M$335)^(1/2)))*$L$82))/$L$82)^0.3)*$L$1172*100^3</f>
        <v>36628131.26546316</v>
      </c>
      <c r="N1241" s="38"/>
      <c r="O1241" s="4" t="s">
        <v>649</v>
      </c>
      <c r="P1241" s="103">
        <f>L1173*100^3</f>
        <v>36628131.26546316</v>
      </c>
      <c r="Q1241" s="38"/>
    </row>
    <row r="1242" spans="12:17" hidden="1" x14ac:dyDescent="0.25">
      <c r="N1242" s="38"/>
      <c r="Q1242" s="38"/>
    </row>
    <row r="1243" spans="12:17" hidden="1" x14ac:dyDescent="0.25">
      <c r="L1243" s="664" t="s">
        <v>650</v>
      </c>
      <c r="M1243" s="186">
        <f ca="1">(5*M200*(L29/100)^4)/(384*(L49/100^4)*M1241)</f>
        <v>0.0031380876027381718</v>
      </c>
      <c r="N1243" s="38" t="s">
        <v>32</v>
      </c>
      <c r="O1243" s="664" t="s">
        <v>651</v>
      </c>
      <c r="P1243" s="186">
        <f ca="1">(5*M201*(L29/100)^4)/(384*(M49/100^4)*P1241)</f>
        <v>0.00030324475712929056</v>
      </c>
      <c r="Q1243" s="38" t="s">
        <v>32</v>
      </c>
    </row>
    <row r="1244" spans="12:17" hidden="1" x14ac:dyDescent="0.25">
      <c r="L1244" s="664"/>
      <c r="M1244" s="83">
        <f ca="1">M1243*100</f>
        <v>0.31380876027381716</v>
      </c>
      <c r="N1244" s="38" t="s">
        <v>35</v>
      </c>
      <c r="O1244" s="664"/>
      <c r="P1244" s="83">
        <f ca="1">P1243*100</f>
        <v>0.030324475712929056</v>
      </c>
      <c r="Q1244" s="38" t="s">
        <v>35</v>
      </c>
    </row>
    <row r="1245" spans="12:17" hidden="1" x14ac:dyDescent="0.25">
      <c r="L1245" s="664"/>
      <c r="M1245" s="83">
        <f ca="1">M1244*10</f>
        <v>3.1380876027381714</v>
      </c>
      <c r="N1245" s="38" t="s">
        <v>460</v>
      </c>
      <c r="O1245" s="664"/>
      <c r="P1245" s="83">
        <f ca="1">P1244*10</f>
        <v>0.30324475712929055</v>
      </c>
      <c r="Q1245" s="38" t="s">
        <v>460</v>
      </c>
    </row>
    <row r="1246" spans="12:17" hidden="1" x14ac:dyDescent="0.25">
      <c r="N1246" s="38"/>
      <c r="Q1246" s="38"/>
    </row>
    <row r="1247" spans="12:17" hidden="1" x14ac:dyDescent="0.25">
      <c r="N1247" s="38"/>
      <c r="Q1247" s="38"/>
    </row>
    <row r="1248" spans="12:17" hidden="1" x14ac:dyDescent="0.25">
      <c r="N1248" s="38"/>
      <c r="Q1248" s="38"/>
    </row>
    <row r="1249" spans="12:18" hidden="1" x14ac:dyDescent="0.25">
      <c r="N1249" s="38"/>
      <c r="Q1249" s="38"/>
    </row>
    <row r="1250" spans="12:18" hidden="1" x14ac:dyDescent="0.25">
      <c r="L1250" s="663" t="s">
        <v>652</v>
      </c>
      <c r="M1250" s="663"/>
      <c r="N1250" s="38"/>
      <c r="O1250" s="663" t="s">
        <v>653</v>
      </c>
      <c r="P1250" s="663"/>
      <c r="Q1250" s="38"/>
    </row>
    <row r="1251" spans="12:18" hidden="1" x14ac:dyDescent="0.25">
      <c r="N1251" s="38"/>
      <c r="Q1251" s="38"/>
    </row>
    <row r="1252" spans="12:18" hidden="1" x14ac:dyDescent="0.25">
      <c r="L1252" s="664" t="s">
        <v>654</v>
      </c>
      <c r="M1252" s="186">
        <f ca="1">(5*M202*(L29/100)^4)/(384*(M49/100^4)*P1241)</f>
        <v>0.0</v>
      </c>
      <c r="N1252" s="38" t="s">
        <v>32</v>
      </c>
      <c r="O1252" s="664" t="s">
        <v>655</v>
      </c>
      <c r="P1252" s="186">
        <f ca="1">(5*M203*L77*(L29/100)^4)/(384*(M49/100^4)*P1241)</f>
        <v>0.003032447571292906</v>
      </c>
      <c r="Q1252" s="38" t="s">
        <v>32</v>
      </c>
    </row>
    <row r="1253" spans="12:18" hidden="1" x14ac:dyDescent="0.25">
      <c r="L1253" s="664"/>
      <c r="M1253" s="83">
        <f ca="1">M1252*100</f>
        <v>0.0</v>
      </c>
      <c r="N1253" s="38" t="s">
        <v>35</v>
      </c>
      <c r="O1253" s="664"/>
      <c r="P1253" s="83">
        <f ca="1">P1252*100</f>
        <v>0.3032447571292906</v>
      </c>
      <c r="Q1253" s="38" t="s">
        <v>35</v>
      </c>
    </row>
    <row r="1254" spans="12:18" hidden="1" x14ac:dyDescent="0.25">
      <c r="L1254" s="664"/>
      <c r="M1254" s="83">
        <f ca="1">M1253*10</f>
        <v>0.0</v>
      </c>
      <c r="N1254" s="38" t="s">
        <v>460</v>
      </c>
      <c r="O1254" s="664"/>
      <c r="P1254" s="83">
        <f ca="1">P1253*10</f>
        <v>3.032447571292906</v>
      </c>
      <c r="Q1254" s="38" t="s">
        <v>460</v>
      </c>
    </row>
    <row r="1255" spans="12:18" hidden="1" x14ac:dyDescent="0.25">
      <c r="Q1255" s="38"/>
    </row>
    <row r="1256" spans="12:18" hidden="1" x14ac:dyDescent="0.25"/>
    <row r="1257" spans="12:18" hidden="1" x14ac:dyDescent="0.25"/>
    <row r="1258" spans="12:18" hidden="1" x14ac:dyDescent="0.25">
      <c r="L1258" s="29" t="s">
        <v>656</v>
      </c>
      <c r="M1258" s="29"/>
    </row>
    <row r="1259" spans="12:18" hidden="1" x14ac:dyDescent="0.25"/>
    <row r="1260" spans="12:18" hidden="1" x14ac:dyDescent="0.25">
      <c r="L1260" s="4" t="s">
        <v>2184</v>
      </c>
      <c r="M1260" s="60">
        <f ca="1">L324</f>
        <v>131.73332881037422</v>
      </c>
      <c r="N1260" s="4" t="s">
        <v>241</v>
      </c>
      <c r="O1260" s="29" t="s">
        <v>657</v>
      </c>
      <c r="P1260" s="29"/>
      <c r="Q1260" s="29"/>
      <c r="R1260" s="29"/>
    </row>
    <row r="1261" spans="12:18" hidden="1" x14ac:dyDescent="0.25"/>
    <row r="1262" spans="12:18" hidden="1" x14ac:dyDescent="0.25">
      <c r="L1262" s="4" t="s">
        <v>291</v>
      </c>
      <c r="M1262" s="105">
        <f ca="1">L298*L324+L300*L326</f>
        <v>1475.413282676191</v>
      </c>
      <c r="N1262" s="38" t="s">
        <v>292</v>
      </c>
      <c r="O1262" s="4" t="s">
        <v>291</v>
      </c>
      <c r="P1262" s="251">
        <f ca="1">L298*N368+L300*N369</f>
        <v>1243.5596228306003</v>
      </c>
      <c r="Q1262" s="38" t="s">
        <v>512</v>
      </c>
    </row>
    <row r="1263" spans="12:18" hidden="1" x14ac:dyDescent="0.25">
      <c r="L1263" s="4" t="s">
        <v>295</v>
      </c>
      <c r="M1263" s="105">
        <f ca="1">L298*L324*L299/100-L300*L326*L301/100</f>
        <v>276.63999050178586</v>
      </c>
      <c r="N1263" s="38" t="s">
        <v>216</v>
      </c>
      <c r="O1263" s="4" t="s">
        <v>295</v>
      </c>
      <c r="P1263" s="105">
        <f ca="1">L298*N368*L299/100-L300*N369*L301/100</f>
        <v>233.16742928073757</v>
      </c>
      <c r="Q1263" s="38" t="s">
        <v>216</v>
      </c>
    </row>
    <row r="1264" spans="12:18" hidden="1" x14ac:dyDescent="0.25"/>
    <row r="1265" spans="11:18" hidden="1" x14ac:dyDescent="0.25">
      <c r="L1265" s="664" t="s">
        <v>658</v>
      </c>
      <c r="M1265" s="186">
        <f ca="1">(M1263*(L29/100)^2)/(8*(M1229)*(L49/100^4))</f>
        <v>0.01342085291564384</v>
      </c>
      <c r="N1265" s="38" t="s">
        <v>32</v>
      </c>
      <c r="O1265" s="664" t="s">
        <v>659</v>
      </c>
      <c r="P1265" s="186">
        <f ca="1">((M1263-P1263)*(L29/100)^2)/(8*P1241*(L49/100^4))</f>
        <v>0.0016929963917906678</v>
      </c>
      <c r="Q1265" s="38" t="s">
        <v>32</v>
      </c>
    </row>
    <row r="1266" spans="11:18" hidden="1" x14ac:dyDescent="0.25">
      <c r="L1266" s="664"/>
      <c r="M1266" s="83">
        <f ca="1">M1265*100</f>
        <v>1.3420852915643842</v>
      </c>
      <c r="N1266" s="38" t="s">
        <v>35</v>
      </c>
      <c r="O1266" s="664"/>
      <c r="P1266" s="83">
        <f ca="1">P1265*100</f>
        <v>0.1692996391790668</v>
      </c>
      <c r="Q1266" s="38" t="s">
        <v>35</v>
      </c>
    </row>
    <row r="1267" spans="11:18" hidden="1" x14ac:dyDescent="0.25">
      <c r="L1267" s="664"/>
      <c r="M1267" s="83">
        <f ca="1">M1266*10</f>
        <v>13.420852915643842</v>
      </c>
      <c r="N1267" s="38" t="s">
        <v>460</v>
      </c>
      <c r="O1267" s="664"/>
      <c r="P1267" s="83">
        <f ca="1">P1266*10</f>
        <v>1.6929963917906679</v>
      </c>
      <c r="Q1267" s="38" t="s">
        <v>460</v>
      </c>
    </row>
    <row r="1268" spans="11:18" hidden="1" x14ac:dyDescent="0.25"/>
    <row r="1269" spans="11:18" hidden="1" x14ac:dyDescent="0.25"/>
    <row r="1270" spans="11:18" hidden="1" x14ac:dyDescent="0.25"/>
    <row r="1271" spans="11:18" ht="42" customHeight="1" x14ac:dyDescent="0.25">
      <c r="K1271" s="34" t="s">
        <v>321</v>
      </c>
      <c r="L1271" s="34" t="s">
        <v>42</v>
      </c>
      <c r="M1271" s="34" t="s">
        <v>660</v>
      </c>
      <c r="N1271" s="268" t="s">
        <v>326</v>
      </c>
      <c r="O1271" s="34" t="s">
        <v>661</v>
      </c>
      <c r="P1271" s="34" t="s">
        <v>662</v>
      </c>
      <c r="Q1271" s="34" t="s">
        <v>663</v>
      </c>
      <c r="R1271" s="34" t="s">
        <v>2185</v>
      </c>
    </row>
    <row r="1272" spans="11:18" x14ac:dyDescent="0.25">
      <c r="K1272" s="27" t="s">
        <v>327</v>
      </c>
      <c r="L1272" s="27" t="s">
        <v>664</v>
      </c>
      <c r="M1272" s="60">
        <f ca="1">M1267*-1*'Estádio - Flechas'!$T$6</f>
        <v>-13.420852915643842</v>
      </c>
      <c r="N1272" s="190">
        <f t="shared" ref="N1272:N1279" ca="1" si="34">Q332</f>
        <v>2.4758069056368184</v>
      </c>
      <c r="O1272" s="190">
        <f t="shared" ref="O1272:O1279" ca="1" si="35">N1272+1</f>
        <v>3.4758069056368184</v>
      </c>
      <c r="P1272" s="60">
        <f t="shared" ref="P1272:P1279" ca="1" si="36">O1272*M1272</f>
        <v>-46.64829324373089</v>
      </c>
      <c r="Q1272" s="60">
        <f ca="1">P1272</f>
        <v>-46.64829324373089</v>
      </c>
      <c r="R1272" s="60" t="str">
        <f ca="1">'Estádio - Flechas'!$S$6</f>
        <v>Estádio I</v>
      </c>
    </row>
    <row r="1273" spans="11:18" x14ac:dyDescent="0.25">
      <c r="K1273" s="27" t="s">
        <v>665</v>
      </c>
      <c r="L1273" s="27" t="s">
        <v>664</v>
      </c>
      <c r="M1273" s="190">
        <f ca="1">M1235*'Estádio - Flechas'!$T$7</f>
        <v>1.6582608529038978</v>
      </c>
      <c r="N1273" s="190">
        <f t="shared" ca="1" si="34"/>
        <v>2.4758069056368184</v>
      </c>
      <c r="O1273" s="190">
        <f t="shared" ca="1" si="35"/>
        <v>3.4758069056368184</v>
      </c>
      <c r="P1273" s="60">
        <f t="shared" ca="1" si="36"/>
        <v>5.763794523870568</v>
      </c>
      <c r="Q1273" s="60">
        <f t="shared" ref="Q1273:Q1279" ca="1" si="37">Q1272+P1273</f>
        <v>-40.884498719860325</v>
      </c>
      <c r="R1273" s="60" t="str">
        <f ca="1">'Estádio - Flechas'!$S$7</f>
        <v>Estádio I</v>
      </c>
    </row>
    <row r="1274" spans="11:18" x14ac:dyDescent="0.25">
      <c r="K1274" s="27" t="s">
        <v>666</v>
      </c>
      <c r="L1274" s="27" t="s">
        <v>664</v>
      </c>
      <c r="M1274" s="60">
        <f ca="1">P1235*'Estádio - Flechas'!$T$8</f>
        <v>5.146627398952458</v>
      </c>
      <c r="N1274" s="190">
        <f t="shared" ca="1" si="34"/>
        <v>1.5488539282372031</v>
      </c>
      <c r="O1274" s="190">
        <f t="shared" ca="1" si="35"/>
        <v>2.548853928237203</v>
      </c>
      <c r="P1274" s="60">
        <f t="shared" ca="1" si="36"/>
        <v>13.118001462993192</v>
      </c>
      <c r="Q1274" s="60">
        <f t="shared" ca="1" si="37"/>
        <v>-27.766497256867133</v>
      </c>
      <c r="R1274" s="60" t="str">
        <f ca="1">'Estádio - Flechas'!$S$8</f>
        <v>Estádio I</v>
      </c>
    </row>
    <row r="1275" spans="11:18" x14ac:dyDescent="0.25">
      <c r="K1275" s="27" t="s">
        <v>332</v>
      </c>
      <c r="L1275" s="27" t="s">
        <v>664</v>
      </c>
      <c r="M1275" s="60">
        <f ca="1">M1245*'Estádio - Flechas'!$T$9</f>
        <v>3.1380876027381714</v>
      </c>
      <c r="N1275" s="190">
        <f t="shared" ca="1" si="34"/>
        <v>2.354322145278393</v>
      </c>
      <c r="O1275" s="190">
        <f t="shared" ca="1" si="35"/>
        <v>3.354322145278393</v>
      </c>
      <c r="P1275" s="60">
        <f t="shared" ca="1" si="36"/>
        <v>10.526156739688233</v>
      </c>
      <c r="Q1275" s="60">
        <f t="shared" ca="1" si="37"/>
        <v>-17.2403405171789</v>
      </c>
      <c r="R1275" s="60" t="str">
        <f ca="1">'Estádio - Flechas'!$S$9</f>
        <v>Estádio I</v>
      </c>
    </row>
    <row r="1276" spans="11:18" x14ac:dyDescent="0.25">
      <c r="K1276" s="27" t="s">
        <v>334</v>
      </c>
      <c r="L1276" s="27" t="s">
        <v>53</v>
      </c>
      <c r="M1276" s="60">
        <f ca="1">P1245*'Estádio - Flechas'!$T$11</f>
        <v>0.30324475712929055</v>
      </c>
      <c r="N1276" s="190">
        <f ca="1">Q337</f>
        <v>1.6689068828178346</v>
      </c>
      <c r="O1276" s="190">
        <f t="shared" ca="1" si="35"/>
        <v>2.6689068828178346</v>
      </c>
      <c r="P1276" s="60">
        <f t="shared" ca="1" si="36"/>
        <v>0.8093320194807861</v>
      </c>
      <c r="Q1276" s="60">
        <f t="shared" ca="1" si="37"/>
        <v>-16.431008497698116</v>
      </c>
      <c r="R1276" s="60" t="str">
        <f ca="1">'Estádio - Flechas'!$S$11</f>
        <v>Estádio I</v>
      </c>
    </row>
    <row r="1277" spans="11:18" x14ac:dyDescent="0.25">
      <c r="K1277" s="27" t="s">
        <v>30</v>
      </c>
      <c r="L1277" s="27" t="s">
        <v>53</v>
      </c>
      <c r="M1277" s="60">
        <f ca="1">M1254*'Estádio - Flechas'!$T$10</f>
        <v>0.0</v>
      </c>
      <c r="N1277" s="190">
        <f ca="1">Q336</f>
        <v>1.843747692401422</v>
      </c>
      <c r="O1277" s="190">
        <f t="shared" ca="1" si="35"/>
        <v>2.843747692401422</v>
      </c>
      <c r="P1277" s="60">
        <f t="shared" ca="1" si="36"/>
        <v>0.0</v>
      </c>
      <c r="Q1277" s="60">
        <f t="shared" ca="1" si="37"/>
        <v>-16.431008497698116</v>
      </c>
      <c r="R1277" s="60" t="str">
        <f ca="1">'Estádio - Flechas'!$S$10</f>
        <v>Estádio I</v>
      </c>
    </row>
    <row r="1278" spans="11:18" x14ac:dyDescent="0.25">
      <c r="K1278" s="27" t="s">
        <v>337</v>
      </c>
      <c r="L1278" s="27" t="s">
        <v>53</v>
      </c>
      <c r="M1278" s="60">
        <f ca="1">P1254*'Estádio - Flechas'!$T$12</f>
        <v>7.581118928232265</v>
      </c>
      <c r="N1278" s="190">
        <f t="shared" ca="1" si="34"/>
        <v>1.561101004021444</v>
      </c>
      <c r="O1278" s="190">
        <f t="shared" ca="1" si="35"/>
        <v>2.561101004021444</v>
      </c>
      <c r="P1278" s="60">
        <f t="shared" ca="1" si="36"/>
        <v>19.416011298701626</v>
      </c>
      <c r="Q1278" s="60">
        <f t="shared" ca="1" si="37"/>
        <v>2.9850028010035103</v>
      </c>
      <c r="R1278" s="60" t="str">
        <f ca="1">'Estádio - Flechas'!$S$12</f>
        <v>Estádio II</v>
      </c>
    </row>
    <row r="1279" spans="11:18" x14ac:dyDescent="0.25">
      <c r="K1279" s="30" t="s">
        <v>667</v>
      </c>
      <c r="L1279" s="30" t="s">
        <v>664</v>
      </c>
      <c r="M1279" s="188">
        <f ca="1">P1267*'Estádio - Flechas'!$T$6</f>
        <v>1.6929963917906679</v>
      </c>
      <c r="N1279" s="269">
        <f t="shared" ca="1" si="34"/>
        <v>1.561101004021444</v>
      </c>
      <c r="O1279" s="269">
        <f t="shared" ca="1" si="35"/>
        <v>2.561101004021444</v>
      </c>
      <c r="P1279" s="188">
        <f t="shared" ca="1" si="36"/>
        <v>4.335934758819762</v>
      </c>
      <c r="Q1279" s="188">
        <f t="shared" ca="1" si="37"/>
        <v>7.320937559823272</v>
      </c>
      <c r="R1279" s="188" t="str">
        <f ca="1">'Estádio - Flechas'!$S$6</f>
        <v>Estádio I</v>
      </c>
    </row>
    <row r="1280" spans="11:18" x14ac:dyDescent="0.25">
      <c r="M1280" s="270"/>
      <c r="Q1280" s="259"/>
    </row>
    <row r="1281" spans="11:19" ht="15" customHeight="1" x14ac:dyDescent="0.25">
      <c r="M1281" s="656" t="s">
        <v>668</v>
      </c>
      <c r="N1281" s="665">
        <f ca="1">Q1279/10</f>
        <v>0.7320937559823272</v>
      </c>
      <c r="O1281" s="665"/>
      <c r="P1281" s="633" t="str">
        <f ca="1">IF(N1281&lt;=N1287,"Ok","Não Ok")</f>
        <v>Ok</v>
      </c>
      <c r="Q1281" s="46" t="s">
        <v>2186</v>
      </c>
    </row>
    <row r="1282" spans="11:19" ht="15" customHeight="1" x14ac:dyDescent="0.25">
      <c r="M1282" s="656"/>
      <c r="N1282" s="665"/>
      <c r="O1282" s="665"/>
    </row>
    <row r="1283" spans="11:19" ht="15.75" customHeight="1" x14ac:dyDescent="0.25">
      <c r="M1283" s="656"/>
      <c r="N1283" s="665"/>
      <c r="O1283" s="665"/>
    </row>
    <row r="1284" spans="11:19" ht="15" customHeight="1" x14ac:dyDescent="0.25">
      <c r="M1284" s="656" t="s">
        <v>669</v>
      </c>
      <c r="N1284" s="665">
        <f ca="1">((-M1266)+M1234)</f>
        <v>-1.1762592062739943</v>
      </c>
      <c r="O1284" s="665"/>
      <c r="P1284" s="633" t="str">
        <f ca="1">IF(N1284&gt;=-L29/300,"Ok","Não Ok")</f>
        <v>Ok</v>
      </c>
      <c r="Q1284" s="46" t="s">
        <v>2187</v>
      </c>
    </row>
    <row r="1285" spans="11:19" ht="15" customHeight="1" x14ac:dyDescent="0.25">
      <c r="M1285" s="656"/>
      <c r="N1285" s="665"/>
      <c r="O1285" s="665"/>
      <c r="S1285" s="270"/>
    </row>
    <row r="1286" spans="11:19" ht="15" customHeight="1" x14ac:dyDescent="0.25">
      <c r="M1286" s="656"/>
      <c r="N1286" s="665"/>
      <c r="O1286" s="665"/>
    </row>
    <row r="1287" spans="11:19" ht="15" customHeight="1" x14ac:dyDescent="0.25">
      <c r="M1287" s="656" t="s">
        <v>670</v>
      </c>
      <c r="N1287" s="657">
        <f>L29/250</f>
        <v>3.14</v>
      </c>
      <c r="O1287" s="657"/>
    </row>
    <row r="1288" spans="11:19" ht="15.75" customHeight="1" x14ac:dyDescent="0.25">
      <c r="M1288" s="656"/>
      <c r="N1288" s="657"/>
      <c r="O1288" s="657"/>
    </row>
    <row r="1289" spans="11:19" ht="15.75" customHeight="1" x14ac:dyDescent="0.25">
      <c r="M1289" s="656"/>
      <c r="N1289" s="657"/>
      <c r="O1289" s="657"/>
    </row>
    <row r="1290" spans="11:19" x14ac:dyDescent="0.25">
      <c r="K1290" s="80" t="s">
        <v>2188</v>
      </c>
      <c r="L1290" s="23">
        <v>0.4</v>
      </c>
      <c r="M1290" s="38" t="s">
        <v>93</v>
      </c>
      <c r="N1290" s="46" t="s">
        <v>2189</v>
      </c>
    </row>
    <row r="1291" spans="11:19" x14ac:dyDescent="0.25">
      <c r="K1291" s="653" t="s">
        <v>671</v>
      </c>
      <c r="L1291" s="653"/>
      <c r="M1291" s="653"/>
      <c r="N1291" s="653"/>
      <c r="O1291" s="653"/>
      <c r="P1291" s="653"/>
      <c r="Q1291" s="653"/>
      <c r="R1291" s="653"/>
    </row>
    <row r="1293" spans="11:19" x14ac:dyDescent="0.25">
      <c r="K1293" s="80" t="s">
        <v>672</v>
      </c>
      <c r="L1293" s="189">
        <f>L1294*L1295*L1297</f>
        <v>0.19259774650171427</v>
      </c>
    </row>
    <row r="1294" spans="11:19" x14ac:dyDescent="0.25">
      <c r="K1294" s="80" t="s">
        <v>673</v>
      </c>
      <c r="L1294" s="23">
        <v>1.2</v>
      </c>
      <c r="N1294" s="38" t="s">
        <v>674</v>
      </c>
      <c r="O1294" s="38"/>
    </row>
    <row r="1295" spans="11:19" x14ac:dyDescent="0.25">
      <c r="K1295" s="80" t="s">
        <v>675</v>
      </c>
      <c r="L1295" s="23">
        <v>1</v>
      </c>
      <c r="N1295" s="38" t="s">
        <v>676</v>
      </c>
      <c r="O1295" s="38"/>
    </row>
    <row r="1296" spans="11:19" x14ac:dyDescent="0.25">
      <c r="K1296" s="658" t="s">
        <v>677</v>
      </c>
      <c r="L1296" s="83">
        <f>(0.21*POWER(L84,2/3))/$O$78</f>
        <v>1.6049812208476189</v>
      </c>
      <c r="M1296" s="4" t="s">
        <v>160</v>
      </c>
      <c r="N1296" s="659" t="s">
        <v>678</v>
      </c>
      <c r="O1296" s="659"/>
    </row>
    <row r="1297" spans="10:44" x14ac:dyDescent="0.25">
      <c r="K1297" s="658"/>
      <c r="L1297" s="186">
        <f>L1296/10</f>
        <v>0.16049812208476189</v>
      </c>
      <c r="M1297" s="4" t="s">
        <v>241</v>
      </c>
      <c r="N1297" s="659"/>
      <c r="O1297" s="659"/>
    </row>
    <row r="1298" spans="10:44" x14ac:dyDescent="0.25">
      <c r="K1298" s="80" t="s">
        <v>679</v>
      </c>
      <c r="L1298" s="189">
        <f>L1295*L1294*L1297</f>
        <v>0.19259774650171427</v>
      </c>
    </row>
    <row r="1299" spans="10:44" x14ac:dyDescent="0.25">
      <c r="K1299" s="80" t="s">
        <v>680</v>
      </c>
      <c r="L1299" s="97">
        <f ca="1">(3.5*(L265/10)*L326)/(36*L1298)</f>
        <v>93.47495474612724</v>
      </c>
      <c r="M1299" s="4" t="s">
        <v>35</v>
      </c>
      <c r="N1299" s="38" t="s">
        <v>681</v>
      </c>
      <c r="O1299" s="38"/>
    </row>
    <row r="1300" spans="10:44" x14ac:dyDescent="0.25">
      <c r="K1300" s="80" t="s">
        <v>682</v>
      </c>
      <c r="L1300" s="97">
        <f ca="1">(3.5*(L251/10)*L324)/(36*L1298)</f>
        <v>101.07729163224212</v>
      </c>
      <c r="M1300" s="4" t="s">
        <v>35</v>
      </c>
      <c r="N1300" s="38" t="s">
        <v>683</v>
      </c>
      <c r="O1300" s="38"/>
    </row>
    <row r="1301" spans="10:44" x14ac:dyDescent="0.25">
      <c r="K1301" s="80" t="s">
        <v>684</v>
      </c>
      <c r="L1301" s="23">
        <v>1.25</v>
      </c>
      <c r="N1301" s="38" t="s">
        <v>685</v>
      </c>
      <c r="O1301" s="38"/>
    </row>
    <row r="1302" spans="10:44" x14ac:dyDescent="0.25">
      <c r="K1302" s="80" t="s">
        <v>686</v>
      </c>
      <c r="L1302" s="103">
        <f ca="1">L1299*L1301</f>
        <v>116.84369343265905</v>
      </c>
      <c r="M1302" s="4" t="s">
        <v>35</v>
      </c>
      <c r="N1302" s="38" t="s">
        <v>687</v>
      </c>
      <c r="O1302" s="38"/>
    </row>
    <row r="1303" spans="10:44" x14ac:dyDescent="0.25">
      <c r="K1303" s="80" t="s">
        <v>688</v>
      </c>
      <c r="L1303" s="103">
        <f ca="1">L1300*L1301</f>
        <v>126.34661454030265</v>
      </c>
      <c r="M1303" s="4" t="s">
        <v>35</v>
      </c>
      <c r="N1303" s="38" t="s">
        <v>689</v>
      </c>
      <c r="O1303" s="38"/>
    </row>
    <row r="1306" spans="10:44" x14ac:dyDescent="0.25">
      <c r="N1306" s="27" t="s">
        <v>690</v>
      </c>
    </row>
    <row r="1307" spans="10:44" x14ac:dyDescent="0.25">
      <c r="J1307" s="660" t="s">
        <v>691</v>
      </c>
      <c r="K1307" s="660"/>
      <c r="L1307" s="660"/>
      <c r="M1307" s="660"/>
      <c r="N1307" s="271">
        <f ca="1">MIN(L1302)</f>
        <v>116.84369343265905</v>
      </c>
      <c r="O1307" s="4" t="s">
        <v>692</v>
      </c>
    </row>
    <row r="1308" spans="10:44" x14ac:dyDescent="0.25">
      <c r="N1308" s="271">
        <f ca="1">MIN(L1303)</f>
        <v>126.34661454030265</v>
      </c>
    </row>
    <row r="1309" spans="10:44" x14ac:dyDescent="0.25">
      <c r="N1309" s="27" t="s">
        <v>693</v>
      </c>
    </row>
    <row r="1310" spans="10:44" x14ac:dyDescent="0.25">
      <c r="K1310" s="653" t="s">
        <v>2136</v>
      </c>
      <c r="L1310" s="653"/>
      <c r="M1310" s="653"/>
      <c r="N1310" s="653"/>
      <c r="O1310" s="653"/>
      <c r="P1310" s="653"/>
      <c r="Q1310" s="653"/>
      <c r="R1310" s="653"/>
    </row>
    <row r="1311" spans="10:44" x14ac:dyDescent="0.25">
      <c r="M1311" s="272"/>
      <c r="N1311" s="272"/>
      <c r="AM1311" s="4" t="s">
        <v>694</v>
      </c>
      <c r="AN1311" s="4" t="s">
        <v>695</v>
      </c>
      <c r="AO1311" s="4" t="s">
        <v>696</v>
      </c>
      <c r="AP1311" s="273" t="s">
        <v>697</v>
      </c>
      <c r="AR1311" s="4" t="s">
        <v>698</v>
      </c>
    </row>
    <row r="1312" spans="10:44" x14ac:dyDescent="0.25">
      <c r="K1312" s="274" t="s">
        <v>699</v>
      </c>
      <c r="L1312" s="275">
        <v>1</v>
      </c>
      <c r="N1312" s="276" t="s">
        <v>700</v>
      </c>
      <c r="AL1312" s="4">
        <v>1</v>
      </c>
      <c r="AM1312" s="4">
        <v>0.75</v>
      </c>
      <c r="AN1312" s="4">
        <f>25*L1321/10+L1330</f>
        <v>83.5</v>
      </c>
      <c r="AO1312" s="4">
        <f>25*L1321/10+L1330</f>
        <v>83.5</v>
      </c>
      <c r="AP1312" s="4">
        <v>0</v>
      </c>
      <c r="AR1312" s="4" t="s">
        <v>701</v>
      </c>
    </row>
    <row r="1313" spans="11:42" x14ac:dyDescent="0.25">
      <c r="K1313" s="274" t="s">
        <v>702</v>
      </c>
      <c r="L1313" s="275" t="s">
        <v>701</v>
      </c>
      <c r="N1313" s="276" t="s">
        <v>703</v>
      </c>
      <c r="AL1313" s="4">
        <v>2</v>
      </c>
      <c r="AM1313" s="4">
        <v>1</v>
      </c>
      <c r="AN1313" s="4">
        <f>20*L1321/10+L1330</f>
        <v>71.0</v>
      </c>
      <c r="AO1313" s="4">
        <f>20*L1321/10+L1330</f>
        <v>71.0</v>
      </c>
      <c r="AP1313" s="4">
        <v>0</v>
      </c>
    </row>
    <row r="1314" spans="11:42" x14ac:dyDescent="0.25">
      <c r="K1314" s="274" t="s">
        <v>704</v>
      </c>
      <c r="L1314" s="277">
        <v>40</v>
      </c>
      <c r="N1314" s="276" t="s">
        <v>705</v>
      </c>
      <c r="AL1314" s="4">
        <v>3</v>
      </c>
      <c r="AM1314" s="4">
        <v>0.75</v>
      </c>
      <c r="AN1314" s="4">
        <f>30*L1321/10+L1330</f>
        <v>96.0</v>
      </c>
      <c r="AO1314" s="4">
        <f>30*L1321/10+L1330</f>
        <v>96.0</v>
      </c>
      <c r="AP1314" s="4">
        <v>0</v>
      </c>
    </row>
    <row r="1315" spans="11:42" x14ac:dyDescent="0.25">
      <c r="K1315" s="274" t="s">
        <v>706</v>
      </c>
      <c r="L1315" s="277">
        <f>L81</f>
        <v>500.0</v>
      </c>
      <c r="N1315" s="276" t="s">
        <v>707</v>
      </c>
      <c r="AL1315" s="4">
        <v>4</v>
      </c>
      <c r="AM1315" s="4">
        <v>0</v>
      </c>
      <c r="AN1315" s="4">
        <v>0</v>
      </c>
      <c r="AO1315" s="4">
        <v>0</v>
      </c>
      <c r="AP1315" s="4">
        <v>0.85</v>
      </c>
    </row>
    <row r="1316" spans="11:42" x14ac:dyDescent="0.25">
      <c r="K1316" s="278" t="s">
        <v>708</v>
      </c>
      <c r="L1316" s="279">
        <f>L1170</f>
        <v>1.0</v>
      </c>
      <c r="N1316" s="276" t="s">
        <v>709</v>
      </c>
      <c r="AL1316" s="4">
        <v>5</v>
      </c>
      <c r="AM1316" s="4">
        <v>0.85</v>
      </c>
      <c r="AN1316" s="4">
        <f>30*L1321/10+L1330</f>
        <v>96.0</v>
      </c>
      <c r="AO1316" s="4">
        <f>30*L1321/10+L1330</f>
        <v>96.0</v>
      </c>
      <c r="AP1316" s="4">
        <v>0</v>
      </c>
    </row>
    <row r="1317" spans="11:42" x14ac:dyDescent="0.25">
      <c r="K1317" s="274" t="s">
        <v>710</v>
      </c>
      <c r="L1317" s="277">
        <v>210000</v>
      </c>
      <c r="N1317" s="276" t="s">
        <v>711</v>
      </c>
      <c r="AL1317" s="4">
        <v>6</v>
      </c>
      <c r="AM1317" s="4">
        <v>0.75</v>
      </c>
      <c r="AN1317" s="4">
        <f>25*L1321/10</f>
        <v>62.5</v>
      </c>
      <c r="AO1317" s="4">
        <f>30*L1321/10</f>
        <v>75.0</v>
      </c>
      <c r="AP1317" s="4">
        <v>0</v>
      </c>
    </row>
    <row r="1318" spans="11:42" x14ac:dyDescent="0.25">
      <c r="K1318" s="274" t="s">
        <v>712</v>
      </c>
      <c r="L1318" s="277">
        <f>L1316*5600*SQRT(L1314)</f>
        <v>35417.50979388585</v>
      </c>
      <c r="N1318" s="276" t="s">
        <v>713</v>
      </c>
    </row>
    <row r="1319" spans="11:42" x14ac:dyDescent="0.25">
      <c r="K1319" s="278" t="s">
        <v>714</v>
      </c>
      <c r="L1319" s="280">
        <f>IF(0.8+0.2*L1314/80&gt;1,1,0.8+0.2*L1314/80)</f>
        <v>0.9</v>
      </c>
      <c r="N1319" s="276" t="s">
        <v>715</v>
      </c>
    </row>
    <row r="1320" spans="11:42" x14ac:dyDescent="0.25">
      <c r="K1320" s="274" t="s">
        <v>716</v>
      </c>
      <c r="L1320" s="277">
        <f>L1319*L1318</f>
        <v>31875.75881449727</v>
      </c>
      <c r="N1320" s="276" t="s">
        <v>717</v>
      </c>
    </row>
    <row r="1321" spans="11:42" x14ac:dyDescent="0.25">
      <c r="K1321" s="274" t="s">
        <v>718</v>
      </c>
      <c r="L1321" s="281">
        <v>25</v>
      </c>
      <c r="N1321" s="276" t="s">
        <v>719</v>
      </c>
    </row>
    <row r="1322" spans="11:42" x14ac:dyDescent="0.25">
      <c r="K1322" s="274" t="s">
        <v>720</v>
      </c>
      <c r="L1322" s="275">
        <v>4</v>
      </c>
      <c r="N1322" s="276" t="s">
        <v>721</v>
      </c>
    </row>
    <row r="1323" spans="11:42" ht="18" x14ac:dyDescent="0.25">
      <c r="K1323" s="274" t="s">
        <v>722</v>
      </c>
      <c r="L1323" s="282">
        <f>PI()*(L1321/10)^2/4*L1322</f>
        <v>19.634954084936208</v>
      </c>
      <c r="N1323" s="276" t="s">
        <v>723</v>
      </c>
    </row>
    <row r="1324" spans="11:42" x14ac:dyDescent="0.25">
      <c r="K1324" s="274" t="s">
        <v>724</v>
      </c>
      <c r="L1324" s="283">
        <f>L26</f>
        <v>30.0</v>
      </c>
      <c r="N1324" s="276" t="s">
        <v>725</v>
      </c>
    </row>
    <row r="1325" spans="11:42" x14ac:dyDescent="0.25">
      <c r="K1325" s="274" t="s">
        <v>726</v>
      </c>
      <c r="L1325" s="283">
        <f>L27+L42</f>
        <v>85.0</v>
      </c>
      <c r="N1325" s="276" t="s">
        <v>727</v>
      </c>
    </row>
    <row r="1326" spans="11:42" x14ac:dyDescent="0.25">
      <c r="K1326" s="274" t="s">
        <v>728</v>
      </c>
      <c r="L1326" s="284">
        <f>L1324*L1325^3/12</f>
        <v>1535312.5</v>
      </c>
      <c r="N1326" s="276" t="s">
        <v>729</v>
      </c>
    </row>
    <row r="1327" spans="11:42" x14ac:dyDescent="0.25">
      <c r="K1327" s="274" t="s">
        <v>730</v>
      </c>
      <c r="L1327" s="283">
        <f>L1325-5</f>
        <v>80.0</v>
      </c>
      <c r="N1327" s="276" t="s">
        <v>731</v>
      </c>
    </row>
    <row r="1328" spans="11:42" x14ac:dyDescent="0.25">
      <c r="K1328" s="274" t="s">
        <v>732</v>
      </c>
      <c r="L1328" s="285">
        <v>40</v>
      </c>
      <c r="N1328" s="276" t="s">
        <v>733</v>
      </c>
    </row>
    <row r="1329" spans="11:14" x14ac:dyDescent="0.25">
      <c r="K1329" s="274" t="s">
        <v>734</v>
      </c>
      <c r="L1329" s="285">
        <v>2</v>
      </c>
      <c r="N1329" s="276" t="s">
        <v>735</v>
      </c>
    </row>
    <row r="1330" spans="11:14" x14ac:dyDescent="0.25">
      <c r="K1330" s="274" t="s">
        <v>736</v>
      </c>
      <c r="L1330" s="283">
        <f>(L1328-L1329)*0.5+L1329</f>
        <v>21.0</v>
      </c>
      <c r="N1330" s="276" t="s">
        <v>737</v>
      </c>
    </row>
    <row r="1331" spans="11:14" x14ac:dyDescent="0.25">
      <c r="K1331" s="274" t="s">
        <v>738</v>
      </c>
      <c r="L1331" s="286">
        <f>L29-L1328</f>
        <v>745.0</v>
      </c>
      <c r="N1331" s="276" t="s">
        <v>739</v>
      </c>
    </row>
    <row r="1332" spans="11:14" x14ac:dyDescent="0.25">
      <c r="K1332" s="274" t="s">
        <v>740</v>
      </c>
      <c r="L1332" s="275">
        <v>0.5</v>
      </c>
      <c r="N1332" s="276" t="s">
        <v>741</v>
      </c>
    </row>
    <row r="1333" spans="11:14" x14ac:dyDescent="0.25">
      <c r="K1333" s="274" t="s">
        <v>742</v>
      </c>
      <c r="L1333" s="280">
        <f>VLOOKUP(L1312,AL1312:AM1317,2,FALSE())</f>
        <v>0.75</v>
      </c>
      <c r="N1333" s="276" t="s">
        <v>743</v>
      </c>
    </row>
    <row r="1334" spans="11:14" x14ac:dyDescent="0.25">
      <c r="K1334" s="274" t="s">
        <v>744</v>
      </c>
      <c r="L1334" s="287">
        <f>L1318*L1326*L1332/10</f>
        <v>2718847275.2712684</v>
      </c>
      <c r="N1334" s="276" t="s">
        <v>745</v>
      </c>
    </row>
    <row r="1335" spans="11:14" x14ac:dyDescent="0.25">
      <c r="K1335" s="274" t="s">
        <v>746</v>
      </c>
      <c r="L1335" s="283">
        <f>IF(L1313=AR1311,VLOOKUP(L1312,AL1312:AO1317,3,FALSE()),VLOOKUP(L1312,AL1312:AO1317,4,FALSE()))</f>
        <v>83.5</v>
      </c>
      <c r="N1335" s="276" t="s">
        <v>747</v>
      </c>
    </row>
    <row r="1336" spans="11:14" x14ac:dyDescent="0.25">
      <c r="K1336" s="274" t="s">
        <v>748</v>
      </c>
      <c r="L1336" s="288">
        <f>(L1333*L1323*(L1317/10)*L1327^2)/L1335</f>
        <v>23703034.392354127</v>
      </c>
      <c r="N1336" s="276" t="s">
        <v>749</v>
      </c>
    </row>
    <row r="1337" spans="11:14" x14ac:dyDescent="0.25">
      <c r="K1337" s="274"/>
      <c r="L1337" s="289"/>
      <c r="N1337" s="276"/>
    </row>
    <row r="1338" spans="11:14" ht="18" x14ac:dyDescent="0.25">
      <c r="K1338" s="290" t="s">
        <v>750</v>
      </c>
      <c r="L1338" s="291">
        <f>(1+(3*(L1318/10)*L1326*L1332/(L1336*L1331)))^(-1)</f>
        <v>0.684042368195901</v>
      </c>
      <c r="N1338" s="276" t="s">
        <v>751</v>
      </c>
    </row>
    <row r="1339" spans="11:14" x14ac:dyDescent="0.25">
      <c r="K1339" s="292" t="s">
        <v>752</v>
      </c>
      <c r="L1339" s="291">
        <f>3*L1338/(2+L1338)</f>
        <v>0.7645658387900394</v>
      </c>
      <c r="N1339" s="276" t="s">
        <v>753</v>
      </c>
    </row>
    <row r="1341" spans="11:14" x14ac:dyDescent="0.25">
      <c r="K1341" s="80" t="s">
        <v>754</v>
      </c>
      <c r="L1341" s="293">
        <f>(SUM(M203*(L29/100)^2)/12)*(3*L1338)/(2+L1338)</f>
        <v>572.9805227393725</v>
      </c>
      <c r="N1341" s="276" t="s">
        <v>755</v>
      </c>
    </row>
    <row r="1342" spans="11:14" x14ac:dyDescent="0.25">
      <c r="K1342" s="80" t="s">
        <v>756</v>
      </c>
      <c r="L1342" s="293">
        <f>((SUM(M203*(L29/100)^2)/12)*(3-1.5*L1338)/(2+L1338))</f>
        <v>551.1486764793773</v>
      </c>
      <c r="N1342" s="276" t="s">
        <v>757</v>
      </c>
    </row>
    <row r="1343" spans="11:14" x14ac:dyDescent="0.25">
      <c r="K1343" s="80" t="s">
        <v>754</v>
      </c>
      <c r="L1343" s="293">
        <f>(SUM(M203*(L29/100)^2)/12)*(3*L1338)/(2+L1338)</f>
        <v>572.9805227393725</v>
      </c>
      <c r="N1343" s="276" t="s">
        <v>758</v>
      </c>
    </row>
    <row r="1346" spans="7:18" x14ac:dyDescent="0.25">
      <c r="K1346" s="661" t="s">
        <v>759</v>
      </c>
      <c r="L1346" s="661"/>
      <c r="M1346" s="661"/>
      <c r="N1346" s="661"/>
      <c r="O1346" s="661"/>
      <c r="P1346" s="661"/>
      <c r="Q1346" s="661"/>
      <c r="R1346" s="661"/>
    </row>
    <row r="1348" spans="7:18" x14ac:dyDescent="0.25">
      <c r="K1348" s="292" t="s">
        <v>760</v>
      </c>
      <c r="L1348" s="291">
        <v>0</v>
      </c>
      <c r="N1348" s="276" t="s">
        <v>761</v>
      </c>
    </row>
    <row r="1349" spans="7:18" x14ac:dyDescent="0.25">
      <c r="K1349" s="292"/>
    </row>
    <row r="1350" spans="7:18" x14ac:dyDescent="0.25">
      <c r="K1350" s="292" t="s">
        <v>762</v>
      </c>
      <c r="L1350" s="291">
        <v>0</v>
      </c>
      <c r="N1350" s="276" t="s">
        <v>763</v>
      </c>
    </row>
    <row r="1352" spans="7:18" x14ac:dyDescent="0.25">
      <c r="K1352" s="107"/>
      <c r="L1352" s="107"/>
      <c r="M1352" s="107"/>
      <c r="N1352" s="107"/>
      <c r="O1352" s="107"/>
      <c r="P1352" s="107"/>
      <c r="Q1352" s="107"/>
      <c r="R1352" s="107"/>
    </row>
    <row r="1353" spans="7:18" x14ac:dyDescent="0.25">
      <c r="K1353" s="662" t="s">
        <v>764</v>
      </c>
      <c r="L1353" s="662"/>
      <c r="M1353" s="662"/>
      <c r="N1353" s="662"/>
      <c r="O1353" s="662"/>
      <c r="P1353" s="662"/>
      <c r="Q1353" s="662"/>
      <c r="R1353" s="662"/>
    </row>
    <row r="1354" spans="7:18" x14ac:dyDescent="0.25">
      <c r="G1354" s="652" t="s">
        <v>765</v>
      </c>
      <c r="H1354" s="652"/>
      <c r="I1354" s="652"/>
      <c r="K1354" s="197" t="s">
        <v>404</v>
      </c>
      <c r="L1354" s="197" t="s">
        <v>405</v>
      </c>
      <c r="M1354" s="197" t="s">
        <v>406</v>
      </c>
      <c r="N1354" s="197" t="s">
        <v>407</v>
      </c>
      <c r="O1354" s="197" t="s">
        <v>408</v>
      </c>
      <c r="P1354" s="197" t="s">
        <v>409</v>
      </c>
      <c r="Q1354" s="197" t="s">
        <v>410</v>
      </c>
      <c r="R1354" s="197" t="s">
        <v>411</v>
      </c>
    </row>
    <row r="1355" spans="7:18" x14ac:dyDescent="0.25">
      <c r="G1355" s="652"/>
      <c r="H1355" s="652"/>
      <c r="I1355" s="652"/>
      <c r="K1355" s="27">
        <f>(($L$29/100)/20)-$L$897</f>
        <v>0.0</v>
      </c>
      <c r="L1355" s="27">
        <f>($L$29/100)/8</f>
        <v>0.98125</v>
      </c>
      <c r="M1355" s="27">
        <f t="shared" ref="M1355:R1355" si="38">(($L$29/100)/8)+L1355</f>
        <v>1.9625</v>
      </c>
      <c r="N1355" s="27">
        <f t="shared" si="38"/>
        <v>2.9437499999999996</v>
      </c>
      <c r="O1355" s="27">
        <f t="shared" si="38"/>
        <v>3.925</v>
      </c>
      <c r="P1355" s="27">
        <f t="shared" si="38"/>
        <v>4.90625</v>
      </c>
      <c r="Q1355" s="27">
        <f t="shared" si="38"/>
        <v>5.8875</v>
      </c>
      <c r="R1355" s="27">
        <f t="shared" si="38"/>
        <v>6.86875</v>
      </c>
    </row>
    <row r="1356" spans="7:18" x14ac:dyDescent="0.25">
      <c r="G1356" s="652"/>
      <c r="H1356" s="652"/>
      <c r="I1356" s="652"/>
      <c r="K1356" s="105">
        <f t="shared" ref="K1356:R1356" si="39">(((-$M$203*($L$29/100)^2)/12)*(3*($L$1348*(1-K1355/($L$29/100))+$L$1350*K1355/($L$29/100)))/(2+($L$1348*(1-K1355/($L$29/100))+$L$1350*K1355/($L$29/100)))+((($M$203*$L$29/100)/2)*K1355)-($M$203*K1355^2)/2)*-1</f>
        <v>-0.0</v>
      </c>
      <c r="L1356" s="105">
        <f t="shared" si="39"/>
        <v>-491.80652465820316</v>
      </c>
      <c r="M1356" s="105">
        <f t="shared" si="39"/>
        <v>-843.0968994140626</v>
      </c>
      <c r="N1356" s="105">
        <f t="shared" si="39"/>
        <v>-1053.8711242675781</v>
      </c>
      <c r="O1356" s="105">
        <f t="shared" si="39"/>
        <v>-1124.1291992187503</v>
      </c>
      <c r="P1356" s="105">
        <f t="shared" si="39"/>
        <v>-1053.8711242675781</v>
      </c>
      <c r="Q1356" s="105">
        <f t="shared" si="39"/>
        <v>-843.0968994140621</v>
      </c>
      <c r="R1356" s="105">
        <f t="shared" si="39"/>
        <v>-491.80652465820276</v>
      </c>
    </row>
    <row r="1357" spans="7:18" x14ac:dyDescent="0.25">
      <c r="G1357" s="652"/>
      <c r="H1357" s="652"/>
      <c r="I1357" s="652"/>
      <c r="K1357" s="197" t="s">
        <v>412</v>
      </c>
    </row>
    <row r="1358" spans="7:18" x14ac:dyDescent="0.25">
      <c r="G1358" s="652"/>
      <c r="H1358" s="652"/>
      <c r="I1358" s="652"/>
      <c r="K1358" s="27">
        <f>(($L$29/100)/8)+R1355</f>
        <v>7.8500000000000005</v>
      </c>
    </row>
    <row r="1359" spans="7:18" x14ac:dyDescent="0.25">
      <c r="G1359" s="652"/>
      <c r="H1359" s="652"/>
      <c r="I1359" s="652"/>
      <c r="K1359" s="105">
        <f>(((-$M$203*($L$29/100)^2)/12)*(3*($L$1348*(1-K1358/($L$29/100))+$L$1350*K1358/($L$29/100)))/(2+($L$1348*(1-K1358/($L$29/100))+$L$1350*K1358/($L$29/100)))+((($M$203*$L$29/100)/2)*K1358)-($M$203*K1358^2)/2)*-1</f>
        <v>-0.0</v>
      </c>
    </row>
    <row r="1361" spans="11:18" x14ac:dyDescent="0.25">
      <c r="K1361" s="4">
        <v>0</v>
      </c>
      <c r="L1361" s="4">
        <v>0</v>
      </c>
      <c r="M1361" s="4">
        <v>0</v>
      </c>
      <c r="N1361" s="4">
        <v>0</v>
      </c>
      <c r="O1361" s="4">
        <v>0</v>
      </c>
      <c r="P1361" s="4">
        <v>0</v>
      </c>
      <c r="Q1361" s="4">
        <v>0</v>
      </c>
      <c r="R1361" s="4">
        <v>0</v>
      </c>
    </row>
    <row r="1362" spans="11:18" x14ac:dyDescent="0.25">
      <c r="K1362" s="4">
        <v>0</v>
      </c>
    </row>
    <row r="1377" spans="11:18" x14ac:dyDescent="0.25">
      <c r="K1377" s="653" t="s">
        <v>766</v>
      </c>
      <c r="L1377" s="653"/>
      <c r="M1377" s="653"/>
      <c r="N1377" s="653"/>
      <c r="O1377" s="653"/>
      <c r="P1377" s="653"/>
      <c r="Q1377" s="653"/>
      <c r="R1377" s="653"/>
    </row>
    <row r="1379" spans="11:18" x14ac:dyDescent="0.25">
      <c r="K1379" s="274" t="s">
        <v>767</v>
      </c>
      <c r="L1379" s="279">
        <f ca="1">(SUM(M204)*(L1331/100)^2)/12</f>
        <v>875.6045492447917</v>
      </c>
      <c r="M1379" s="38" t="s">
        <v>216</v>
      </c>
      <c r="N1379" s="276" t="s">
        <v>768</v>
      </c>
    </row>
    <row r="1380" spans="11:18" x14ac:dyDescent="0.25">
      <c r="K1380" s="274" t="s">
        <v>595</v>
      </c>
      <c r="L1380" s="294">
        <f ca="1">L1379/(((L1324/100)*(L1327/100)^2*L1185*1000)/$R$78)</f>
        <v>0.21282055016366458</v>
      </c>
      <c r="M1380" s="38"/>
      <c r="N1380" s="38" t="s">
        <v>769</v>
      </c>
    </row>
    <row r="1381" spans="11:18" x14ac:dyDescent="0.25">
      <c r="K1381" s="274" t="s">
        <v>491</v>
      </c>
      <c r="L1381" s="294">
        <f ca="1">IFERROR(IF(INDEX($AF$1171:$AF$1226,MATCH(L1380,$AF$1171:$AF$1226,1))=IF(INDEX($AF$1171:$AF$1226,MATCH(L1380,$AF$1171:$AF$1226,1)+1)="",INDEX($AF$1171:$AF$1226,MATCH(L1380,$AF$1171:$AF$1226,1)+2),INDEX($AF$1171:$AF$1226,MATCH(L1380,$AF$1171:$AF$1226,1)+1)),INDEX($AH$1171:$AH$1226,MATCH(L1380,$AF$1171:$AF$1226,1)),INDEX($AH$1171:$AH$1226,MATCH(L1380,$AF$1171:$AF$1226,1))+(IF(INDEX($AH$1171:$AH$1226,MATCH(L1380,$AF$1171:$AF$1226,1)+1)="",INDEX($AH$1171:$AH$1226,MATCH(L1380,$AF$1171:$AF$1226,1)+2),INDEX($AH$1171:$AH$1226,MATCH(L1380,$AF$1171:$AF$1226,1)+1))-INDEX($AH$1171:$AH$1226,MATCH(L1380,$AF$1171:$AF$1226,1)))*(L1380-INDEX($AF$1171:$AF$1226,MATCH(L1380,$AF$1171:$AF$1226,1)))/(IF(INDEX($AF$1171:$AF$1226,MATCH(L1380,$AF$1171:$AF$1226,1)+1)="",INDEX($AF$1171:$AF$1226,MATCH(L1380,$AF$1171:$AF$1226,1)+2),INDEX($AF$1171:$AF$1226,MATCH(L1380,$AF$1171:$AF$1226,1)+1))-INDEX($AF$1171:$AF$1226,MATCH(L1380,$AF$1171:$AF$1226,1)))),INDEX($AH$1171:$AH$1226,MATCH(L1380,$AF$1171:$AF$1226,1)))</f>
        <v>0.8531794498363354</v>
      </c>
      <c r="M1381" s="38"/>
      <c r="N1381" s="38" t="s">
        <v>770</v>
      </c>
    </row>
    <row r="1382" spans="11:18" x14ac:dyDescent="0.25">
      <c r="K1382" s="274" t="s">
        <v>41</v>
      </c>
      <c r="L1382" s="279">
        <f ca="1">L1379/(L1381*(L1327/100)*(L81/10)/1.1)</f>
        <v>28.22281421434945</v>
      </c>
      <c r="M1382" s="38" t="s">
        <v>247</v>
      </c>
      <c r="N1382" s="38" t="s">
        <v>771</v>
      </c>
    </row>
    <row r="1383" spans="11:18" x14ac:dyDescent="0.25">
      <c r="K1383" s="4">
        <f ca="1">ROUNDUP((L1382/(3.14*(L1383/20)^2)),0)</f>
        <v>6.0</v>
      </c>
      <c r="L1383" s="295">
        <v>25</v>
      </c>
      <c r="M1383" s="46" t="s">
        <v>460</v>
      </c>
      <c r="N1383" s="38" t="s">
        <v>772</v>
      </c>
    </row>
    <row r="1384" spans="11:18" x14ac:dyDescent="0.25">
      <c r="L1384" s="71"/>
      <c r="M1384" s="38"/>
      <c r="N1384" s="38"/>
    </row>
    <row r="1385" spans="11:18" x14ac:dyDescent="0.25">
      <c r="K1385" s="274" t="s">
        <v>773</v>
      </c>
      <c r="L1385" s="296">
        <v>550</v>
      </c>
      <c r="M1385" s="38" t="s">
        <v>216</v>
      </c>
      <c r="N1385" s="38" t="s">
        <v>774</v>
      </c>
    </row>
    <row r="1386" spans="11:18" x14ac:dyDescent="0.25">
      <c r="K1386" s="274" t="s">
        <v>487</v>
      </c>
      <c r="L1386" s="280">
        <f>L1385*O77</f>
        <v>770.0</v>
      </c>
      <c r="M1386" s="38" t="s">
        <v>216</v>
      </c>
      <c r="N1386" s="38" t="s">
        <v>775</v>
      </c>
    </row>
    <row r="1387" spans="11:18" x14ac:dyDescent="0.25">
      <c r="L1387" s="71"/>
      <c r="M1387" s="38"/>
      <c r="N1387" s="38"/>
    </row>
    <row r="1388" spans="11:18" x14ac:dyDescent="0.25">
      <c r="K1388" s="274" t="s">
        <v>595</v>
      </c>
      <c r="L1388" s="279">
        <f>L1385/(((L1324/100)*(L1327/100)^2*L1185*1000)/1.4)</f>
        <v>0.13368055555555552</v>
      </c>
      <c r="M1388" s="38"/>
      <c r="N1388" s="38" t="s">
        <v>776</v>
      </c>
    </row>
    <row r="1389" spans="11:18" x14ac:dyDescent="0.25">
      <c r="K1389" s="274" t="s">
        <v>491</v>
      </c>
      <c r="L1389" s="279">
        <f>IFERROR(IF(INDEX($AF$1178:$AF$1233,MATCH(L1388,$AF$1178:$AF$1233,1))=IF(INDEX($AF$1178:$AF$1233,MATCH(L1388,$AF$1178:$AF$1233,1)+1)="",INDEX($AF$1178:$AF$1233,MATCH(L1388,$AF$1178:$AF$1233,1)+2),INDEX($AF$1178:$AF$1233,MATCH(L1388,$AF$1178:$AF$1233,1)+1)),INDEX($AH$1178:$AH$1233,MATCH(L1388,$AF$1178:$AF$1233,1)),INDEX($AH$1178:$AH$1233,MATCH(L1388,$AF$1178:$AF$1233,1))+(IF(INDEX($AH$1178:$AH$1233,MATCH(L1388,$AF$1178:$AF$1233,1)+1)="",INDEX($AH$1178:$AH$1233,MATCH(L1388,$AF$1178:$AF$1233,1)+2),INDEX($AH$1178:$AH$1233,MATCH(L1388,$AF$1178:$AF$1233,1)+1))-INDEX($AH$1178:$AH$1233,MATCH(L1388,$AF$1178:$AF$1233,1)))*(L1388-INDEX($AF$1178:$AF$1233,MATCH(L1388,$AF$1178:$AF$1233,1)))/(IF(INDEX($AF$1178:$AF$1233,MATCH(L1388,$AF$1178:$AF$1233,1)+1)="",INDEX($AF$1178:$AF$1233,MATCH(L1388,$AF$1178:$AF$1233,1)+2),INDEX($AF$1178:$AF$1233,MATCH(L1388,$AF$1178:$AF$1233,1)+1))-INDEX($AF$1178:$AF$1233,MATCH(L1388,$AF$1178:$AF$1233,1)))),INDEX($AH$1178:$AH$1233,MATCH(L1388,$AF$1178:$AF$1233,1)))</f>
        <v>0.9140555555555556</v>
      </c>
      <c r="M1389" s="38"/>
      <c r="N1389" s="38" t="s">
        <v>770</v>
      </c>
    </row>
    <row r="1390" spans="11:18" x14ac:dyDescent="0.25">
      <c r="K1390" s="274" t="s">
        <v>41</v>
      </c>
      <c r="L1390" s="279">
        <f>L1386/(L1389*(L1327/100)*(L81/10)/1.15)</f>
        <v>24.218987418707826</v>
      </c>
      <c r="M1390" s="38" t="s">
        <v>247</v>
      </c>
      <c r="N1390" s="38" t="s">
        <v>777</v>
      </c>
    </row>
    <row r="1391" spans="11:18" x14ac:dyDescent="0.25">
      <c r="K1391" s="4">
        <f>ROUNDUP((L1390/(3.14*(L1391/20)^2)),0)</f>
        <v>8.0</v>
      </c>
      <c r="L1391" s="295">
        <v>20</v>
      </c>
      <c r="M1391" s="46" t="s">
        <v>460</v>
      </c>
      <c r="N1391" s="38" t="s">
        <v>772</v>
      </c>
    </row>
    <row r="1392" spans="11:18" x14ac:dyDescent="0.25">
      <c r="N1392" s="38"/>
    </row>
    <row r="1393" spans="11:25" x14ac:dyDescent="0.25">
      <c r="N1393" s="38"/>
    </row>
    <row r="1397" spans="11:25" x14ac:dyDescent="0.25">
      <c r="K1397" s="653" t="s">
        <v>778</v>
      </c>
      <c r="L1397" s="653"/>
      <c r="M1397" s="653"/>
      <c r="N1397" s="653"/>
      <c r="O1397" s="653"/>
      <c r="P1397" s="653"/>
      <c r="Q1397" s="653"/>
      <c r="R1397" s="653"/>
    </row>
    <row r="1399" spans="11:25" x14ac:dyDescent="0.25">
      <c r="M1399" s="654" t="s">
        <v>250</v>
      </c>
      <c r="N1399" s="654"/>
      <c r="O1399" s="654"/>
      <c r="P1399" s="297">
        <v>6.5</v>
      </c>
      <c r="S1399" s="27"/>
      <c r="T1399" s="27"/>
      <c r="U1399" s="27"/>
      <c r="W1399" s="27"/>
      <c r="X1399" s="27"/>
      <c r="Y1399" s="27"/>
    </row>
    <row r="1401" spans="11:25" x14ac:dyDescent="0.25">
      <c r="K1401" s="655" t="s">
        <v>779</v>
      </c>
      <c r="L1401" s="655"/>
      <c r="M1401" s="649" t="s">
        <v>252</v>
      </c>
      <c r="N1401" s="649"/>
      <c r="O1401" s="649"/>
      <c r="P1401" s="649"/>
      <c r="Q1401" s="648" t="s">
        <v>780</v>
      </c>
      <c r="R1401" s="648"/>
    </row>
    <row r="1402" spans="11:25" x14ac:dyDescent="0.25">
      <c r="K1402" s="27" t="s">
        <v>781</v>
      </c>
      <c r="L1402" s="27" t="s">
        <v>782</v>
      </c>
      <c r="M1402" s="122" t="s">
        <v>254</v>
      </c>
      <c r="O1402" s="27" t="s">
        <v>60</v>
      </c>
      <c r="P1402" s="123"/>
      <c r="Q1402" s="27" t="s">
        <v>781</v>
      </c>
      <c r="R1402" s="27" t="s">
        <v>782</v>
      </c>
    </row>
    <row r="1403" spans="11:25" x14ac:dyDescent="0.25">
      <c r="K1403" s="298">
        <v>0</v>
      </c>
      <c r="L1403" s="299">
        <f>L1405</f>
        <v>160.0</v>
      </c>
      <c r="M1403" s="300">
        <f>O250-K1403</f>
        <v>0.0</v>
      </c>
      <c r="N1403" s="125">
        <v>15.2</v>
      </c>
      <c r="O1403" s="31">
        <f>O1405+P1399</f>
        <v>27.5</v>
      </c>
      <c r="P1403" s="129" t="s">
        <v>35</v>
      </c>
      <c r="Q1403" s="301">
        <f>K1403</f>
        <v>0.0</v>
      </c>
      <c r="R1403" s="298">
        <f>L1403</f>
        <v>160.0</v>
      </c>
    </row>
    <row r="1404" spans="11:25" x14ac:dyDescent="0.25">
      <c r="K1404" s="71"/>
      <c r="L1404" s="71"/>
      <c r="M1404" s="122" t="s">
        <v>257</v>
      </c>
      <c r="O1404" s="27"/>
      <c r="P1404" s="129"/>
      <c r="Q1404" s="71"/>
      <c r="R1404" s="71"/>
    </row>
    <row r="1405" spans="11:25" x14ac:dyDescent="0.25">
      <c r="K1405" s="28">
        <v>4</v>
      </c>
      <c r="L1405" s="299">
        <f>L1407</f>
        <v>160.0</v>
      </c>
      <c r="M1405" s="174">
        <f>O252-K1405</f>
        <v>-4.0</v>
      </c>
      <c r="N1405" s="130">
        <v>15.2</v>
      </c>
      <c r="O1405" s="31">
        <f>O1407+P1399</f>
        <v>21.0</v>
      </c>
      <c r="P1405" s="129" t="s">
        <v>35</v>
      </c>
      <c r="Q1405" s="301">
        <f>K1405</f>
        <v>4.0</v>
      </c>
      <c r="R1405" s="298">
        <f>R1407</f>
        <v>160.0</v>
      </c>
    </row>
    <row r="1406" spans="11:25" x14ac:dyDescent="0.25">
      <c r="K1406" s="71"/>
      <c r="L1406" s="71"/>
      <c r="M1406" s="122" t="s">
        <v>260</v>
      </c>
      <c r="O1406" s="27"/>
      <c r="P1406" s="302">
        <f>IFERROR((M1409*(VLOOKUP(N1409,O241:Q244,3))*O1409+M1407*(VLOOKUP(N1407,O241:Q244,3))*O1407+M1405*(VLOOKUP(N1405,O241:Q244,3))*O1405+M1403*(VLOOKUP(N1403,O241:Q244,3))*O1403)/(M1409*(VLOOKUP(N1409,O241:Q244,3))+M1407*(VLOOKUP(N1407,O241:Q244,3))+M1405*(VLOOKUP(N1405,O241:Q244,3))+M1403*(VLOOKUP(N1403,O241:Q244,3))),L30)</f>
        <v>1.4999999999999987</v>
      </c>
      <c r="Q1406" s="71"/>
      <c r="R1406" s="71"/>
    </row>
    <row r="1407" spans="11:25" x14ac:dyDescent="0.25">
      <c r="K1407" s="28">
        <v>0</v>
      </c>
      <c r="L1407" s="299">
        <f>L1409</f>
        <v>160.0</v>
      </c>
      <c r="M1407" s="174">
        <f>O254-K1407</f>
        <v>4.0</v>
      </c>
      <c r="N1407" s="130">
        <v>15.2</v>
      </c>
      <c r="O1407" s="31">
        <f>O1409+P1399</f>
        <v>14.5</v>
      </c>
      <c r="P1407" s="129" t="s">
        <v>35</v>
      </c>
      <c r="Q1407" s="301">
        <f>K1407</f>
        <v>0.0</v>
      </c>
      <c r="R1407" s="298">
        <f>R1409</f>
        <v>160.0</v>
      </c>
    </row>
    <row r="1408" spans="11:25" x14ac:dyDescent="0.25">
      <c r="K1408" s="71"/>
      <c r="L1408" s="71"/>
      <c r="M1408" s="122" t="s">
        <v>261</v>
      </c>
      <c r="O1408" s="27"/>
      <c r="P1408" s="129"/>
      <c r="Q1408" s="71"/>
      <c r="R1408" s="71"/>
    </row>
    <row r="1409" spans="11:18" x14ac:dyDescent="0.25">
      <c r="K1409" s="28">
        <v>0</v>
      </c>
      <c r="L1409" s="173">
        <v>160</v>
      </c>
      <c r="M1409" s="303">
        <f>O256-K1409</f>
        <v>4.0</v>
      </c>
      <c r="N1409" s="304">
        <v>15.2</v>
      </c>
      <c r="O1409" s="305">
        <f>Q256</f>
        <v>8.0</v>
      </c>
      <c r="P1409" s="137" t="s">
        <v>35</v>
      </c>
      <c r="Q1409" s="301">
        <f>K1409</f>
        <v>0.0</v>
      </c>
      <c r="R1409" s="298">
        <v>160</v>
      </c>
    </row>
    <row r="1411" spans="11:18" x14ac:dyDescent="0.25">
      <c r="M1411" s="651" t="s">
        <v>265</v>
      </c>
      <c r="N1411" s="651"/>
      <c r="O1411" s="306">
        <f>(N236*(L85*100)/((VLOOKUP(L251,O242:Q244,3)*19500)))</f>
        <v>53.58974358974359</v>
      </c>
      <c r="P1411" s="140" t="s">
        <v>35</v>
      </c>
    </row>
    <row r="1412" spans="11:18" x14ac:dyDescent="0.25">
      <c r="M1412" s="648" t="str">
        <f>K1202</f>
        <v>€p (%)</v>
      </c>
      <c r="N1412" s="648"/>
      <c r="O1412" s="141">
        <f ca="1">L1202</f>
        <v>5.3651309425196345</v>
      </c>
      <c r="P1412" s="142">
        <f>P1426</f>
        <v>0.0</v>
      </c>
    </row>
    <row r="1413" spans="11:18" x14ac:dyDescent="0.25">
      <c r="M1413" s="27"/>
      <c r="N1413" s="27"/>
    </row>
    <row r="1414" spans="11:18" x14ac:dyDescent="0.25">
      <c r="M1414" s="4" t="s">
        <v>41</v>
      </c>
      <c r="N1414" s="31">
        <f>M1409+M1407+M1405+M1403</f>
        <v>4.0</v>
      </c>
      <c r="O1414" s="125">
        <f>N1409</f>
        <v>15.2</v>
      </c>
      <c r="P1414" s="38">
        <f>VLOOKUP(O1414,O242:Q244,3)*N1414</f>
        <v>5.6</v>
      </c>
      <c r="Q1414" s="38" t="s">
        <v>247</v>
      </c>
    </row>
    <row r="1416" spans="11:18" hidden="1" x14ac:dyDescent="0.25">
      <c r="K1416" s="648" t="s">
        <v>779</v>
      </c>
      <c r="L1416" s="648"/>
      <c r="M1416" s="649" t="s">
        <v>267</v>
      </c>
      <c r="N1416" s="649"/>
      <c r="O1416" s="649"/>
      <c r="P1416" s="649"/>
      <c r="Q1416" s="648" t="s">
        <v>780</v>
      </c>
      <c r="R1416" s="648"/>
    </row>
    <row r="1417" spans="11:18" hidden="1" x14ac:dyDescent="0.25">
      <c r="K1417" s="27" t="s">
        <v>781</v>
      </c>
      <c r="L1417" s="27" t="s">
        <v>782</v>
      </c>
      <c r="M1417" s="122" t="s">
        <v>254</v>
      </c>
      <c r="O1417" s="27" t="s">
        <v>60</v>
      </c>
      <c r="P1417" s="123"/>
      <c r="Q1417" s="27" t="s">
        <v>781</v>
      </c>
      <c r="R1417" s="27" t="s">
        <v>782</v>
      </c>
    </row>
    <row r="1418" spans="11:18" hidden="1" x14ac:dyDescent="0.25">
      <c r="K1418" s="298">
        <v>0</v>
      </c>
      <c r="L1418" s="299">
        <v>0</v>
      </c>
      <c r="M1418" s="126">
        <v>0</v>
      </c>
      <c r="N1418" s="127">
        <v>12.7</v>
      </c>
      <c r="O1418" s="128">
        <f>P1399+O1420</f>
        <v>25.5</v>
      </c>
      <c r="P1418" s="129" t="s">
        <v>35</v>
      </c>
      <c r="Q1418" s="301">
        <f>K1418</f>
        <v>0.0</v>
      </c>
      <c r="R1418" s="298">
        <f>L1418</f>
        <v>0.0</v>
      </c>
    </row>
    <row r="1419" spans="11:18" hidden="1" x14ac:dyDescent="0.25">
      <c r="K1419" s="71"/>
      <c r="L1419" s="71"/>
      <c r="M1419" s="122" t="s">
        <v>257</v>
      </c>
      <c r="O1419" s="27"/>
      <c r="P1419" s="129"/>
      <c r="Q1419" s="71"/>
      <c r="R1419" s="71"/>
    </row>
    <row r="1420" spans="11:18" hidden="1" x14ac:dyDescent="0.25">
      <c r="K1420" s="298">
        <v>0</v>
      </c>
      <c r="L1420" s="299">
        <v>0</v>
      </c>
      <c r="M1420" s="126">
        <f>O266-K1420</f>
        <v>0.0</v>
      </c>
      <c r="N1420" s="127">
        <v>12.7</v>
      </c>
      <c r="O1420" s="128">
        <f>O1422+P1399</f>
        <v>19.0</v>
      </c>
      <c r="P1420" s="129" t="s">
        <v>35</v>
      </c>
      <c r="Q1420" s="301">
        <f>K1420</f>
        <v>0.0</v>
      </c>
      <c r="R1420" s="298">
        <f>L1420</f>
        <v>0.0</v>
      </c>
    </row>
    <row r="1421" spans="11:18" hidden="1" x14ac:dyDescent="0.25">
      <c r="K1421" s="71"/>
      <c r="L1421" s="71"/>
      <c r="M1421" s="122" t="s">
        <v>260</v>
      </c>
      <c r="O1421" s="27"/>
      <c r="P1421" s="307">
        <f>IFERROR((M1424*(VLOOKUP(N1424,O241:Q244,3))*O1424+M1422*(VLOOKUP(N1422,O241:Q244,3))*O1422+M1420*(VLOOKUP(N1420,O241:Q244,3))*O1420+M1418*(VLOOKUP(N1418,O241:Q244,3))*O1418)/(M1424*(VLOOKUP(N1424,O241:Q244,3))+M1422*(VLOOKUP(N1422,O241:Q244,3))+M1420*(VLOOKUP(N1420,O241:Q244,3))+M1418*(VLOOKUP(N1418,O241:Q244,3))),0)</f>
        <v>0.0</v>
      </c>
      <c r="Q1421" s="71"/>
      <c r="R1421" s="71"/>
    </row>
    <row r="1422" spans="11:18" hidden="1" x14ac:dyDescent="0.25">
      <c r="K1422" s="298">
        <v>0</v>
      </c>
      <c r="L1422" s="299">
        <v>0</v>
      </c>
      <c r="M1422" s="126">
        <f>O268-K1422</f>
        <v>0.0</v>
      </c>
      <c r="N1422" s="127">
        <v>12.7</v>
      </c>
      <c r="O1422" s="128">
        <f>O1424+P1399</f>
        <v>12.5</v>
      </c>
      <c r="P1422" s="129" t="s">
        <v>35</v>
      </c>
      <c r="Q1422" s="301">
        <f>K1422</f>
        <v>0.0</v>
      </c>
      <c r="R1422" s="298">
        <f>L1422</f>
        <v>0.0</v>
      </c>
    </row>
    <row r="1423" spans="11:18" hidden="1" x14ac:dyDescent="0.25">
      <c r="K1423" s="71"/>
      <c r="L1423" s="71"/>
      <c r="M1423" s="122" t="s">
        <v>261</v>
      </c>
      <c r="O1423" s="27"/>
      <c r="P1423" s="129"/>
      <c r="Q1423" s="71"/>
      <c r="R1423" s="71"/>
    </row>
    <row r="1424" spans="11:18" hidden="1" x14ac:dyDescent="0.25">
      <c r="K1424" s="298">
        <v>0</v>
      </c>
      <c r="L1424" s="299">
        <v>0</v>
      </c>
      <c r="M1424" s="134">
        <f>O270-K1424</f>
        <v>0.0</v>
      </c>
      <c r="N1424" s="135">
        <v>12.7</v>
      </c>
      <c r="O1424" s="136">
        <v>6</v>
      </c>
      <c r="P1424" s="137" t="s">
        <v>35</v>
      </c>
      <c r="Q1424" s="301">
        <f>K1424</f>
        <v>0.0</v>
      </c>
      <c r="R1424" s="298">
        <f>L1424</f>
        <v>0.0</v>
      </c>
    </row>
    <row r="1425" spans="11:18" hidden="1" x14ac:dyDescent="0.25">
      <c r="K1425" s="71"/>
      <c r="M1425" s="71"/>
      <c r="N1425" s="308"/>
      <c r="O1425" s="309"/>
      <c r="P1425" s="71"/>
      <c r="R1425" s="71"/>
    </row>
    <row r="1426" spans="11:18" hidden="1" x14ac:dyDescent="0.25">
      <c r="M1426" s="650" t="str">
        <f>$K$1198</f>
        <v>€p (%)</v>
      </c>
      <c r="N1426" s="650"/>
      <c r="O1426" s="141">
        <f ca="1">$L$1198</f>
        <v>5.544308758809232</v>
      </c>
      <c r="P1426" s="145">
        <f>K2292</f>
        <v>0.0</v>
      </c>
    </row>
    <row r="1427" spans="11:18" hidden="1" x14ac:dyDescent="0.25">
      <c r="M1427" s="651" t="s">
        <v>265</v>
      </c>
      <c r="N1427" s="651"/>
      <c r="O1427" s="310">
        <f>($N$236*($L$85*100)/((3.14*(($L$265/2)/10)^2)*19500))</f>
        <v>59.2560388125839</v>
      </c>
      <c r="P1427" s="140" t="s">
        <v>35</v>
      </c>
    </row>
    <row r="1428" spans="11:18" hidden="1" x14ac:dyDescent="0.25"/>
    <row r="1429" spans="11:18" hidden="1" x14ac:dyDescent="0.25">
      <c r="M1429" s="4" t="s">
        <v>41</v>
      </c>
      <c r="N1429" s="31">
        <f>M1424+M1422+M1420+M1418</f>
        <v>0.0</v>
      </c>
      <c r="O1429" s="125">
        <f>N1424</f>
        <v>12.7</v>
      </c>
      <c r="P1429" s="38">
        <f>VLOOKUP(O1429,O242:Q244,3)*N1429</f>
        <v>0.0</v>
      </c>
      <c r="Q1429" s="38" t="s">
        <v>247</v>
      </c>
    </row>
    <row r="1431" spans="11:18" x14ac:dyDescent="0.25">
      <c r="K1431" s="80" t="s">
        <v>783</v>
      </c>
      <c r="L1431" s="31">
        <f>P1421</f>
        <v>0.0</v>
      </c>
      <c r="M1431" s="38" t="s">
        <v>35</v>
      </c>
      <c r="N1431" s="4" t="s">
        <v>784</v>
      </c>
    </row>
    <row r="1432" spans="11:18" x14ac:dyDescent="0.25">
      <c r="K1432" s="80" t="s">
        <v>785</v>
      </c>
      <c r="L1432" s="97">
        <f>P1406</f>
        <v>1.4999999999999987</v>
      </c>
      <c r="M1432" s="38" t="s">
        <v>35</v>
      </c>
      <c r="N1432" s="4" t="s">
        <v>786</v>
      </c>
    </row>
    <row r="1435" spans="11:18" x14ac:dyDescent="0.25">
      <c r="K1435" s="80" t="s">
        <v>290</v>
      </c>
      <c r="L1435" s="31">
        <f>N1414*(VLOOKUP(O1414,$O$241:$Q$244,3))</f>
        <v>5.6</v>
      </c>
      <c r="M1435" s="38" t="s">
        <v>247</v>
      </c>
      <c r="N1435" s="4" t="s">
        <v>787</v>
      </c>
    </row>
    <row r="1436" spans="11:18" x14ac:dyDescent="0.25">
      <c r="K1436" s="80" t="s">
        <v>293</v>
      </c>
      <c r="L1436" s="97">
        <f ca="1">$L$30-L1432</f>
        <v>28.5</v>
      </c>
      <c r="M1436" s="38" t="s">
        <v>294</v>
      </c>
      <c r="N1436" s="4" t="s">
        <v>129</v>
      </c>
    </row>
    <row r="1437" spans="11:18" x14ac:dyDescent="0.25">
      <c r="K1437" s="80" t="s">
        <v>296</v>
      </c>
      <c r="L1437" s="31">
        <f>N1429*(VLOOKUP(O1429,$O$241:$Q$244,3))</f>
        <v>0.0</v>
      </c>
      <c r="M1437" s="38" t="s">
        <v>247</v>
      </c>
      <c r="N1437" s="4" t="s">
        <v>788</v>
      </c>
    </row>
    <row r="1438" spans="11:18" x14ac:dyDescent="0.25">
      <c r="K1438" s="80" t="s">
        <v>297</v>
      </c>
      <c r="L1438" s="97">
        <f ca="1">$L$31-L1431</f>
        <v>30.0</v>
      </c>
      <c r="M1438" s="38" t="s">
        <v>294</v>
      </c>
      <c r="N1438" s="4" t="s">
        <v>789</v>
      </c>
    </row>
    <row r="1440" spans="11:18" x14ac:dyDescent="0.25">
      <c r="K1440" s="4" t="s">
        <v>790</v>
      </c>
    </row>
    <row r="1441" spans="11:13" x14ac:dyDescent="0.25">
      <c r="K1441" s="4" t="s">
        <v>791</v>
      </c>
    </row>
    <row r="1442" spans="11:13" x14ac:dyDescent="0.25">
      <c r="K1442" s="4" t="s">
        <v>792</v>
      </c>
      <c r="L1442" s="4">
        <f>(O256-K1409)*VLOOKUP(N1409,O241:Q244,3)+(O254-K1407)*VLOOKUP(N1407,O241:Q244,3)+O252*VLOOKUP(N1405,O241:Q244,3)+O250*VLOOKUP(N1403,O241:Q244,3)</f>
        <v>11.2</v>
      </c>
      <c r="M1442" s="4" t="s">
        <v>247</v>
      </c>
    </row>
    <row r="1443" spans="11:13" x14ac:dyDescent="0.25">
      <c r="K1443" s="4" t="s">
        <v>793</v>
      </c>
      <c r="L1443" s="4">
        <f ca="1">IFERROR(L30-(((O256-K1409)*VLOOKUP(N1409,O241:Q244,3)*O1409+(O254-K1407)*VLOOKUP(N1407,O241:Q244,3)*O1407+O252*VLOOKUP(N1405,O241:Q244,3)*O1405+O250*VLOOKUP(N1403,O241:Q244,3)*O1403)/L1442),L30)</f>
        <v>18.75</v>
      </c>
      <c r="M1443" s="4" t="s">
        <v>35</v>
      </c>
    </row>
    <row r="1444" spans="11:13" x14ac:dyDescent="0.25">
      <c r="K1444" s="4" t="s">
        <v>794</v>
      </c>
      <c r="L1444" s="4">
        <f>O256*VLOOKUP(N1409,O241:Q244,3)+O254*VLOOKUP(N1407,O241:Q244,3)+(O252-K1405)*VLOOKUP(N1405,O241:Q244,3)+(O250-K1403)*VLOOKUP(N1403,O241:Q244,3)</f>
        <v>5.6</v>
      </c>
      <c r="M1444" s="4" t="s">
        <v>247</v>
      </c>
    </row>
    <row r="1445" spans="11:13" x14ac:dyDescent="0.25">
      <c r="K1445" s="4" t="s">
        <v>795</v>
      </c>
      <c r="L1445" s="4">
        <f ca="1">IFERROR(L30-((O256*VLOOKUP(N1409,O241:Q244,3)*O1409+O254*VLOOKUP(N1407,O241:Q244,3)*O1407+(O252-K1405)*VLOOKUP(N1405,O241:Q244,3)*O1405+(O250-K1403)*VLOOKUP(N1403,O241:Q244,3)*O1403)/L1444),L30)</f>
        <v>28.5</v>
      </c>
      <c r="M1445" s="4" t="s">
        <v>35</v>
      </c>
    </row>
    <row r="1447" spans="11:13" x14ac:dyDescent="0.25">
      <c r="K1447" s="4" t="s">
        <v>796</v>
      </c>
      <c r="L1447" s="4">
        <f ca="1">L1442*'Isolamento de cabos'!N47+L1437*'Isolamento de cabos'!N48</f>
        <v>1499.8056003831216</v>
      </c>
      <c r="M1447" s="4" t="s">
        <v>292</v>
      </c>
    </row>
    <row r="1448" spans="11:13" x14ac:dyDescent="0.25">
      <c r="K1448" s="4" t="s">
        <v>797</v>
      </c>
      <c r="L1448" s="4">
        <f ca="1">L1442*'Isolamento de cabos'!N47*L1443/100-L1437*'Isolamento de cabos'!N48*L1438/100</f>
        <v>281.2135500718353</v>
      </c>
      <c r="M1448" s="4" t="s">
        <v>216</v>
      </c>
    </row>
    <row r="1449" spans="11:13" x14ac:dyDescent="0.25">
      <c r="K1449" s="4" t="s">
        <v>798</v>
      </c>
      <c r="L1449" s="4">
        <f ca="1">L1444*'Isolamento de cabos'!N47+L300*'Isolamento de cabos'!N48</f>
        <v>749.9028001915608</v>
      </c>
      <c r="M1449" s="4" t="s">
        <v>292</v>
      </c>
    </row>
    <row r="1450" spans="11:13" x14ac:dyDescent="0.25">
      <c r="K1450" s="4" t="s">
        <v>799</v>
      </c>
      <c r="L1450" s="4">
        <f ca="1">L1444*'Isolamento de cabos'!N47*L1445/100-L300*'Isolamento de cabos'!N48*L301/100</f>
        <v>213.72229805459483</v>
      </c>
      <c r="M1450" s="4" t="s">
        <v>216</v>
      </c>
    </row>
    <row r="1452" spans="11:13" x14ac:dyDescent="0.25">
      <c r="K1452" s="4" t="s">
        <v>800</v>
      </c>
      <c r="L1452" s="4">
        <f ca="1">L1442*N368+L1437*N369</f>
        <v>1243.5596228306003</v>
      </c>
      <c r="M1452" s="4" t="s">
        <v>292</v>
      </c>
    </row>
    <row r="1453" spans="11:13" x14ac:dyDescent="0.25">
      <c r="K1453" s="4" t="s">
        <v>801</v>
      </c>
      <c r="L1453" s="4">
        <f ca="1">L1442*N368*L1443/100-L1437*N369*L1438/100</f>
        <v>233.16742928073757</v>
      </c>
      <c r="M1453" s="4" t="s">
        <v>216</v>
      </c>
    </row>
    <row r="1454" spans="11:13" x14ac:dyDescent="0.25">
      <c r="K1454" s="4" t="s">
        <v>802</v>
      </c>
      <c r="L1454" s="4">
        <f ca="1">L1444*N368+L300*N369</f>
        <v>621.7798114153002</v>
      </c>
      <c r="M1454" s="4" t="s">
        <v>292</v>
      </c>
    </row>
    <row r="1455" spans="11:13" x14ac:dyDescent="0.25">
      <c r="K1455" s="4" t="s">
        <v>803</v>
      </c>
      <c r="L1455" s="4">
        <f ca="1">L1444*N368*L1445/100-L300*N369*L301/100</f>
        <v>177.20724625336052</v>
      </c>
      <c r="M1455" s="4" t="s">
        <v>216</v>
      </c>
    </row>
    <row r="1458" spans="11:13" x14ac:dyDescent="0.25">
      <c r="K1458" s="4" t="s">
        <v>804</v>
      </c>
    </row>
    <row r="1460" spans="11:13" x14ac:dyDescent="0.25">
      <c r="K1460" s="4" t="s">
        <v>805</v>
      </c>
      <c r="L1460" s="4">
        <f>(O256-Q1409)*VLOOKUP(N1409,O241:Q244,3)+(O254-Q1407)*VLOOKUP(N1407,O241:Q244,3)+O252*VLOOKUP(N1405,O241:Q244,3)+O250*VLOOKUP(N1403,O241:Q244,3)</f>
        <v>11.2</v>
      </c>
      <c r="M1460" s="4" t="s">
        <v>247</v>
      </c>
    </row>
    <row r="1461" spans="11:13" x14ac:dyDescent="0.25">
      <c r="K1461" s="4" t="s">
        <v>806</v>
      </c>
      <c r="L1461" s="4">
        <f ca="1">IFERROR(L30-(((O256-Q1409)*VLOOKUP(N1409,O241:Q244,3)*O1409+(O254-Q1407)*VLOOKUP(N1407,O241:Q244,3)*O1407+O252*VLOOKUP(N1405,O241:Q244,3)*O1405+O250*VLOOKUP(N1403,O241:Q244,3)*O1403)/L1460),L30)</f>
        <v>18.75</v>
      </c>
      <c r="M1461" s="4" t="s">
        <v>35</v>
      </c>
    </row>
    <row r="1462" spans="11:13" x14ac:dyDescent="0.25">
      <c r="K1462" s="4" t="s">
        <v>807</v>
      </c>
      <c r="L1462" s="4">
        <f>O256*VLOOKUP(N1409,O241:Q244,3)+O254*VLOOKUP(N1407,O241:Q244,3)+(O252-Q1405)*VLOOKUP(N1405,O241:Q244,3)+(O250-Q1403)*VLOOKUP(N1403,O241:Q244,3)</f>
        <v>5.6</v>
      </c>
      <c r="M1462" s="4" t="s">
        <v>247</v>
      </c>
    </row>
    <row r="1463" spans="11:13" x14ac:dyDescent="0.25">
      <c r="K1463" s="4" t="s">
        <v>808</v>
      </c>
      <c r="L1463" s="4">
        <f ca="1">IFERROR(L30-((O256*VLOOKUP(N1409,O241:Q244,3)*O1409+O254*VLOOKUP(N1407,O241:Q244,3)*O1407+(O252-Q1405)*VLOOKUP(N1405,O241:Q244,3)*O1405+(O250-Q1403)*VLOOKUP(N1403,O241:Q244,3)*O1403)/L1462),L30)</f>
        <v>28.5</v>
      </c>
      <c r="M1463" s="4" t="s">
        <v>35</v>
      </c>
    </row>
    <row r="1465" spans="11:13" x14ac:dyDescent="0.25">
      <c r="K1465" s="4" t="s">
        <v>809</v>
      </c>
      <c r="L1465" s="4">
        <f ca="1">L1460*'Isolamento de cabos'!N47+L1437*'Isolamento de cabos'!N48</f>
        <v>1499.8056003831216</v>
      </c>
      <c r="M1465" s="4" t="s">
        <v>292</v>
      </c>
    </row>
    <row r="1466" spans="11:13" x14ac:dyDescent="0.25">
      <c r="K1466" s="4" t="s">
        <v>810</v>
      </c>
      <c r="L1466" s="4">
        <f ca="1">L1460*'Isolamento de cabos'!N47*L1461/100-L1437*'Isolamento de cabos'!N48*L1438/100</f>
        <v>281.2135500718353</v>
      </c>
      <c r="M1466" s="4" t="s">
        <v>216</v>
      </c>
    </row>
    <row r="1467" spans="11:13" x14ac:dyDescent="0.25">
      <c r="K1467" s="4" t="s">
        <v>811</v>
      </c>
      <c r="L1467" s="4">
        <f ca="1">L1462*'Isolamento de cabos'!N47+L300*'Isolamento de cabos'!N48</f>
        <v>749.9028001915608</v>
      </c>
      <c r="M1467" s="4" t="s">
        <v>292</v>
      </c>
    </row>
    <row r="1468" spans="11:13" x14ac:dyDescent="0.25">
      <c r="K1468" s="4" t="s">
        <v>812</v>
      </c>
      <c r="L1468" s="4">
        <f ca="1">L1462*'Isolamento de cabos'!N47*L1463/100-L300*'Isolamento de cabos'!N48*L301/100</f>
        <v>213.72229805459483</v>
      </c>
      <c r="M1468" s="4" t="s">
        <v>216</v>
      </c>
    </row>
    <row r="1470" spans="11:13" x14ac:dyDescent="0.25">
      <c r="K1470" s="4" t="s">
        <v>813</v>
      </c>
      <c r="L1470" s="4">
        <f ca="1">L1460*N368+L1437*N369</f>
        <v>1243.5596228306003</v>
      </c>
      <c r="M1470" s="4" t="s">
        <v>292</v>
      </c>
    </row>
    <row r="1471" spans="11:13" x14ac:dyDescent="0.25">
      <c r="K1471" s="4" t="s">
        <v>814</v>
      </c>
      <c r="L1471" s="4">
        <f ca="1">L1460*N368*L1461/100-L1437*N369*L1438/100</f>
        <v>233.16742928073757</v>
      </c>
      <c r="M1471" s="4" t="s">
        <v>216</v>
      </c>
    </row>
    <row r="1472" spans="11:13" x14ac:dyDescent="0.25">
      <c r="K1472" s="4" t="s">
        <v>815</v>
      </c>
      <c r="L1472" s="4">
        <f ca="1">L1462*N368+L300*N369</f>
        <v>621.7798114153002</v>
      </c>
      <c r="M1472" s="4" t="s">
        <v>292</v>
      </c>
    </row>
    <row r="1473" spans="11:13" x14ac:dyDescent="0.25">
      <c r="K1473" s="4" t="s">
        <v>816</v>
      </c>
      <c r="L1473" s="4">
        <f ca="1">L1462*N368*L1463/100-L300*N369*L301/100</f>
        <v>177.20724625336052</v>
      </c>
      <c r="M1473" s="4" t="s">
        <v>216</v>
      </c>
    </row>
    <row r="1475" spans="11:13" x14ac:dyDescent="0.25">
      <c r="K1475" s="4" t="s">
        <v>817</v>
      </c>
      <c r="L1475" s="4">
        <f>(O256-Q1409)+(O254-Q1407)+(O252-Q1405)+(O250-Q1403)</f>
        <v>4.0</v>
      </c>
      <c r="M1475" s="4" t="s">
        <v>818</v>
      </c>
    </row>
    <row r="1476" spans="11:13" x14ac:dyDescent="0.25">
      <c r="K1476" s="4" t="s">
        <v>819</v>
      </c>
      <c r="L1476" s="4">
        <f>L1475*(VLOOKUP(O1414,$O$241:$Q$244,3))</f>
        <v>5.6</v>
      </c>
      <c r="M1476" s="4" t="s">
        <v>247</v>
      </c>
    </row>
    <row r="1478" spans="11:13" x14ac:dyDescent="0.25">
      <c r="K1478" s="4" t="s">
        <v>820</v>
      </c>
      <c r="L1478" s="4">
        <f ca="1">L1476*'Isolamento de cabos'!N47+L1437*'Isolamento de cabos'!N48</f>
        <v>749.9028001915608</v>
      </c>
      <c r="M1478" s="4" t="s">
        <v>292</v>
      </c>
    </row>
    <row r="1479" spans="11:13" x14ac:dyDescent="0.25">
      <c r="K1479" s="4" t="s">
        <v>821</v>
      </c>
      <c r="L1479" s="4">
        <f ca="1">L1476*'Isolamento de cabos'!N47*L1436/100-L1437*'Isolamento de cabos'!N48*L1438/100</f>
        <v>213.72229805459483</v>
      </c>
      <c r="M1479" s="4" t="s">
        <v>216</v>
      </c>
    </row>
    <row r="1480" spans="11:13" x14ac:dyDescent="0.25">
      <c r="K1480" s="4" t="s">
        <v>822</v>
      </c>
      <c r="L1480" s="4">
        <f ca="1">L1476*N368+L1437*N369</f>
        <v>621.7798114153002</v>
      </c>
      <c r="M1480" s="4" t="s">
        <v>292</v>
      </c>
    </row>
    <row r="1481" spans="11:13" x14ac:dyDescent="0.25">
      <c r="K1481" s="4" t="s">
        <v>823</v>
      </c>
      <c r="L1481" s="4">
        <f ca="1">L1476*N368*L1436/100-L1437*N369*L1438/100</f>
        <v>177.20724625336052</v>
      </c>
      <c r="M1481" s="4" t="s">
        <v>216</v>
      </c>
    </row>
    <row r="1483" spans="11:13" x14ac:dyDescent="0.25">
      <c r="K1483" s="4" t="s">
        <v>824</v>
      </c>
      <c r="L1483" s="4">
        <f>IFERROR(((O256-Q1409)*(VLOOKUP(N1409,O241:Q244,3))*O1409+(O254-Q1407)*(VLOOKUP(N1407,O241:Q244,3))*O1407+(O252-Q1405)*(VLOOKUP(N1405,O241:Q244,3))*O1405+(O250-Q1403)*(VLOOKUP(N1403,O241:Q244,3))*O1403)/((O256-Q1409)*(VLOOKUP(N1409,O241:Q244,3))+(O254-Q1407)*(VLOOKUP(N1407,O241:Q244,3))+(O252-Q1405)*(VLOOKUP(N1405,O241:Q244,3))+(O250-Q1403)*(VLOOKUP(N1403,O241:Q244,3))),0)</f>
        <v>1.4999999999999987</v>
      </c>
      <c r="M1483" s="4" t="s">
        <v>35</v>
      </c>
    </row>
    <row r="1484" spans="11:13" x14ac:dyDescent="0.25">
      <c r="K1484" s="4" t="s">
        <v>825</v>
      </c>
      <c r="L1484" s="4">
        <f ca="1">L30-L1483</f>
        <v>28.5</v>
      </c>
      <c r="M1484" s="4" t="s">
        <v>35</v>
      </c>
    </row>
  </sheetData>
  <mergeCells count="286">
    <mergeCell ref="K1:K3"/>
    <mergeCell ref="L1:L3"/>
    <mergeCell ref="M1:N1"/>
    <mergeCell ref="Q1:R1"/>
    <mergeCell ref="M2:N2"/>
    <mergeCell ref="Q2:R2"/>
    <mergeCell ref="M3:N3"/>
    <mergeCell ref="Q3:R3"/>
    <mergeCell ref="K4:L4"/>
    <mergeCell ref="K5:L5"/>
    <mergeCell ref="K6:R6"/>
    <mergeCell ref="K7:R8"/>
    <mergeCell ref="K9:M9"/>
    <mergeCell ref="T9:U9"/>
    <mergeCell ref="Q10:R10"/>
    <mergeCell ref="Q11:R12"/>
    <mergeCell ref="F13:F14"/>
    <mergeCell ref="G13:I13"/>
    <mergeCell ref="K14:M14"/>
    <mergeCell ref="Q14:R14"/>
    <mergeCell ref="F15:I15"/>
    <mergeCell ref="Q15:R16"/>
    <mergeCell ref="F16:F19"/>
    <mergeCell ref="G16:G19"/>
    <mergeCell ref="H16:H19"/>
    <mergeCell ref="I16:I19"/>
    <mergeCell ref="K18:L18"/>
    <mergeCell ref="Q18:R18"/>
    <mergeCell ref="K19:L20"/>
    <mergeCell ref="Q19:R20"/>
    <mergeCell ref="F20:F22"/>
    <mergeCell ref="G20:G22"/>
    <mergeCell ref="H20:H22"/>
    <mergeCell ref="I20:I22"/>
    <mergeCell ref="F23:F24"/>
    <mergeCell ref="G23:G24"/>
    <mergeCell ref="H23:H24"/>
    <mergeCell ref="I23:I24"/>
    <mergeCell ref="K23:M23"/>
    <mergeCell ref="Q23:R23"/>
    <mergeCell ref="Q24:R25"/>
    <mergeCell ref="F25:I25"/>
    <mergeCell ref="F26:F27"/>
    <mergeCell ref="G26:G27"/>
    <mergeCell ref="H26:H27"/>
    <mergeCell ref="I26:I27"/>
    <mergeCell ref="F28:I28"/>
    <mergeCell ref="F29:F30"/>
    <mergeCell ref="G29:G30"/>
    <mergeCell ref="H29:H30"/>
    <mergeCell ref="I29:I30"/>
    <mergeCell ref="E33:I33"/>
    <mergeCell ref="E34:E35"/>
    <mergeCell ref="F34:G34"/>
    <mergeCell ref="H34:I34"/>
    <mergeCell ref="K35:M35"/>
    <mergeCell ref="K40:M40"/>
    <mergeCell ref="K47:M47"/>
    <mergeCell ref="K59:M59"/>
    <mergeCell ref="K72:R72"/>
    <mergeCell ref="K74:L74"/>
    <mergeCell ref="N74:O74"/>
    <mergeCell ref="Q74:R74"/>
    <mergeCell ref="K79:R79"/>
    <mergeCell ref="K91:R91"/>
    <mergeCell ref="K95:R95"/>
    <mergeCell ref="K96:R96"/>
    <mergeCell ref="K109:R109"/>
    <mergeCell ref="K110:L110"/>
    <mergeCell ref="K111:L111"/>
    <mergeCell ref="K112:L112"/>
    <mergeCell ref="K113:L113"/>
    <mergeCell ref="K114:L114"/>
    <mergeCell ref="K115:L115"/>
    <mergeCell ref="K116:L116"/>
    <mergeCell ref="K117:L117"/>
    <mergeCell ref="K118:L118"/>
    <mergeCell ref="K119:L119"/>
    <mergeCell ref="K120:L120"/>
    <mergeCell ref="K195:R195"/>
    <mergeCell ref="L197:N197"/>
    <mergeCell ref="L205:P205"/>
    <mergeCell ref="Q208:Q209"/>
    <mergeCell ref="R208:R209"/>
    <mergeCell ref="K221:R221"/>
    <mergeCell ref="M225:M226"/>
    <mergeCell ref="K230:R230"/>
    <mergeCell ref="M232:M236"/>
    <mergeCell ref="V233:AC233"/>
    <mergeCell ref="Y234:Z234"/>
    <mergeCell ref="AB234:AC234"/>
    <mergeCell ref="AE234:AF234"/>
    <mergeCell ref="K238:R238"/>
    <mergeCell ref="O241:Q241"/>
    <mergeCell ref="K244:L244"/>
    <mergeCell ref="O246:Q246"/>
    <mergeCell ref="K247:L247"/>
    <mergeCell ref="O248:R248"/>
    <mergeCell ref="V248:Z248"/>
    <mergeCell ref="K259:K260"/>
    <mergeCell ref="O259:P259"/>
    <mergeCell ref="O260:P260"/>
    <mergeCell ref="O262:R262"/>
    <mergeCell ref="K268:L268"/>
    <mergeCell ref="K270:L270"/>
    <mergeCell ref="O271:P271"/>
    <mergeCell ref="O272:P272"/>
    <mergeCell ref="K274:R274"/>
    <mergeCell ref="K279:R279"/>
    <mergeCell ref="K287:L287"/>
    <mergeCell ref="P287:Q287"/>
    <mergeCell ref="P309:P310"/>
    <mergeCell ref="P320:P321"/>
    <mergeCell ref="K329:R329"/>
    <mergeCell ref="AN336:AQ336"/>
    <mergeCell ref="Y337:AI337"/>
    <mergeCell ref="AJ337:AM337"/>
    <mergeCell ref="Y338:AA338"/>
    <mergeCell ref="AB338:AC338"/>
    <mergeCell ref="AD338:AE338"/>
    <mergeCell ref="AF338:AG338"/>
    <mergeCell ref="AH338:AI338"/>
    <mergeCell ref="Y339:AA339"/>
    <mergeCell ref="Y340:Y342"/>
    <mergeCell ref="Z340:Z348"/>
    <mergeCell ref="Y343:Y345"/>
    <mergeCell ref="Y346:Y348"/>
    <mergeCell ref="O354:Q354"/>
    <mergeCell ref="Q355:Q356"/>
    <mergeCell ref="K365:R365"/>
    <mergeCell ref="M366:O366"/>
    <mergeCell ref="K371:R371"/>
    <mergeCell ref="L380:Q380"/>
    <mergeCell ref="K385:R385"/>
    <mergeCell ref="K387:N387"/>
    <mergeCell ref="O387:R387"/>
    <mergeCell ref="K398:R398"/>
    <mergeCell ref="K403:N403"/>
    <mergeCell ref="O403:R403"/>
    <mergeCell ref="K412:R412"/>
    <mergeCell ref="K413:R413"/>
    <mergeCell ref="K424:R424"/>
    <mergeCell ref="K435:R435"/>
    <mergeCell ref="L446:P446"/>
    <mergeCell ref="S448:V448"/>
    <mergeCell ref="L469:P469"/>
    <mergeCell ref="L528:P528"/>
    <mergeCell ref="L551:P551"/>
    <mergeCell ref="K610:R610"/>
    <mergeCell ref="M612:P612"/>
    <mergeCell ref="Q614:R622"/>
    <mergeCell ref="M624:P624"/>
    <mergeCell ref="P631:R633"/>
    <mergeCell ref="K636:R636"/>
    <mergeCell ref="L639:Q639"/>
    <mergeCell ref="K645:L645"/>
    <mergeCell ref="O645:P645"/>
    <mergeCell ref="L646:M646"/>
    <mergeCell ref="P646:Q646"/>
    <mergeCell ref="K647:K648"/>
    <mergeCell ref="O647:O648"/>
    <mergeCell ref="O656:P656"/>
    <mergeCell ref="K657:L657"/>
    <mergeCell ref="K658:K659"/>
    <mergeCell ref="O658:O659"/>
    <mergeCell ref="K670:R670"/>
    <mergeCell ref="K681:R681"/>
    <mergeCell ref="K711:R711"/>
    <mergeCell ref="L713:P713"/>
    <mergeCell ref="L736:P736"/>
    <mergeCell ref="K786:R786"/>
    <mergeCell ref="L788:P788"/>
    <mergeCell ref="L812:P812"/>
    <mergeCell ref="K861:R861"/>
    <mergeCell ref="M863:P863"/>
    <mergeCell ref="P870:R872"/>
    <mergeCell ref="M875:P875"/>
    <mergeCell ref="P882:R884"/>
    <mergeCell ref="K887:L887"/>
    <mergeCell ref="K888:K889"/>
    <mergeCell ref="K890:K891"/>
    <mergeCell ref="K893:R893"/>
    <mergeCell ref="K895:R895"/>
    <mergeCell ref="L912:P912"/>
    <mergeCell ref="L935:P935"/>
    <mergeCell ref="M981:P981"/>
    <mergeCell ref="K985:R985"/>
    <mergeCell ref="M987:P987"/>
    <mergeCell ref="Q989:R997"/>
    <mergeCell ref="K999:R999"/>
    <mergeCell ref="M1021:N1022"/>
    <mergeCell ref="O1021:O1022"/>
    <mergeCell ref="P1021:P1022"/>
    <mergeCell ref="M1023:P1023"/>
    <mergeCell ref="K1035:R1035"/>
    <mergeCell ref="N1037:O1037"/>
    <mergeCell ref="Q1037:R1037"/>
    <mergeCell ref="K1047:L1047"/>
    <mergeCell ref="K1056:R1056"/>
    <mergeCell ref="K1058:L1058"/>
    <mergeCell ref="K1061:L1061"/>
    <mergeCell ref="K1064:L1064"/>
    <mergeCell ref="K1087:L1087"/>
    <mergeCell ref="K1090:R1094"/>
    <mergeCell ref="N1095:N1096"/>
    <mergeCell ref="K1099:R1099"/>
    <mergeCell ref="N1113:N1115"/>
    <mergeCell ref="N1118:P1118"/>
    <mergeCell ref="N1119:N1120"/>
    <mergeCell ref="O1119:O1120"/>
    <mergeCell ref="P1119:P1120"/>
    <mergeCell ref="O1122:O1123"/>
    <mergeCell ref="K1125:R1125"/>
    <mergeCell ref="K1126:R1127"/>
    <mergeCell ref="S1126:W1126"/>
    <mergeCell ref="X1126:Y1127"/>
    <mergeCell ref="S1127:S1128"/>
    <mergeCell ref="T1127:W1127"/>
    <mergeCell ref="K1147:R1147"/>
    <mergeCell ref="Q1148:R1148"/>
    <mergeCell ref="K1150:L1151"/>
    <mergeCell ref="N1150:O1150"/>
    <mergeCell ref="Q1150:R1150"/>
    <mergeCell ref="N1151:O1152"/>
    <mergeCell ref="Q1151:R1152"/>
    <mergeCell ref="N1153:N1154"/>
    <mergeCell ref="O1153:O1154"/>
    <mergeCell ref="Q1153:Q1154"/>
    <mergeCell ref="R1153:R1154"/>
    <mergeCell ref="K1156:R1156"/>
    <mergeCell ref="K1157:M1157"/>
    <mergeCell ref="Q1158:R1158"/>
    <mergeCell ref="Q1159:R1160"/>
    <mergeCell ref="K1161:M1161"/>
    <mergeCell ref="K1166:R1166"/>
    <mergeCell ref="K1168:L1168"/>
    <mergeCell ref="K1176:L1176"/>
    <mergeCell ref="K1184:L1184"/>
    <mergeCell ref="K1193:R1193"/>
    <mergeCell ref="K1195:L1195"/>
    <mergeCell ref="K1199:L1199"/>
    <mergeCell ref="K1205:R1205"/>
    <mergeCell ref="K1208:L1208"/>
    <mergeCell ref="K1216:L1216"/>
    <mergeCell ref="K1225:R1225"/>
    <mergeCell ref="L1227:M1227"/>
    <mergeCell ref="Q1230:Q1231"/>
    <mergeCell ref="L1233:L1235"/>
    <mergeCell ref="O1233:O1235"/>
    <mergeCell ref="L1239:M1239"/>
    <mergeCell ref="O1239:P1239"/>
    <mergeCell ref="L1243:L1245"/>
    <mergeCell ref="O1243:O1245"/>
    <mergeCell ref="L1250:M1250"/>
    <mergeCell ref="O1250:P1250"/>
    <mergeCell ref="L1252:L1254"/>
    <mergeCell ref="O1252:O1254"/>
    <mergeCell ref="L1265:L1267"/>
    <mergeCell ref="O1265:O1267"/>
    <mergeCell ref="M1281:M1283"/>
    <mergeCell ref="N1281:O1283"/>
    <mergeCell ref="M1284:M1286"/>
    <mergeCell ref="N1284:O1286"/>
    <mergeCell ref="M1287:M1289"/>
    <mergeCell ref="N1287:O1289"/>
    <mergeCell ref="K1291:R1291"/>
    <mergeCell ref="K1296:K1297"/>
    <mergeCell ref="N1296:O1297"/>
    <mergeCell ref="J1307:M1307"/>
    <mergeCell ref="K1310:R1310"/>
    <mergeCell ref="K1346:R1346"/>
    <mergeCell ref="K1353:R1353"/>
    <mergeCell ref="K1416:L1416"/>
    <mergeCell ref="M1416:P1416"/>
    <mergeCell ref="Q1416:R1416"/>
    <mergeCell ref="M1426:N1426"/>
    <mergeCell ref="M1427:N1427"/>
    <mergeCell ref="G1354:I1359"/>
    <mergeCell ref="K1377:R1377"/>
    <mergeCell ref="K1397:R1397"/>
    <mergeCell ref="M1399:O1399"/>
    <mergeCell ref="K1401:L1401"/>
    <mergeCell ref="M1401:P1401"/>
    <mergeCell ref="Q1401:R1401"/>
    <mergeCell ref="M1411:N1411"/>
    <mergeCell ref="M1412:N1412"/>
  </mergeCells>
  <conditionalFormatting sqref="K246">
    <cfRule type="cellIs" dxfId="101" priority="22" operator="greaterThan">
      <formula>#REF!</formula>
    </cfRule>
  </conditionalFormatting>
  <conditionalFormatting sqref="L252">
    <cfRule type="cellIs" dxfId="100" priority="11" operator="lessThan">
      <formula>$L$253</formula>
    </cfRule>
    <cfRule type="cellIs" dxfId="99" priority="12" operator="greaterThan">
      <formula>$L$253</formula>
    </cfRule>
    <cfRule type="cellIs" dxfId="98" priority="13" operator="greaterThan">
      <formula>$L$253</formula>
    </cfRule>
  </conditionalFormatting>
  <conditionalFormatting sqref="L266">
    <cfRule type="cellIs" dxfId="97" priority="8" operator="lessThan">
      <formula>$L$253</formula>
    </cfRule>
    <cfRule type="cellIs" dxfId="96" priority="9" operator="greaterThan">
      <formula>$L$253</formula>
    </cfRule>
    <cfRule type="cellIs" dxfId="95" priority="10" operator="greaterThan">
      <formula>$L$253</formula>
    </cfRule>
  </conditionalFormatting>
  <conditionalFormatting sqref="L272">
    <cfRule type="cellIs" dxfId="94" priority="2" operator="lessThan">
      <formula>$L$253</formula>
    </cfRule>
    <cfRule type="cellIs" dxfId="93" priority="3" operator="greaterThan">
      <formula>$L$253</formula>
    </cfRule>
    <cfRule type="cellIs" dxfId="92" priority="4" operator="lessThan">
      <formula>$L$253</formula>
    </cfRule>
    <cfRule type="cellIs" dxfId="91" priority="5" operator="greaterThan">
      <formula>$L$253</formula>
    </cfRule>
    <cfRule type="cellIs" dxfId="90" priority="6" operator="greaterThan">
      <formula>$L$253</formula>
    </cfRule>
  </conditionalFormatting>
  <conditionalFormatting sqref="L1136">
    <cfRule type="cellIs" dxfId="89" priority="33" operator="greaterThan">
      <formula>$L$1137</formula>
    </cfRule>
    <cfRule type="cellIs" dxfId="88" priority="32" operator="lessThan">
      <formula>$L$1137</formula>
    </cfRule>
  </conditionalFormatting>
  <conditionalFormatting sqref="L1139">
    <cfRule type="cellIs" dxfId="87" priority="34" operator="lessThan">
      <formula>$L$1140</formula>
    </cfRule>
    <cfRule type="cellIs" dxfId="86" priority="35" operator="greaterThan">
      <formula>$L$1140</formula>
    </cfRule>
  </conditionalFormatting>
  <conditionalFormatting sqref="L1214">
    <cfRule type="cellIs" dxfId="85" priority="23" operator="lessThan">
      <formula>$L$1209</formula>
    </cfRule>
    <cfRule type="cellIs" dxfId="84" priority="24" operator="greaterThan">
      <formula>$L$1209</formula>
    </cfRule>
  </conditionalFormatting>
  <conditionalFormatting sqref="L1222">
    <cfRule type="cellIs" dxfId="83" priority="21" operator="greaterThan">
      <formula>$L$1220</formula>
    </cfRule>
    <cfRule type="cellIs" dxfId="82" priority="20" operator="lessThan">
      <formula>$L$1220</formula>
    </cfRule>
  </conditionalFormatting>
  <conditionalFormatting sqref="M447:M467 O447:O467 M470:M490 O470:O490 M529:M549 O529:O549 M552:M572 O552:O572">
    <cfRule type="cellIs" dxfId="81" priority="17" operator="greaterThan">
      <formula>0</formula>
    </cfRule>
    <cfRule type="cellIs" dxfId="80" priority="16" operator="lessThan">
      <formula>0</formula>
    </cfRule>
  </conditionalFormatting>
  <conditionalFormatting sqref="M714:M734 O714:O734 M737:M757 O737:O757 M789:M809 O789:O809 M813:M833 O813:O833 M936:M956 O936:O956">
    <cfRule type="cellIs" dxfId="79" priority="18" operator="lessThan">
      <formula>0</formula>
    </cfRule>
    <cfRule type="cellIs" dxfId="78" priority="19" operator="greaterThan">
      <formula>0</formula>
    </cfRule>
  </conditionalFormatting>
  <conditionalFormatting sqref="M913:M933 O913:O933">
    <cfRule type="cellIs" dxfId="77" priority="14" operator="lessThan">
      <formula>0</formula>
    </cfRule>
    <cfRule type="cellIs" dxfId="76" priority="15" operator="greaterThan">
      <formula>0</formula>
    </cfRule>
  </conditionalFormatting>
  <conditionalFormatting sqref="N1281">
    <cfRule type="cellIs" dxfId="75" priority="25" operator="equal">
      <formula>#REF!</formula>
    </cfRule>
    <cfRule type="cellIs" dxfId="74" priority="26" operator="lessThan">
      <formula>#REF!</formula>
    </cfRule>
    <cfRule type="cellIs" dxfId="73" priority="27" operator="greaterThan">
      <formula>#REF!</formula>
    </cfRule>
    <cfRule type="cellIs" dxfId="72" priority="28" operator="greaterThan">
      <formula>$N$1287</formula>
    </cfRule>
  </conditionalFormatting>
  <conditionalFormatting sqref="N1284">
    <cfRule type="cellIs" dxfId="71" priority="29" operator="equal">
      <formula>$N$1287</formula>
    </cfRule>
    <cfRule type="cellIs" dxfId="70" priority="30" operator="lessThan">
      <formula>$N$1287</formula>
    </cfRule>
    <cfRule type="cellIs" dxfId="69" priority="31" operator="greaterThan">
      <formula>$N$1287</formula>
    </cfRule>
  </conditionalFormatting>
  <conditionalFormatting sqref="Q24:R25">
    <cfRule type="containsText" dxfId="68" priority="7" operator="containsText" text="Necessita armadura passiva ELU">
      <formula>NOT(ISERROR(SEARCH("Necessita armadura passiva ELU",Q24)))</formula>
    </cfRule>
  </conditionalFormatting>
  <dataValidations count="14">
    <dataValidation type="list" allowBlank="1" showInputMessage="1" showErrorMessage="1" sqref="L264" xr:uid="{00000000-0002-0000-0000-000000000000}">
      <formula1>"9,5,12,7,15,2"</formula1>
      <formula2>0</formula2>
    </dataValidation>
    <dataValidation type="list" allowBlank="1" showInputMessage="1" showErrorMessage="1" sqref="P250 P252 P254 P256 P264 P266 P268 P270 N1403 N1405 N1407 N1409 N1418 N1420 N1422 N1424:N1425" xr:uid="{00000000-0002-0000-0000-000001000000}">
      <mc:AlternateContent xmlns:x12ac="http://schemas.microsoft.com/office/spreadsheetml/2011/1/ac" xmlns:mc="http://schemas.openxmlformats.org/markup-compatibility/2006">
        <mc:Choice Requires="x12ac">
          <x12ac:list>0,"9,5","12,7","15,2"</x12ac:list>
        </mc:Choice>
        <mc:Fallback>
          <formula1>"0,9,5,12,7,15,2"</formula1>
        </mc:Fallback>
      </mc:AlternateContent>
      <formula2>0</formula2>
    </dataValidation>
    <dataValidation type="list" allowBlank="1" showInputMessage="1" showErrorMessage="1" sqref="M18" xr:uid="{00000000-0002-0000-0000-000002000000}">
      <formula1>"1 - Sim,2 - Não"</formula1>
      <formula2>0</formula2>
    </dataValidation>
    <dataValidation type="list" allowBlank="1" showInputMessage="1" showErrorMessage="1" sqref="M19" xr:uid="{00000000-0002-0000-0000-000003000000}">
      <formula1>"1 - Retângular,2 - i,3 - Transição"</formula1>
      <formula2>0</formula2>
    </dataValidation>
    <dataValidation type="list" allowBlank="1" showInputMessage="1" showErrorMessage="1" sqref="L86:L87" xr:uid="{00000000-0002-0000-0000-000004000000}">
      <formula1>"CPI E CPII,CPIII e CPIV,CPV-ARI"</formula1>
      <formula2>0</formula2>
    </dataValidation>
    <dataValidation type="list" allowBlank="1" showInputMessage="1" showErrorMessage="1" sqref="O1155" xr:uid="{00000000-0002-0000-0000-000005000000}">
      <mc:AlternateContent xmlns:x12ac="http://schemas.microsoft.com/office/spreadsheetml/2011/1/ac" xmlns:mc="http://schemas.openxmlformats.org/markup-compatibility/2006">
        <mc:Choice Requires="x12ac">
          <x12ac:list>"6,3",8,10,"12,5",16,20,25,32</x12ac:list>
        </mc:Choice>
        <mc:Fallback>
          <formula1>"6,3,8,10,12,5,16,20,25,32"</formula1>
        </mc:Fallback>
      </mc:AlternateContent>
      <formula2>0</formula2>
    </dataValidation>
    <dataValidation type="list" allowBlank="1" showInputMessage="1" showErrorMessage="1" sqref="L34" xr:uid="{00000000-0002-0000-0000-000006000000}">
      <formula1>"Chanfro,Gerber"</formula1>
      <formula2>0</formula2>
    </dataValidation>
    <dataValidation type="list" allowBlank="1" showInputMessage="1" showErrorMessage="1" sqref="M20" xr:uid="{00000000-0002-0000-0000-000007000000}">
      <formula1>"1 - R,2 - T,3 - R/A,4 - i"</formula1>
      <formula2>0</formula2>
    </dataValidation>
    <dataValidation type="list" allowBlank="1" showInputMessage="1" showErrorMessage="1" sqref="L1313" xr:uid="{00000000-0002-0000-0000-000008000000}">
      <formula1>$AR$1311:$AR$1312</formula1>
      <formula2>0</formula2>
    </dataValidation>
    <dataValidation type="list" allowBlank="1" showInputMessage="1" showErrorMessage="1" sqref="L1312" xr:uid="{00000000-0002-0000-0000-000009000000}">
      <formula1>$AL$1312:$AL$1317</formula1>
      <formula2>0</formula2>
    </dataValidation>
    <dataValidation type="list" allowBlank="1" showInputMessage="1" showErrorMessage="1" sqref="L11" xr:uid="{00000000-0002-0000-0000-00000A000000}">
      <formula1>"320,355,430"</formula1>
      <formula2>0</formula2>
    </dataValidation>
    <dataValidation type="list" allowBlank="1" showInputMessage="1" showErrorMessage="1" sqref="O622 O634 O873 O885" xr:uid="{00000000-0002-0000-0000-00000B000000}">
      <formula1>$S$1035:$S$1042</formula1>
      <formula2>0</formula2>
    </dataValidation>
    <dataValidation type="list" allowBlank="1" showInputMessage="1" showErrorMessage="1" sqref="L80" xr:uid="{00000000-0002-0000-0000-00000C000000}">
      <formula1>"I,II,III,IV"</formula1>
    </dataValidation>
    <dataValidation type="list" allowBlank="1" showInputMessage="1" showErrorMessage="1" sqref="L90" xr:uid="{00000000-0002-0000-0000-00000D000000}">
      <formula1>"Sim,Não"</formula1>
    </dataValidation>
  </dataValidations>
  <pageMargins left="0.51180555555555596" right="0.51180555555555596" top="0.78749999999999998" bottom="0.78749999999999998" header="0.511811023622047" footer="0.511811023622047"/>
  <pageSetup paperSize="9" scale="59" fitToHeight="0" orientation="portrait" horizontalDpi="300" verticalDpi="300" r:id="rId1"/>
  <rowBreaks count="26" manualBreakCount="26">
    <brk id="71" max="16383" man="1"/>
    <brk id="78" max="16383" man="1"/>
    <brk id="90" max="16383" man="1"/>
    <brk id="151" max="16383" man="1"/>
    <brk id="194" max="16383" man="1"/>
    <brk id="237" max="16383" man="1"/>
    <brk id="273" max="16383" man="1"/>
    <brk id="329" max="16383" man="1"/>
    <brk id="370" max="16383" man="1"/>
    <brk id="411" max="16383" man="1"/>
    <brk id="490" max="16383" man="1"/>
    <brk id="513" max="16383" man="1"/>
    <brk id="578" max="16383" man="1"/>
    <brk id="635" max="16383" man="1"/>
    <brk id="711" max="16383" man="1"/>
    <brk id="785" max="16383" man="1"/>
    <brk id="860" max="16383" man="1"/>
    <brk id="892" max="16383" man="1"/>
    <brk id="960" max="16383" man="1"/>
    <brk id="1034" max="16383" man="1"/>
    <brk id="1055" max="16383" man="1"/>
    <brk id="1098" max="16383" man="1"/>
    <brk id="1124" max="16383" man="1"/>
    <brk id="1204" max="16383" man="1"/>
    <brk id="1224" max="16383" man="1"/>
    <brk id="1290" max="16383" man="1"/>
  </rowBreaks>
  <ignoredErrors>
    <ignoredError sqref="A1:XFD9 A1300:XFD1048576 A1293:K1293 M1293:XFD1293 A1294:K1294 M1294:XFD1294 A1295:K1295 M1295:XFD1295 A1296:K1296 M1296:XFD1296 A1297:K1297 M1297:XFD1297 A1298:K1298 M1298:XFD1298 A1299:K1299 M1299:XFD1299 A35:XFD40 A34:K34 M34:XFD34 A112:XFD251 A111:J111 L111 N111:XFD111 A11:XFD17 A10:K10 M10:XFD10 A27:K27 A25:K25 M25:XFD25 A29:XFD33 A28:K28 M28:XFD28 A26:K26 M26:XFD26 M27:XFD27 A42:XFD110 A41:K41 M41:XFD41 A257:XFD1292 A256:N256 P256:XFD256 A255:XFD255 A254:N254 P254:XFD254 A253:XFD253 A252:N252 P252:XFD252 A21:XFD24 A20:L20 N20:XFD20 A19:XFD19 A18:L18 N18:XFD18" unlockedFormula="1"/>
  </ignoredError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146"/>
  <sheetViews>
    <sheetView showGridLines="0" view="pageBreakPreview" topLeftCell="A110" zoomScale="85" zoomScaleNormal="85" zoomScalePageLayoutView="85" workbookViewId="0">
      <selection activeCell="G144" sqref="G144"/>
    </sheetView>
  </sheetViews>
  <sheetFormatPr defaultColWidth="8.5703125" defaultRowHeight="15" x14ac:dyDescent="0.25"/>
  <cols>
    <col min="6" max="6" width="12.42578125" customWidth="1"/>
    <col min="7" max="7" width="9.7109375" customWidth="1"/>
    <col min="31" max="31" width="11" customWidth="1"/>
    <col min="38" max="38" width="13.140625" customWidth="1"/>
    <col min="42" max="42" width="14.140625" customWidth="1"/>
    <col min="45" max="45" width="12.140625" customWidth="1"/>
  </cols>
  <sheetData>
    <row r="2" spans="20:49" x14ac:dyDescent="0.25">
      <c r="T2" s="728" t="s">
        <v>826</v>
      </c>
      <c r="U2" s="728"/>
      <c r="V2" s="728"/>
      <c r="W2" s="728"/>
      <c r="X2" s="728"/>
      <c r="Y2" s="728"/>
      <c r="Z2" s="728"/>
      <c r="AA2" s="728"/>
      <c r="AB2" s="728"/>
      <c r="AC2" s="728"/>
    </row>
    <row r="3" spans="20:49" ht="15.75" customHeight="1" x14ac:dyDescent="0.25">
      <c r="T3" s="25" t="s">
        <v>8</v>
      </c>
      <c r="U3" s="25" t="s">
        <v>499</v>
      </c>
      <c r="AD3" s="740" t="s">
        <v>827</v>
      </c>
      <c r="AE3" s="740"/>
      <c r="AF3" s="740"/>
      <c r="AG3" s="740"/>
      <c r="AH3" s="740"/>
      <c r="AI3" s="740"/>
      <c r="AJ3" s="311"/>
      <c r="AK3" s="741" t="s">
        <v>828</v>
      </c>
      <c r="AL3" s="741"/>
      <c r="AM3" s="741"/>
      <c r="AN3" s="311"/>
      <c r="AO3" s="311"/>
      <c r="AP3" s="312" t="s">
        <v>829</v>
      </c>
      <c r="AQ3" s="312"/>
      <c r="AR3" s="312"/>
      <c r="AS3" s="312"/>
      <c r="AT3" s="312"/>
      <c r="AU3" s="312" t="s">
        <v>830</v>
      </c>
      <c r="AV3" s="312">
        <f>MAX(XX)-MIN(XX)</f>
        <v>30.0</v>
      </c>
      <c r="AW3" s="313"/>
    </row>
    <row r="4" spans="20:49" x14ac:dyDescent="0.25">
      <c r="T4" s="314"/>
      <c r="U4" s="314"/>
      <c r="AD4" s="315" t="s">
        <v>831</v>
      </c>
      <c r="AE4" s="316">
        <f ca="1">IF(AE10=0,0,IF(AE8-AE9=0,45,DEGREES(1/2*ATAN(-2*AE10/(AE8-AE9)))))</f>
        <v>0.0</v>
      </c>
      <c r="AF4" s="317" t="s">
        <v>832</v>
      </c>
      <c r="AG4" s="318" t="s">
        <v>833</v>
      </c>
      <c r="AH4" s="313">
        <f>MAX(XX)-MIN(XX)</f>
        <v>30.0</v>
      </c>
      <c r="AI4" s="319">
        <f>$B$2</f>
        <v>0.0</v>
      </c>
      <c r="AJ4" s="320" t="s">
        <v>834</v>
      </c>
      <c r="AK4" s="321" t="s">
        <v>60</v>
      </c>
      <c r="AL4" s="322">
        <f>AH5</f>
        <v>20.0</v>
      </c>
      <c r="AM4" s="323">
        <f>AA1</f>
        <v>0.0</v>
      </c>
      <c r="AN4" s="320"/>
      <c r="AO4" s="320"/>
      <c r="AP4" s="324">
        <f t="array" aca="1" ref="AP4" ca="1">SUM((OFFSET(XX,1,0)-XX)*(YY+OFFSET(YY,1,0))/24*((OFFSET(YY,1,0)+YY)^2+(OFFSET(YY,1,0)-YY)^2))</f>
        <v>2555000.0</v>
      </c>
      <c r="AQ4" s="312" t="str">
        <f>$B$2&amp;"^4"</f>
        <v>^4</v>
      </c>
      <c r="AR4" s="312" t="s">
        <v>835</v>
      </c>
      <c r="AS4" s="325">
        <f ca="1">+(AE8+AE9)/2-SQRT((AE8-AE9)^2/4+AE10^2)</f>
        <v>20000.0</v>
      </c>
      <c r="AT4" s="312" t="str">
        <f>$B$2&amp;"^4"</f>
        <v>^4</v>
      </c>
      <c r="AU4" s="312" t="s">
        <v>836</v>
      </c>
      <c r="AV4" s="312">
        <f>MAX(YY)-MIN(YY)</f>
        <v>20.0</v>
      </c>
      <c r="AW4" s="313"/>
    </row>
    <row r="5" spans="20:49" x14ac:dyDescent="0.25">
      <c r="T5" s="314"/>
      <c r="U5" s="314"/>
      <c r="AD5" s="318" t="s">
        <v>837</v>
      </c>
      <c r="AE5" s="326">
        <f t="array" aca="1" ref="AE5" ca="1">SUM((YY-OFFSET(YY,1,0))*(XX+OFFSET(XX,1,0)))/2</f>
        <v>600.0</v>
      </c>
      <c r="AF5" s="317" t="str">
        <f>$B$2 &amp; "^2"</f>
        <v>^2</v>
      </c>
      <c r="AG5" s="318" t="s">
        <v>838</v>
      </c>
      <c r="AH5" s="313">
        <f>MAX(YY)-MIN(YY)</f>
        <v>20.0</v>
      </c>
      <c r="AI5" s="319">
        <f>$B$2</f>
        <v>0.0</v>
      </c>
      <c r="AJ5" s="320" t="s">
        <v>839</v>
      </c>
      <c r="AK5" s="327" t="s">
        <v>298</v>
      </c>
      <c r="AL5" s="328">
        <f ca="1">ABS(AE5)</f>
        <v>600.0</v>
      </c>
      <c r="AM5" s="329" t="str">
        <f>CONCATENATE(AA1,"²")</f>
        <v>²</v>
      </c>
      <c r="AN5" s="320"/>
      <c r="AO5" s="320"/>
      <c r="AP5" s="324">
        <f t="array" aca="1" ref="AP5" ca="1">-SUM((OFFSET(YY,1,0)-YY)*(XX+OFFSET(XX,1,0))/24*((OFFSET(XX,1,0)+XX)^2+(OFFSET(XX,1,0)-XX)^2))</f>
        <v>45000.0</v>
      </c>
      <c r="AQ5" s="312" t="str">
        <f>AA1&amp;"^4"</f>
        <v>^4</v>
      </c>
      <c r="AR5" s="312" t="s">
        <v>840</v>
      </c>
      <c r="AS5" s="325">
        <f ca="1">+(AE8+AE9)/2+SQRT((AE8-AE9)^2/4+AE10^2)</f>
        <v>45000.0</v>
      </c>
      <c r="AT5" s="312" t="str">
        <f>$B$2&amp;"^4"</f>
        <v>^4</v>
      </c>
      <c r="AU5" s="312" t="s">
        <v>841</v>
      </c>
      <c r="AV5" s="312"/>
      <c r="AW5" s="313"/>
    </row>
    <row r="6" spans="20:49" x14ac:dyDescent="0.25">
      <c r="T6" s="314"/>
      <c r="U6" s="314"/>
      <c r="AD6" s="318" t="s">
        <v>842</v>
      </c>
      <c r="AE6" s="316">
        <f t="array" aca="1" ref="AE6" ca="1">SUM((YY-OFFSET(YY,1,0))/8*((XX+OFFSET(XX,1,0))^2+(OFFSET(XX,1,0)-XX)^2/3))/$AE$5</f>
        <v>0.0</v>
      </c>
      <c r="AF6" s="317">
        <f>AA1</f>
        <v>0.0</v>
      </c>
      <c r="AG6" s="318" t="s">
        <v>843</v>
      </c>
      <c r="AH6" s="330">
        <f ca="1">AE8/ABS(MAX(YY)-AE7)</f>
        <v>2000.0</v>
      </c>
      <c r="AI6" s="317" t="str">
        <f>$B$2&amp;"^3"</f>
        <v>^3</v>
      </c>
      <c r="AJ6" s="320" t="s">
        <v>844</v>
      </c>
      <c r="AK6" s="331" t="s">
        <v>845</v>
      </c>
      <c r="AL6" s="332">
        <f ca="1">AE7</f>
        <v>65.0</v>
      </c>
      <c r="AM6" s="333">
        <f>AA1</f>
        <v>0.0</v>
      </c>
      <c r="AN6" s="320"/>
      <c r="AO6" s="320"/>
      <c r="AP6" s="324">
        <f t="array" aca="1" ref="AP6" ca="1">SUM(((OFFSET(YY,1,0)-YY)^2*(OFFSET(XX,1,0)+XX)*(OFFSET(XX,1,0)^2+XX^2)/8+(OFFSET(YY,1,0)-YY)*(OFFSET(XX,1,0)*YY-XX*OFFSET(YY,1,0))*(OFFSET(XX,1,0)^2+OFFSET(XX,1,0)*XX+XX^2)/3+(OFFSET(XX,1,0)*YY-XX*OFFSET(YY,1,0))^2*(OFFSET(XX,1,0)+XX)/4)*IF(OFFSET(XX,1,0)=XX,0,1/(OFFSET(XX,1,0)-XX)))</f>
        <v>0.0</v>
      </c>
      <c r="AQ6" s="312" t="str">
        <f>AA1&amp;"^4"</f>
        <v>^4</v>
      </c>
      <c r="AR6" s="312" t="s">
        <v>846</v>
      </c>
      <c r="AS6" s="312"/>
      <c r="AT6" s="312"/>
      <c r="AU6" s="312" t="s">
        <v>847</v>
      </c>
      <c r="AV6" s="312"/>
      <c r="AW6" s="313"/>
    </row>
    <row r="7" spans="20:49" x14ac:dyDescent="0.25">
      <c r="T7" s="314"/>
      <c r="U7" s="314"/>
      <c r="AD7" s="318" t="s">
        <v>848</v>
      </c>
      <c r="AE7" s="316">
        <f t="array" aca="1" ref="AE7" ca="1">SUM((OFFSET(XX,1,0)-XX)/8*((YY+OFFSET(YY,1,0))^2+(OFFSET(YY,1,0)-YY)^2/3))/$AE$5</f>
        <v>65.0</v>
      </c>
      <c r="AF7" s="317">
        <f>AA1</f>
        <v>0.0</v>
      </c>
      <c r="AG7" s="318" t="s">
        <v>849</v>
      </c>
      <c r="AH7" s="330">
        <f ca="1">AE8/ABS(MIN(YY)-AE7)</f>
        <v>2000.0</v>
      </c>
      <c r="AI7" s="317" t="str">
        <f>$B$2&amp;"^3"</f>
        <v>^3</v>
      </c>
      <c r="AJ7" s="311"/>
      <c r="AK7" s="334" t="s">
        <v>850</v>
      </c>
      <c r="AL7" s="332">
        <f ca="1">AH5-AL6</f>
        <v>-45.0</v>
      </c>
      <c r="AM7" s="333">
        <f>AA1</f>
        <v>0.0</v>
      </c>
      <c r="AN7" s="311"/>
      <c r="AO7" s="311"/>
      <c r="AP7" s="312"/>
      <c r="AQ7" s="312"/>
      <c r="AR7" s="335" t="s">
        <v>8</v>
      </c>
      <c r="AS7" s="335" t="s">
        <v>499</v>
      </c>
      <c r="AT7" s="312"/>
      <c r="AU7" s="335" t="s">
        <v>8</v>
      </c>
      <c r="AV7" s="335" t="s">
        <v>499</v>
      </c>
      <c r="AW7" s="313"/>
    </row>
    <row r="8" spans="20:49" x14ac:dyDescent="0.25">
      <c r="T8" s="314">
        <v>0</v>
      </c>
      <c r="U8" s="314">
        <f>U9</f>
        <v>55.0</v>
      </c>
      <c r="AD8" s="318" t="s">
        <v>851</v>
      </c>
      <c r="AE8" s="330">
        <f ca="1">AP4-AE5*AE7^2</f>
        <v>20000.0</v>
      </c>
      <c r="AF8" s="317" t="str">
        <f>$B$2&amp;"^4"</f>
        <v>^4</v>
      </c>
      <c r="AG8" s="318" t="s">
        <v>852</v>
      </c>
      <c r="AH8" s="330">
        <f ca="1">AE9/ABS(MIN(XX)-AE6)</f>
        <v>3000.0</v>
      </c>
      <c r="AI8" s="317" t="str">
        <f>$B$2&amp;"^3"</f>
        <v>^3</v>
      </c>
      <c r="AJ8" s="311"/>
      <c r="AK8" s="334" t="s">
        <v>853</v>
      </c>
      <c r="AL8" s="332">
        <f ca="1">ABS(AE8)</f>
        <v>20000.0</v>
      </c>
      <c r="AM8" s="336" t="str">
        <f>CONCATENATE(AA1,"4")</f>
        <v>4</v>
      </c>
      <c r="AN8" s="311"/>
      <c r="AO8" s="311"/>
      <c r="AP8" s="312"/>
      <c r="AQ8" s="312"/>
      <c r="AR8" s="337">
        <f>MIN(XX)</f>
        <v>-15.0</v>
      </c>
      <c r="AS8" s="338">
        <f>(AR8-$F$7)*TAN(RADIANS($F$5))+$F$8</f>
        <v>0.0</v>
      </c>
      <c r="AT8" s="312"/>
      <c r="AU8" s="337">
        <f>IF(AV3&gt;=AV4,MIN(XX),(MAX(XX)+MIN(XX)-AV4)/2)</f>
        <v>-15.0</v>
      </c>
      <c r="AV8" s="337">
        <f>IF(AV3&gt;=AV4,(MAX(YY)+MIN(YY)-AV3)/2,MIN(YY))</f>
        <v>50.0</v>
      </c>
      <c r="AW8" s="313"/>
    </row>
    <row r="9" spans="20:49" x14ac:dyDescent="0.25">
      <c r="T9" s="314">
        <f>Seções!K30</f>
        <v>-15.0</v>
      </c>
      <c r="U9" s="314">
        <f>Seções!L30</f>
        <v>55.0</v>
      </c>
      <c r="AD9" s="318" t="s">
        <v>854</v>
      </c>
      <c r="AE9" s="330">
        <f ca="1">AP5-AE5*AE6^2</f>
        <v>45000.0</v>
      </c>
      <c r="AF9" s="317" t="str">
        <f>$B$2&amp;"^4"</f>
        <v>^4</v>
      </c>
      <c r="AG9" s="318" t="s">
        <v>855</v>
      </c>
      <c r="AH9" s="330">
        <f ca="1">AE9/ABS(MAX(XX)-AE6)</f>
        <v>3000.0</v>
      </c>
      <c r="AI9" s="317" t="str">
        <f>$B$2&amp;"^3"</f>
        <v>^3</v>
      </c>
      <c r="AJ9" s="311"/>
      <c r="AK9" s="334" t="s">
        <v>856</v>
      </c>
      <c r="AL9" s="332">
        <f ca="1">ABS(AH7)</f>
        <v>2000.0</v>
      </c>
      <c r="AM9" s="336" t="str">
        <f>CONCATENATE(AA1,"³")</f>
        <v>³</v>
      </c>
      <c r="AN9" s="311"/>
      <c r="AO9" s="311"/>
      <c r="AP9" s="312"/>
      <c r="AQ9" s="312"/>
      <c r="AR9" s="337">
        <f>MAX(XX)</f>
        <v>15.0</v>
      </c>
      <c r="AS9" s="338">
        <f>(AR9-$F$7)*TAN(RADIANS($F$5))+$F$8</f>
        <v>0.0</v>
      </c>
      <c r="AT9" s="312"/>
      <c r="AU9" s="337">
        <f>IF(AV3&gt;=AV4,MAX(XX),(MAX(XX)+MIN(XX)+AV4)/2)</f>
        <v>15.0</v>
      </c>
      <c r="AV9" s="337">
        <f>IF(AV3&gt;=AV4,(MAX(YY)+MIN(YY)+AV3)/2,MAX(YY))</f>
        <v>80.0</v>
      </c>
      <c r="AW9" s="313"/>
    </row>
    <row r="10" spans="20:49" x14ac:dyDescent="0.25">
      <c r="T10" s="314">
        <f>Seções!K31</f>
        <v>-15.0</v>
      </c>
      <c r="U10" s="314">
        <f>Seções!L31</f>
        <v>75.0</v>
      </c>
      <c r="AD10" s="339" t="s">
        <v>857</v>
      </c>
      <c r="AE10" s="340">
        <f ca="1">+AP6-AE5*AE6*AE7</f>
        <v>0.0</v>
      </c>
      <c r="AF10" s="341" t="str">
        <f>$B$2&amp;"^4"</f>
        <v>^4</v>
      </c>
      <c r="AG10" s="342"/>
      <c r="AH10" s="343"/>
      <c r="AI10" s="341"/>
      <c r="AJ10" s="311"/>
      <c r="AK10" s="344" t="s">
        <v>858</v>
      </c>
      <c r="AL10" s="345">
        <f ca="1">ABS(AH6)</f>
        <v>2000.0</v>
      </c>
      <c r="AM10" s="346" t="str">
        <f>CONCATENATE(AA1,"³")</f>
        <v>³</v>
      </c>
      <c r="AN10" s="311"/>
      <c r="AO10" s="311"/>
      <c r="AP10" s="311"/>
      <c r="AQ10" s="311"/>
      <c r="AR10" s="347"/>
      <c r="AS10" s="347"/>
      <c r="AT10" s="348"/>
      <c r="AU10" s="348"/>
      <c r="AV10" s="348"/>
      <c r="AW10" s="313"/>
    </row>
    <row r="11" spans="20:49" x14ac:dyDescent="0.25">
      <c r="T11" s="314">
        <f>Seções!K32</f>
        <v>0.0</v>
      </c>
      <c r="U11" s="314">
        <f>Seções!L32</f>
        <v>75.0</v>
      </c>
      <c r="AD11" s="313"/>
      <c r="AE11" s="313"/>
      <c r="AF11" s="313"/>
      <c r="AG11" s="313"/>
      <c r="AH11" s="313"/>
      <c r="AI11" s="313"/>
      <c r="AJ11" s="311"/>
      <c r="AK11" s="311"/>
      <c r="AL11" s="311"/>
      <c r="AM11" s="311"/>
      <c r="AN11" s="311"/>
      <c r="AO11" s="311"/>
      <c r="AP11" s="311"/>
      <c r="AQ11" s="311"/>
      <c r="AR11" s="347">
        <f ca="1">(AS11-$F$8)*TAN(RADIANS(-$F$5))+$F$7</f>
        <v>0.0</v>
      </c>
      <c r="AS11" s="347">
        <f ca="1">MIN(Y)</f>
        <v>0.0</v>
      </c>
      <c r="AT11" s="349"/>
      <c r="AU11" s="311"/>
      <c r="AV11" s="350"/>
      <c r="AW11" s="313"/>
    </row>
    <row r="12" spans="20:49" x14ac:dyDescent="0.25">
      <c r="T12" s="314">
        <f>Seções!K33</f>
        <v>15.0</v>
      </c>
      <c r="U12" s="314">
        <f>Seções!L33</f>
        <v>75.0</v>
      </c>
      <c r="AD12" s="739" t="s">
        <v>859</v>
      </c>
      <c r="AE12" s="739"/>
      <c r="AF12" s="739"/>
      <c r="AG12" s="739"/>
      <c r="AH12" s="739"/>
      <c r="AI12" s="739"/>
      <c r="AJ12" s="311"/>
      <c r="AK12" s="311"/>
      <c r="AL12" s="311"/>
      <c r="AM12" s="311"/>
      <c r="AN12" s="311"/>
      <c r="AO12" s="311"/>
      <c r="AP12" s="351"/>
      <c r="AQ12" s="311"/>
      <c r="AR12" s="347">
        <f ca="1">(AS12-$F$8)*TAN(RADIANS(-$F$5))+$F$7</f>
        <v>0.0</v>
      </c>
      <c r="AS12" s="347">
        <f ca="1">MAX(Y)</f>
        <v>60.0</v>
      </c>
      <c r="AT12" s="349"/>
      <c r="AU12" s="311"/>
      <c r="AV12" s="350"/>
      <c r="AW12" s="313"/>
    </row>
    <row r="13" spans="20:49" x14ac:dyDescent="0.25">
      <c r="T13" s="314">
        <f>Seções!K34</f>
        <v>15.0</v>
      </c>
      <c r="U13" s="314">
        <f>Seções!L34</f>
        <v>55.0</v>
      </c>
      <c r="AD13" s="315" t="s">
        <v>831</v>
      </c>
      <c r="AE13" s="316">
        <f ca="1">AE4</f>
        <v>0.0</v>
      </c>
      <c r="AF13" s="317" t="s">
        <v>860</v>
      </c>
      <c r="AG13" s="318" t="s">
        <v>861</v>
      </c>
      <c r="AH13" s="330">
        <f t="array" aca="1" ref="AH13" ca="1">ABS(AE14/MAX(SQRT((XX-AE6)^2+(YY-AE7)^2)*SIN(ATAN2(XX-AE6,YY-AE7)-RADIANS(AE4))))</f>
        <v>2000.0</v>
      </c>
      <c r="AI13" s="317" t="str">
        <f>$B$2&amp;"^3"</f>
        <v>^3</v>
      </c>
      <c r="AJ13" s="313"/>
      <c r="AK13" s="313"/>
      <c r="AL13" s="313"/>
      <c r="AM13" s="313"/>
      <c r="AN13" s="313"/>
      <c r="AO13" s="313"/>
      <c r="AP13" s="352"/>
      <c r="AQ13" s="353"/>
      <c r="AR13" s="316"/>
      <c r="AS13" s="316"/>
      <c r="AT13" s="313"/>
      <c r="AU13" s="313"/>
      <c r="AV13" s="354"/>
      <c r="AW13" s="313"/>
    </row>
    <row r="14" spans="20:49" x14ac:dyDescent="0.25">
      <c r="T14" s="314">
        <v>0</v>
      </c>
      <c r="U14" s="314">
        <f>U13</f>
        <v>55.0</v>
      </c>
      <c r="AD14" s="318" t="s">
        <v>862</v>
      </c>
      <c r="AE14" s="330">
        <f ca="1">AE8*COS(RADIANS(AE13))^2+AE9*SIN(RADIANS(AE13))^2-AE10*SIN(2*RADIANS(AE13))</f>
        <v>20000.0</v>
      </c>
      <c r="AF14" s="317" t="str">
        <f>$B$2&amp;"^4"</f>
        <v>^4</v>
      </c>
      <c r="AG14" s="318" t="s">
        <v>863</v>
      </c>
      <c r="AH14" s="330">
        <f t="array" aca="1" ref="AH14" ca="1">ABS(AE14/MIN(SQRT((XX-AE6)^2+(YY-AE7)^2)*SIN(ATAN2(XX-AE6,YY-AE7)-RADIANS(AE4))))</f>
        <v>307.6923076923077</v>
      </c>
      <c r="AI14" s="317" t="str">
        <f>$B$2&amp;"^3"</f>
        <v>^3</v>
      </c>
      <c r="AJ14" s="313"/>
      <c r="AK14" s="313"/>
      <c r="AL14" s="313"/>
      <c r="AM14" s="313"/>
      <c r="AN14" s="313"/>
      <c r="AO14" s="313"/>
      <c r="AP14" s="355"/>
      <c r="AQ14" s="356"/>
      <c r="AR14" s="313"/>
      <c r="AS14" s="313"/>
      <c r="AT14" s="356"/>
      <c r="AU14" s="313"/>
      <c r="AV14" s="313"/>
      <c r="AW14" s="313"/>
    </row>
    <row r="15" spans="20:49" x14ac:dyDescent="0.25">
      <c r="T15" s="314"/>
      <c r="U15" s="314"/>
      <c r="AD15" s="318" t="s">
        <v>864</v>
      </c>
      <c r="AE15" s="330">
        <f ca="1">AE9*COS(RADIANS(AE13))^2+AE8*SIN(RADIANS(AE13))^2+AE10*SIN(2*RADIANS(AE13))</f>
        <v>45000.0</v>
      </c>
      <c r="AF15" s="317" t="str">
        <f>$B$2&amp;"^4"</f>
        <v>^4</v>
      </c>
      <c r="AG15" s="318" t="s">
        <v>865</v>
      </c>
      <c r="AH15" s="330">
        <f t="array" aca="1" ref="AH15" ca="1">ABS($F$16/MIN(SQRT((XX-AE6)^2+(YY-AE7)^2)*COS(ATAN2(XX-AE6,YY-AE7)-RADIANS(AE4))))</f>
        <v>0.0</v>
      </c>
      <c r="AI15" s="317" t="str">
        <f>$B$2&amp;"^3"</f>
        <v>^3</v>
      </c>
      <c r="AJ15" s="313"/>
      <c r="AK15" s="313"/>
      <c r="AL15" s="313"/>
      <c r="AM15" s="313"/>
      <c r="AN15" s="313"/>
      <c r="AO15" s="313"/>
      <c r="AP15" s="355"/>
      <c r="AQ15" s="356"/>
      <c r="AR15" s="313"/>
      <c r="AS15" s="313"/>
      <c r="AT15" s="356"/>
      <c r="AU15" s="313"/>
      <c r="AV15" s="313"/>
      <c r="AW15" s="313"/>
    </row>
    <row r="16" spans="20:49" x14ac:dyDescent="0.25">
      <c r="T16" s="314"/>
      <c r="U16" s="314"/>
      <c r="AD16" s="318" t="s">
        <v>866</v>
      </c>
      <c r="AE16" s="330">
        <f ca="1">+(AE8-AE9)/2*SIN(RADIANS(AE13)*2)+AE10*COS(2*RADIANS(AE13))</f>
        <v>0.0</v>
      </c>
      <c r="AF16" s="317" t="str">
        <f>$B$2&amp;"^4"</f>
        <v>^4</v>
      </c>
      <c r="AG16" s="318" t="s">
        <v>867</v>
      </c>
      <c r="AH16" s="330">
        <f t="array" aca="1" ref="AH16" ca="1">ABS(AE15/MAX(SQRT((XX-AE6)^2+(YY-AE7)^2)*COS(ATAN2(XX-AE6,YY-AE7)-RADIANS(AE4))))</f>
        <v>3000.0</v>
      </c>
      <c r="AI16" s="317" t="str">
        <f>$B$2&amp;"^3"</f>
        <v>^3</v>
      </c>
      <c r="AJ16" s="313"/>
      <c r="AK16" s="313"/>
      <c r="AL16" s="313"/>
      <c r="AM16" s="313"/>
      <c r="AN16" s="313"/>
      <c r="AO16" s="313"/>
      <c r="AP16" s="355"/>
      <c r="AQ16" s="356"/>
      <c r="AR16" s="357"/>
      <c r="AS16" s="313"/>
      <c r="AT16" s="313"/>
      <c r="AU16" s="313"/>
      <c r="AV16" s="313"/>
      <c r="AW16" s="313"/>
    </row>
    <row r="17" spans="6:49" x14ac:dyDescent="0.25">
      <c r="T17" s="314"/>
      <c r="U17" s="314"/>
      <c r="AD17" s="339" t="s">
        <v>868</v>
      </c>
      <c r="AE17" s="340">
        <f ca="1">+AE14+AE15</f>
        <v>65000.0</v>
      </c>
      <c r="AF17" s="341" t="str">
        <f>$B$2&amp;"^4"</f>
        <v>^4</v>
      </c>
      <c r="AG17" s="342"/>
      <c r="AH17" s="358"/>
      <c r="AI17" s="341"/>
      <c r="AJ17" s="313"/>
      <c r="AK17" s="313">
        <f>IF($C$3="Retângular",Seções!AA7,Seções!AJ24)</f>
        <v>0.0</v>
      </c>
      <c r="AL17" s="313"/>
      <c r="AM17" s="313"/>
      <c r="AN17" s="313"/>
      <c r="AO17" s="313"/>
      <c r="AP17" s="313"/>
      <c r="AQ17" s="313"/>
      <c r="AR17" s="313"/>
      <c r="AS17" s="357"/>
      <c r="AT17" s="357"/>
      <c r="AU17" s="313"/>
      <c r="AV17" s="313"/>
      <c r="AW17" s="313"/>
    </row>
    <row r="18" spans="6:49" x14ac:dyDescent="0.25">
      <c r="T18" s="314"/>
      <c r="U18" s="314"/>
    </row>
    <row r="24" spans="6:49" x14ac:dyDescent="0.25">
      <c r="F24" s="691" t="s">
        <v>130</v>
      </c>
      <c r="G24" s="691"/>
      <c r="H24" s="691"/>
      <c r="I24" s="4"/>
    </row>
    <row r="25" spans="6:49" x14ac:dyDescent="0.25">
      <c r="F25" s="65" t="s">
        <v>131</v>
      </c>
      <c r="G25" s="258">
        <f>Geometria!L60</f>
        <v>30.0</v>
      </c>
      <c r="H25" t="s">
        <v>35</v>
      </c>
      <c r="I25" s="38" t="s">
        <v>132</v>
      </c>
      <c r="T25" s="728" t="s">
        <v>869</v>
      </c>
      <c r="U25" s="728"/>
      <c r="V25" s="728"/>
      <c r="W25" s="728"/>
      <c r="X25" s="728"/>
      <c r="Y25" s="728"/>
      <c r="Z25" s="728"/>
      <c r="AA25" s="728"/>
      <c r="AB25" s="728"/>
      <c r="AC25" s="728"/>
    </row>
    <row r="26" spans="6:49" ht="23.25" customHeight="1" x14ac:dyDescent="0.25">
      <c r="F26" s="67" t="s">
        <v>133</v>
      </c>
      <c r="G26" s="258">
        <f>Geometria!L61</f>
        <v>12.0</v>
      </c>
      <c r="H26" t="s">
        <v>35</v>
      </c>
      <c r="I26" s="38" t="s">
        <v>134</v>
      </c>
      <c r="T26" s="25" t="s">
        <v>8</v>
      </c>
      <c r="U26" s="25" t="s">
        <v>499</v>
      </c>
      <c r="AD26" s="740" t="s">
        <v>827</v>
      </c>
      <c r="AE26" s="740"/>
      <c r="AF26" s="740"/>
      <c r="AG26" s="740"/>
      <c r="AH26" s="740"/>
      <c r="AI26" s="740"/>
      <c r="AJ26" s="311"/>
      <c r="AK26" s="741" t="s">
        <v>828</v>
      </c>
      <c r="AL26" s="741"/>
      <c r="AM26" s="741"/>
      <c r="AN26" s="311"/>
      <c r="AO26" s="311"/>
      <c r="AP26" s="312" t="s">
        <v>829</v>
      </c>
      <c r="AQ26" s="312"/>
      <c r="AR26" s="312"/>
      <c r="AS26" s="312"/>
      <c r="AT26" s="312"/>
      <c r="AU26" s="312" t="s">
        <v>830</v>
      </c>
      <c r="AV26" s="312">
        <f>MAX(XXX)-MIN(XXX)</f>
        <v>30.0</v>
      </c>
      <c r="AW26" s="313"/>
    </row>
    <row r="27" spans="6:49" x14ac:dyDescent="0.25">
      <c r="F27" s="67" t="s">
        <v>135</v>
      </c>
      <c r="G27" s="258">
        <f>Geometria!L62</f>
        <v>40.0</v>
      </c>
      <c r="H27" t="s">
        <v>35</v>
      </c>
      <c r="I27" s="38" t="s">
        <v>136</v>
      </c>
      <c r="T27" s="314"/>
      <c r="U27" s="314"/>
      <c r="AD27" s="315" t="s">
        <v>831</v>
      </c>
      <c r="AE27" s="316">
        <f ca="1">IF(AE33=0,0,IF(AE31-AE32=0,45,DEGREES(1/2*ATAN(-2*AE33/(AE31-AE32)))))</f>
        <v>0.0</v>
      </c>
      <c r="AF27" s="317" t="s">
        <v>832</v>
      </c>
      <c r="AG27" s="318" t="s">
        <v>833</v>
      </c>
      <c r="AH27" s="313">
        <f>MAX(XXX)-MIN(XXX)</f>
        <v>30.0</v>
      </c>
      <c r="AI27" s="319">
        <f>$B$2</f>
        <v>0.0</v>
      </c>
      <c r="AJ27" s="320" t="s">
        <v>834</v>
      </c>
      <c r="AK27" s="321" t="s">
        <v>60</v>
      </c>
      <c r="AL27" s="322">
        <f>AH28</f>
        <v>5.0</v>
      </c>
      <c r="AM27" s="323">
        <f>AA24</f>
        <v>0.0</v>
      </c>
      <c r="AN27" s="320"/>
      <c r="AO27" s="320"/>
      <c r="AP27" s="324">
        <f t="array" aca="1" ref="AP27" ca="1">SUM((OFFSET(XXX,1,0)-XXX)*(YYY+OFFSET(YYY,1,0))/24*((OFFSET(YYY,1,0)+YYY)^2+(OFFSET(YYY,1,0)-YYY)^2))</f>
        <v>293562.5</v>
      </c>
      <c r="AQ27" s="312" t="str">
        <f>$B$2&amp;"^4"</f>
        <v>^4</v>
      </c>
      <c r="AR27" s="312" t="s">
        <v>835</v>
      </c>
      <c r="AS27" s="325">
        <f ca="1">+(AE31+AE32)/2-SQRT((AE31-AE32)^2/4+AE33^2)</f>
        <v>205.3571428571595</v>
      </c>
      <c r="AT27" s="312" t="str">
        <f>$B$2&amp;"^4"</f>
        <v>^4</v>
      </c>
      <c r="AU27" s="312" t="s">
        <v>836</v>
      </c>
      <c r="AV27" s="312">
        <f>MAX(YYY)-MIN(YYY)</f>
        <v>5.0</v>
      </c>
      <c r="AW27" s="313"/>
    </row>
    <row r="28" spans="6:49" x14ac:dyDescent="0.25">
      <c r="F28" s="67" t="s">
        <v>137</v>
      </c>
      <c r="G28" s="258">
        <f>Geometria!L63</f>
        <v>20.0</v>
      </c>
      <c r="H28" t="s">
        <v>35</v>
      </c>
      <c r="I28" s="38" t="s">
        <v>138</v>
      </c>
      <c r="T28" s="314"/>
      <c r="U28" s="314"/>
      <c r="AD28" s="318" t="s">
        <v>837</v>
      </c>
      <c r="AE28" s="326">
        <f t="array" aca="1" ref="AE28" ca="1">SUM((YYY-OFFSET(YYY,1,0))*(XXX+OFFSET(XXX,1,0)))/2</f>
        <v>105.0</v>
      </c>
      <c r="AF28" s="317" t="str">
        <f>$B$2 &amp; "^2"</f>
        <v>^2</v>
      </c>
      <c r="AG28" s="318" t="s">
        <v>838</v>
      </c>
      <c r="AH28" s="313">
        <f>MAX(YYY)-MIN(YYY)</f>
        <v>5.0</v>
      </c>
      <c r="AI28" s="319">
        <f>$B$2</f>
        <v>0.0</v>
      </c>
      <c r="AJ28" s="320" t="s">
        <v>839</v>
      </c>
      <c r="AK28" s="327" t="s">
        <v>298</v>
      </c>
      <c r="AL28" s="328">
        <f ca="1">ABS(AE28)</f>
        <v>105.0</v>
      </c>
      <c r="AM28" s="329" t="str">
        <f>CONCATENATE(AA24,"²")</f>
        <v>²</v>
      </c>
      <c r="AN28" s="320"/>
      <c r="AO28" s="320"/>
      <c r="AP28" s="324">
        <f t="array" aca="1" ref="AP28" ca="1">-SUM((OFFSET(YYY,1,0)-YYY)*(XXX+OFFSET(XXX,1,0))/24*((OFFSET(XXX,1,0)+XXX)^2+(OFFSET(XXX,1,0)-XXX)^2))</f>
        <v>4567.5</v>
      </c>
      <c r="AQ28" s="312" t="str">
        <f>AA24&amp;"^4"</f>
        <v>^4</v>
      </c>
      <c r="AR28" s="312" t="s">
        <v>840</v>
      </c>
      <c r="AS28" s="325">
        <f ca="1">+(AE31+AE32)/2+SQRT((AE31-AE32)^2/4+AE33^2)</f>
        <v>4567.5</v>
      </c>
      <c r="AT28" s="312" t="str">
        <f>$B$2&amp;"^4"</f>
        <v>^4</v>
      </c>
      <c r="AU28" s="312" t="s">
        <v>841</v>
      </c>
      <c r="AV28" s="312"/>
      <c r="AW28" s="313"/>
    </row>
    <row r="29" spans="6:49" x14ac:dyDescent="0.25">
      <c r="F29" s="67" t="s">
        <v>139</v>
      </c>
      <c r="G29" s="258">
        <f>Geometria!L64</f>
        <v>5.0</v>
      </c>
      <c r="H29" t="s">
        <v>35</v>
      </c>
      <c r="I29" s="38" t="s">
        <v>140</v>
      </c>
      <c r="T29" s="314"/>
      <c r="U29" s="314"/>
      <c r="AD29" s="318" t="s">
        <v>842</v>
      </c>
      <c r="AE29" s="316">
        <f t="array" aca="1" ref="AE29" ca="1">SUM((YYY-OFFSET(YYY,1,0))/8*((XXX+OFFSET(XXX,1,0))^2+(OFFSET(XXX,1,0)-XXX)^2/3))/AE28</f>
        <v>0.0</v>
      </c>
      <c r="AF29" s="317">
        <f>AA24</f>
        <v>0.0</v>
      </c>
      <c r="AG29" s="318" t="s">
        <v>843</v>
      </c>
      <c r="AH29" s="330">
        <f ca="1">AE31/ABS(MAX(YYY)-AE30)</f>
        <v>95.83333333334096</v>
      </c>
      <c r="AI29" s="317" t="str">
        <f>$B$2&amp;"^3"</f>
        <v>^3</v>
      </c>
      <c r="AJ29" s="320" t="s">
        <v>844</v>
      </c>
      <c r="AK29" s="331" t="s">
        <v>845</v>
      </c>
      <c r="AL29" s="332">
        <f ca="1">AE30</f>
        <v>52.857142857142854</v>
      </c>
      <c r="AM29" s="333">
        <f>AA24</f>
        <v>0.0</v>
      </c>
      <c r="AN29" s="320"/>
      <c r="AO29" s="320"/>
      <c r="AP29" s="324">
        <f t="array" aca="1" ref="AP29" ca="1">SUM(((OFFSET(YYY,1,0)-YYY)^2*(OFFSET(XXX,1,0)+XXX)*(OFFSET(XXX,1,0)^2+XXX^2)/8+(OFFSET(YYY,1,0)-YYY)*(OFFSET(XXX,1,0)*YYY-XXX*OFFSET(YYY,1,0))*(OFFSET(XXX,1,0)^2+OFFSET(XXX,1,0)*XXX+XXX^2)/3+(OFFSET(XXX,1,0)*YYY-XXX*OFFSET(YYY,1,0))^2*(OFFSET(XXX,1,0)+XXX)/4)*IF(OFFSET(XXX,1,0)=XXX,0,1/(OFFSET(XXX,1,0)-XXX)))</f>
        <v>0.0</v>
      </c>
      <c r="AQ29" s="312" t="str">
        <f>AA24&amp;"^4"</f>
        <v>^4</v>
      </c>
      <c r="AR29" s="312" t="s">
        <v>846</v>
      </c>
      <c r="AS29" s="312"/>
      <c r="AT29" s="312"/>
      <c r="AU29" s="312" t="s">
        <v>847</v>
      </c>
      <c r="AV29" s="312"/>
      <c r="AW29" s="313"/>
    </row>
    <row r="30" spans="6:49" x14ac:dyDescent="0.25">
      <c r="F30" s="67" t="s">
        <v>141</v>
      </c>
      <c r="G30" s="258">
        <f>Geometria!L65</f>
        <v>30.0</v>
      </c>
      <c r="H30" t="s">
        <v>35</v>
      </c>
      <c r="I30" s="38" t="s">
        <v>142</v>
      </c>
      <c r="T30" s="314">
        <v>0</v>
      </c>
      <c r="U30" s="314">
        <f>U31</f>
        <v>50.0</v>
      </c>
      <c r="AD30" s="318" t="s">
        <v>848</v>
      </c>
      <c r="AE30" s="316">
        <f t="array" aca="1" ref="AE30" ca="1">SUM((OFFSET(XXX,1,0)-XXX)/8*((YYY+OFFSET(YYY,1,0))^2+(OFFSET(YYY,1,0)-YYY)^2/3))/AE28</f>
        <v>52.857142857142854</v>
      </c>
      <c r="AF30" s="317">
        <f>AA24</f>
        <v>0.0</v>
      </c>
      <c r="AG30" s="318" t="s">
        <v>849</v>
      </c>
      <c r="AH30" s="330">
        <f ca="1">AE31/ABS(MIN(YYY)-AE30)</f>
        <v>71.8750000000059</v>
      </c>
      <c r="AI30" s="317" t="str">
        <f>$B$2&amp;"^3"</f>
        <v>^3</v>
      </c>
      <c r="AJ30" s="311"/>
      <c r="AK30" s="334" t="s">
        <v>850</v>
      </c>
      <c r="AL30" s="332">
        <f ca="1">AH28-AL29</f>
        <v>-47.857142857142854</v>
      </c>
      <c r="AM30" s="333">
        <f>AA24</f>
        <v>0.0</v>
      </c>
      <c r="AN30" s="311"/>
      <c r="AO30" s="311"/>
      <c r="AP30" s="312"/>
      <c r="AQ30" s="312"/>
      <c r="AR30" s="335" t="s">
        <v>8</v>
      </c>
      <c r="AS30" s="335" t="s">
        <v>499</v>
      </c>
      <c r="AT30" s="312"/>
      <c r="AU30" s="335" t="s">
        <v>8</v>
      </c>
      <c r="AV30" s="335" t="s">
        <v>499</v>
      </c>
      <c r="AW30" s="313"/>
    </row>
    <row r="31" spans="6:49" x14ac:dyDescent="0.25">
      <c r="F31" s="67" t="s">
        <v>143</v>
      </c>
      <c r="G31" s="258">
        <f>Geometria!L66</f>
        <v>5.0</v>
      </c>
      <c r="H31" t="s">
        <v>35</v>
      </c>
      <c r="I31" s="38" t="s">
        <v>144</v>
      </c>
      <c r="T31" s="314">
        <f>Seções!K29</f>
        <v>-6.0</v>
      </c>
      <c r="U31" s="314">
        <f>Seções!L29</f>
        <v>50.0</v>
      </c>
      <c r="AD31" s="318" t="s">
        <v>851</v>
      </c>
      <c r="AE31" s="330">
        <f ca="1">AP27-AE28*AE30^2</f>
        <v>205.3571428571595</v>
      </c>
      <c r="AF31" s="317" t="str">
        <f>$B$2&amp;"^4"</f>
        <v>^4</v>
      </c>
      <c r="AG31" s="318" t="s">
        <v>852</v>
      </c>
      <c r="AH31" s="330">
        <f ca="1">AE32/ABS(MIN(XXX)-AE29)</f>
        <v>304.5</v>
      </c>
      <c r="AI31" s="317" t="str">
        <f>$B$2&amp;"^3"</f>
        <v>^3</v>
      </c>
      <c r="AJ31" s="311"/>
      <c r="AK31" s="334" t="s">
        <v>853</v>
      </c>
      <c r="AL31" s="332">
        <f ca="1">ABS(AE31)</f>
        <v>205.3571428571595</v>
      </c>
      <c r="AM31" s="336" t="str">
        <f>CONCATENATE(AA24,"4")</f>
        <v>4</v>
      </c>
      <c r="AN31" s="311"/>
      <c r="AO31" s="311"/>
      <c r="AP31" s="312"/>
      <c r="AQ31" s="312"/>
      <c r="AR31" s="337">
        <f>MIN(XXX)</f>
        <v>-15.0</v>
      </c>
      <c r="AS31" s="338">
        <f>(AR31-$F$7)*TAN(RADIANS($F$5))+$F$8</f>
        <v>0.0</v>
      </c>
      <c r="AT31" s="312"/>
      <c r="AU31" s="337">
        <f>IF(AV26&gt;=AV27,MIN(XXX),(MAX(XXX)+MIN(XXX)-AV27)/2)</f>
        <v>-15.0</v>
      </c>
      <c r="AV31" s="337">
        <f>IF(AV26&gt;=AV27,(MAX(YYY)+MIN(YYY)-AV26)/2,MIN(YYY))</f>
        <v>37.5</v>
      </c>
      <c r="AW31" s="313"/>
    </row>
    <row r="32" spans="6:49" x14ac:dyDescent="0.25">
      <c r="F32" s="68" t="s">
        <v>145</v>
      </c>
      <c r="G32" s="258">
        <f>Geometria!L67</f>
        <v>15.0</v>
      </c>
      <c r="H32" s="69" t="s">
        <v>35</v>
      </c>
      <c r="I32" s="38" t="s">
        <v>146</v>
      </c>
      <c r="T32" s="314">
        <f>Seções!K30</f>
        <v>-15.0</v>
      </c>
      <c r="U32" s="314">
        <f>Seções!L30</f>
        <v>55.0</v>
      </c>
      <c r="AD32" s="318" t="s">
        <v>854</v>
      </c>
      <c r="AE32" s="330">
        <f ca="1">AP28-AE28*AE29^2</f>
        <v>4567.5</v>
      </c>
      <c r="AF32" s="317" t="str">
        <f>$B$2&amp;"^4"</f>
        <v>^4</v>
      </c>
      <c r="AG32" s="318" t="s">
        <v>855</v>
      </c>
      <c r="AH32" s="330">
        <f ca="1">AE32/ABS(MAX(XXX)-AE29)</f>
        <v>304.5</v>
      </c>
      <c r="AI32" s="317" t="str">
        <f>$B$2&amp;"^3"</f>
        <v>^3</v>
      </c>
      <c r="AJ32" s="311"/>
      <c r="AK32" s="334" t="s">
        <v>856</v>
      </c>
      <c r="AL32" s="332">
        <f ca="1">ABS(AH30)</f>
        <v>71.8750000000059</v>
      </c>
      <c r="AM32" s="336" t="str">
        <f>CONCATENATE(AA24,"³")</f>
        <v>³</v>
      </c>
      <c r="AN32" s="311"/>
      <c r="AO32" s="311"/>
      <c r="AP32" s="312"/>
      <c r="AQ32" s="312"/>
      <c r="AR32" s="337">
        <f>MAX(XXX)</f>
        <v>15.0</v>
      </c>
      <c r="AS32" s="338">
        <f>(AR32-$F$7)*TAN(RADIANS($F$5))+$F$8</f>
        <v>0.0</v>
      </c>
      <c r="AT32" s="312"/>
      <c r="AU32" s="337">
        <f>IF(AV26&gt;=AV27,MAX(XXX),(MAX(XXX)+MIN(XXX)+AV27)/2)</f>
        <v>15.0</v>
      </c>
      <c r="AV32" s="337">
        <f>IF(AV26&gt;=AV27,(MAX(YYY)+MIN(YYY)+AV26)/2,MAX(YYY))</f>
        <v>67.5</v>
      </c>
      <c r="AW32" s="313"/>
    </row>
    <row r="33" spans="6:49" x14ac:dyDescent="0.25">
      <c r="F33" s="22" t="s">
        <v>147</v>
      </c>
      <c r="G33" s="359">
        <f>Geometria!L68</f>
        <v>785.0</v>
      </c>
      <c r="H33" s="70" t="s">
        <v>35</v>
      </c>
      <c r="I33" s="38" t="s">
        <v>148</v>
      </c>
      <c r="T33" s="314">
        <f>Seções!K31</f>
        <v>-15.0</v>
      </c>
      <c r="U33" s="314">
        <f>U32</f>
        <v>55.0</v>
      </c>
      <c r="AD33" s="339" t="s">
        <v>857</v>
      </c>
      <c r="AE33" s="340">
        <f ca="1">+AP29-AE28*AE29*AE30</f>
        <v>0.0</v>
      </c>
      <c r="AF33" s="341" t="str">
        <f>$B$2&amp;"^4"</f>
        <v>^4</v>
      </c>
      <c r="AG33" s="342"/>
      <c r="AH33" s="343"/>
      <c r="AI33" s="341"/>
      <c r="AJ33" s="311"/>
      <c r="AK33" s="344" t="s">
        <v>858</v>
      </c>
      <c r="AL33" s="345">
        <f ca="1">ABS(AH29)</f>
        <v>95.83333333334096</v>
      </c>
      <c r="AM33" s="346" t="str">
        <f>CONCATENATE(AA24,"³")</f>
        <v>³</v>
      </c>
      <c r="AN33" s="311"/>
      <c r="AO33" s="311"/>
      <c r="AP33" s="311"/>
      <c r="AQ33" s="311"/>
      <c r="AR33" s="347"/>
      <c r="AS33" s="347"/>
      <c r="AT33" s="348"/>
      <c r="AU33" s="348"/>
      <c r="AV33" s="348"/>
      <c r="AW33" s="313"/>
    </row>
    <row r="34" spans="6:49" x14ac:dyDescent="0.25">
      <c r="F34" s="27" t="s">
        <v>58</v>
      </c>
      <c r="G34" s="359">
        <f>Geometria!L69</f>
        <v>40.0</v>
      </c>
      <c r="H34" t="s">
        <v>35</v>
      </c>
      <c r="I34" s="38" t="s">
        <v>136</v>
      </c>
      <c r="T34" s="314">
        <f>Seções!K32</f>
        <v>0.0</v>
      </c>
      <c r="U34" s="314">
        <f>U33</f>
        <v>55.0</v>
      </c>
      <c r="AD34" s="313"/>
      <c r="AE34" s="313"/>
      <c r="AF34" s="313"/>
      <c r="AG34" s="313"/>
      <c r="AH34" s="313"/>
      <c r="AI34" s="313"/>
      <c r="AJ34" s="311"/>
      <c r="AK34" s="311"/>
      <c r="AL34" s="311"/>
      <c r="AM34" s="311"/>
      <c r="AN34" s="311"/>
      <c r="AO34" s="311"/>
      <c r="AP34" s="311"/>
      <c r="AQ34" s="311"/>
      <c r="AR34" s="347">
        <f ca="1">(AS34-$F$8)*TAN(RADIANS(-$F$5))+$F$7</f>
        <v>0.0</v>
      </c>
      <c r="AS34" s="347">
        <f ca="1">MIN(Y)</f>
        <v>0.0</v>
      </c>
      <c r="AT34" s="349"/>
      <c r="AU34" s="311"/>
      <c r="AV34" s="350"/>
      <c r="AW34" s="313"/>
    </row>
    <row r="35" spans="6:49" x14ac:dyDescent="0.25">
      <c r="F35" s="30" t="s">
        <v>60</v>
      </c>
      <c r="G35" s="359">
        <f>Geometria!L70</f>
        <v>75.0</v>
      </c>
      <c r="H35" s="69" t="s">
        <v>35</v>
      </c>
      <c r="I35" s="38" t="s">
        <v>61</v>
      </c>
      <c r="T35" s="314">
        <f>Seções!K33</f>
        <v>15.0</v>
      </c>
      <c r="U35" s="314">
        <f>U36</f>
        <v>55.0</v>
      </c>
      <c r="AD35" s="739" t="s">
        <v>859</v>
      </c>
      <c r="AE35" s="739"/>
      <c r="AF35" s="739"/>
      <c r="AG35" s="739"/>
      <c r="AH35" s="739"/>
      <c r="AI35" s="739"/>
      <c r="AJ35" s="311"/>
      <c r="AK35" s="311"/>
      <c r="AL35" s="311"/>
      <c r="AM35" s="311"/>
      <c r="AN35" s="311"/>
      <c r="AO35" s="311"/>
      <c r="AP35" s="351"/>
      <c r="AQ35" s="311"/>
      <c r="AR35" s="347">
        <f ca="1">(AS35-$F$8)*TAN(RADIANS(-$F$5))+$F$7</f>
        <v>0.0</v>
      </c>
      <c r="AS35" s="347">
        <f ca="1">MAX(Y)</f>
        <v>60.0</v>
      </c>
      <c r="AT35" s="349"/>
      <c r="AU35" s="311"/>
      <c r="AV35" s="350"/>
      <c r="AW35" s="313"/>
    </row>
    <row r="36" spans="6:49" x14ac:dyDescent="0.25">
      <c r="T36" s="314">
        <f>Seções!K34</f>
        <v>15.0</v>
      </c>
      <c r="U36" s="314">
        <f>Seções!L34</f>
        <v>55.0</v>
      </c>
      <c r="AD36" s="315" t="s">
        <v>831</v>
      </c>
      <c r="AE36" s="316">
        <f ca="1">AE27</f>
        <v>0.0</v>
      </c>
      <c r="AF36" s="317" t="s">
        <v>860</v>
      </c>
      <c r="AG36" s="318" t="s">
        <v>861</v>
      </c>
      <c r="AH36" s="330">
        <f t="array" aca="1" ref="AH36" ca="1">ABS(AE37/MAX(SQRT((XXX-AE29)^2+(YYY-AE30)^2)*SIN(ATAN2(XXX-$F$7,YYY-AE30)-RADIANS(AE27))))</f>
        <v>95.83333333334093</v>
      </c>
      <c r="AI36" s="317" t="str">
        <f>$B$2&amp;"^3"</f>
        <v>^3</v>
      </c>
      <c r="AJ36" s="313"/>
      <c r="AK36" s="313"/>
      <c r="AL36" s="313"/>
      <c r="AM36" s="313"/>
      <c r="AN36" s="313"/>
      <c r="AO36" s="313"/>
      <c r="AP36" s="352"/>
      <c r="AQ36" s="353"/>
      <c r="AR36" s="316"/>
      <c r="AS36" s="316"/>
      <c r="AT36" s="313"/>
      <c r="AU36" s="313"/>
      <c r="AV36" s="354"/>
      <c r="AW36" s="313"/>
    </row>
    <row r="37" spans="6:49" x14ac:dyDescent="0.25">
      <c r="F37" s="681" t="s">
        <v>486</v>
      </c>
      <c r="G37" s="681"/>
      <c r="T37" s="314">
        <f>Seções!K35</f>
        <v>6.0</v>
      </c>
      <c r="U37" s="314">
        <f>Seções!L35</f>
        <v>50.0</v>
      </c>
      <c r="AD37" s="318" t="s">
        <v>862</v>
      </c>
      <c r="AE37" s="330">
        <f ca="1">AE31*COS(RADIANS(AE36))^2+AE32*SIN(RADIANS(AE36))^2-AE33*SIN(2*RADIANS(AE36))</f>
        <v>205.3571428571595</v>
      </c>
      <c r="AF37" s="317" t="str">
        <f>$B$2&amp;"^4"</f>
        <v>^4</v>
      </c>
      <c r="AG37" s="318" t="s">
        <v>863</v>
      </c>
      <c r="AH37" s="330">
        <f t="array" aca="1" ref="AH37" ca="1">ABS(AE37/MIN(SQRT((XXX-AE29)^2+(YYY-AE30)^2)*SIN(ATAN2(XXX-AE29,YYY-AE30)-RADIANS(AE27))))</f>
        <v>3.88513513513545</v>
      </c>
      <c r="AI37" s="317" t="str">
        <f>$B$2&amp;"^3"</f>
        <v>^3</v>
      </c>
      <c r="AJ37" s="313"/>
      <c r="AK37" s="313"/>
      <c r="AL37" s="313"/>
      <c r="AM37" s="313"/>
      <c r="AN37" s="313"/>
      <c r="AO37" s="313"/>
      <c r="AP37" s="355"/>
      <c r="AQ37" s="356"/>
      <c r="AR37" s="313"/>
      <c r="AS37" s="313"/>
      <c r="AT37" s="356"/>
      <c r="AU37" s="313"/>
      <c r="AV37" s="313"/>
      <c r="AW37" s="313"/>
    </row>
    <row r="38" spans="6:49" x14ac:dyDescent="0.25">
      <c r="F38" s="25" t="s">
        <v>487</v>
      </c>
      <c r="G38" s="103">
        <f ca="1">Geometria!L1038*100</f>
        <v>202227.80032851567</v>
      </c>
      <c r="H38" t="s">
        <v>217</v>
      </c>
      <c r="T38" s="314">
        <v>0</v>
      </c>
      <c r="U38" s="314">
        <f>U37</f>
        <v>50.0</v>
      </c>
      <c r="AD38" s="318" t="s">
        <v>864</v>
      </c>
      <c r="AE38" s="330">
        <f ca="1">AE32*COS(RADIANS(AE36))^2+AE31*SIN(RADIANS(AE36))^2+AE33*SIN(2*RADIANS(AE36))</f>
        <v>4567.5</v>
      </c>
      <c r="AF38" s="317" t="str">
        <f>$B$2&amp;"^4"</f>
        <v>^4</v>
      </c>
      <c r="AG38" s="318" t="s">
        <v>865</v>
      </c>
      <c r="AH38" s="330">
        <f t="array" aca="1" ref="AH38" ca="1">ABS(AE38/MIN(SQRT((XXX-AE29)^2+(YYY-AE30)^2)*COS(ATAN2(XXX-AE29,YYY-AE30)-RADIANS(AE27))))</f>
        <v>304.5</v>
      </c>
      <c r="AI38" s="317" t="str">
        <f>$B$2&amp;"^3"</f>
        <v>^3</v>
      </c>
      <c r="AJ38" s="313"/>
      <c r="AK38" s="313"/>
      <c r="AL38" s="313"/>
      <c r="AM38" s="313"/>
      <c r="AN38" s="313"/>
      <c r="AO38" s="313"/>
      <c r="AP38" s="355"/>
      <c r="AQ38" s="356"/>
      <c r="AR38" s="313"/>
      <c r="AS38" s="313"/>
      <c r="AT38" s="356"/>
      <c r="AU38" s="313"/>
      <c r="AV38" s="313"/>
      <c r="AW38" s="313"/>
    </row>
    <row r="39" spans="6:49" x14ac:dyDescent="0.25">
      <c r="F39" s="25" t="s">
        <v>489</v>
      </c>
      <c r="G39" s="189">
        <f ca="1">Geometria!R1038</f>
        <v>0.4644267822487506</v>
      </c>
      <c r="H39">
        <f ca="1">G38/100</f>
        <v>2022.2780032851567</v>
      </c>
      <c r="T39" s="314"/>
      <c r="U39" s="314"/>
      <c r="AD39" s="318" t="s">
        <v>866</v>
      </c>
      <c r="AE39" s="330">
        <f ca="1">+(AE31-AE32)/2*SIN(RADIANS(AE36)*2)+AE33*COS(2*RADIANS(AE36))</f>
        <v>0.0</v>
      </c>
      <c r="AF39" s="317" t="str">
        <f>$B$2&amp;"^4"</f>
        <v>^4</v>
      </c>
      <c r="AG39" s="318" t="s">
        <v>867</v>
      </c>
      <c r="AH39" s="330">
        <f t="array" aca="1" ref="AH39" ca="1">ABS(AE38/MAX(SQRT((XXX-AE29)^2+(YYY-AE30)^2)*COS(ATAN2(XXX-AE29,YYY-AE30)-RADIANS(AE27))))</f>
        <v>304.5</v>
      </c>
      <c r="AI39" s="317" t="str">
        <f>$B$2&amp;"^3"</f>
        <v>^3</v>
      </c>
      <c r="AJ39" s="313"/>
      <c r="AK39" s="313"/>
      <c r="AL39" s="313"/>
      <c r="AM39" s="313"/>
      <c r="AN39" s="313"/>
      <c r="AO39" s="313"/>
      <c r="AP39" s="355"/>
      <c r="AQ39" s="356"/>
      <c r="AR39" s="357"/>
      <c r="AS39" s="313"/>
      <c r="AT39" s="313"/>
      <c r="AU39" s="313"/>
      <c r="AV39" s="313"/>
      <c r="AW39" s="313"/>
    </row>
    <row r="40" spans="6:49" x14ac:dyDescent="0.25">
      <c r="F40" s="25" t="s">
        <v>490</v>
      </c>
      <c r="G40" s="189">
        <f ca="1">Geometria!R1039</f>
        <v>0.628</v>
      </c>
      <c r="T40" s="314"/>
      <c r="U40" s="314"/>
      <c r="AD40" s="339" t="s">
        <v>868</v>
      </c>
      <c r="AE40" s="340">
        <f ca="1">+AE37+AE38</f>
        <v>4772.8571428571595</v>
      </c>
      <c r="AF40" s="341" t="str">
        <f>$B$2&amp;"^4"</f>
        <v>^4</v>
      </c>
      <c r="AG40" s="342"/>
      <c r="AH40" s="358"/>
      <c r="AI40" s="341"/>
      <c r="AJ40" s="313"/>
      <c r="AK40" s="313">
        <f>IF($C$3="Retângular",Seções!AA30,Seções!AJ47)</f>
        <v>0.0</v>
      </c>
      <c r="AL40" s="313"/>
      <c r="AM40" s="313"/>
      <c r="AN40" s="313"/>
      <c r="AO40" s="313"/>
      <c r="AP40" s="313"/>
      <c r="AQ40" s="313"/>
      <c r="AR40" s="313"/>
      <c r="AS40" s="357"/>
      <c r="AT40" s="357"/>
      <c r="AU40" s="313"/>
      <c r="AV40" s="313"/>
      <c r="AW40" s="313"/>
    </row>
    <row r="41" spans="6:49" x14ac:dyDescent="0.25">
      <c r="F41" s="25" t="s">
        <v>491</v>
      </c>
      <c r="G41" s="189">
        <f ca="1">Geometria!R1040</f>
        <v>0.748</v>
      </c>
      <c r="T41" s="314"/>
      <c r="U41" s="314"/>
    </row>
    <row r="42" spans="6:49" x14ac:dyDescent="0.25">
      <c r="F42" s="25" t="s">
        <v>492</v>
      </c>
      <c r="G42" s="189">
        <f ca="1">Geometria!R1041</f>
        <v>2.06</v>
      </c>
    </row>
    <row r="43" spans="6:49" x14ac:dyDescent="0.25">
      <c r="F43" s="25" t="s">
        <v>8</v>
      </c>
      <c r="G43" s="189">
        <f>Geometria!R1042</f>
        <v>0.2785927099389355</v>
      </c>
    </row>
    <row r="44" spans="6:49" x14ac:dyDescent="0.25">
      <c r="F44" s="25" t="s">
        <v>494</v>
      </c>
      <c r="G44" s="189">
        <f ca="1">Geometria!R1043</f>
        <v>132.0</v>
      </c>
    </row>
    <row r="46" spans="6:49" x14ac:dyDescent="0.25">
      <c r="F46" s="80" t="s">
        <v>159</v>
      </c>
      <c r="G46" s="31">
        <f>Geometria!L81</f>
        <v>500.0</v>
      </c>
      <c r="H46" s="4" t="s">
        <v>160</v>
      </c>
      <c r="I46" s="46" t="s">
        <v>161</v>
      </c>
    </row>
    <row r="47" spans="6:49" x14ac:dyDescent="0.25">
      <c r="F47" s="80" t="s">
        <v>162</v>
      </c>
      <c r="G47" s="31">
        <f>Geometria!L82</f>
        <v>50.0</v>
      </c>
      <c r="H47" s="4" t="s">
        <v>160</v>
      </c>
      <c r="I47" s="46" t="s">
        <v>163</v>
      </c>
    </row>
    <row r="48" spans="6:49" x14ac:dyDescent="0.25">
      <c r="F48" s="80" t="s">
        <v>164</v>
      </c>
      <c r="G48" s="31">
        <f>Geometria!L83</f>
        <v>30.0</v>
      </c>
      <c r="H48" s="4" t="s">
        <v>160</v>
      </c>
      <c r="I48" s="46" t="s">
        <v>165</v>
      </c>
    </row>
    <row r="49" spans="6:48" x14ac:dyDescent="0.25">
      <c r="F49" s="80" t="s">
        <v>166</v>
      </c>
      <c r="G49" s="31">
        <f>Geometria!L84</f>
        <v>35.0</v>
      </c>
      <c r="H49" s="4" t="s">
        <v>160</v>
      </c>
      <c r="I49" s="46" t="s">
        <v>167</v>
      </c>
    </row>
    <row r="50" spans="6:48" x14ac:dyDescent="0.25">
      <c r="F50" s="80" t="s">
        <v>168</v>
      </c>
      <c r="G50" s="31">
        <v>100</v>
      </c>
      <c r="H50" s="4" t="s">
        <v>32</v>
      </c>
      <c r="I50" s="38" t="s">
        <v>169</v>
      </c>
      <c r="T50" s="728" t="s">
        <v>870</v>
      </c>
      <c r="U50" s="728"/>
      <c r="V50" s="728"/>
      <c r="W50" s="728"/>
      <c r="X50" s="728"/>
      <c r="Y50" s="728"/>
      <c r="Z50" s="728"/>
      <c r="AA50" s="728"/>
      <c r="AB50" s="728"/>
      <c r="AC50" s="728"/>
    </row>
    <row r="51" spans="6:48" ht="23.25" customHeight="1" x14ac:dyDescent="0.25">
      <c r="F51" s="80" t="s">
        <v>170</v>
      </c>
      <c r="G51" s="31" t="s">
        <v>171</v>
      </c>
      <c r="H51" s="4"/>
      <c r="I51" s="38" t="s">
        <v>172</v>
      </c>
      <c r="T51" s="25" t="s">
        <v>8</v>
      </c>
      <c r="U51" s="25" t="s">
        <v>499</v>
      </c>
      <c r="AD51" s="740" t="s">
        <v>827</v>
      </c>
      <c r="AE51" s="740"/>
      <c r="AF51" s="740"/>
      <c r="AG51" s="740"/>
      <c r="AH51" s="740"/>
      <c r="AI51" s="740"/>
      <c r="AJ51" s="311"/>
      <c r="AK51" s="741" t="s">
        <v>828</v>
      </c>
      <c r="AL51" s="741"/>
      <c r="AM51" s="741"/>
      <c r="AN51" s="311"/>
      <c r="AO51" s="311"/>
      <c r="AP51" s="312" t="s">
        <v>829</v>
      </c>
      <c r="AQ51" s="312"/>
      <c r="AR51" s="312"/>
      <c r="AS51" s="312"/>
      <c r="AT51" s="312"/>
      <c r="AU51" s="312" t="s">
        <v>830</v>
      </c>
      <c r="AV51" s="312">
        <f>MAX(XXXX)-MIN(XXXX)</f>
        <v>12.0</v>
      </c>
    </row>
    <row r="52" spans="6:48" x14ac:dyDescent="0.25">
      <c r="F52" s="80" t="s">
        <v>173</v>
      </c>
      <c r="G52" s="31" t="s">
        <v>174</v>
      </c>
      <c r="H52" s="4"/>
      <c r="I52" s="38" t="s">
        <v>175</v>
      </c>
      <c r="T52" s="314"/>
      <c r="U52" s="314"/>
      <c r="AD52" s="315" t="s">
        <v>831</v>
      </c>
      <c r="AE52" s="316">
        <f ca="1">IF(AE58=0,0,IF(AE56-AE57=0,45,DEGREES(1/2*ATAN(-2*AE58/(AE56-AE57)))))</f>
        <v>0.0</v>
      </c>
      <c r="AF52" s="317" t="s">
        <v>832</v>
      </c>
      <c r="AG52" s="318" t="s">
        <v>833</v>
      </c>
      <c r="AH52" s="313">
        <f>MAX(XXXX)-MIN(XXXX)</f>
        <v>12.0</v>
      </c>
      <c r="AI52" s="319">
        <f>$B$2</f>
        <v>0.0</v>
      </c>
      <c r="AJ52" s="320" t="s">
        <v>834</v>
      </c>
      <c r="AK52" s="321" t="s">
        <v>60</v>
      </c>
      <c r="AL52" s="322">
        <f>AH53</f>
        <v>30.0</v>
      </c>
      <c r="AM52" s="323">
        <f>AA49</f>
        <v>0.0</v>
      </c>
      <c r="AN52" s="320"/>
      <c r="AO52" s="320"/>
      <c r="AP52" s="324">
        <f t="array" aca="1" ref="AP52" ca="1">SUM((OFFSET(XXXX,1,0)-XXXX)*(YYYY+OFFSET(YYYY,1,0))/24*((OFFSET(YYYY,1,0)+YYYY)^2+(OFFSET(YYYY,1,0)-YYYY)^2))</f>
        <v>468000.0</v>
      </c>
      <c r="AQ52" s="312" t="str">
        <f>$B$2&amp;"^4"</f>
        <v>^4</v>
      </c>
      <c r="AR52" s="312" t="s">
        <v>835</v>
      </c>
      <c r="AS52" s="325">
        <f ca="1">+(AE56+AE57)/2-SQRT((AE56-AE57)^2/4+AE58^2)</f>
        <v>4320.0</v>
      </c>
      <c r="AT52" s="312" t="str">
        <f>$B$2&amp;"^4"</f>
        <v>^4</v>
      </c>
      <c r="AU52" s="312" t="s">
        <v>836</v>
      </c>
      <c r="AV52" s="312">
        <f>MAX(YYYY)-MIN(YYYY)</f>
        <v>30.0</v>
      </c>
    </row>
    <row r="53" spans="6:48" x14ac:dyDescent="0.25">
      <c r="T53" s="314"/>
      <c r="U53" s="314"/>
      <c r="AD53" s="318" t="s">
        <v>837</v>
      </c>
      <c r="AE53" s="326">
        <f t="array" aca="1" ref="AE53" ca="1">SUM((YYYY-OFFSET(YYYY,1,0))*(XXXX+OFFSET(XXXX,1,0)))/2</f>
        <v>360.0</v>
      </c>
      <c r="AF53" s="317" t="str">
        <f>$B$2 &amp; "^2"</f>
        <v>^2</v>
      </c>
      <c r="AG53" s="318" t="s">
        <v>838</v>
      </c>
      <c r="AH53" s="313">
        <f>MAX(YYYY)-MIN(YYYY)</f>
        <v>30.0</v>
      </c>
      <c r="AI53" s="319">
        <f>$B$2</f>
        <v>0.0</v>
      </c>
      <c r="AJ53" s="320" t="s">
        <v>839</v>
      </c>
      <c r="AK53" s="327" t="s">
        <v>298</v>
      </c>
      <c r="AL53" s="328">
        <f ca="1">ABS(AE53)</f>
        <v>360.0</v>
      </c>
      <c r="AM53" s="329" t="str">
        <f>CONCATENATE(AA49,"²")</f>
        <v>²</v>
      </c>
      <c r="AN53" s="320"/>
      <c r="AO53" s="320"/>
      <c r="AP53" s="324">
        <f t="array" aca="1" ref="AP53" ca="1">-SUM((OFFSET(YYYY,1,0)-YYYY)*(XXXX+OFFSET(XXXX,1,0))/24*((OFFSET(XXXX,1,0)+XXXX)^2+(OFFSET(XXXX,1,0)-XXXX)^2))</f>
        <v>4320.0</v>
      </c>
      <c r="AQ53" s="312" t="str">
        <f>AA49&amp;"^4"</f>
        <v>^4</v>
      </c>
      <c r="AR53" s="312" t="s">
        <v>840</v>
      </c>
      <c r="AS53" s="325">
        <f ca="1">+(AE56+AE57)/2+SQRT((AE56-AE57)^2/4+AE58^2)</f>
        <v>27000.0</v>
      </c>
      <c r="AT53" s="312" t="str">
        <f>$B$2&amp;"^4"</f>
        <v>^4</v>
      </c>
      <c r="AU53" s="312" t="s">
        <v>841</v>
      </c>
      <c r="AV53" s="312"/>
    </row>
    <row r="54" spans="6:48" x14ac:dyDescent="0.25">
      <c r="F54" s="80" t="s">
        <v>730</v>
      </c>
      <c r="G54" s="42">
        <f>Geometria!L70-Geometria!R76</f>
        <v>72.0</v>
      </c>
      <c r="I54" s="38" t="s">
        <v>871</v>
      </c>
      <c r="T54" s="314">
        <v>0</v>
      </c>
      <c r="U54" s="314">
        <f>U55</f>
        <v>20.0</v>
      </c>
      <c r="AD54" s="318" t="s">
        <v>842</v>
      </c>
      <c r="AE54" s="316">
        <f t="array" aca="1" ref="AE54" ca="1">SUM((YYYY-OFFSET(YYYY,1,0))/8*((XXXX+OFFSET(XXXX,1,0))^2+(OFFSET(XXXX,1,0)-XXXX)^2/3))/AE53</f>
        <v>0.0</v>
      </c>
      <c r="AF54" s="317">
        <f>AA49</f>
        <v>0.0</v>
      </c>
      <c r="AG54" s="318" t="s">
        <v>843</v>
      </c>
      <c r="AH54" s="330">
        <f ca="1">AE56/ABS(MAX(YYYY)-AE55)</f>
        <v>1800.0</v>
      </c>
      <c r="AI54" s="317" t="str">
        <f>$B$2&amp;"^3"</f>
        <v>^3</v>
      </c>
      <c r="AJ54" s="320" t="s">
        <v>844</v>
      </c>
      <c r="AK54" s="331" t="s">
        <v>845</v>
      </c>
      <c r="AL54" s="332">
        <f ca="1">AE55</f>
        <v>35.0</v>
      </c>
      <c r="AM54" s="333">
        <f>AA49</f>
        <v>0.0</v>
      </c>
      <c r="AN54" s="320"/>
      <c r="AO54" s="320"/>
      <c r="AP54" s="324">
        <f t="array" aca="1" ref="AP54" ca="1">SUM(((OFFSET(YYYY,1,0)-YYYY)^2*(OFFSET(XXXX,1,0)+XXXX)*(OFFSET(XXXX,1,0)^2+XXXX^2)/8+(OFFSET(YYYY,1,0)-YYYY)*(OFFSET(XXXX,1,0)*YYYY-XXXX*OFFSET(YYYY,1,0))*(OFFSET(XXXX,1,0)^2+OFFSET(XXXX,1,0)*XXXX+XXXX^2)/3+(OFFSET(XXXX,1,0)*YYYY-XXXX*OFFSET(YYYY,1,0))^2*(OFFSET(XXXX,1,0)+XXXX)/4)*IF(OFFSET(XXXX,1,0)=XXXX,0,1/(OFFSET(XXXX,1,0)-XXXX)))</f>
        <v>0.0</v>
      </c>
      <c r="AQ54" s="312" t="str">
        <f>AA49&amp;"^4"</f>
        <v>^4</v>
      </c>
      <c r="AR54" s="312" t="s">
        <v>846</v>
      </c>
      <c r="AS54" s="312"/>
      <c r="AT54" s="312"/>
      <c r="AU54" s="312" t="s">
        <v>847</v>
      </c>
      <c r="AV54" s="312"/>
    </row>
    <row r="55" spans="6:48" x14ac:dyDescent="0.25">
      <c r="F55" s="80" t="s">
        <v>625</v>
      </c>
      <c r="T55" s="314">
        <f>Seções!K28</f>
        <v>-6.0</v>
      </c>
      <c r="U55" s="314">
        <f>Seções!L28</f>
        <v>20.0</v>
      </c>
      <c r="AD55" s="318" t="s">
        <v>848</v>
      </c>
      <c r="AE55" s="316">
        <f t="array" aca="1" ref="AE55" ca="1">SUM((OFFSET(XXXX,1,0)-XXXX)/8*((YYYY+OFFSET(YYYY,1,0))^2+(OFFSET(YYYY,1,0)-YYYY)^2/3))/AE53</f>
        <v>35.0</v>
      </c>
      <c r="AF55" s="317">
        <f>AA49</f>
        <v>0.0</v>
      </c>
      <c r="AG55" s="318" t="s">
        <v>849</v>
      </c>
      <c r="AH55" s="330">
        <f ca="1">AE56/ABS(MIN(YYYY)-AE55)</f>
        <v>1800.0</v>
      </c>
      <c r="AI55" s="317" t="str">
        <f>$B$2&amp;"^3"</f>
        <v>^3</v>
      </c>
      <c r="AJ55" s="311"/>
      <c r="AK55" s="334" t="s">
        <v>850</v>
      </c>
      <c r="AL55" s="332">
        <f ca="1">AH53-AL54</f>
        <v>-5.0</v>
      </c>
      <c r="AM55" s="333">
        <f>AA49</f>
        <v>0.0</v>
      </c>
      <c r="AN55" s="311"/>
      <c r="AO55" s="311"/>
      <c r="AP55" s="312"/>
      <c r="AQ55" s="312"/>
      <c r="AR55" s="335" t="s">
        <v>8</v>
      </c>
      <c r="AS55" s="335" t="s">
        <v>499</v>
      </c>
      <c r="AT55" s="312"/>
      <c r="AU55" s="335" t="s">
        <v>8</v>
      </c>
      <c r="AV55" s="335" t="s">
        <v>499</v>
      </c>
    </row>
    <row r="56" spans="6:48" x14ac:dyDescent="0.25">
      <c r="F56" s="80" t="s">
        <v>520</v>
      </c>
      <c r="G56" s="360">
        <f>0.259*G54</f>
        <v>18.648</v>
      </c>
      <c r="I56" s="38" t="s">
        <v>872</v>
      </c>
      <c r="T56" s="314">
        <f>Seções!K29</f>
        <v>-6.0</v>
      </c>
      <c r="U56" s="314">
        <f>Seções!L29</f>
        <v>50.0</v>
      </c>
      <c r="AD56" s="318" t="s">
        <v>851</v>
      </c>
      <c r="AE56" s="330">
        <f ca="1">AP52-AE53*AE55^2</f>
        <v>27000.0</v>
      </c>
      <c r="AF56" s="317" t="str">
        <f>$B$2&amp;"^4"</f>
        <v>^4</v>
      </c>
      <c r="AG56" s="318" t="s">
        <v>852</v>
      </c>
      <c r="AH56" s="330">
        <f ca="1">AE57/ABS(MIN(XXXX)-AE54)</f>
        <v>720.0</v>
      </c>
      <c r="AI56" s="317" t="str">
        <f>$B$2&amp;"^3"</f>
        <v>^3</v>
      </c>
      <c r="AJ56" s="311"/>
      <c r="AK56" s="334" t="s">
        <v>853</v>
      </c>
      <c r="AL56" s="332">
        <f ca="1">ABS(AE56)</f>
        <v>27000.0</v>
      </c>
      <c r="AM56" s="336" t="str">
        <f>CONCATENATE(AA49,"4")</f>
        <v>4</v>
      </c>
      <c r="AN56" s="311"/>
      <c r="AO56" s="311"/>
      <c r="AP56" s="312"/>
      <c r="AQ56" s="312"/>
      <c r="AR56" s="337">
        <f>MIN(XXXX)</f>
        <v>-6.0</v>
      </c>
      <c r="AS56" s="338">
        <f>(AR56-$F$7)*TAN(RADIANS($F$5))+$F$8</f>
        <v>0.0</v>
      </c>
      <c r="AT56" s="312"/>
      <c r="AU56" s="337">
        <f>IF(AV51&gt;=AV52,MIN(XXXX),(MAX(XXXX)+MIN(XXXX)-AV52)/2)</f>
        <v>-15.0</v>
      </c>
      <c r="AV56" s="337">
        <f>IF(AV51&gt;=AV52,(MAX(YYYY)+MIN(YYYY)-AV51)/2,MIN(YYYY))</f>
        <v>20.0</v>
      </c>
    </row>
    <row r="57" spans="6:48" x14ac:dyDescent="0.25">
      <c r="F57" s="80" t="s">
        <v>873</v>
      </c>
      <c r="G57" s="360">
        <f>0.628*G54</f>
        <v>45.216</v>
      </c>
      <c r="I57" s="38" t="s">
        <v>874</v>
      </c>
      <c r="T57" s="314">
        <f>T56</f>
        <v>-6.0</v>
      </c>
      <c r="U57" s="314">
        <f>U56</f>
        <v>50.0</v>
      </c>
      <c r="AD57" s="318" t="s">
        <v>854</v>
      </c>
      <c r="AE57" s="330">
        <f ca="1">AP53-AE53*AE54^2</f>
        <v>4320.0</v>
      </c>
      <c r="AF57" s="317" t="str">
        <f>$B$2&amp;"^4"</f>
        <v>^4</v>
      </c>
      <c r="AG57" s="318" t="s">
        <v>855</v>
      </c>
      <c r="AH57" s="330">
        <f ca="1">AE57/ABS(MAX(XXXX)-AE54)</f>
        <v>720.0</v>
      </c>
      <c r="AI57" s="317" t="str">
        <f>$B$2&amp;"^3"</f>
        <v>^3</v>
      </c>
      <c r="AJ57" s="311"/>
      <c r="AK57" s="334" t="s">
        <v>856</v>
      </c>
      <c r="AL57" s="332">
        <f ca="1">ABS(AH55)</f>
        <v>1800.0</v>
      </c>
      <c r="AM57" s="336" t="str">
        <f>CONCATENATE(AA49,"³")</f>
        <v>³</v>
      </c>
      <c r="AN57" s="311"/>
      <c r="AO57" s="311"/>
      <c r="AP57" s="312"/>
      <c r="AQ57" s="312"/>
      <c r="AR57" s="337">
        <f>MAX(XXXX)</f>
        <v>6.0</v>
      </c>
      <c r="AS57" s="338">
        <f>(AR57-$F$7)*TAN(RADIANS($F$5))+$F$8</f>
        <v>0.0</v>
      </c>
      <c r="AT57" s="312"/>
      <c r="AU57" s="337">
        <f>IF(AV51&gt;=AV52,MAX(XXXX),(MAX(XXXX)+MIN(XXXX)+AV52)/2)</f>
        <v>15.0</v>
      </c>
      <c r="AV57" s="337">
        <f>IF(AV51&gt;=AV52,(MAX(YYYY)+MIN(YYYY)+AV51)/2,MAX(YYYY))</f>
        <v>50.0</v>
      </c>
    </row>
    <row r="58" spans="6:48" x14ac:dyDescent="0.25">
      <c r="T58" s="314">
        <f>T57</f>
        <v>-6.0</v>
      </c>
      <c r="U58" s="314">
        <f>U57</f>
        <v>50.0</v>
      </c>
      <c r="AD58" s="339" t="s">
        <v>857</v>
      </c>
      <c r="AE58" s="340">
        <f ca="1">+AP54-AE53*AE54*AE55</f>
        <v>0.0</v>
      </c>
      <c r="AF58" s="341" t="str">
        <f>$B$2&amp;"^4"</f>
        <v>^4</v>
      </c>
      <c r="AG58" s="342"/>
      <c r="AH58" s="343"/>
      <c r="AI58" s="341"/>
      <c r="AJ58" s="311"/>
      <c r="AK58" s="344" t="s">
        <v>858</v>
      </c>
      <c r="AL58" s="345">
        <f ca="1">ABS(AH54)</f>
        <v>1800.0</v>
      </c>
      <c r="AM58" s="346" t="str">
        <f>CONCATENATE(AA49,"³")</f>
        <v>³</v>
      </c>
      <c r="AN58" s="311"/>
      <c r="AO58" s="311"/>
      <c r="AP58" s="311"/>
      <c r="AQ58" s="311"/>
      <c r="AR58" s="347"/>
      <c r="AS58" s="347"/>
      <c r="AT58" s="348"/>
      <c r="AU58" s="348"/>
      <c r="AV58" s="348"/>
    </row>
    <row r="59" spans="6:48" x14ac:dyDescent="0.25">
      <c r="T59" s="314">
        <f>Seções!K32</f>
        <v>0.0</v>
      </c>
      <c r="U59" s="314">
        <f>U58</f>
        <v>50.0</v>
      </c>
      <c r="AD59" s="313"/>
      <c r="AE59" s="313"/>
      <c r="AF59" s="313"/>
      <c r="AG59" s="313"/>
      <c r="AH59" s="313"/>
      <c r="AI59" s="313"/>
      <c r="AJ59" s="311"/>
      <c r="AK59" s="311"/>
      <c r="AL59" s="311"/>
      <c r="AM59" s="311"/>
      <c r="AN59" s="311"/>
      <c r="AO59" s="311"/>
      <c r="AP59" s="311"/>
      <c r="AQ59" s="311"/>
      <c r="AR59" s="347">
        <f ca="1">(AS59-$F$8)*TAN(RADIANS(-$F$5))+$F$7</f>
        <v>0.0</v>
      </c>
      <c r="AS59" s="347">
        <f ca="1">MIN(Y)</f>
        <v>0.0</v>
      </c>
      <c r="AT59" s="349"/>
      <c r="AU59" s="311"/>
      <c r="AV59" s="350"/>
    </row>
    <row r="60" spans="6:48" x14ac:dyDescent="0.25">
      <c r="T60" s="314">
        <f>T61</f>
        <v>6.0</v>
      </c>
      <c r="U60" s="314">
        <f>U59</f>
        <v>50.0</v>
      </c>
      <c r="AD60" s="739" t="s">
        <v>859</v>
      </c>
      <c r="AE60" s="739"/>
      <c r="AF60" s="739"/>
      <c r="AG60" s="739"/>
      <c r="AH60" s="739"/>
      <c r="AI60" s="739"/>
      <c r="AJ60" s="311"/>
      <c r="AK60" s="311"/>
      <c r="AL60" s="311"/>
      <c r="AM60" s="311"/>
      <c r="AN60" s="311"/>
      <c r="AO60" s="311"/>
      <c r="AP60" s="351"/>
      <c r="AQ60" s="311"/>
      <c r="AR60" s="347">
        <f ca="1">(AS60-$F$8)*TAN(RADIANS(-$F$5))+$F$7</f>
        <v>0.0</v>
      </c>
      <c r="AS60" s="347">
        <f ca="1">MAX(Y)</f>
        <v>60.0</v>
      </c>
      <c r="AT60" s="349"/>
      <c r="AU60" s="311"/>
      <c r="AV60" s="350"/>
    </row>
    <row r="61" spans="6:48" x14ac:dyDescent="0.25">
      <c r="F61" s="361" t="s">
        <v>875</v>
      </c>
      <c r="G61" s="362"/>
      <c r="H61" s="362"/>
      <c r="I61" s="362"/>
      <c r="J61" s="362"/>
      <c r="K61" s="363"/>
      <c r="T61" s="314">
        <f>T62</f>
        <v>6.0</v>
      </c>
      <c r="U61" s="314">
        <f>U62</f>
        <v>50.0</v>
      </c>
      <c r="AD61" s="315" t="s">
        <v>831</v>
      </c>
      <c r="AE61" s="316">
        <f ca="1">AE52</f>
        <v>0.0</v>
      </c>
      <c r="AF61" s="317" t="s">
        <v>860</v>
      </c>
      <c r="AG61" s="318" t="s">
        <v>861</v>
      </c>
      <c r="AH61" s="330">
        <f t="array" aca="1" ref="AH61" ca="1">ABS(AE62/MAX(SQRT((XXXX-AE54)^2+(YYYY-AE55)^2)*SIN(ATAN2(XXXX-AE54,YYYY-AE55)-RADIANS(AE52))))</f>
        <v>1800.0</v>
      </c>
      <c r="AI61" s="317" t="str">
        <f>$B$2&amp;"^3"</f>
        <v>^3</v>
      </c>
      <c r="AJ61" s="313"/>
      <c r="AK61" s="313"/>
      <c r="AL61" s="313"/>
      <c r="AM61" s="313"/>
      <c r="AN61" s="313"/>
      <c r="AO61" s="313"/>
      <c r="AP61" s="352"/>
      <c r="AQ61" s="353"/>
      <c r="AR61" s="316"/>
      <c r="AS61" s="316"/>
      <c r="AT61" s="313"/>
      <c r="AU61" s="313"/>
      <c r="AV61" s="354"/>
    </row>
    <row r="62" spans="6:48" x14ac:dyDescent="0.25">
      <c r="F62" s="364"/>
      <c r="K62" s="365"/>
      <c r="T62" s="314">
        <f>Seções!K35</f>
        <v>6.0</v>
      </c>
      <c r="U62" s="314">
        <f>Seções!L35</f>
        <v>50.0</v>
      </c>
      <c r="AD62" s="318" t="s">
        <v>862</v>
      </c>
      <c r="AE62" s="330">
        <f ca="1">AE56*COS(RADIANS(AE61))^2+AE57*SIN(RADIANS(AE61))^2-AE58*SIN(2*RADIANS(AE61))</f>
        <v>27000.0</v>
      </c>
      <c r="AF62" s="317" t="str">
        <f>$B$2&amp;"^4"</f>
        <v>^4</v>
      </c>
      <c r="AG62" s="318" t="s">
        <v>863</v>
      </c>
      <c r="AH62" s="330">
        <f t="array" aca="1" ref="AH62" ca="1">ABS(AE62/MIN(SQRT((XXXX-AE54)^2+(YYYY-AE55)^2)*SIN(ATAN2(XXXX-AE54,YYYY-AE55)-RADIANS(AE52))))</f>
        <v>771.4285714285714</v>
      </c>
      <c r="AI62" s="317" t="str">
        <f>$B$2&amp;"^3"</f>
        <v>^3</v>
      </c>
      <c r="AJ62" s="313"/>
      <c r="AK62" s="313"/>
      <c r="AL62" s="313"/>
      <c r="AM62" s="313"/>
      <c r="AN62" s="313"/>
      <c r="AO62" s="313"/>
      <c r="AP62" s="355"/>
      <c r="AQ62" s="356"/>
      <c r="AR62" s="313"/>
      <c r="AS62" s="313"/>
      <c r="AT62" s="356"/>
      <c r="AU62" s="313"/>
      <c r="AV62" s="313"/>
    </row>
    <row r="63" spans="6:48" x14ac:dyDescent="0.25">
      <c r="F63" s="364" t="s">
        <v>876</v>
      </c>
      <c r="G63">
        <f ca="1">0.85*((G47/10)/Geometria!$O$78)*AL5</f>
        <v>1821.4285714285713</v>
      </c>
      <c r="H63" t="s">
        <v>292</v>
      </c>
      <c r="K63" s="365"/>
      <c r="T63" s="314">
        <f>Seções!K36</f>
        <v>6.0</v>
      </c>
      <c r="U63" s="314">
        <f>Seções!L36</f>
        <v>20.0</v>
      </c>
      <c r="AD63" s="318" t="s">
        <v>864</v>
      </c>
      <c r="AE63" s="330">
        <f ca="1">AE57*COS(RADIANS(AE61))^2+AE56*SIN(RADIANS(AE61))^2+AE58*SIN(2*RADIANS(AE61))</f>
        <v>4320.0</v>
      </c>
      <c r="AF63" s="317" t="str">
        <f>$B$2&amp;"^4"</f>
        <v>^4</v>
      </c>
      <c r="AG63" s="318" t="s">
        <v>865</v>
      </c>
      <c r="AH63" s="330">
        <f t="array" aca="1" ref="AH63" ca="1">ABS(AE63/MIN(SQRT((XXXX-AE54)^2+(YYYY-AE55)^2)*COS(ATAN2(XXXX-AE54,YYYY-AE55)-RADIANS(AE52))))</f>
        <v>720.0000000000002</v>
      </c>
      <c r="AI63" s="317" t="str">
        <f>$B$2&amp;"^3"</f>
        <v>^3</v>
      </c>
      <c r="AJ63" s="313"/>
      <c r="AK63" s="313"/>
      <c r="AL63" s="313"/>
      <c r="AM63" s="313"/>
      <c r="AN63" s="313"/>
      <c r="AO63" s="313"/>
      <c r="AP63" s="355"/>
      <c r="AQ63" s="356"/>
      <c r="AR63" s="313"/>
      <c r="AS63" s="313"/>
      <c r="AT63" s="356"/>
      <c r="AU63" s="313"/>
      <c r="AV63" s="313"/>
    </row>
    <row r="64" spans="6:48" x14ac:dyDescent="0.25">
      <c r="F64" s="364" t="s">
        <v>877</v>
      </c>
      <c r="G64">
        <f ca="1">G63*(G54-(AH5/2))</f>
        <v>112928.57142857142</v>
      </c>
      <c r="H64" t="s">
        <v>217</v>
      </c>
      <c r="K64" s="365"/>
      <c r="T64" s="314">
        <v>0</v>
      </c>
      <c r="U64" s="314">
        <f>U63</f>
        <v>20.0</v>
      </c>
      <c r="AD64" s="318" t="s">
        <v>866</v>
      </c>
      <c r="AE64" s="330">
        <f ca="1">+(AE56-AE57)/2*SIN(RADIANS(AE61)*2)+AE58*COS(2*RADIANS(AE61))</f>
        <v>0.0</v>
      </c>
      <c r="AF64" s="317" t="str">
        <f>$B$2&amp;"^4"</f>
        <v>^4</v>
      </c>
      <c r="AG64" s="318" t="s">
        <v>867</v>
      </c>
      <c r="AH64" s="330">
        <f t="array" aca="1" ref="AH64" ca="1">ABS(AE63/MAX(SQRT((XXXX-AE54)^2+(YYYY-AE55)^2)*COS(ATAN2(XXXX-AE54,YYYY-AE55)-RADIANS(AE52))))</f>
        <v>720.0</v>
      </c>
      <c r="AI64" s="317" t="str">
        <f>$B$2&amp;"^3"</f>
        <v>^3</v>
      </c>
      <c r="AJ64" s="313"/>
      <c r="AK64" s="313"/>
      <c r="AL64" s="313"/>
      <c r="AM64" s="313"/>
      <c r="AN64" s="313"/>
      <c r="AO64" s="313"/>
      <c r="AP64" s="355"/>
      <c r="AQ64" s="356"/>
      <c r="AR64" s="357"/>
      <c r="AS64" s="313"/>
      <c r="AT64" s="313"/>
      <c r="AU64" s="313"/>
      <c r="AV64" s="313"/>
    </row>
    <row r="65" spans="6:48" x14ac:dyDescent="0.25">
      <c r="F65" s="364"/>
      <c r="G65" t="str">
        <f ca="1">IF(G64&gt;G38,"Ok, linha neutra passa na seção 1","Recalcular")</f>
        <v>Recalcular</v>
      </c>
      <c r="K65" s="365"/>
      <c r="T65" s="314"/>
      <c r="U65" s="314"/>
      <c r="AD65" s="339" t="s">
        <v>868</v>
      </c>
      <c r="AE65" s="340">
        <f ca="1">+AE62+AE63</f>
        <v>31320.0</v>
      </c>
      <c r="AF65" s="341" t="str">
        <f>$B$2&amp;"^4"</f>
        <v>^4</v>
      </c>
      <c r="AG65" s="342"/>
      <c r="AH65" s="358"/>
      <c r="AI65" s="341"/>
      <c r="AJ65" s="313"/>
      <c r="AK65" s="313">
        <f>IF($C$3="Retângular",Seções!AA55,Seções!AJ72)</f>
        <v>0.0</v>
      </c>
      <c r="AL65" s="313"/>
      <c r="AM65" s="313"/>
      <c r="AN65" s="313"/>
      <c r="AO65" s="313"/>
      <c r="AP65" s="313"/>
      <c r="AQ65" s="313"/>
      <c r="AR65" s="313"/>
      <c r="AS65" s="357"/>
      <c r="AT65" s="357"/>
      <c r="AU65" s="313"/>
      <c r="AV65" s="313"/>
    </row>
    <row r="66" spans="6:48" x14ac:dyDescent="0.25">
      <c r="F66" s="364"/>
      <c r="K66" s="365"/>
      <c r="T66" s="314"/>
      <c r="U66" s="314"/>
    </row>
    <row r="67" spans="6:48" x14ac:dyDescent="0.25">
      <c r="F67" s="361" t="s">
        <v>8</v>
      </c>
      <c r="G67" s="366">
        <f>IF(Geometria!$M$19="2 - i",((Geometria!L1049*Geometria!L1050*(Geometria!L82/10)/Geometria!$O$78*Geometria!L60*(Geometria!L70-Geometria!R253))-SQRT((Geometria!L1049*Geometria!L1050*(Geometria!L82/10)/Geometria!$O$78*Geometria!L60*(Geometria!L70-Geometria!R253))^2-4*((Geometria!L1049*Geometria!L1050^2*(Geometria!L82/10)/Geometria!$O$78*Geometria!L60)/2)*Geometria!L1038*100))/(2*((Geometria!L1049*Geometria!L1050^2*(Geometria!L82/10)/Geometria!$O$78*Geometria!L60)/2)),0)</f>
        <v>0.0</v>
      </c>
      <c r="H67" s="363"/>
      <c r="I67" t="s">
        <v>35</v>
      </c>
      <c r="J67">
        <f>IF(Geometria!$M$19="2 - i",IF(G67&lt;G56,I56,IF(AND(G67&gt;G56,G67&lt;G57,I57),I57,IF(G67&gt;G57,"Domínio 4"))),0)</f>
        <v>0.0</v>
      </c>
      <c r="K67" s="365"/>
    </row>
    <row r="68" spans="6:48" x14ac:dyDescent="0.25">
      <c r="F68" s="367" t="s">
        <v>41</v>
      </c>
      <c r="G68" s="368">
        <f ca="1">G63/((G46/10)/Geometria!O76)</f>
        <v>40.07142857142857</v>
      </c>
      <c r="H68" s="369" t="s">
        <v>247</v>
      </c>
      <c r="K68" s="365"/>
    </row>
    <row r="69" spans="6:48" x14ac:dyDescent="0.25">
      <c r="F69" s="364"/>
      <c r="K69" s="365"/>
    </row>
    <row r="70" spans="6:48" x14ac:dyDescent="0.25">
      <c r="F70" s="364" t="s">
        <v>878</v>
      </c>
      <c r="K70" s="365"/>
    </row>
    <row r="71" spans="6:48" x14ac:dyDescent="0.25">
      <c r="F71" s="364"/>
      <c r="K71" s="365"/>
    </row>
    <row r="72" spans="6:48" x14ac:dyDescent="0.25">
      <c r="F72" s="364" t="s">
        <v>879</v>
      </c>
      <c r="G72">
        <f ca="1">0.85*((G47/10)/Geometria!$O$78)*AL28</f>
        <v>318.75</v>
      </c>
      <c r="H72" t="s">
        <v>292</v>
      </c>
      <c r="J72" s="370"/>
      <c r="K72" s="365"/>
    </row>
    <row r="73" spans="6:48" x14ac:dyDescent="0.25">
      <c r="F73" s="364" t="s">
        <v>880</v>
      </c>
      <c r="G73">
        <f ca="1">G72*(G54-AL4-AL27/3)</f>
        <v>16043.75</v>
      </c>
      <c r="H73" t="s">
        <v>217</v>
      </c>
      <c r="K73" s="365"/>
    </row>
    <row r="74" spans="6:48" x14ac:dyDescent="0.25">
      <c r="F74" s="367"/>
      <c r="G74" s="368" t="str">
        <f ca="1">IF(G73+G64&gt;G38,"Ok, linha neutra passa na seção 2","Recalcular")</f>
        <v>Recalcular</v>
      </c>
      <c r="H74" s="368"/>
      <c r="I74" s="368"/>
      <c r="J74" s="368"/>
      <c r="K74" s="369"/>
    </row>
    <row r="77" spans="6:48" x14ac:dyDescent="0.25">
      <c r="F77" s="361" t="s">
        <v>881</v>
      </c>
      <c r="G77" s="362"/>
      <c r="H77" s="362"/>
      <c r="I77" s="362"/>
      <c r="J77" s="362"/>
      <c r="K77" s="362"/>
      <c r="L77" s="362"/>
      <c r="M77" s="362"/>
      <c r="N77" s="362"/>
      <c r="O77" s="362"/>
      <c r="P77" s="362"/>
      <c r="Q77" s="363"/>
    </row>
    <row r="78" spans="6:48" x14ac:dyDescent="0.25">
      <c r="F78" s="364" t="s">
        <v>882</v>
      </c>
      <c r="G78">
        <f>T93-T95</f>
        <v>9.0</v>
      </c>
      <c r="H78" t="s">
        <v>35</v>
      </c>
      <c r="I78" t="s">
        <v>883</v>
      </c>
      <c r="Q78" s="365"/>
    </row>
    <row r="79" spans="6:48" x14ac:dyDescent="0.25">
      <c r="F79" s="364" t="s">
        <v>884</v>
      </c>
      <c r="G79">
        <f>U90-U89</f>
        <v>5.0</v>
      </c>
      <c r="H79" t="s">
        <v>35</v>
      </c>
      <c r="I79" t="s">
        <v>885</v>
      </c>
      <c r="Q79" s="365"/>
    </row>
    <row r="80" spans="6:48" x14ac:dyDescent="0.25">
      <c r="F80" s="364">
        <f>G78/G79</f>
        <v>1.8</v>
      </c>
      <c r="G80" t="s">
        <v>60</v>
      </c>
      <c r="Q80" s="365"/>
    </row>
    <row r="81" spans="6:52" x14ac:dyDescent="0.25">
      <c r="F81" s="364">
        <v>0.8</v>
      </c>
      <c r="G81" t="s">
        <v>886</v>
      </c>
      <c r="H81">
        <f>U91-U90</f>
        <v>20.0</v>
      </c>
      <c r="Q81" s="365"/>
    </row>
    <row r="82" spans="6:52" x14ac:dyDescent="0.25">
      <c r="F82" s="364"/>
      <c r="Q82" s="365"/>
    </row>
    <row r="83" spans="6:52" x14ac:dyDescent="0.25">
      <c r="F83" s="364" t="s">
        <v>887</v>
      </c>
      <c r="G83">
        <f ca="1">G63</f>
        <v>1821.4285714285713</v>
      </c>
      <c r="H83" t="s">
        <v>217</v>
      </c>
      <c r="Q83" s="365"/>
    </row>
    <row r="84" spans="6:52" ht="23.25" customHeight="1" x14ac:dyDescent="0.25">
      <c r="F84" s="364" t="s">
        <v>888</v>
      </c>
      <c r="G84">
        <f ca="1">G64</f>
        <v>112928.57142857142</v>
      </c>
      <c r="H84" t="s">
        <v>217</v>
      </c>
      <c r="Q84" s="365"/>
      <c r="T84" s="25" t="s">
        <v>8</v>
      </c>
      <c r="U84" s="25" t="s">
        <v>499</v>
      </c>
      <c r="AD84" s="740" t="s">
        <v>827</v>
      </c>
      <c r="AE84" s="740"/>
      <c r="AF84" s="740"/>
      <c r="AG84" s="740"/>
      <c r="AH84" s="740"/>
      <c r="AI84" s="740"/>
      <c r="AJ84" s="311"/>
      <c r="AK84" s="741" t="s">
        <v>828</v>
      </c>
      <c r="AL84" s="741"/>
      <c r="AM84" s="741"/>
      <c r="AN84" s="311"/>
      <c r="AO84" s="311"/>
      <c r="AP84" s="312" t="s">
        <v>829</v>
      </c>
      <c r="AQ84" s="312"/>
      <c r="AR84" s="312"/>
      <c r="AS84" s="312"/>
      <c r="AT84" s="312"/>
      <c r="AU84" s="312" t="s">
        <v>830</v>
      </c>
      <c r="AV84" s="312">
        <f>MAX(testex)-MIN(testex)</f>
        <v>40.0</v>
      </c>
    </row>
    <row r="85" spans="6:52" x14ac:dyDescent="0.25">
      <c r="F85" s="364" t="s">
        <v>497</v>
      </c>
      <c r="G85" s="371">
        <f ca="1">G38-G84</f>
        <v>89299.22889994425</v>
      </c>
      <c r="H85" t="s">
        <v>217</v>
      </c>
      <c r="I85" t="s">
        <v>889</v>
      </c>
      <c r="Q85" s="365"/>
      <c r="T85" s="314">
        <f>Seções!K25</f>
        <v>0.0</v>
      </c>
      <c r="U85" s="314">
        <f>Seções!L25</f>
        <v>0.0</v>
      </c>
      <c r="AD85" s="315" t="s">
        <v>831</v>
      </c>
      <c r="AE85" s="316">
        <f ca="1">IF(AE91=0,0,IF(AE89-AE90=0,45,DEGREES(1/2*ATAN(-2*AE91/(AE89-AE90)))))</f>
        <v>0.0</v>
      </c>
      <c r="AF85" s="317" t="s">
        <v>832</v>
      </c>
      <c r="AG85" s="318" t="s">
        <v>833</v>
      </c>
      <c r="AH85" s="313">
        <f>MAX(testex)-MIN(testex)</f>
        <v>40.0</v>
      </c>
      <c r="AI85" s="319">
        <f>$B$2</f>
        <v>0.0</v>
      </c>
      <c r="AJ85" s="320" t="s">
        <v>834</v>
      </c>
      <c r="AK85" s="321" t="s">
        <v>60</v>
      </c>
      <c r="AL85" s="322">
        <f>AH86</f>
        <v>75.0</v>
      </c>
      <c r="AM85" s="323">
        <f>AA82</f>
        <v>0.0</v>
      </c>
      <c r="AN85" s="320"/>
      <c r="AO85" s="320"/>
      <c r="AP85" s="324">
        <f t="array" aca="1" ref="AP85" ca="1">SUM((OFFSET(testex,1,0)-testex)*(testey+OFFSET(testey,1,0))/24*((OFFSET(testey,1,0)+testey)^2+(OFFSET(testey,1,0)-testey)^2))</f>
        <v>3399604.166666667</v>
      </c>
      <c r="AQ85" s="312" t="str">
        <f>$B$2&amp;"^4"</f>
        <v>^4</v>
      </c>
      <c r="AR85" s="312" t="s">
        <v>835</v>
      </c>
      <c r="AS85" s="325">
        <f ca="1">+(AE89+AE90)/2-SQRT((AE89-AE90)^2/4+AE91^2)</f>
        <v>143334.16666666674</v>
      </c>
      <c r="AT85" s="312" t="str">
        <f>$B$2&amp;"^4"</f>
        <v>^4</v>
      </c>
      <c r="AU85" s="312" t="s">
        <v>836</v>
      </c>
      <c r="AV85" s="312">
        <f>MAX(testey)-MIN(testey)</f>
        <v>75.0</v>
      </c>
    </row>
    <row r="86" spans="6:52" x14ac:dyDescent="0.25">
      <c r="F86" s="364"/>
      <c r="Q86" s="365"/>
      <c r="T86" s="314">
        <f>Seções!K26</f>
        <v>-20.0</v>
      </c>
      <c r="U86" s="314">
        <f>Seções!L26</f>
        <v>0.0</v>
      </c>
      <c r="AD86" s="318" t="s">
        <v>837</v>
      </c>
      <c r="AE86" s="326">
        <f t="array" aca="1" ref="AE86" ca="1">SUM((testey-OFFSET(testey,1,0))*(testex+OFFSET(testex,1,0)))/2</f>
        <v>1795.0</v>
      </c>
      <c r="AF86" s="317" t="str">
        <f>$B$2 &amp; "^2"</f>
        <v>^2</v>
      </c>
      <c r="AG86" s="318" t="s">
        <v>838</v>
      </c>
      <c r="AH86" s="313">
        <f>MAX(testey)-MIN(testey)</f>
        <v>75.0</v>
      </c>
      <c r="AI86" s="319">
        <f>$B$2</f>
        <v>0.0</v>
      </c>
      <c r="AJ86" s="320" t="s">
        <v>839</v>
      </c>
      <c r="AK86" s="327" t="s">
        <v>298</v>
      </c>
      <c r="AL86" s="328">
        <f ca="1">ABS(AE86)</f>
        <v>1795.0</v>
      </c>
      <c r="AM86" s="329" t="str">
        <f>CONCATENATE(AA82,"²")</f>
        <v>²</v>
      </c>
      <c r="AN86" s="320"/>
      <c r="AO86" s="320"/>
      <c r="AP86" s="324">
        <f t="array" aca="1" ref="AP86" ca="1">-SUM((OFFSET(testey,1,0)-testey)*(testex+OFFSET(testex,1,0))/24*((OFFSET(testex,1,0)+testex)^2+(OFFSET(testex,1,0)-testex)^2))</f>
        <v>143334.1666666667</v>
      </c>
      <c r="AQ86" s="312" t="str">
        <f>AA82&amp;"^4"</f>
        <v>^4</v>
      </c>
      <c r="AR86" s="312" t="s">
        <v>840</v>
      </c>
      <c r="AS86" s="325">
        <f ca="1">+(AE89+AE90)/2+SQRT((AE89-AE90)^2/4+AE91^2)</f>
        <v>1127208.0044877743</v>
      </c>
      <c r="AT86" s="312" t="str">
        <f>$B$2&amp;"^4"</f>
        <v>^4</v>
      </c>
      <c r="AU86" s="312" t="s">
        <v>841</v>
      </c>
      <c r="AV86" s="312"/>
    </row>
    <row r="87" spans="6:52" x14ac:dyDescent="0.25">
      <c r="F87" s="364" t="s">
        <v>879</v>
      </c>
      <c r="G87">
        <f>0.85*(G47/10)/Geometria!$O$78*(ABS(T91)+T93)</f>
        <v>91.07142857142858</v>
      </c>
      <c r="H87" t="s">
        <v>60</v>
      </c>
      <c r="Q87" s="365"/>
      <c r="T87" s="314">
        <f>Seções!K27</f>
        <v>-20.0</v>
      </c>
      <c r="U87" s="314">
        <f>Seções!L27</f>
        <v>15.0</v>
      </c>
      <c r="AD87" s="318" t="s">
        <v>842</v>
      </c>
      <c r="AE87" s="316">
        <f t="array" aca="1" ref="AE87" ca="1">SUM((testey-OFFSET(testey,1,0))/8*((testex+OFFSET(testex,1,0))^2+(OFFSET(testex,1,0)-testex)^2/3))/AE86</f>
        <v>0.0</v>
      </c>
      <c r="AF87" s="317">
        <f>AA82</f>
        <v>0.0</v>
      </c>
      <c r="AG87" s="318" t="s">
        <v>843</v>
      </c>
      <c r="AH87" s="330">
        <f ca="1">AE89/ABS(MAX(testey)-AE88)</f>
        <v>28595.054076865697</v>
      </c>
      <c r="AI87" s="317" t="str">
        <f>$B$2&amp;"^3"</f>
        <v>^3</v>
      </c>
      <c r="AJ87" s="320" t="s">
        <v>844</v>
      </c>
      <c r="AK87" s="331" t="s">
        <v>845</v>
      </c>
      <c r="AL87" s="332">
        <f ca="1">AE88</f>
        <v>35.58031569173631</v>
      </c>
      <c r="AM87" s="333">
        <f>AA82</f>
        <v>0.0</v>
      </c>
      <c r="AN87" s="320"/>
      <c r="AO87" s="320"/>
      <c r="AP87" s="324">
        <f t="array" aca="1" ref="AP87" ca="1">SUM(((OFFSET(testey,1,0)-testey)^2*(OFFSET(testex,1,0)+testex)*(OFFSET(testex,1,0)^2+testex^2)/8+(OFFSET(testey,1,0)-testey)*(OFFSET(testex,1,0)*testey-testex*OFFSET(testey,1,0))*(OFFSET(testex,1,0)^2+OFFSET(testex,1,0)*testex+testex^2)/3+(OFFSET(testex,1,0)*testey-testex*OFFSET(testey,1,0))^2*(OFFSET(testex,1,0)+testex)/4)*IF(OFFSET(testex,1,0)=testex,0,1/(OFFSET(testex,1,0)-testex)))</f>
        <v>0.0</v>
      </c>
      <c r="AQ87" s="312" t="str">
        <f>AA82&amp;"^4"</f>
        <v>^4</v>
      </c>
      <c r="AR87" s="312" t="s">
        <v>846</v>
      </c>
      <c r="AS87" s="312"/>
      <c r="AT87" s="312"/>
      <c r="AU87" s="312" t="s">
        <v>847</v>
      </c>
      <c r="AV87" s="312"/>
    </row>
    <row r="88" spans="6:52" x14ac:dyDescent="0.25">
      <c r="F88" s="364" t="s">
        <v>890</v>
      </c>
      <c r="G88">
        <f>0.85*(G47/10)/Geometria!$O$78*F80</f>
        <v>5.464285714285715</v>
      </c>
      <c r="H88" t="s">
        <v>891</v>
      </c>
      <c r="Q88" s="365"/>
      <c r="T88" s="314">
        <f>Seções!K28</f>
        <v>-6.0</v>
      </c>
      <c r="U88" s="314">
        <f>Seções!L28</f>
        <v>20.0</v>
      </c>
      <c r="AD88" s="318" t="s">
        <v>848</v>
      </c>
      <c r="AE88" s="316">
        <f t="array" aca="1" ref="AE88" ca="1">SUM((OFFSET(testex,1,0)-testex)/8*((testey+OFFSET(testey,1,0))^2+(OFFSET(testey,1,0)-testey)^2/3))/AE86</f>
        <v>35.58031569173631</v>
      </c>
      <c r="AF88" s="317">
        <f>AA82</f>
        <v>0.0</v>
      </c>
      <c r="AG88" s="318" t="s">
        <v>849</v>
      </c>
      <c r="AH88" s="330">
        <f ca="1">AE89/ABS(MIN(testey)-AE88)</f>
        <v>31680.663382915784</v>
      </c>
      <c r="AI88" s="317" t="str">
        <f>$B$2&amp;"^3"</f>
        <v>^3</v>
      </c>
      <c r="AJ88" s="311"/>
      <c r="AK88" s="334" t="s">
        <v>850</v>
      </c>
      <c r="AL88" s="332">
        <f ca="1">AH86-AL87</f>
        <v>39.41968430826369</v>
      </c>
      <c r="AM88" s="333">
        <f>AA82</f>
        <v>0.0</v>
      </c>
      <c r="AN88" s="311"/>
      <c r="AO88" s="311"/>
      <c r="AP88" s="312"/>
      <c r="AQ88" s="312"/>
      <c r="AR88" s="335" t="s">
        <v>8</v>
      </c>
      <c r="AS88" s="335" t="s">
        <v>499</v>
      </c>
      <c r="AT88" s="312"/>
      <c r="AU88" s="335" t="s">
        <v>8</v>
      </c>
      <c r="AV88" s="335" t="s">
        <v>499</v>
      </c>
      <c r="AY88" t="s">
        <v>892</v>
      </c>
    </row>
    <row r="89" spans="6:52" x14ac:dyDescent="0.25">
      <c r="F89" s="364"/>
      <c r="Q89" s="365"/>
      <c r="T89" s="314">
        <f>Seções!K29</f>
        <v>-6.0</v>
      </c>
      <c r="U89" s="314">
        <f>Seções!L29</f>
        <v>50.0</v>
      </c>
      <c r="AD89" s="318" t="s">
        <v>851</v>
      </c>
      <c r="AE89" s="330">
        <f ca="1">AP85-AE86*AE88^2</f>
        <v>1127208.0044877743</v>
      </c>
      <c r="AF89" s="317" t="str">
        <f>$B$2&amp;"^4"</f>
        <v>^4</v>
      </c>
      <c r="AG89" s="318" t="s">
        <v>852</v>
      </c>
      <c r="AH89" s="330">
        <f ca="1">AE90/ABS(MIN(testex)-AE87)</f>
        <v>7166.708333333334</v>
      </c>
      <c r="AI89" s="317" t="str">
        <f>$B$2&amp;"^3"</f>
        <v>^3</v>
      </c>
      <c r="AJ89" s="311"/>
      <c r="AK89" s="334" t="s">
        <v>853</v>
      </c>
      <c r="AL89" s="332">
        <f ca="1">ABS(AE89)</f>
        <v>1127208.0044877743</v>
      </c>
      <c r="AM89" s="336" t="str">
        <f>CONCATENATE(AA82,"4")</f>
        <v>4</v>
      </c>
      <c r="AN89" s="311"/>
      <c r="AO89" s="311"/>
      <c r="AP89" s="312"/>
      <c r="AQ89" s="312"/>
      <c r="AR89" s="337">
        <f>MIN(testex)</f>
        <v>-20.0</v>
      </c>
      <c r="AS89" s="338">
        <f>(AR89-$F$7)*TAN(RADIANS($F$5))+$F$8</f>
        <v>0.0</v>
      </c>
      <c r="AT89" s="312"/>
      <c r="AU89" s="337">
        <f>IF(AV84&gt;=AV85,MIN(testex),(MAX(testex)+MIN(testex)-AV85)/2)</f>
        <v>-37.5</v>
      </c>
      <c r="AV89" s="337">
        <f>IF(AV84&gt;=AV85,(MAX(testey)+MIN(testey)-AV84)/2,MIN(testey))</f>
        <v>0.0</v>
      </c>
      <c r="AY89" t="s">
        <v>893</v>
      </c>
      <c r="AZ89">
        <v>6.0714285710000002</v>
      </c>
    </row>
    <row r="90" spans="6:52" x14ac:dyDescent="0.25">
      <c r="F90" s="372">
        <f ca="1">G85</f>
        <v>89299.22889994425</v>
      </c>
      <c r="G90" t="s">
        <v>894</v>
      </c>
      <c r="H90">
        <f>G87*(G54-(U91-U90))</f>
        <v>4735.714285714286</v>
      </c>
      <c r="I90" t="s">
        <v>60</v>
      </c>
      <c r="J90">
        <f>G87*0.5</f>
        <v>45.53571428571429</v>
      </c>
      <c r="K90" t="s">
        <v>891</v>
      </c>
      <c r="L90" s="373">
        <f>G88*(G54-(U91-U90))</f>
        <v>284.1428571428572</v>
      </c>
      <c r="M90" t="s">
        <v>891</v>
      </c>
      <c r="N90">
        <f>G88*(2/3)</f>
        <v>3.6428571428571432</v>
      </c>
      <c r="O90" t="s">
        <v>895</v>
      </c>
      <c r="Q90" s="365"/>
      <c r="T90" s="314">
        <f>Seções!K30</f>
        <v>-15.0</v>
      </c>
      <c r="U90" s="314">
        <f>Seções!L30</f>
        <v>55.0</v>
      </c>
      <c r="AD90" s="318" t="s">
        <v>854</v>
      </c>
      <c r="AE90" s="330">
        <f ca="1">AP86-AE86*AE87^2</f>
        <v>143334.1666666667</v>
      </c>
      <c r="AF90" s="317" t="str">
        <f>$B$2&amp;"^4"</f>
        <v>^4</v>
      </c>
      <c r="AG90" s="318" t="s">
        <v>855</v>
      </c>
      <c r="AH90" s="330">
        <f ca="1">AE90/ABS(MAX(testex)-AE87)</f>
        <v>7166.708333333334</v>
      </c>
      <c r="AI90" s="317" t="str">
        <f>$B$2&amp;"^3"</f>
        <v>^3</v>
      </c>
      <c r="AJ90" s="311"/>
      <c r="AK90" s="334" t="s">
        <v>856</v>
      </c>
      <c r="AL90" s="332">
        <f ca="1">ABS(AH88)</f>
        <v>31680.663382915784</v>
      </c>
      <c r="AM90" s="336" t="str">
        <f>CONCATENATE(AA82,"³")</f>
        <v>³</v>
      </c>
      <c r="AN90" s="311"/>
      <c r="AO90" s="311"/>
      <c r="AP90" s="312"/>
      <c r="AQ90" s="312"/>
      <c r="AR90" s="337">
        <f>MAX(testex)</f>
        <v>20.0</v>
      </c>
      <c r="AS90" s="338">
        <f>(AR90-$F$7)*TAN(RADIANS($F$5))+$F$8</f>
        <v>0.0</v>
      </c>
      <c r="AT90" s="312"/>
      <c r="AU90" s="337">
        <f>IF(AV84&gt;=AV85,MAX(testex),(MAX(testex)+MIN(testex)+AV85)/2)</f>
        <v>37.5</v>
      </c>
      <c r="AV90" s="337">
        <f>IF(AV84&gt;=AV85,(MAX(testey)+MIN(testey)+AV84)/2,MAX(testey))</f>
        <v>75.0</v>
      </c>
      <c r="AY90" t="s">
        <v>457</v>
      </c>
      <c r="AZ90">
        <v>-815.1</v>
      </c>
    </row>
    <row r="91" spans="6:52" x14ac:dyDescent="0.25">
      <c r="F91" s="364"/>
      <c r="Q91" s="365"/>
      <c r="T91" s="314">
        <f>Seções!K31</f>
        <v>-15.0</v>
      </c>
      <c r="U91" s="314">
        <f>Seções!L31</f>
        <v>75.0</v>
      </c>
      <c r="AD91" s="339" t="s">
        <v>857</v>
      </c>
      <c r="AE91" s="340">
        <f ca="1">+AP87-AE86*AE87*AE88</f>
        <v>0.0</v>
      </c>
      <c r="AF91" s="341" t="str">
        <f>$B$2&amp;"^4"</f>
        <v>^4</v>
      </c>
      <c r="AG91" s="342"/>
      <c r="AH91" s="343"/>
      <c r="AI91" s="341"/>
      <c r="AJ91" s="311"/>
      <c r="AK91" s="344" t="s">
        <v>858</v>
      </c>
      <c r="AL91" s="345">
        <f ca="1">ABS(AH87)</f>
        <v>28595.054076865697</v>
      </c>
      <c r="AM91" s="346" t="str">
        <f>CONCATENATE(AA82,"³")</f>
        <v>³</v>
      </c>
      <c r="AN91" s="311"/>
      <c r="AO91" s="311"/>
      <c r="AP91" s="311"/>
      <c r="AQ91" s="311"/>
      <c r="AR91" s="347"/>
      <c r="AS91" s="347"/>
      <c r="AT91" s="348"/>
      <c r="AU91" s="348"/>
      <c r="AV91" s="348"/>
      <c r="AY91" t="s">
        <v>156</v>
      </c>
      <c r="AZ91">
        <v>11201.79</v>
      </c>
    </row>
    <row r="92" spans="6:52" x14ac:dyDescent="0.25">
      <c r="F92" s="364">
        <f>N90</f>
        <v>3.6428571428571432</v>
      </c>
      <c r="G92" t="str">
        <f>O90</f>
        <v>h^3</v>
      </c>
      <c r="H92" s="373" t="s">
        <v>93</v>
      </c>
      <c r="I92" s="373">
        <f>J90+L90</f>
        <v>329.6785714285715</v>
      </c>
      <c r="J92" t="s">
        <v>891</v>
      </c>
      <c r="K92" t="s">
        <v>896</v>
      </c>
      <c r="L92">
        <f>+H90</f>
        <v>4735.714285714286</v>
      </c>
      <c r="M92" t="s">
        <v>60</v>
      </c>
      <c r="N92" t="s">
        <v>93</v>
      </c>
      <c r="O92" s="371">
        <f ca="1">F90</f>
        <v>89299.22889994425</v>
      </c>
      <c r="P92" t="s">
        <v>894</v>
      </c>
      <c r="Q92" s="365">
        <v>0</v>
      </c>
      <c r="T92" s="314">
        <f>Seções!K32</f>
        <v>0.0</v>
      </c>
      <c r="U92" s="314">
        <f>Seções!L32</f>
        <v>75.0</v>
      </c>
      <c r="AD92" s="313"/>
      <c r="AE92" s="313"/>
      <c r="AF92" s="313"/>
      <c r="AG92" s="313"/>
      <c r="AH92" s="313"/>
      <c r="AI92" s="313"/>
      <c r="AJ92" s="311"/>
      <c r="AK92" s="311"/>
      <c r="AL92" s="311"/>
      <c r="AM92" s="311"/>
      <c r="AN92" s="311"/>
      <c r="AO92" s="311"/>
      <c r="AP92" s="311"/>
      <c r="AQ92" s="311"/>
      <c r="AR92" s="347">
        <f ca="1">(AS92-$F$8)*TAN(RADIANS(-$F$5))+$F$7</f>
        <v>0.0</v>
      </c>
      <c r="AS92" s="347">
        <f ca="1">MIN(Y)</f>
        <v>0.0</v>
      </c>
      <c r="AT92" s="349"/>
      <c r="AU92" s="311"/>
      <c r="AV92" s="350"/>
      <c r="AY92" t="s">
        <v>71</v>
      </c>
      <c r="AZ92">
        <v>-21431</v>
      </c>
    </row>
    <row r="93" spans="6:52" x14ac:dyDescent="0.25">
      <c r="F93" s="364"/>
      <c r="Q93" s="365"/>
      <c r="T93" s="314">
        <f>Seções!K33</f>
        <v>15.0</v>
      </c>
      <c r="U93" s="314">
        <f>Seções!L33</f>
        <v>75.0</v>
      </c>
      <c r="AD93" s="739" t="s">
        <v>859</v>
      </c>
      <c r="AE93" s="739"/>
      <c r="AF93" s="739"/>
      <c r="AG93" s="739"/>
      <c r="AH93" s="739"/>
      <c r="AI93" s="739"/>
      <c r="AJ93" s="311"/>
      <c r="AK93" s="311"/>
      <c r="AL93" s="311"/>
      <c r="AM93" s="311"/>
      <c r="AN93" s="311"/>
      <c r="AO93" s="311"/>
      <c r="AP93" s="351"/>
      <c r="AQ93" s="311"/>
      <c r="AR93" s="347">
        <f ca="1">(AS93-$F$8)*TAN(RADIANS(-$F$5))+$F$7</f>
        <v>0.0</v>
      </c>
      <c r="AS93" s="347">
        <f ca="1">MAX(Y)</f>
        <v>60.0</v>
      </c>
      <c r="AT93" s="349"/>
      <c r="AU93" s="311"/>
      <c r="AV93" s="350"/>
      <c r="AY93" t="s">
        <v>897</v>
      </c>
      <c r="AZ93">
        <f>AZ91/AZ89-(AZ90/AZ89)^2/3</f>
        <v>-4162.844737050111</v>
      </c>
    </row>
    <row r="94" spans="6:52" x14ac:dyDescent="0.25">
      <c r="F94" s="364" t="s">
        <v>60</v>
      </c>
      <c r="G94" s="374">
        <f>AZ101</f>
        <v>2.2874167951148365</v>
      </c>
      <c r="H94" t="s">
        <v>898</v>
      </c>
      <c r="Q94" s="365"/>
      <c r="T94" s="314">
        <f>Seções!K34</f>
        <v>15.0</v>
      </c>
      <c r="U94" s="314">
        <f>Seções!L34</f>
        <v>55.0</v>
      </c>
      <c r="AD94" s="315" t="s">
        <v>831</v>
      </c>
      <c r="AE94" s="316">
        <f ca="1">AE85</f>
        <v>0.0</v>
      </c>
      <c r="AF94" s="317" t="s">
        <v>860</v>
      </c>
      <c r="AG94" s="318" t="s">
        <v>861</v>
      </c>
      <c r="AH94" s="330">
        <f t="array" aca="1" ref="AH94" ca="1">ABS(AE95/MAX(SQRT((testex-AE87)^2+(testey-AE88)^2)*SIN(ATAN2(testex-AE87,testey-AE88)-RADIANS(AE85))))</f>
        <v>28595.05407686569</v>
      </c>
      <c r="AI94" s="317" t="str">
        <f>$B$2&amp;"^3"</f>
        <v>^3</v>
      </c>
      <c r="AJ94" s="313"/>
      <c r="AK94" s="313"/>
      <c r="AL94" s="313"/>
      <c r="AM94" s="313"/>
      <c r="AN94" s="313"/>
      <c r="AO94" s="313"/>
      <c r="AP94" s="352"/>
      <c r="AQ94" s="353"/>
      <c r="AR94" s="316"/>
      <c r="AS94" s="316"/>
      <c r="AT94" s="313"/>
      <c r="AU94" s="313"/>
      <c r="AV94" s="354"/>
      <c r="AY94" t="s">
        <v>899</v>
      </c>
      <c r="AZ94">
        <f>2*(AZ90/AZ89)^3/27-(AZ90/AZ89)*(AZ91/AZ89)/3+AZ92/AZ89</f>
        <v>-100201.35661904063</v>
      </c>
    </row>
    <row r="95" spans="6:52" x14ac:dyDescent="0.25">
      <c r="F95" s="364" t="s">
        <v>900</v>
      </c>
      <c r="G95">
        <f>6.071428571*G94^3-815.1*G94^2+11201.79*G94-21431</f>
        <v>0.0</v>
      </c>
      <c r="Q95" s="365"/>
      <c r="T95" s="314">
        <f>Seções!K35</f>
        <v>6.0</v>
      </c>
      <c r="U95" s="314">
        <f>Seções!L35</f>
        <v>50.0</v>
      </c>
      <c r="AD95" s="318" t="s">
        <v>862</v>
      </c>
      <c r="AE95" s="330">
        <f ca="1">AE89*COS(RADIANS(AE94))^2+AE90*SIN(RADIANS(AE94))^2-AE91*SIN(2*RADIANS(AE94))</f>
        <v>1127208.0044877743</v>
      </c>
      <c r="AF95" s="317" t="str">
        <f>$B$2&amp;"^4"</f>
        <v>^4</v>
      </c>
      <c r="AG95" s="318" t="s">
        <v>863</v>
      </c>
      <c r="AH95" s="330">
        <f t="array" aca="1" ref="AH95" ca="1">ABS(AE95/MIN(SQRT((testex-AE87)^2+(testey-AE88)^2)*SIN(ATAN2(testex-AE87,testey-AE88)-RADIANS(AE85))))</f>
        <v>31680.663382915784</v>
      </c>
      <c r="AI95" s="317" t="str">
        <f>$B$2&amp;"^3"</f>
        <v>^3</v>
      </c>
      <c r="AJ95" s="313"/>
      <c r="AK95" s="313"/>
      <c r="AL95" s="313"/>
      <c r="AM95" s="313"/>
      <c r="AN95" s="313"/>
      <c r="AO95" s="313"/>
      <c r="AP95" s="355"/>
      <c r="AQ95" s="356"/>
      <c r="AR95" s="313"/>
      <c r="AS95" s="313"/>
      <c r="AT95" s="356"/>
      <c r="AU95" s="313"/>
      <c r="AV95" s="313"/>
      <c r="AY95" t="s">
        <v>901</v>
      </c>
      <c r="AZ95">
        <f>-(AZ90/AZ89)/3</f>
        <v>44.750588238452984</v>
      </c>
    </row>
    <row r="96" spans="6:52" x14ac:dyDescent="0.25">
      <c r="F96" s="364"/>
      <c r="Q96" s="365"/>
      <c r="T96" s="314">
        <f>Seções!K36</f>
        <v>6.0</v>
      </c>
      <c r="U96" s="314">
        <f>Seções!L36</f>
        <v>20.0</v>
      </c>
      <c r="AD96" s="318" t="s">
        <v>864</v>
      </c>
      <c r="AE96" s="330">
        <f ca="1">AE90*COS(RADIANS(AE94))^2+AE89*SIN(RADIANS(AE94))^2+AE91*SIN(2*RADIANS(AE94))</f>
        <v>143334.1666666667</v>
      </c>
      <c r="AF96" s="317" t="str">
        <f>$B$2&amp;"^4"</f>
        <v>^4</v>
      </c>
      <c r="AG96" s="318" t="s">
        <v>865</v>
      </c>
      <c r="AH96" s="330">
        <f t="array" aca="1" ref="AH96" ca="1">ABS(AE96/MIN(SQRT((testex-AE87)^2+(testey-AE88)^2)*COS(ATAN2(testex-AE87,testey-AE88)-RADIANS(AE85))))</f>
        <v>7166.708333333334</v>
      </c>
      <c r="AI96" s="317" t="str">
        <f>$B$2&amp;"^3"</f>
        <v>^3</v>
      </c>
      <c r="AJ96" s="313"/>
      <c r="AK96" s="313"/>
      <c r="AL96" s="313"/>
      <c r="AM96" s="313"/>
      <c r="AN96" s="313"/>
      <c r="AO96" s="313"/>
      <c r="AP96" s="355"/>
      <c r="AQ96" s="356"/>
      <c r="AR96" s="313"/>
      <c r="AS96" s="313"/>
      <c r="AT96" s="356"/>
      <c r="AU96" s="313"/>
      <c r="AV96" s="313"/>
      <c r="AY96" t="s">
        <v>902</v>
      </c>
      <c r="AZ96">
        <f>(AZ94/2)^2+(AZ93/3)^3</f>
        <v>-161740057.4542861</v>
      </c>
    </row>
    <row r="97" spans="6:54" x14ac:dyDescent="0.25">
      <c r="F97" s="361" t="s">
        <v>8</v>
      </c>
      <c r="G97" s="363">
        <f>((U91-U90)+G94)/F81</f>
        <v>27.859270993893546</v>
      </c>
      <c r="H97" t="s">
        <v>35</v>
      </c>
      <c r="Q97" s="365"/>
      <c r="T97" s="314">
        <f>Seções!K37</f>
        <v>20.0</v>
      </c>
      <c r="U97" s="314">
        <f>Seções!L37</f>
        <v>15.0</v>
      </c>
      <c r="AD97" s="318" t="s">
        <v>866</v>
      </c>
      <c r="AE97" s="330">
        <f ca="1">+(AE89-AE90)/2*SIN(RADIANS(AE94)*2)+AE91*COS(2*RADIANS(AE94))</f>
        <v>0.0</v>
      </c>
      <c r="AF97" s="317" t="str">
        <f>$B$2&amp;"^4"</f>
        <v>^4</v>
      </c>
      <c r="AG97" s="318" t="s">
        <v>867</v>
      </c>
      <c r="AH97" s="330">
        <f t="array" aca="1" ref="AH97" ca="1">ABS(AE96/MAX(SQRT((testex-AE87)^2+(testey-AE88)^2)*COS(ATAN2(testex-AE87,testey-AE88)-RADIANS(AE85))))</f>
        <v>7166.708333333333</v>
      </c>
      <c r="AI97" s="317" t="str">
        <f>$B$2&amp;"^3"</f>
        <v>^3</v>
      </c>
      <c r="AJ97" s="313"/>
      <c r="AK97" s="313"/>
      <c r="AL97" s="313"/>
      <c r="AM97" s="313"/>
      <c r="AN97" s="313"/>
      <c r="AO97" s="313"/>
      <c r="AP97" s="355"/>
      <c r="AQ97" s="356"/>
      <c r="AR97" s="357"/>
      <c r="AS97" s="313"/>
      <c r="AT97" s="313"/>
      <c r="AU97" s="313"/>
      <c r="AV97" s="313"/>
      <c r="AY97" t="s">
        <v>903</v>
      </c>
      <c r="AZ97">
        <f>SQRT(-(AZ93/3)^3)</f>
        <v>51689.631692713054</v>
      </c>
    </row>
    <row r="98" spans="6:54" x14ac:dyDescent="0.25">
      <c r="F98" s="367"/>
      <c r="G98" s="369" t="str">
        <f>IF(G97&lt;G56,I56,IF(AND(G97&gt;G56,G97&lt;G57,I57),I57,IF(G97&gt;G57,"Domínio 4")))</f>
        <v>Domínio 3</v>
      </c>
      <c r="H98" s="368"/>
      <c r="I98" s="368"/>
      <c r="J98" s="368"/>
      <c r="K98" s="368"/>
      <c r="L98" s="368"/>
      <c r="M98" s="368"/>
      <c r="N98" s="368"/>
      <c r="O98" s="368"/>
      <c r="P98" s="368"/>
      <c r="Q98" s="369"/>
      <c r="T98" s="314">
        <f>Seções!K38</f>
        <v>20.0</v>
      </c>
      <c r="U98" s="375">
        <f>Seções!L38</f>
        <v>0.0</v>
      </c>
      <c r="AD98" s="339" t="s">
        <v>868</v>
      </c>
      <c r="AE98" s="340">
        <f ca="1">+AE95+AE96</f>
        <v>1270542.171154441</v>
      </c>
      <c r="AF98" s="341" t="str">
        <f>$B$2&amp;"^4"</f>
        <v>^4</v>
      </c>
      <c r="AG98" s="342"/>
      <c r="AH98" s="358"/>
      <c r="AI98" s="341"/>
      <c r="AJ98" s="313"/>
      <c r="AK98" s="313">
        <f>IF($C$3="Retângular",Seções!AA88,Seções!AJ105)</f>
        <v>0.0</v>
      </c>
      <c r="AL98" s="313"/>
      <c r="AM98" s="313"/>
      <c r="AN98" s="313"/>
      <c r="AO98" s="313"/>
      <c r="AP98" s="313"/>
      <c r="AQ98" s="313"/>
      <c r="AR98" s="313"/>
      <c r="AS98" s="357"/>
      <c r="AT98" s="357"/>
      <c r="AU98" s="313"/>
      <c r="AV98" s="313"/>
      <c r="AY98" t="s">
        <v>904</v>
      </c>
      <c r="AZ98">
        <f>ACOS(-(AZ94/2)/AZ97)</f>
        <v>0.2485923204006092</v>
      </c>
    </row>
    <row r="99" spans="6:54" x14ac:dyDescent="0.25">
      <c r="T99" s="314">
        <f>Seções!K39</f>
        <v>0.0</v>
      </c>
      <c r="U99" s="314">
        <f>Seções!L39</f>
        <v>0.0</v>
      </c>
      <c r="AY99" t="s">
        <v>905</v>
      </c>
      <c r="AZ99">
        <f>2*SQRT(-AZ93/3)*COS(AZ98/3)+AZ95</f>
        <v>118.99636112054512</v>
      </c>
      <c r="BA99">
        <f>2*SQRT(-AZ93/3)*COS((AZ98+2*PI())/3)+AZ95</f>
        <v>2.2874167951148365</v>
      </c>
      <c r="BB99">
        <f>2*SQRT(-AZ93/3)*COS((AZ98+4*PI())/3)+AZ95</f>
        <v>12.967986799698988</v>
      </c>
    </row>
    <row r="100" spans="6:54" x14ac:dyDescent="0.25">
      <c r="F100" s="361" t="s">
        <v>906</v>
      </c>
      <c r="G100" s="362"/>
      <c r="H100" s="363"/>
      <c r="AY100" t="s">
        <v>907</v>
      </c>
      <c r="AZ100">
        <f>IF(AZ99&gt;0,AZ99,1E+99)</f>
        <v>118.99636112054512</v>
      </c>
      <c r="BA100">
        <f>IF(BA99&gt;0,BA99,1E+99)</f>
        <v>2.2874167951148365</v>
      </c>
      <c r="BB100">
        <f>IF(BB99&gt;0,BB99,1E+99)</f>
        <v>12.967986799698988</v>
      </c>
    </row>
    <row r="101" spans="6:54" x14ac:dyDescent="0.25">
      <c r="F101" s="364" t="s">
        <v>876</v>
      </c>
      <c r="G101">
        <f ca="1">G83</f>
        <v>1821.4285714285713</v>
      </c>
      <c r="H101" s="365"/>
      <c r="AY101" t="s">
        <v>908</v>
      </c>
      <c r="AZ101">
        <f>MIN(AZ100,BA100,BB100)</f>
        <v>2.2874167951148365</v>
      </c>
    </row>
    <row r="102" spans="6:54" x14ac:dyDescent="0.25">
      <c r="F102" s="364" t="s">
        <v>879</v>
      </c>
      <c r="G102">
        <f>G87*G94</f>
        <v>208.31831526938691</v>
      </c>
      <c r="H102" s="365"/>
    </row>
    <row r="103" spans="6:54" x14ac:dyDescent="0.25">
      <c r="F103" s="364" t="s">
        <v>890</v>
      </c>
      <c r="G103">
        <f>G88*G94^2</f>
        <v>28.59064878463339</v>
      </c>
      <c r="H103" s="365"/>
    </row>
    <row r="104" spans="6:54" x14ac:dyDescent="0.25">
      <c r="F104" s="364"/>
      <c r="H104" s="365"/>
    </row>
    <row r="105" spans="6:54" x14ac:dyDescent="0.25">
      <c r="F105" s="364" t="s">
        <v>909</v>
      </c>
      <c r="G105">
        <f ca="1">G101+G102-G103</f>
        <v>2001.1562379133247</v>
      </c>
      <c r="H105" s="365" t="s">
        <v>292</v>
      </c>
    </row>
    <row r="106" spans="6:54" x14ac:dyDescent="0.25">
      <c r="F106" s="367" t="s">
        <v>41</v>
      </c>
      <c r="G106" s="368">
        <f ca="1">G105/((G46/10)/Geometria!O76)</f>
        <v>44.02543723409315</v>
      </c>
      <c r="H106" s="369" t="s">
        <v>247</v>
      </c>
    </row>
    <row r="110" spans="6:54" x14ac:dyDescent="0.25">
      <c r="F110" t="s">
        <v>910</v>
      </c>
    </row>
    <row r="112" spans="6:54" x14ac:dyDescent="0.25">
      <c r="F112" t="s">
        <v>890</v>
      </c>
      <c r="G112">
        <f ca="1">0.85*((G47/10)/Geometria!$O$78)*AL53</f>
        <v>1092.857142857143</v>
      </c>
      <c r="H112" t="s">
        <v>292</v>
      </c>
    </row>
    <row r="113" spans="6:10" x14ac:dyDescent="0.25">
      <c r="F113" t="s">
        <v>911</v>
      </c>
      <c r="G113">
        <f ca="1">G112*(G54-AL4-AL27-AL52/2)</f>
        <v>34971.42857142857</v>
      </c>
      <c r="H113" t="s">
        <v>217</v>
      </c>
    </row>
    <row r="114" spans="6:10" x14ac:dyDescent="0.25">
      <c r="G114" t="str">
        <f ca="1">IF(G73+G64+G113&gt;G38,"Ok, linha neutra passa na seção 3","Recalcular")</f>
        <v>Recalcular</v>
      </c>
    </row>
    <row r="115" spans="6:10" x14ac:dyDescent="0.25">
      <c r="G115" s="370">
        <f>(G54-AL4-AL27-AL52/2)</f>
        <v>32.0</v>
      </c>
    </row>
    <row r="117" spans="6:10" x14ac:dyDescent="0.25">
      <c r="F117" s="361" t="s">
        <v>912</v>
      </c>
    </row>
    <row r="118" spans="6:10" x14ac:dyDescent="0.25">
      <c r="F118" t="s">
        <v>913</v>
      </c>
    </row>
    <row r="119" spans="6:10" x14ac:dyDescent="0.25">
      <c r="F119" t="s">
        <v>914</v>
      </c>
      <c r="G119">
        <f>G26</f>
        <v>12.0</v>
      </c>
      <c r="H119" t="s">
        <v>35</v>
      </c>
      <c r="I119" t="s">
        <v>915</v>
      </c>
    </row>
    <row r="120" spans="6:10" x14ac:dyDescent="0.25">
      <c r="F120" t="s">
        <v>916</v>
      </c>
      <c r="G120">
        <f>G54-AL4-AL27</f>
        <v>47.0</v>
      </c>
      <c r="H120" t="s">
        <v>35</v>
      </c>
      <c r="I120" t="s">
        <v>917</v>
      </c>
    </row>
    <row r="121" spans="6:10" x14ac:dyDescent="0.25">
      <c r="F121" t="s">
        <v>918</v>
      </c>
      <c r="G121">
        <f>0.85*(G47/10)/Geometria!$O$78*G119</f>
        <v>36.42857142857143</v>
      </c>
      <c r="H121" t="s">
        <v>919</v>
      </c>
      <c r="I121" t="s">
        <v>920</v>
      </c>
    </row>
    <row r="122" spans="6:10" x14ac:dyDescent="0.25">
      <c r="F122" t="s">
        <v>921</v>
      </c>
      <c r="G122">
        <f>IF(Geometria!$M$19="2 - i",(G121*G120-SQRT((G121*G120)^2-2*G121*(G38-G64-G73)))/G121,0)</f>
        <v>0.0</v>
      </c>
      <c r="H122" t="s">
        <v>35</v>
      </c>
      <c r="I122" t="s">
        <v>922</v>
      </c>
    </row>
    <row r="123" spans="6:10" x14ac:dyDescent="0.25">
      <c r="F123" t="s">
        <v>923</v>
      </c>
      <c r="G123">
        <f>IF(Geometria!$M$19="2 - i",(AL4+AL27+G122)/0.8,0)</f>
        <v>0.0</v>
      </c>
      <c r="H123" t="s">
        <v>35</v>
      </c>
      <c r="J123">
        <f>IF(Geometria!$M$19="2 - i",IF(G123&lt;G56,I56,IF(AND(G123&gt;G56,G123&lt;G57),I57,IF(G123&gt;G57,"Domínio 4"))),0)</f>
        <v>0.0</v>
      </c>
    </row>
    <row r="124" spans="6:10" x14ac:dyDescent="0.25">
      <c r="F124" t="s">
        <v>924</v>
      </c>
      <c r="G124">
        <f>IF(Geometria!$M$19="2 - i",G121*G122,0)</f>
        <v>0.0</v>
      </c>
      <c r="H124" t="s">
        <v>292</v>
      </c>
    </row>
    <row r="125" spans="6:10" x14ac:dyDescent="0.25">
      <c r="F125" t="s">
        <v>925</v>
      </c>
      <c r="G125">
        <f>IF(Geometria!$M$19="2 - i",G63+G72+G124,0)</f>
        <v>0.0</v>
      </c>
      <c r="H125" t="s">
        <v>292</v>
      </c>
    </row>
    <row r="126" spans="6:10" x14ac:dyDescent="0.25">
      <c r="F126" t="s">
        <v>926</v>
      </c>
      <c r="G126">
        <f>IF(Geometria!$M$19="2 - i",IF(ROUND(G64+G73+G124*(G120-G122/2),1)=ROUND(G38,1),"OK - equilíbrio de momento confere","Verificar"),0)</f>
        <v>0.0</v>
      </c>
    </row>
    <row r="128" spans="6:10" x14ac:dyDescent="0.25">
      <c r="F128" t="s">
        <v>927</v>
      </c>
    </row>
    <row r="129" spans="6:9" x14ac:dyDescent="0.25">
      <c r="F129" t="s">
        <v>928</v>
      </c>
      <c r="G129">
        <f>IF(Geometria!$M$19="2 - i",IF(G123&lt;=G56,10,3.5*(G54-G123)/G123),0)</f>
        <v>0.0</v>
      </c>
      <c r="H129" t="s">
        <v>929</v>
      </c>
    </row>
    <row r="130" spans="6:9" x14ac:dyDescent="0.25">
      <c r="F130" t="s">
        <v>930</v>
      </c>
      <c r="G130" s="376">
        <f ca="1">Geometria!L1202</f>
        <v>5.3651309425196345</v>
      </c>
      <c r="H130" t="s">
        <v>929</v>
      </c>
      <c r="I130" t="s">
        <v>931</v>
      </c>
    </row>
    <row r="131" spans="6:9" x14ac:dyDescent="0.25">
      <c r="F131" t="s">
        <v>932</v>
      </c>
      <c r="G131">
        <f>IF(Geometria!$M$19="2 - i",G129+G130,0)</f>
        <v>0.0</v>
      </c>
      <c r="H131" t="s">
        <v>929</v>
      </c>
    </row>
    <row r="132" spans="6:9" x14ac:dyDescent="0.25">
      <c r="F132" t="s">
        <v>933</v>
      </c>
      <c r="G132">
        <f>IF(Geometria!$M$19="2 - i",VLOOKUP(ROUND(G131/10,1),Geometria!S1129:W1140,5),0)</f>
        <v>0.0</v>
      </c>
      <c r="H132" t="s">
        <v>241</v>
      </c>
      <c r="I132" t="s">
        <v>934</v>
      </c>
    </row>
    <row r="133" spans="6:9" x14ac:dyDescent="0.25">
      <c r="F133" t="s">
        <v>935</v>
      </c>
      <c r="G133">
        <f>IF(Geometria!$M$19="2 - i",(G132*1.15/Geometria!O76)*Geometria!L252,0)</f>
        <v>0.0</v>
      </c>
      <c r="H133" t="s">
        <v>292</v>
      </c>
      <c r="I133" t="s">
        <v>936</v>
      </c>
    </row>
    <row r="135" spans="6:9" x14ac:dyDescent="0.25">
      <c r="F135" s="367" t="s">
        <v>937</v>
      </c>
      <c r="G135" s="368">
        <f>IF(Geometria!$M$19="2 - i",MAX(0,(G125-G133))/((G46/10)/Geometria!O76),0)</f>
        <v>0.0</v>
      </c>
      <c r="H135" s="369" t="s">
        <v>247</v>
      </c>
    </row>
    <row r="136" spans="6:9" x14ac:dyDescent="0.25">
      <c r="F136" t="s">
        <v>938</v>
      </c>
      <c r="G136">
        <f>IF(Geometria!$M$19="2 - i",IF(G125&gt;G133,"Necessita armadura passiva adicional","ELU OK - protensão já é suficiente, As adicional = 0"),0)</f>
        <v>0.0</v>
      </c>
    </row>
    <row r="137" spans="6:9" x14ac:dyDescent="0.25">
      <c r="F137" t="s">
        <v>939</v>
      </c>
      <c r="G137">
        <f>IF(Geometria!$M$19="2 - i",IF(G135=0,0,ROUNDUP((G135/(VLOOKUP(Geometria!R1153,Taxas!V22:W29,2))),0)),0)</f>
        <v>0.0</v>
      </c>
      <c r="H137" t="s">
        <v>818</v>
      </c>
    </row>
    <row r="139" spans="6:9" x14ac:dyDescent="0.25">
      <c r="F139" s="361" t="s">
        <v>940</v>
      </c>
    </row>
    <row r="140" spans="6:9" x14ac:dyDescent="0.25">
      <c r="F140" t="s">
        <v>941</v>
      </c>
      <c r="G140">
        <f>IF(Geometria!$M$19="2 - i",MAX(0,((0.85*((G47/10)/Geometria!$O$78)*G25*0.8*G67)-((VLOOKUP(ROUND((IF(G67&lt;=G56,10,3.5*(G54-G67)/G67)+G130)/10,1),Geometria!S1129:W1140,5)*1.15/Geometria!O76)*Geometria!L252)))/((G46/10)/Geometria!O76),0)</f>
        <v>0.0</v>
      </c>
      <c r="H140" t="s">
        <v>247</v>
      </c>
    </row>
    <row r="141" spans="6:9" x14ac:dyDescent="0.25">
      <c r="F141" t="s">
        <v>942</v>
      </c>
      <c r="G141">
        <f ca="1">MAX(0,(G105-((VLOOKUP(ROUND((IF(G97&lt;=G56,10,3.5*(G54-G97)/G97)+G130)/10,1),Geometria!S1129:W1140,5)*1.15/Geometria!O76)*Geometria!L252)))/((G46/10)/Geometria!O76)</f>
        <v>5.127837234093156</v>
      </c>
      <c r="H141" t="s">
        <v>247</v>
      </c>
    </row>
    <row r="142" spans="6:9" x14ac:dyDescent="0.25">
      <c r="F142" t="s">
        <v>943</v>
      </c>
      <c r="G142">
        <f>IF(Geometria!$M$19="2 - i",G135,0)</f>
        <v>0.0</v>
      </c>
      <c r="H142" t="s">
        <v>247</v>
      </c>
    </row>
    <row r="143" spans="6:9" x14ac:dyDescent="0.25">
      <c r="F143" t="s">
        <v>944</v>
      </c>
      <c r="G143" t="str">
        <f ca="1">IF(G65="Ok, linha neutra passa na seção 1","Seção 1",IF(G74="Ok, linha neutra passa na seção 2","Seção 2",IF(G114="Ok, linha neutra passa na seção 3","Seção 3","Verificar")))</f>
        <v>Verificar</v>
      </c>
    </row>
    <row r="144" spans="6:9" x14ac:dyDescent="0.25">
      <c r="F144" t="s">
        <v>945</v>
      </c>
      <c r="G144" s="370" t="str">
        <f ca="1">IF(G143="Seção 1",G67,IF(G143="Seção 2",G97,IF(G143="Seção 3",G123,"-")))</f>
        <v>-</v>
      </c>
      <c r="H144" t="s">
        <v>35</v>
      </c>
    </row>
    <row r="145" spans="6:8" x14ac:dyDescent="0.25">
      <c r="F145" t="s">
        <v>946</v>
      </c>
      <c r="G145" t="str">
        <f ca="1">IF(G143="Seção 1",J67,IF(G143="Seção 2",G98,IF(G143="Seção 3",J123,"-")))</f>
        <v>-</v>
      </c>
    </row>
    <row r="146" spans="6:8" x14ac:dyDescent="0.25">
      <c r="F146" s="367" t="s">
        <v>947</v>
      </c>
      <c r="G146" s="368" t="str">
        <f ca="1">IF(G143="Seção 1",G140,IF(G143="Seção 2",G141,IF(G143="Seção 3",G142,"-")))</f>
        <v>-</v>
      </c>
      <c r="H146" s="369" t="s">
        <v>247</v>
      </c>
    </row>
  </sheetData>
  <mergeCells count="17">
    <mergeCell ref="T2:AC2"/>
    <mergeCell ref="AD3:AI3"/>
    <mergeCell ref="AK3:AM3"/>
    <mergeCell ref="AD12:AI12"/>
    <mergeCell ref="F24:H24"/>
    <mergeCell ref="T25:AC25"/>
    <mergeCell ref="AD26:AI26"/>
    <mergeCell ref="AK26:AM26"/>
    <mergeCell ref="AD35:AI35"/>
    <mergeCell ref="F37:G37"/>
    <mergeCell ref="AD93:AI93"/>
    <mergeCell ref="T50:AC50"/>
    <mergeCell ref="AD51:AI51"/>
    <mergeCell ref="AK51:AM51"/>
    <mergeCell ref="AD60:AI60"/>
    <mergeCell ref="AD84:AI84"/>
    <mergeCell ref="AK84:AM84"/>
  </mergeCells>
  <dataValidations count="1">
    <dataValidation type="list" allowBlank="1" showInputMessage="1" showErrorMessage="1" sqref="G51:G52" xr:uid="{00000000-0002-0000-0100-000000000000}">
      <formula1>"CPI E CPII,CPIII e CPIV,CPV-ARI"</formula1>
      <formula2>0</formula2>
    </dataValidation>
  </dataValidations>
  <pageMargins left="0.51180555555555596" right="0.51180555555555596" top="0.78749999999999998" bottom="0.78749999999999998" header="0.511811023622047" footer="0.511811023622047"/>
  <pageSetup paperSize="9" scale="43" orientation="portrait" horizontalDpi="300" verticalDpi="300" r:id="rId1"/>
  <rowBreaks count="1" manualBreakCount="1">
    <brk id="108" max="16383" man="1"/>
  </rowBreaks>
  <colBreaks count="2" manualBreakCount="2">
    <brk id="17" max="1048575" man="1"/>
    <brk id="40"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79"/>
  <sheetViews>
    <sheetView showGridLines="0" view="pageBreakPreview" topLeftCell="G40" zoomScale="85" zoomScaleNormal="100" zoomScalePageLayoutView="85" workbookViewId="0">
      <selection activeCell="Z71" sqref="Z71"/>
    </sheetView>
  </sheetViews>
  <sheetFormatPr defaultColWidth="8.5703125" defaultRowHeight="15" x14ac:dyDescent="0.25"/>
  <cols>
    <col min="8" max="8" width="9.7109375" customWidth="1"/>
    <col min="10" max="10" width="9.7109375" customWidth="1"/>
    <col min="11" max="11" width="12.7109375" customWidth="1"/>
    <col min="12" max="13" width="15" customWidth="1"/>
    <col min="18" max="18" width="10.7109375" customWidth="1"/>
  </cols>
  <sheetData>
    <row r="2" spans="9:25" x14ac:dyDescent="0.25">
      <c r="K2" s="742" t="s">
        <v>1023</v>
      </c>
      <c r="L2" s="742"/>
      <c r="M2" s="742"/>
      <c r="N2" s="742"/>
      <c r="O2" s="742"/>
      <c r="P2" s="742"/>
      <c r="Q2" s="742"/>
      <c r="R2" s="742"/>
      <c r="S2" s="742"/>
      <c r="T2" s="742"/>
      <c r="U2" s="742"/>
      <c r="V2" s="742"/>
      <c r="W2" s="742"/>
      <c r="X2" s="742"/>
      <c r="Y2" s="742"/>
    </row>
    <row r="3" spans="9:25" x14ac:dyDescent="0.25">
      <c r="K3" s="4"/>
      <c r="L3" s="4"/>
      <c r="M3" s="4"/>
      <c r="N3" s="4"/>
      <c r="O3" s="40"/>
      <c r="P3" s="4"/>
      <c r="Q3" s="4"/>
      <c r="R3" s="4"/>
    </row>
    <row r="4" spans="9:25" x14ac:dyDescent="0.25">
      <c r="K4" s="80" t="s">
        <v>1024</v>
      </c>
      <c r="L4" s="83">
        <f ca="1">'Propriedades geométricas VIGA'!M6</f>
        <v>1800.0</v>
      </c>
      <c r="M4" s="38" t="s">
        <v>247</v>
      </c>
      <c r="N4" s="4"/>
      <c r="O4" s="40"/>
      <c r="P4" s="4"/>
      <c r="Q4" s="4"/>
      <c r="R4" s="4"/>
    </row>
    <row r="5" spans="9:25" x14ac:dyDescent="0.25">
      <c r="K5" s="80" t="s">
        <v>728</v>
      </c>
      <c r="L5" s="83">
        <f ca="1">'Propriedades geométricas VIGA'!M9</f>
        <v>540000.0</v>
      </c>
      <c r="M5" s="38" t="s">
        <v>247</v>
      </c>
      <c r="N5" s="4"/>
      <c r="O5" s="40"/>
      <c r="P5" s="4"/>
      <c r="Q5" s="4"/>
      <c r="R5" s="4"/>
    </row>
    <row r="6" spans="9:25" x14ac:dyDescent="0.25">
      <c r="K6" s="80" t="s">
        <v>1025</v>
      </c>
      <c r="L6" s="44">
        <f ca="1">'Propriedades geométricas VIGA'!M7</f>
        <v>30.0</v>
      </c>
      <c r="M6" s="38" t="s">
        <v>294</v>
      </c>
      <c r="N6" s="4"/>
      <c r="O6" s="40"/>
      <c r="P6" s="4"/>
      <c r="Q6" s="4"/>
      <c r="R6" s="4"/>
    </row>
    <row r="7" spans="9:25" x14ac:dyDescent="0.25">
      <c r="K7" s="80" t="s">
        <v>1026</v>
      </c>
      <c r="L7" s="44">
        <f ca="1">'Propriedades geométricas VIGA'!M8</f>
        <v>30.0</v>
      </c>
      <c r="M7" s="38" t="s">
        <v>35</v>
      </c>
      <c r="N7" s="4"/>
      <c r="O7" s="40"/>
      <c r="P7" s="4"/>
      <c r="Q7" s="4"/>
      <c r="R7" s="4"/>
    </row>
    <row r="8" spans="9:25" x14ac:dyDescent="0.25">
      <c r="K8" s="80"/>
      <c r="L8" s="38"/>
      <c r="M8" s="38"/>
      <c r="N8" s="4"/>
      <c r="O8" s="40"/>
      <c r="P8" s="4"/>
      <c r="Q8" s="4"/>
      <c r="R8" s="4"/>
    </row>
    <row r="9" spans="9:25" x14ac:dyDescent="0.25">
      <c r="K9" s="80" t="s">
        <v>1027</v>
      </c>
      <c r="L9" s="83">
        <f ca="1">L4-(Geometria!L252+Geometria!L266)+L11*(Geometria!L252+Geometria!L266)</f>
        <v>1864.9829187360915</v>
      </c>
      <c r="M9" s="38" t="s">
        <v>247</v>
      </c>
      <c r="N9" s="4"/>
      <c r="O9" s="40"/>
      <c r="P9" s="4"/>
      <c r="Q9" s="4"/>
      <c r="R9" s="4"/>
    </row>
    <row r="10" spans="9:25" x14ac:dyDescent="0.25">
      <c r="N10" s="4"/>
      <c r="O10" s="40"/>
      <c r="P10" s="4"/>
      <c r="Q10" s="4"/>
      <c r="R10" s="4"/>
    </row>
    <row r="11" spans="9:25" x14ac:dyDescent="0.25">
      <c r="K11" s="80" t="s">
        <v>1028</v>
      </c>
      <c r="L11" s="83">
        <f>L73</f>
        <v>6.802046315722467</v>
      </c>
      <c r="M11" s="38"/>
      <c r="N11" s="4"/>
      <c r="O11" s="40"/>
      <c r="P11" s="4"/>
      <c r="Q11" s="4"/>
      <c r="R11" s="4"/>
    </row>
    <row r="12" spans="9:25" x14ac:dyDescent="0.25">
      <c r="K12" s="80" t="s">
        <v>1029</v>
      </c>
      <c r="L12" s="83">
        <f ca="1">IF(Geometria!$M$19="2 - i",Geometria!$L$70,Geometria!$L$27)-L13</f>
        <v>30.653319509825565</v>
      </c>
      <c r="M12" s="38" t="s">
        <v>35</v>
      </c>
      <c r="N12" s="4" t="s">
        <v>1030</v>
      </c>
      <c r="O12" s="40"/>
      <c r="P12" s="4"/>
      <c r="Q12" s="4"/>
      <c r="R12" s="4"/>
    </row>
    <row r="13" spans="9:25" x14ac:dyDescent="0.25">
      <c r="J13" s="376"/>
      <c r="K13" s="80" t="s">
        <v>1031</v>
      </c>
      <c r="L13" s="83">
        <f ca="1">(L4*L6+(L11-1)*Geometria!L252*Geometria!R253+(L11-1)*Geometria!L266*(IF(Geometria!$M$19="2 - i",Geometria!$L$70,Geometria!$L$27)-Geometria!R267))/L9</f>
        <v>29.346680490174435</v>
      </c>
      <c r="M13" s="38" t="s">
        <v>35</v>
      </c>
      <c r="N13" s="4" t="s">
        <v>1032</v>
      </c>
      <c r="O13" s="40"/>
      <c r="P13" s="4"/>
      <c r="Q13" s="4"/>
      <c r="R13" s="4"/>
    </row>
    <row r="14" spans="9:25" x14ac:dyDescent="0.25">
      <c r="K14" s="80" t="s">
        <v>1033</v>
      </c>
      <c r="L14" s="83">
        <f ca="1">L17</f>
        <v>30.653319509825565</v>
      </c>
      <c r="M14" s="38"/>
      <c r="N14" s="4"/>
      <c r="O14" s="40"/>
      <c r="P14" s="4"/>
      <c r="Q14" s="4"/>
      <c r="R14" s="4"/>
    </row>
    <row r="15" spans="9:25" x14ac:dyDescent="0.25">
      <c r="K15" s="80" t="s">
        <v>1034</v>
      </c>
      <c r="L15" s="83">
        <f ca="1">L5+L4*(L6-L13)^2+(L11-1)*Geometria!L252*(L13-Geometria!R253)^2+(L11-1)*Geometria!L266*(L13-(IF(Geometria!$M$19="2 - i",Geometria!$L$70,Geometria!$L$27)-Geometria!R267))^2</f>
        <v>562049.5334566128</v>
      </c>
      <c r="M15" s="38" t="s">
        <v>1035</v>
      </c>
      <c r="N15" s="4" t="s">
        <v>1036</v>
      </c>
      <c r="O15" s="40"/>
      <c r="P15" s="4"/>
      <c r="Q15" s="4"/>
      <c r="R15" s="4"/>
    </row>
    <row r="16" spans="9:25" x14ac:dyDescent="0.25">
      <c r="I16" s="390"/>
      <c r="J16" s="373"/>
      <c r="K16" s="80"/>
      <c r="L16" s="60"/>
      <c r="M16" s="38"/>
      <c r="N16" s="4"/>
      <c r="O16" s="40"/>
      <c r="P16" s="4"/>
      <c r="Q16" s="4"/>
      <c r="R16" s="4"/>
    </row>
    <row r="17" spans="8:25" x14ac:dyDescent="0.25">
      <c r="K17" s="80" t="s">
        <v>1029</v>
      </c>
      <c r="L17" s="60">
        <f ca="1">IF(Geometria!$M$19="2 - i",Geometria!$L$70,Geometria!$L$27)-L18</f>
        <v>30.653319509825565</v>
      </c>
      <c r="M17" s="38"/>
      <c r="N17" s="4"/>
      <c r="O17" s="40"/>
      <c r="P17" s="4"/>
      <c r="Q17" s="4"/>
      <c r="R17" s="4"/>
    </row>
    <row r="18" spans="8:25" x14ac:dyDescent="0.25">
      <c r="H18" s="376"/>
      <c r="K18" s="80" t="s">
        <v>1031</v>
      </c>
      <c r="L18" s="60">
        <f ca="1">L13</f>
        <v>29.346680490174435</v>
      </c>
      <c r="M18" s="38"/>
      <c r="N18" s="4"/>
      <c r="O18" s="40"/>
      <c r="P18" s="4"/>
      <c r="Q18" s="4"/>
      <c r="R18" s="4"/>
    </row>
    <row r="19" spans="8:25" x14ac:dyDescent="0.25">
      <c r="H19" s="376"/>
      <c r="K19" s="652" t="s">
        <v>1037</v>
      </c>
      <c r="L19" s="652"/>
      <c r="M19" s="38"/>
      <c r="N19" s="4"/>
      <c r="O19" s="40"/>
      <c r="P19" s="4"/>
      <c r="Q19" s="4"/>
      <c r="R19" s="4"/>
    </row>
    <row r="20" spans="8:25" x14ac:dyDescent="0.25">
      <c r="H20" s="376"/>
      <c r="K20" s="80" t="s">
        <v>1038</v>
      </c>
      <c r="L20" s="83">
        <f ca="1">L15/L17</f>
        <v>18335.682478905896</v>
      </c>
      <c r="M20" s="38" t="s">
        <v>1039</v>
      </c>
      <c r="N20" s="4"/>
      <c r="O20" s="40"/>
      <c r="P20" s="4"/>
      <c r="Q20" s="4"/>
      <c r="R20" s="4"/>
    </row>
    <row r="21" spans="8:25" x14ac:dyDescent="0.25">
      <c r="H21" s="376"/>
      <c r="K21" s="80" t="s">
        <v>1040</v>
      </c>
      <c r="L21" s="83">
        <f ca="1">L15/L18</f>
        <v>19152.06504002361</v>
      </c>
      <c r="M21" s="38" t="s">
        <v>1039</v>
      </c>
      <c r="N21" s="4"/>
      <c r="O21" s="40"/>
      <c r="P21" s="4"/>
      <c r="Q21" s="4"/>
      <c r="R21" s="4"/>
    </row>
    <row r="22" spans="8:25" x14ac:dyDescent="0.25">
      <c r="H22" s="376"/>
      <c r="K22" s="4"/>
      <c r="L22" s="4"/>
      <c r="M22" s="4"/>
      <c r="N22" s="4"/>
      <c r="O22" s="40"/>
      <c r="P22" s="4"/>
      <c r="Q22" s="4"/>
      <c r="R22" s="4"/>
    </row>
    <row r="23" spans="8:25" x14ac:dyDescent="0.25">
      <c r="K23" s="742" t="s">
        <v>1041</v>
      </c>
      <c r="L23" s="742"/>
      <c r="M23" s="742"/>
      <c r="N23" s="742"/>
      <c r="O23" s="742"/>
      <c r="P23" s="742"/>
      <c r="Q23" s="742"/>
      <c r="R23" s="742"/>
      <c r="S23" s="742"/>
      <c r="T23" s="742"/>
      <c r="U23" s="742"/>
      <c r="V23" s="742"/>
      <c r="W23" s="742"/>
      <c r="X23" s="742"/>
      <c r="Y23" s="742"/>
    </row>
    <row r="24" spans="8:25" x14ac:dyDescent="0.25">
      <c r="K24" s="4"/>
      <c r="L24" s="4"/>
      <c r="M24" s="4"/>
      <c r="N24" s="4"/>
      <c r="O24" s="40"/>
      <c r="P24" s="4"/>
      <c r="Q24" s="4"/>
      <c r="R24" s="4"/>
    </row>
    <row r="25" spans="8:25" x14ac:dyDescent="0.25">
      <c r="K25" s="80" t="s">
        <v>1024</v>
      </c>
      <c r="L25" s="83">
        <f ca="1">'Propriedades geométricas LAJE'!M6</f>
        <v>3105.1953876719</v>
      </c>
      <c r="M25" s="38" t="s">
        <v>247</v>
      </c>
      <c r="N25" s="4"/>
      <c r="O25" s="40"/>
      <c r="P25" s="4"/>
      <c r="Q25" s="4"/>
      <c r="R25" s="4"/>
    </row>
    <row r="26" spans="8:25" x14ac:dyDescent="0.25">
      <c r="K26" s="80" t="s">
        <v>728</v>
      </c>
      <c r="L26" s="83">
        <f ca="1">IF(Geometria!$M$18="1 - Sim",'Propriedades geométricas LAJE'!M9,0)</f>
        <v>2598580.8739038864</v>
      </c>
      <c r="M26" s="38" t="s">
        <v>247</v>
      </c>
      <c r="N26" s="4"/>
      <c r="O26" s="40"/>
      <c r="P26" s="4"/>
      <c r="Q26" s="4"/>
      <c r="R26" s="4"/>
    </row>
    <row r="27" spans="8:25" x14ac:dyDescent="0.25">
      <c r="K27" s="80" t="s">
        <v>1025</v>
      </c>
      <c r="L27" s="44">
        <f ca="1">IF(Geometria!$M$18="1 - Sim",'Propriedades geométricas LAJE'!M7,0)</f>
        <v>51.362431016587806</v>
      </c>
      <c r="M27" s="38" t="s">
        <v>294</v>
      </c>
      <c r="N27" s="4"/>
      <c r="O27" s="40"/>
      <c r="P27" s="4"/>
      <c r="Q27" s="4"/>
      <c r="R27" s="4"/>
    </row>
    <row r="28" spans="8:25" x14ac:dyDescent="0.25">
      <c r="K28" s="80" t="s">
        <v>1026</v>
      </c>
      <c r="L28" s="44">
        <f ca="1">IF(Geometria!$M$18="1 - Sim",'Propriedades geométricas LAJE'!M8,0)</f>
        <v>38.637568983412194</v>
      </c>
      <c r="M28" s="38" t="s">
        <v>35</v>
      </c>
      <c r="N28" s="4"/>
      <c r="O28" s="40"/>
      <c r="P28" s="4"/>
      <c r="Q28" s="4"/>
      <c r="R28" s="4"/>
    </row>
    <row r="29" spans="8:25" x14ac:dyDescent="0.25">
      <c r="K29" s="80"/>
      <c r="L29" s="38"/>
      <c r="M29" s="38"/>
      <c r="N29" s="4"/>
      <c r="O29" s="40"/>
      <c r="P29" s="4"/>
      <c r="Q29" s="4"/>
      <c r="R29" s="4"/>
    </row>
    <row r="30" spans="8:25" x14ac:dyDescent="0.25">
      <c r="K30" s="80" t="s">
        <v>1042</v>
      </c>
      <c r="L30" s="83">
        <f ca="1">L25-(Geometria!L252+Geometria!L266)+L32*(Geometria!L252+Geometria!L266)</f>
        <v>3155.1505687474933</v>
      </c>
      <c r="M30" s="38" t="s">
        <v>247</v>
      </c>
      <c r="N30" s="4"/>
      <c r="O30" s="40"/>
      <c r="P30" s="4"/>
      <c r="Q30" s="4"/>
      <c r="R30" s="4"/>
    </row>
    <row r="31" spans="8:25" x14ac:dyDescent="0.25">
      <c r="N31" s="4"/>
      <c r="O31" s="40"/>
      <c r="P31" s="4"/>
      <c r="Q31" s="4"/>
      <c r="R31" s="4"/>
    </row>
    <row r="32" spans="8:25" x14ac:dyDescent="0.25">
      <c r="K32" s="80" t="s">
        <v>1028</v>
      </c>
      <c r="L32" s="83">
        <f>L78</f>
        <v>5.460284024606545</v>
      </c>
      <c r="M32" s="38"/>
      <c r="N32" s="4"/>
      <c r="O32" s="40"/>
      <c r="P32" s="4"/>
      <c r="Q32" s="4"/>
      <c r="R32" s="4"/>
    </row>
    <row r="33" spans="11:25" x14ac:dyDescent="0.25">
      <c r="K33" s="80" t="s">
        <v>1029</v>
      </c>
      <c r="L33" s="83">
        <f ca="1">IF(Geometria!$M$18="1 - Sim",IF(Geometria!$M$19="2 - i",Geometria!$L$70,Geometria!$L$27)+Geometria!L42+Geometria!L45-L34,0)</f>
        <v>39.272665062396264</v>
      </c>
      <c r="M33" s="38" t="s">
        <v>35</v>
      </c>
      <c r="N33" s="4" t="s">
        <v>1043</v>
      </c>
      <c r="O33" s="40"/>
      <c r="P33" s="4"/>
      <c r="Q33" s="4"/>
      <c r="R33" s="4"/>
    </row>
    <row r="34" spans="11:25" x14ac:dyDescent="0.25">
      <c r="K34" s="80" t="s">
        <v>1031</v>
      </c>
      <c r="L34" s="83">
        <f ca="1">IF(Geometria!$M$18="1 - Sim",(L25*L27+(L32-1)*Geometria!L252*Geometria!R253+(L32-1)*Geometria!L266*(IF(Geometria!$M$19="2 - i",Geometria!$L$70,Geometria!$L$27)-Geometria!R267))/L30,0)</f>
        <v>50.727334937603736</v>
      </c>
      <c r="M34" s="38" t="s">
        <v>35</v>
      </c>
      <c r="N34" s="4" t="s">
        <v>1044</v>
      </c>
      <c r="O34" s="40"/>
      <c r="P34" s="4"/>
      <c r="Q34" s="4"/>
      <c r="R34" s="4"/>
    </row>
    <row r="35" spans="11:25" x14ac:dyDescent="0.25">
      <c r="K35" s="80" t="s">
        <v>1033</v>
      </c>
      <c r="L35" s="83">
        <f ca="1">IF(Geometria!$M$18="1 - Sim",L38,0)</f>
        <v>39.272665062396264</v>
      </c>
      <c r="M35" s="38"/>
      <c r="N35" s="4"/>
      <c r="O35" s="40"/>
      <c r="P35" s="4"/>
      <c r="Q35" s="4"/>
      <c r="R35" s="4"/>
    </row>
    <row r="36" spans="11:25" x14ac:dyDescent="0.25">
      <c r="K36" s="80" t="s">
        <v>1034</v>
      </c>
      <c r="L36" s="83">
        <f ca="1">IF(Geometria!$M$18="1 - Sim",L26+L25*(L27-L34)^2+(L32-1)*Geometria!L252*(L34-Geometria!R253)^2+(L32-1)*Geometria!L266*(L34-(IF(Geometria!$M$19="2 - i",Geometria!$L$70,Geometria!$L$27)-Geometria!R267))^2,0)</f>
        <v>2677686.49542868</v>
      </c>
      <c r="M36" s="38" t="s">
        <v>1035</v>
      </c>
      <c r="N36" s="4" t="s">
        <v>1045</v>
      </c>
      <c r="O36" s="40"/>
      <c r="P36" s="4"/>
      <c r="Q36" s="4"/>
      <c r="R36" s="4"/>
    </row>
    <row r="37" spans="11:25" x14ac:dyDescent="0.25">
      <c r="K37" s="80"/>
      <c r="L37" s="60"/>
      <c r="M37" s="38"/>
      <c r="N37" s="4"/>
      <c r="O37" s="40"/>
      <c r="P37" s="4"/>
      <c r="Q37" s="4"/>
      <c r="R37" s="4"/>
    </row>
    <row r="38" spans="11:25" x14ac:dyDescent="0.25">
      <c r="K38" s="80" t="s">
        <v>1029</v>
      </c>
      <c r="L38" s="60">
        <f ca="1">IF(Geometria!$M$18="1 - Sim",IF(Geometria!$M$19="2 - i",Geometria!$L$70,Geometria!$L$27)+Geometria!L42+Geometria!L45-L39,0)</f>
        <v>39.272665062396264</v>
      </c>
      <c r="M38" s="38"/>
      <c r="N38" s="4"/>
      <c r="O38" s="40"/>
      <c r="P38" s="4"/>
      <c r="Q38" s="4"/>
      <c r="R38" s="4"/>
    </row>
    <row r="39" spans="11:25" x14ac:dyDescent="0.25">
      <c r="K39" s="80" t="s">
        <v>1031</v>
      </c>
      <c r="L39" s="60">
        <f ca="1">IF(Geometria!$M$18="1 - Sim",L34,0)</f>
        <v>50.727334937603736</v>
      </c>
      <c r="M39" s="38"/>
      <c r="N39" s="4"/>
      <c r="O39" s="40"/>
      <c r="P39" s="4"/>
      <c r="Q39" s="4"/>
      <c r="R39" s="4"/>
    </row>
    <row r="40" spans="11:25" x14ac:dyDescent="0.25">
      <c r="K40" s="652" t="s">
        <v>1037</v>
      </c>
      <c r="L40" s="652"/>
      <c r="M40" s="38"/>
      <c r="N40" s="4"/>
      <c r="O40" s="40"/>
      <c r="P40" s="4"/>
      <c r="Q40" s="4"/>
      <c r="R40" s="4"/>
    </row>
    <row r="41" spans="11:25" x14ac:dyDescent="0.25">
      <c r="K41" s="80" t="s">
        <v>1038</v>
      </c>
      <c r="L41" s="83">
        <f ca="1">IF(Geometria!$M$18="1 - Sim",L36/L38,0)</f>
        <v>68181.94006376654</v>
      </c>
      <c r="M41" s="38" t="s">
        <v>1039</v>
      </c>
      <c r="N41" s="4"/>
      <c r="O41" s="40"/>
      <c r="P41" s="4"/>
      <c r="Q41" s="4"/>
      <c r="R41" s="4"/>
    </row>
    <row r="42" spans="11:25" x14ac:dyDescent="0.25">
      <c r="K42" s="80" t="s">
        <v>1040</v>
      </c>
      <c r="L42" s="83">
        <f ca="1">IF(Geometria!$M$18="1 - Sim",L36/L39,0)</f>
        <v>52785.86976276836</v>
      </c>
      <c r="M42" s="38" t="s">
        <v>1039</v>
      </c>
      <c r="N42" s="4"/>
      <c r="O42" s="40"/>
      <c r="P42" s="4"/>
      <c r="Q42" s="4"/>
      <c r="R42" s="4"/>
    </row>
    <row r="43" spans="11:25" x14ac:dyDescent="0.25">
      <c r="K43" s="4"/>
      <c r="L43" s="4"/>
      <c r="M43" s="4"/>
      <c r="N43" s="4"/>
      <c r="O43" s="40"/>
      <c r="P43" s="4"/>
      <c r="Q43" s="4"/>
      <c r="R43" s="4"/>
    </row>
    <row r="44" spans="11:25" x14ac:dyDescent="0.25">
      <c r="K44" s="742" t="s">
        <v>1046</v>
      </c>
      <c r="L44" s="742"/>
      <c r="M44" s="742"/>
      <c r="N44" s="742"/>
      <c r="O44" s="742"/>
      <c r="P44" s="742"/>
      <c r="Q44" s="742"/>
      <c r="R44" s="742"/>
      <c r="S44" s="742"/>
      <c r="T44" s="742"/>
      <c r="U44" s="742"/>
      <c r="V44" s="742"/>
      <c r="W44" s="742"/>
      <c r="X44" s="742"/>
      <c r="Y44" s="742"/>
    </row>
    <row r="45" spans="11:25" x14ac:dyDescent="0.25">
      <c r="K45" s="4"/>
      <c r="L45" s="71" t="s">
        <v>1047</v>
      </c>
      <c r="M45" s="4"/>
      <c r="N45" s="4"/>
      <c r="Q45" s="4"/>
      <c r="R45" s="71" t="s">
        <v>1048</v>
      </c>
      <c r="S45" s="4"/>
    </row>
    <row r="46" spans="11:25" x14ac:dyDescent="0.25">
      <c r="K46" s="80" t="s">
        <v>1024</v>
      </c>
      <c r="L46" s="83">
        <f ca="1">L9</f>
        <v>1864.9829187360915</v>
      </c>
      <c r="M46" s="38" t="s">
        <v>247</v>
      </c>
      <c r="N46" s="4"/>
      <c r="Q46" s="80" t="s">
        <v>1024</v>
      </c>
      <c r="R46" s="83">
        <f ca="1">L30</f>
        <v>3155.1505687474933</v>
      </c>
      <c r="S46" s="38" t="s">
        <v>247</v>
      </c>
    </row>
    <row r="47" spans="11:25" x14ac:dyDescent="0.25">
      <c r="K47" s="80" t="s">
        <v>728</v>
      </c>
      <c r="L47" s="83">
        <f ca="1">L15</f>
        <v>562049.5334566128</v>
      </c>
      <c r="M47" s="38" t="s">
        <v>247</v>
      </c>
      <c r="Q47" s="80" t="s">
        <v>728</v>
      </c>
      <c r="R47" s="83">
        <f ca="1">IF(Geometria!$M$18="1 - Sim",L36,0)</f>
        <v>2677686.49542868</v>
      </c>
      <c r="S47" s="38" t="s">
        <v>247</v>
      </c>
    </row>
    <row r="48" spans="11:25" x14ac:dyDescent="0.25">
      <c r="K48" s="80" t="s">
        <v>1025</v>
      </c>
      <c r="L48" s="44">
        <f ca="1">L18</f>
        <v>29.346680490174435</v>
      </c>
      <c r="M48" s="38" t="s">
        <v>294</v>
      </c>
      <c r="Q48" s="80" t="s">
        <v>1025</v>
      </c>
      <c r="R48" s="44">
        <f ca="1">IF(Geometria!$M$18="1 - Sim",L39,0)</f>
        <v>50.727334937603736</v>
      </c>
      <c r="S48" s="38" t="s">
        <v>294</v>
      </c>
    </row>
    <row r="49" spans="11:21" x14ac:dyDescent="0.25">
      <c r="K49" s="80" t="s">
        <v>1026</v>
      </c>
      <c r="L49" s="44">
        <f ca="1">L17</f>
        <v>30.653319509825565</v>
      </c>
      <c r="M49" s="38" t="s">
        <v>35</v>
      </c>
      <c r="Q49" s="80" t="s">
        <v>1026</v>
      </c>
      <c r="R49" s="44">
        <f ca="1">IF(Geometria!$M$18="1 - Sim",L38,0)</f>
        <v>39.272665062396264</v>
      </c>
      <c r="S49" s="38" t="s">
        <v>35</v>
      </c>
    </row>
    <row r="50" spans="11:21" x14ac:dyDescent="0.25">
      <c r="K50" s="80"/>
      <c r="L50" s="38"/>
      <c r="M50" s="38"/>
      <c r="Q50" s="80"/>
      <c r="R50" s="38"/>
      <c r="S50" s="38"/>
    </row>
    <row r="51" spans="11:21" x14ac:dyDescent="0.25">
      <c r="K51" s="80" t="s">
        <v>1027</v>
      </c>
      <c r="L51" s="83">
        <f ca="1">L46-(IFERROR(Taxas!K51,0)+IFERROR(Taxas!K58,0))+L53*(IFERROR(Taxas!K51,0)+IFERROR(Taxas!K58,0))</f>
        <v>2050.1318470842866</v>
      </c>
      <c r="M51" s="38" t="s">
        <v>247</v>
      </c>
      <c r="Q51" s="80" t="s">
        <v>1027</v>
      </c>
      <c r="R51" s="83">
        <f ca="1">R46-(IFERROR(Taxas!K51,0)+IFERROR(Taxas!K58,0))+R53*(IFERROR(Taxas!K51,0)+IFERROR(Taxas!K58,0))</f>
        <v>3297.83111046712</v>
      </c>
      <c r="S51" s="38" t="s">
        <v>247</v>
      </c>
    </row>
    <row r="53" spans="11:21" x14ac:dyDescent="0.25">
      <c r="K53" s="80" t="s">
        <v>1028</v>
      </c>
      <c r="L53" s="83">
        <f>L74</f>
        <v>7.14214863150859</v>
      </c>
      <c r="M53" s="38"/>
      <c r="Q53" s="80" t="s">
        <v>1028</v>
      </c>
      <c r="R53" s="83">
        <f>L79</f>
        <v>5.733298225836871</v>
      </c>
      <c r="S53" s="38"/>
    </row>
    <row r="54" spans="11:21" x14ac:dyDescent="0.25">
      <c r="K54" s="80" t="s">
        <v>1029</v>
      </c>
      <c r="L54" s="83">
        <f ca="1">IF(Geometria!$M$19="2 - i",Geometria!$L$70,Geometria!$L$27)-L55</f>
        <v>32.01400260466545</v>
      </c>
      <c r="M54" s="38" t="s">
        <v>35</v>
      </c>
      <c r="N54" s="4" t="s">
        <v>1049</v>
      </c>
      <c r="Q54" s="80" t="s">
        <v>1029</v>
      </c>
      <c r="R54" s="83">
        <f ca="1">IF(Geometria!$M$18="1 - Sim",IF(Geometria!$M$19="2 - i",Geometria!$L$70,Geometria!$L$27)+Geometria!L42+Geometria!L45-R55,0)</f>
        <v>40.849557668154176</v>
      </c>
      <c r="S54" s="38" t="s">
        <v>35</v>
      </c>
      <c r="U54" s="4" t="s">
        <v>1050</v>
      </c>
    </row>
    <row r="55" spans="11:21" x14ac:dyDescent="0.25">
      <c r="K55" s="80" t="s">
        <v>1031</v>
      </c>
      <c r="L55" s="83">
        <f ca="1">(L46*L48+(L53-1)*IFERROR(Taxas!K58,0)*(Geometria!R76+IFERROR(Taxas!I57,0)/20)+(L53-1)*IFERROR(Taxas!K51,0)*(IF(Geometria!$M$19="2 - i",Geometria!$L$70,Geometria!$L$27)-(Geometria!R76+IFERROR(Taxas!I50,0)/20)))/L51</f>
        <v>27.98599739533455</v>
      </c>
      <c r="M55" s="38" t="s">
        <v>35</v>
      </c>
      <c r="N55" s="4" t="s">
        <v>1051</v>
      </c>
      <c r="Q55" s="80" t="s">
        <v>1031</v>
      </c>
      <c r="R55" s="83">
        <f ca="1">IF(Geometria!$M$18="1 - Sim",(R46*R48+(R53-1)*IFERROR(Taxas!K58,0)*(Geometria!R76+IFERROR(Taxas!I57,0)/20)+(R53-1)*IFERROR(Taxas!K51,0)*(IF(Geometria!$M$19="2 - i",Geometria!$L$70,Geometria!$L$27)-(Geometria!R76+IFERROR(Taxas!I50,0)/20)))/R51,0)</f>
        <v>49.150442331845824</v>
      </c>
      <c r="S55" s="38" t="s">
        <v>35</v>
      </c>
      <c r="U55" s="4" t="s">
        <v>1052</v>
      </c>
    </row>
    <row r="56" spans="11:21" x14ac:dyDescent="0.25">
      <c r="K56" s="80" t="s">
        <v>1033</v>
      </c>
      <c r="L56" s="83">
        <f ca="1">L59</f>
        <v>32.01400260466545</v>
      </c>
      <c r="M56" s="38"/>
      <c r="Q56" s="80" t="s">
        <v>1033</v>
      </c>
      <c r="R56" s="83">
        <f ca="1">IF(Geometria!$M$18="1 - Sim",R59,0)</f>
        <v>40.849557668154176</v>
      </c>
      <c r="S56" s="38"/>
    </row>
    <row r="57" spans="11:21" x14ac:dyDescent="0.25">
      <c r="K57" s="80" t="s">
        <v>1034</v>
      </c>
      <c r="L57" s="83">
        <f ca="1">L47+L46*(L48-L55)^2+(L53-1)*IFERROR(Taxas!K58,0)*(L55-(Geometria!R76+IFERROR(Taxas!I57,0)/20))^2+(L53-1)*IFERROR(Taxas!K51,0)*(L55-(IF(Geometria!$M$19="2 - i",Geometria!$L$70,Geometria!$L$27)-(Geometria!R76+IFERROR(Taxas!I50,0)/20)))^2</f>
        <v>681623.4296367145</v>
      </c>
      <c r="M57" s="38" t="s">
        <v>1035</v>
      </c>
      <c r="N57" s="4" t="s">
        <v>1053</v>
      </c>
      <c r="Q57" s="80" t="s">
        <v>1034</v>
      </c>
      <c r="R57" s="83">
        <f ca="1">IF(Geometria!$M$18="1 - Sim",R47+R46*(R48-R55)^2+(R53-1)*IFERROR(Taxas!K58,0)*(R55-(Geometria!R76+IFERROR(Taxas!I57,0)/20))^2+(R53-1)*IFERROR(Taxas!K51,0)*(R55-(IF(Geometria!$M$19="2 - i",Geometria!$L$70,Geometria!$L$27)-(Geometria!R76+IFERROR(Taxas!I50,0)/20)))^2,0)</f>
        <v>2921706.789520969</v>
      </c>
      <c r="S57" s="38" t="s">
        <v>1035</v>
      </c>
      <c r="U57" s="4" t="s">
        <v>1054</v>
      </c>
    </row>
    <row r="58" spans="11:21" x14ac:dyDescent="0.25">
      <c r="K58" s="80"/>
      <c r="L58" s="60"/>
      <c r="M58" s="38"/>
      <c r="Q58" s="80"/>
      <c r="R58" s="60"/>
      <c r="S58" s="38"/>
    </row>
    <row r="59" spans="11:21" x14ac:dyDescent="0.25">
      <c r="K59" s="80" t="s">
        <v>1029</v>
      </c>
      <c r="L59" s="60">
        <f ca="1">IF(Geometria!$M$19="2 - i",Geometria!$L$70,Geometria!$L$27)-L60</f>
        <v>32.01400260466545</v>
      </c>
      <c r="M59" s="38"/>
      <c r="N59" s="4" t="s">
        <v>1055</v>
      </c>
      <c r="Q59" s="80" t="s">
        <v>1029</v>
      </c>
      <c r="R59" s="60">
        <f ca="1">IF(Geometria!$M$18="1 - Sim",IF(Geometria!$M$19="2 - i",Geometria!$L$70,Geometria!$L$27)+Geometria!L42+Geometria!L45-R60,0)</f>
        <v>40.849557668154176</v>
      </c>
      <c r="S59" s="38"/>
    </row>
    <row r="60" spans="11:21" x14ac:dyDescent="0.25">
      <c r="K60" s="80" t="s">
        <v>1031</v>
      </c>
      <c r="L60" s="60">
        <f ca="1">L55</f>
        <v>27.98599739533455</v>
      </c>
      <c r="M60" s="38"/>
      <c r="Q60" s="80" t="s">
        <v>1031</v>
      </c>
      <c r="R60" s="60">
        <f ca="1">IF(Geometria!$M$18="1 - Sim",R55,0)</f>
        <v>49.150442331845824</v>
      </c>
      <c r="S60" s="38"/>
    </row>
    <row r="61" spans="11:21" x14ac:dyDescent="0.25">
      <c r="K61" s="652" t="s">
        <v>1037</v>
      </c>
      <c r="L61" s="652"/>
      <c r="M61" s="38"/>
      <c r="Q61" s="652" t="s">
        <v>1037</v>
      </c>
      <c r="R61" s="652"/>
      <c r="S61" s="38"/>
    </row>
    <row r="62" spans="11:21" x14ac:dyDescent="0.25">
      <c r="K62" s="80" t="s">
        <v>1038</v>
      </c>
      <c r="L62" s="83">
        <f ca="1">L57/L59</f>
        <v>21291.41544885676</v>
      </c>
      <c r="M62" s="38" t="s">
        <v>1039</v>
      </c>
      <c r="Q62" s="80" t="s">
        <v>1038</v>
      </c>
      <c r="R62" s="83">
        <f ca="1">IF(Geometria!$M$18="1 - Sim",R57/R59,0)</f>
        <v>71523.58449645335</v>
      </c>
      <c r="S62" s="38" t="s">
        <v>1039</v>
      </c>
    </row>
    <row r="63" spans="11:21" x14ac:dyDescent="0.25">
      <c r="K63" s="80" t="s">
        <v>1040</v>
      </c>
      <c r="L63" s="83">
        <f ca="1">L57/L60</f>
        <v>24355.87411833125</v>
      </c>
      <c r="M63" s="38" t="s">
        <v>1039</v>
      </c>
      <c r="Q63" s="80" t="s">
        <v>1040</v>
      </c>
      <c r="R63" s="83">
        <f ca="1">IF(Geometria!$M$18="1 - Sim",R57/R60,0)</f>
        <v>59444.160640400194</v>
      </c>
      <c r="S63" s="38" t="s">
        <v>1039</v>
      </c>
    </row>
    <row r="66" spans="11:14" x14ac:dyDescent="0.25">
      <c r="K66" s="635" t="s">
        <v>2190</v>
      </c>
    </row>
    <row r="68" spans="11:14" x14ac:dyDescent="0.25">
      <c r="K68" s="80" t="s">
        <v>2191</v>
      </c>
      <c r="L68" s="83">
        <v>200000</v>
      </c>
      <c r="M68" s="38" t="s">
        <v>160</v>
      </c>
      <c r="N68" s="4" t="s">
        <v>2192</v>
      </c>
    </row>
    <row r="69" spans="11:14" x14ac:dyDescent="0.25">
      <c r="K69" s="80" t="s">
        <v>710</v>
      </c>
      <c r="L69" s="83">
        <v>210000</v>
      </c>
      <c r="M69" s="38" t="s">
        <v>160</v>
      </c>
      <c r="N69" s="4" t="s">
        <v>2193</v>
      </c>
    </row>
    <row r="70" spans="11:14" x14ac:dyDescent="0.25">
      <c r="K70" s="80" t="s">
        <v>2194</v>
      </c>
      <c r="L70" s="83">
        <f>Geometria!$M$332</f>
        <v>1.0</v>
      </c>
      <c r="M70" s="38" t="s">
        <v>644</v>
      </c>
      <c r="N70" s="4" t="s">
        <v>2195</v>
      </c>
    </row>
    <row r="71" spans="11:14" x14ac:dyDescent="0.25">
      <c r="K71" s="80" t="s">
        <v>2196</v>
      </c>
      <c r="L71" s="83">
        <f>EXP(Fluência!$B$17*(1-(28/L70)^(1/2)))</f>
        <v>0.42388184737889384</v>
      </c>
      <c r="M71" s="38" t="s">
        <v>93</v>
      </c>
      <c r="N71" s="4" t="s">
        <v>2197</v>
      </c>
    </row>
    <row r="72" spans="11:14" x14ac:dyDescent="0.25">
      <c r="K72" s="80" t="s">
        <v>2198</v>
      </c>
      <c r="L72" s="83">
        <f>MIN(1,0.8+0.2*MAX(Geometria!$L$84,MIN(Geometria!$L$82,L71*Geometria!$L$82))/80)*IF(Geometria!$L$82&lt;=50,(MAX(Geometria!$L$84,MIN(Geometria!$L$82,L71*Geometria!$L$82))/Geometria!$L$82)^0.5,(MAX(Geometria!$L$84,MIN(Geometria!$L$82,L71*Geometria!$L$82))/Geometria!$L$82)^0.3)*Geometria!$L$1172*1000</f>
        <v>29402.916522005096</v>
      </c>
      <c r="M72" s="38" t="s">
        <v>160</v>
      </c>
      <c r="N72" s="4" t="s">
        <v>2199</v>
      </c>
    </row>
    <row r="73" spans="11:14" x14ac:dyDescent="0.25">
      <c r="K73" s="80" t="s">
        <v>2200</v>
      </c>
      <c r="L73" s="83">
        <f>L68/L72</f>
        <v>6.802046315722467</v>
      </c>
      <c r="M73" s="38" t="s">
        <v>93</v>
      </c>
      <c r="N73" s="4" t="s">
        <v>2201</v>
      </c>
    </row>
    <row r="74" spans="11:14" x14ac:dyDescent="0.25">
      <c r="K74" s="80" t="s">
        <v>2202</v>
      </c>
      <c r="L74" s="83">
        <f>L69/L72</f>
        <v>7.14214863150859</v>
      </c>
      <c r="M74" s="38" t="s">
        <v>93</v>
      </c>
      <c r="N74" s="4" t="s">
        <v>2203</v>
      </c>
    </row>
    <row r="75" spans="11:14" x14ac:dyDescent="0.25">
      <c r="K75" s="80" t="s">
        <v>2204</v>
      </c>
      <c r="L75" s="83">
        <f>Geometria!$M$335</f>
        <v>30.0</v>
      </c>
      <c r="M75" s="38" t="s">
        <v>644</v>
      </c>
      <c r="N75" s="4" t="s">
        <v>2205</v>
      </c>
    </row>
    <row r="76" spans="11:14" x14ac:dyDescent="0.25">
      <c r="K76" s="80" t="s">
        <v>2206</v>
      </c>
      <c r="L76" s="83">
        <f>EXP(Fluência!$B$17*(1-(28/L75)^(1/2)))</f>
        <v>1.0068046907979593</v>
      </c>
      <c r="M76" s="38" t="s">
        <v>93</v>
      </c>
      <c r="N76" s="4" t="s">
        <v>2197</v>
      </c>
    </row>
    <row r="77" spans="11:14" x14ac:dyDescent="0.25">
      <c r="K77" s="80" t="s">
        <v>2207</v>
      </c>
      <c r="L77" s="83">
        <f>MIN(1,0.8+0.2*MAX(Geometria!$L$84,MIN(Geometria!$L$82,L76*Geometria!$L$82))/80)*IF(Geometria!$L$82&lt;=50,(MAX(Geometria!$L$84,MIN(Geometria!$L$82,L76*Geometria!$L$82))/Geometria!$L$82)^0.5,(MAX(Geometria!$L$84,MIN(Geometria!$L$82,L76*Geometria!$L$82))/Geometria!$L$82)^0.3)*Geometria!$L$1172*1000</f>
        <v>36628.13126546316</v>
      </c>
      <c r="M77" s="38" t="s">
        <v>160</v>
      </c>
      <c r="N77" s="4" t="s">
        <v>2199</v>
      </c>
    </row>
    <row r="78" spans="11:14" x14ac:dyDescent="0.25">
      <c r="K78" s="80" t="s">
        <v>2208</v>
      </c>
      <c r="L78" s="83">
        <f>L68/L77</f>
        <v>5.460284024606545</v>
      </c>
      <c r="M78" s="38" t="s">
        <v>93</v>
      </c>
      <c r="N78" s="4" t="s">
        <v>2209</v>
      </c>
    </row>
    <row r="79" spans="11:14" x14ac:dyDescent="0.25">
      <c r="K79" s="80" t="s">
        <v>2210</v>
      </c>
      <c r="L79" s="83">
        <f>L69/L77</f>
        <v>5.733298225836871</v>
      </c>
      <c r="M79" s="38" t="s">
        <v>93</v>
      </c>
      <c r="N79" s="4" t="s">
        <v>2211</v>
      </c>
    </row>
  </sheetData>
  <mergeCells count="7">
    <mergeCell ref="K61:L61"/>
    <mergeCell ref="Q61:R61"/>
    <mergeCell ref="K2:Y2"/>
    <mergeCell ref="K19:L19"/>
    <mergeCell ref="K23:Y23"/>
    <mergeCell ref="K40:L40"/>
    <mergeCell ref="K44:Y44"/>
  </mergeCells>
  <pageMargins left="0.51180555555555596" right="0.51180555555555596" top="0.78749999999999998" bottom="0.78749999999999998" header="0.511811023622047" footer="0.511811023622047"/>
  <pageSetup paperSize="9" scale="5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A195"/>
  <sheetViews>
    <sheetView showGridLines="0" view="pageBreakPreview" zoomScale="70" zoomScaleNormal="85" zoomScaleSheetLayoutView="70" zoomScalePageLayoutView="25" workbookViewId="0">
      <selection activeCell="FD151" sqref="FD151"/>
    </sheetView>
  </sheetViews>
  <sheetFormatPr defaultColWidth="8.5703125" defaultRowHeight="15" x14ac:dyDescent="0.25"/>
  <cols>
    <col min="13" max="13" width="12.7109375" customWidth="1"/>
    <col min="17" max="17" width="11" customWidth="1"/>
    <col min="18" max="18" width="10.42578125" customWidth="1"/>
  </cols>
  <sheetData>
    <row r="2" spans="12:19" x14ac:dyDescent="0.25">
      <c r="L2" s="653" t="s">
        <v>276</v>
      </c>
      <c r="M2" s="653"/>
      <c r="N2" s="653"/>
      <c r="O2" s="653"/>
      <c r="P2" s="653"/>
      <c r="Q2" s="653"/>
      <c r="R2" s="653"/>
      <c r="S2" s="653"/>
    </row>
    <row r="3" spans="12:19" x14ac:dyDescent="0.25">
      <c r="L3" s="80" t="s">
        <v>277</v>
      </c>
      <c r="M3" s="31">
        <f>Geometria!L280</f>
        <v>100.0</v>
      </c>
      <c r="N3" s="38" t="s">
        <v>32</v>
      </c>
    </row>
    <row r="4" spans="12:19" x14ac:dyDescent="0.25">
      <c r="L4" s="80" t="s">
        <v>278</v>
      </c>
      <c r="M4" s="31">
        <v>0.6</v>
      </c>
      <c r="N4" s="38" t="s">
        <v>35</v>
      </c>
    </row>
    <row r="6" spans="12:19" x14ac:dyDescent="0.25">
      <c r="L6" s="80" t="s">
        <v>279</v>
      </c>
      <c r="M6" s="23">
        <f>(2*10^4*M4/100)/M3</f>
        <v>1.2</v>
      </c>
      <c r="N6" s="38" t="s">
        <v>241</v>
      </c>
    </row>
    <row r="10" spans="12:19" x14ac:dyDescent="0.25">
      <c r="L10" s="663" t="s">
        <v>280</v>
      </c>
      <c r="M10" s="663"/>
      <c r="N10" s="4"/>
      <c r="O10" s="4"/>
      <c r="P10" s="4"/>
      <c r="Q10" s="663" t="s">
        <v>281</v>
      </c>
      <c r="R10" s="663"/>
    </row>
    <row r="12" spans="12:19" x14ac:dyDescent="0.25">
      <c r="L12" s="80" t="s">
        <v>282</v>
      </c>
      <c r="M12" s="31">
        <f>Geometria!N236-M6</f>
        <v>145.10000000000002</v>
      </c>
      <c r="N12" s="38" t="s">
        <v>241</v>
      </c>
      <c r="O12" s="4"/>
      <c r="P12" s="4"/>
      <c r="Q12" s="80" t="s">
        <v>283</v>
      </c>
    </row>
    <row r="13" spans="12:19" x14ac:dyDescent="0.25">
      <c r="L13" s="80"/>
      <c r="M13" s="27"/>
      <c r="N13" s="4"/>
      <c r="O13" s="4"/>
      <c r="P13" s="4"/>
      <c r="Q13" s="80" t="s">
        <v>108</v>
      </c>
      <c r="R13" s="56">
        <f ca="1">Geometria!Q290</f>
        <v>1800.0</v>
      </c>
    </row>
    <row r="14" spans="12:19" x14ac:dyDescent="0.25">
      <c r="L14" s="80" t="s">
        <v>284</v>
      </c>
      <c r="M14" s="83">
        <f>M12/190</f>
        <v>0.7636842105263159</v>
      </c>
      <c r="N14" s="146">
        <f>M14*100</f>
        <v>76.36842105263159</v>
      </c>
      <c r="O14" s="4"/>
      <c r="P14" s="4"/>
      <c r="Q14" s="80" t="s">
        <v>285</v>
      </c>
      <c r="R14" s="97">
        <f>Geometria!Q291</f>
        <v>201.62277660168377</v>
      </c>
      <c r="S14" s="38" t="s">
        <v>35</v>
      </c>
    </row>
    <row r="15" spans="12:19" x14ac:dyDescent="0.25">
      <c r="L15" s="80" t="s">
        <v>286</v>
      </c>
      <c r="M15" s="31">
        <v>1.772</v>
      </c>
    </row>
    <row r="16" spans="12:19" x14ac:dyDescent="0.25">
      <c r="L16" s="80" t="s">
        <v>287</v>
      </c>
      <c r="M16" s="83">
        <f>M15/100*M12</f>
        <v>2.5711720000000002</v>
      </c>
      <c r="N16" s="38" t="s">
        <v>241</v>
      </c>
      <c r="O16" s="4"/>
      <c r="P16" s="4"/>
      <c r="Q16" s="80" t="s">
        <v>288</v>
      </c>
    </row>
    <row r="17" spans="12:19" x14ac:dyDescent="0.25">
      <c r="L17" s="4"/>
      <c r="M17" s="4"/>
      <c r="N17" s="4"/>
      <c r="O17" s="4"/>
      <c r="P17" s="4"/>
      <c r="Q17" s="80" t="s">
        <v>108</v>
      </c>
      <c r="R17" s="56">
        <f ca="1">Geometria!Q294</f>
        <v>3105.1953876719</v>
      </c>
    </row>
    <row r="18" spans="12:19" x14ac:dyDescent="0.25">
      <c r="L18" s="4"/>
      <c r="M18" s="4"/>
      <c r="N18" s="4"/>
      <c r="O18" s="4"/>
      <c r="P18" s="4"/>
      <c r="Q18" s="80" t="s">
        <v>285</v>
      </c>
      <c r="R18" s="97">
        <f>Geometria!Q295</f>
        <v>187.0</v>
      </c>
      <c r="S18" s="38" t="s">
        <v>35</v>
      </c>
    </row>
    <row r="19" spans="12:19" x14ac:dyDescent="0.25">
      <c r="L19" s="29" t="s">
        <v>289</v>
      </c>
    </row>
    <row r="21" spans="12:19" x14ac:dyDescent="0.25">
      <c r="L21" s="80" t="s">
        <v>290</v>
      </c>
      <c r="M21" s="31">
        <f>Geometria!P1414</f>
        <v>5.6</v>
      </c>
      <c r="N21" s="38" t="s">
        <v>247</v>
      </c>
      <c r="O21" s="4"/>
      <c r="P21" s="4"/>
      <c r="Q21" s="80" t="s">
        <v>291</v>
      </c>
      <c r="R21" s="103">
        <f ca="1">M21*N47+M23*N48</f>
        <v>749.9028001915608</v>
      </c>
      <c r="S21" s="38" t="s">
        <v>292</v>
      </c>
    </row>
    <row r="22" spans="12:19" x14ac:dyDescent="0.25">
      <c r="L22" s="80" t="s">
        <v>293</v>
      </c>
      <c r="M22" s="97">
        <f ca="1">Geometria!L30-Geometria!P1406</f>
        <v>28.5</v>
      </c>
      <c r="N22" s="38" t="s">
        <v>294</v>
      </c>
      <c r="O22" s="4"/>
      <c r="P22" s="4"/>
      <c r="Q22" s="80" t="s">
        <v>295</v>
      </c>
      <c r="R22" s="103">
        <f ca="1">M21*N47*M22/100-M23*N48*M24/100</f>
        <v>213.72229805459483</v>
      </c>
      <c r="S22" s="38" t="s">
        <v>216</v>
      </c>
    </row>
    <row r="23" spans="12:19" x14ac:dyDescent="0.25">
      <c r="L23" s="80" t="s">
        <v>296</v>
      </c>
      <c r="M23" s="97">
        <f>Geometria!P1429</f>
        <v>0.0</v>
      </c>
      <c r="N23" s="38" t="s">
        <v>247</v>
      </c>
    </row>
    <row r="24" spans="12:19" x14ac:dyDescent="0.25">
      <c r="L24" s="80" t="s">
        <v>297</v>
      </c>
      <c r="M24" s="97">
        <f ca="1">Geometria!L31-Geometria!P1421</f>
        <v>30.0</v>
      </c>
      <c r="N24" s="38" t="s">
        <v>294</v>
      </c>
    </row>
    <row r="25" spans="12:19" x14ac:dyDescent="0.25">
      <c r="L25" s="80"/>
      <c r="M25" s="27"/>
      <c r="N25" s="38"/>
      <c r="O25" s="4"/>
      <c r="P25" s="4"/>
      <c r="Q25" s="80" t="s">
        <v>298</v>
      </c>
      <c r="R25" s="103">
        <f ca="1">(R21/(Geometria!L48/100^2)+(R22-Geometria!M206)/(Geometria!L49/100^4)*(M22/100))*O54</f>
        <v>32881.44740720125</v>
      </c>
      <c r="S25" s="38" t="s">
        <v>234</v>
      </c>
    </row>
    <row r="26" spans="12:19" x14ac:dyDescent="0.25">
      <c r="L26" s="80"/>
      <c r="M26" s="27"/>
      <c r="N26" s="38"/>
      <c r="O26" s="4"/>
      <c r="P26" s="4"/>
      <c r="Q26" s="80" t="s">
        <v>299</v>
      </c>
      <c r="R26" s="103">
        <f ca="1">((Geometria!M207*R56+Geometria!M208*R57)*(M22/100))/(Geometria!L49/100^4)</f>
        <v>25379.207583825435</v>
      </c>
      <c r="S26" s="38" t="s">
        <v>234</v>
      </c>
    </row>
    <row r="27" spans="12:19" x14ac:dyDescent="0.25">
      <c r="L27" s="80" t="s">
        <v>282</v>
      </c>
      <c r="M27" s="83">
        <f>Geometria!N236-(M6+M16)</f>
        <v>142.528828</v>
      </c>
      <c r="N27" s="38" t="s">
        <v>241</v>
      </c>
      <c r="O27" s="4"/>
      <c r="P27" s="4"/>
      <c r="Q27" s="80" t="s">
        <v>300</v>
      </c>
      <c r="R27" s="103">
        <f ca="1">((Geometria!M210*R58+Geometria!M209*R59)*((Geometria!M30/100)-(Geometria!L277/100)))/(Geometria!M49/100^4)</f>
        <v>1228.6508660346763</v>
      </c>
      <c r="S27" s="38" t="s">
        <v>234</v>
      </c>
    </row>
    <row r="28" spans="12:19" x14ac:dyDescent="0.25">
      <c r="L28" s="80"/>
      <c r="M28" s="4"/>
      <c r="N28" s="38"/>
      <c r="O28" s="4"/>
      <c r="P28" s="4"/>
      <c r="Q28" s="80" t="s">
        <v>301</v>
      </c>
      <c r="R28" s="103">
        <f ca="1">Geometria!L77*((Geometria!M211*((Geometria!M30/100)-(Geometria!L277/100)))/(Geometria!M49/100^4))*R60</f>
        <v>11479.364940914562</v>
      </c>
      <c r="S28" s="38" t="s">
        <v>234</v>
      </c>
    </row>
    <row r="30" spans="12:19" x14ac:dyDescent="0.25">
      <c r="L30" s="80" t="s">
        <v>291</v>
      </c>
      <c r="M30" s="103">
        <f>M21*M27+M23*M27</f>
        <v>798.1614367999999</v>
      </c>
      <c r="N30" s="38" t="s">
        <v>292</v>
      </c>
    </row>
    <row r="31" spans="12:19" x14ac:dyDescent="0.25">
      <c r="L31" s="80" t="s">
        <v>295</v>
      </c>
      <c r="M31" s="103">
        <f ca="1">M21*M27*M22/100-M23*M27*M24/100</f>
        <v>227.476009488</v>
      </c>
      <c r="N31" s="38" t="s">
        <v>217</v>
      </c>
      <c r="O31" s="4"/>
      <c r="P31" s="4"/>
      <c r="Q31" s="80" t="s">
        <v>302</v>
      </c>
      <c r="R31" s="83">
        <f>Geometria!Q308</f>
        <v>5.050762722761053</v>
      </c>
    </row>
    <row r="32" spans="12:19" x14ac:dyDescent="0.25">
      <c r="L32" s="80"/>
      <c r="M32" s="4"/>
      <c r="N32" s="38"/>
      <c r="O32" s="4"/>
      <c r="P32" s="4"/>
      <c r="Q32" s="658" t="s">
        <v>303</v>
      </c>
      <c r="R32" s="103">
        <f ca="1">(R31*(R25-R26-R27-R28))</f>
        <v>-26293.13928087739</v>
      </c>
      <c r="S32" s="38" t="s">
        <v>234</v>
      </c>
    </row>
    <row r="33" spans="12:19" x14ac:dyDescent="0.25">
      <c r="L33" s="80"/>
      <c r="M33" s="4"/>
      <c r="N33" s="38"/>
      <c r="O33" s="4"/>
      <c r="P33" s="4"/>
      <c r="Q33" s="658"/>
      <c r="R33" s="83">
        <f ca="1">R32/100^2</f>
        <v>-2.629313928087739</v>
      </c>
      <c r="S33" s="38" t="s">
        <v>241</v>
      </c>
    </row>
    <row r="34" spans="12:19" x14ac:dyDescent="0.25">
      <c r="L34" s="80" t="s">
        <v>304</v>
      </c>
      <c r="M34" s="103">
        <f ca="1">(M30/(Geometria!L48/100^2)+((M31-Geometria!M206)/(Geometria!L49/100^4))*M22/100)</f>
        <v>14275.097219956942</v>
      </c>
      <c r="N34" s="38" t="s">
        <v>234</v>
      </c>
    </row>
    <row r="35" spans="12:19" x14ac:dyDescent="0.25">
      <c r="L35" s="80" t="s">
        <v>305</v>
      </c>
      <c r="M35" s="103">
        <f ca="1">(M30/(Geometria!L48/100^2)+((-M31+Geometria!M206)/(Geometria!L49/100^4))*M24/100)</f>
        <v>-5924.577180305554</v>
      </c>
      <c r="N35" s="38" t="s">
        <v>234</v>
      </c>
    </row>
    <row r="37" spans="12:19" x14ac:dyDescent="0.25">
      <c r="L37" s="80"/>
      <c r="M37" s="4"/>
      <c r="N37" s="38"/>
      <c r="O37" s="4"/>
      <c r="P37" s="4"/>
      <c r="Q37" s="80" t="s">
        <v>306</v>
      </c>
      <c r="R37" s="103">
        <f ca="1">(R21/(Geometria!L48/100^2)+((-R22+Geometria!M206)/(Geometria!L49/100^4))*M24/100)*R54</f>
        <v>-13440.129808879832</v>
      </c>
      <c r="S37" s="38" t="s">
        <v>234</v>
      </c>
    </row>
    <row r="38" spans="12:19" x14ac:dyDescent="0.25">
      <c r="L38" s="80"/>
      <c r="M38" s="4"/>
      <c r="N38" s="38"/>
      <c r="O38" s="4"/>
      <c r="P38" s="4"/>
      <c r="Q38" s="80" t="s">
        <v>299</v>
      </c>
      <c r="R38" s="103">
        <f ca="1">((Geometria!M207*R56+Geometria!M208*R57)*M24/100)/(Geometria!L49/100^4)</f>
        <v>26714.955351395194</v>
      </c>
      <c r="S38" s="38" t="s">
        <v>234</v>
      </c>
    </row>
    <row r="39" spans="12:19" x14ac:dyDescent="0.25">
      <c r="L39" s="80" t="s">
        <v>307</v>
      </c>
      <c r="M39" s="83">
        <f>Geometria!L316</f>
        <v>33130.04678535785</v>
      </c>
      <c r="N39" s="38" t="s">
        <v>233</v>
      </c>
      <c r="O39" s="4"/>
      <c r="P39" s="4"/>
      <c r="Q39" s="80" t="s">
        <v>300</v>
      </c>
      <c r="R39" s="103">
        <f ca="1">((Geometria!M210*R58+Geometria!M209*R59)*((Geometria!M31-Geometria!R76-Geometria!L42-Geometria!L45)/100))/(Geometria!M49/100^4)</f>
        <v>172.679736387337</v>
      </c>
      <c r="S39" s="38" t="s">
        <v>234</v>
      </c>
    </row>
    <row r="40" spans="12:19" x14ac:dyDescent="0.25">
      <c r="L40" s="80" t="s">
        <v>308</v>
      </c>
      <c r="M40" s="83">
        <f>200000/M39</f>
        <v>6.036816105203689</v>
      </c>
      <c r="N40" s="38"/>
      <c r="O40" s="4"/>
      <c r="P40" s="4"/>
      <c r="Q40" s="80" t="s">
        <v>301</v>
      </c>
      <c r="R40" s="103">
        <f ca="1">Geometria!L77*((Geometria!M211*((Geometria!M31-Geometria!R76-Geometria!L42-Geometria!L45)/100)))/(Geometria!M49/100^4)*R60</f>
        <v>1613.358006484504</v>
      </c>
      <c r="S40" s="38" t="s">
        <v>234</v>
      </c>
    </row>
    <row r="43" spans="12:19" x14ac:dyDescent="0.25">
      <c r="L43" s="80" t="s">
        <v>309</v>
      </c>
      <c r="M43" s="83">
        <f ca="1">M40*M34/10000</f>
        <v>8.617613680078449</v>
      </c>
      <c r="N43" s="38" t="s">
        <v>241</v>
      </c>
      <c r="O43" s="4"/>
      <c r="P43" s="4"/>
      <c r="Q43" s="658" t="s">
        <v>310</v>
      </c>
      <c r="R43" s="103">
        <f ca="1">R31*ABS(-R37-R38-R39-R40)</f>
        <v>76068.84685443426</v>
      </c>
      <c r="S43" s="38" t="s">
        <v>234</v>
      </c>
    </row>
    <row r="44" spans="12:19" x14ac:dyDescent="0.25">
      <c r="L44" s="80" t="s">
        <v>311</v>
      </c>
      <c r="M44" s="83">
        <f ca="1">M40*M35/10000</f>
        <v>-3.5765582938590827</v>
      </c>
      <c r="N44" s="38" t="s">
        <v>241</v>
      </c>
      <c r="O44" s="4"/>
      <c r="P44" s="4"/>
      <c r="Q44" s="658"/>
      <c r="R44" s="83">
        <f ca="1">R43/100^2</f>
        <v>7.606884685443426</v>
      </c>
      <c r="S44" s="38" t="s">
        <v>241</v>
      </c>
    </row>
    <row r="47" spans="12:19" x14ac:dyDescent="0.25">
      <c r="L47" s="4"/>
      <c r="M47" s="24" t="s">
        <v>312</v>
      </c>
      <c r="N47" s="187">
        <f ca="1">Geometria!N236-M6-M16-M43</f>
        <v>133.91121431992158</v>
      </c>
      <c r="O47" s="24" t="s">
        <v>241</v>
      </c>
      <c r="P47" s="391">
        <f ca="1">100-(N47*100)/Geometria!N236</f>
        <v>8.4680695010789</v>
      </c>
    </row>
    <row r="48" spans="12:19" x14ac:dyDescent="0.25">
      <c r="L48" s="4"/>
      <c r="M48" s="24" t="s">
        <v>316</v>
      </c>
      <c r="N48" s="187">
        <f ca="1">Geometria!N236-M6-M16-M44</f>
        <v>146.1053862938591</v>
      </c>
      <c r="O48" s="24" t="s">
        <v>241</v>
      </c>
      <c r="P48" s="391">
        <f ca="1">100-(N48*100)/Geometria!N236</f>
        <v>0.13302372258434048</v>
      </c>
    </row>
    <row r="51" spans="12:19" x14ac:dyDescent="0.25">
      <c r="L51" s="653" t="s">
        <v>320</v>
      </c>
      <c r="M51" s="653"/>
      <c r="N51" s="653"/>
      <c r="O51" s="653"/>
      <c r="P51" s="653"/>
      <c r="Q51" s="653"/>
      <c r="R51" s="653"/>
      <c r="S51" s="653"/>
    </row>
    <row r="53" spans="12:19" ht="60" x14ac:dyDescent="0.25">
      <c r="L53" s="4"/>
      <c r="M53" s="149" t="s">
        <v>321</v>
      </c>
      <c r="N53" s="150" t="s">
        <v>322</v>
      </c>
      <c r="O53" s="150" t="s">
        <v>323</v>
      </c>
      <c r="P53" s="150" t="s">
        <v>324</v>
      </c>
      <c r="Q53" s="150" t="s">
        <v>325</v>
      </c>
      <c r="R53" s="151" t="s">
        <v>326</v>
      </c>
    </row>
    <row r="54" spans="12:19" x14ac:dyDescent="0.25">
      <c r="L54" s="4"/>
      <c r="M54" s="152" t="s">
        <v>327</v>
      </c>
      <c r="N54" s="153">
        <v>1</v>
      </c>
      <c r="O54" s="154">
        <f ca="1">Fluência!$B$44</f>
        <v>2.4758069056368184</v>
      </c>
      <c r="P54" s="153" t="s">
        <v>328</v>
      </c>
      <c r="Q54" s="153" t="s">
        <v>328</v>
      </c>
      <c r="R54" s="155">
        <f t="shared" ref="R54:R61" ca="1" si="0">AVERAGE(O54,Q54)</f>
        <v>2.4758069056368184</v>
      </c>
    </row>
    <row r="55" spans="12:19" x14ac:dyDescent="0.25">
      <c r="L55" s="4"/>
      <c r="M55" s="156" t="s">
        <v>329</v>
      </c>
      <c r="N55" s="33">
        <v>1</v>
      </c>
      <c r="O55" s="157">
        <f ca="1">Fluência!$B$44</f>
        <v>2.4758069056368184</v>
      </c>
      <c r="P55" s="33" t="s">
        <v>328</v>
      </c>
      <c r="Q55" s="33" t="s">
        <v>328</v>
      </c>
      <c r="R55" s="158">
        <f t="shared" ca="1" si="0"/>
        <v>2.4758069056368184</v>
      </c>
    </row>
    <row r="56" spans="12:19" x14ac:dyDescent="0.25">
      <c r="L56" s="4"/>
      <c r="M56" s="156" t="s">
        <v>330</v>
      </c>
      <c r="N56" s="33">
        <v>15</v>
      </c>
      <c r="O56" s="159">
        <f ca="1">Fluência!$V$44</f>
        <v>1.5488539282372031</v>
      </c>
      <c r="P56" s="33" t="s">
        <v>328</v>
      </c>
      <c r="Q56" s="33" t="s">
        <v>328</v>
      </c>
      <c r="R56" s="158">
        <f t="shared" ca="1" si="0"/>
        <v>1.5488539282372031</v>
      </c>
    </row>
    <row r="57" spans="12:19" x14ac:dyDescent="0.25">
      <c r="L57" s="4"/>
      <c r="M57" s="156" t="s">
        <v>332</v>
      </c>
      <c r="N57" s="33">
        <v>30</v>
      </c>
      <c r="O57" s="160">
        <f ca="1">Fluência!$AF$44</f>
        <v>1.3348678903117144</v>
      </c>
      <c r="P57" s="33">
        <v>1</v>
      </c>
      <c r="Q57" s="157">
        <f ca="1">IF(Geometria!M18="1 - Sim",IFERROR(Fluência!$B$92,0),O57)</f>
        <v>3.7602554455892188</v>
      </c>
      <c r="R57" s="158">
        <f t="shared" ca="1" si="0"/>
        <v>2.5475616679504665</v>
      </c>
    </row>
    <row r="58" spans="12:19" x14ac:dyDescent="0.25">
      <c r="L58" s="4"/>
      <c r="M58" s="156" t="s">
        <v>30</v>
      </c>
      <c r="N58" s="33">
        <v>45</v>
      </c>
      <c r="O58" s="160">
        <f ca="1">Fluência!$AP$44</f>
        <v>1.2168856028020962</v>
      </c>
      <c r="P58" s="33">
        <v>15</v>
      </c>
      <c r="Q58" s="157">
        <f ca="1">IF(Geometria!M18="1 - Sim",IFERROR(Fluência!$L$92,0),O58)</f>
        <v>2.7082556212039037</v>
      </c>
      <c r="R58" s="158">
        <f t="shared" ca="1" si="0"/>
        <v>1.962570612003</v>
      </c>
    </row>
    <row r="59" spans="12:19" x14ac:dyDescent="0.25">
      <c r="L59" s="4"/>
      <c r="M59" s="156" t="s">
        <v>334</v>
      </c>
      <c r="N59" s="33">
        <v>60</v>
      </c>
      <c r="O59" s="160">
        <f ca="1">Fluência!$AZ$44</f>
        <v>1.1348004805255467</v>
      </c>
      <c r="P59" s="33">
        <v>30</v>
      </c>
      <c r="Q59" s="157">
        <f ca="1">IF(Geometria!M18="1 - Sim",IFERROR(Fluência!$V$92,0),O59)</f>
        <v>2.4054950850187087</v>
      </c>
      <c r="R59" s="158">
        <f t="shared" ca="1" si="0"/>
        <v>1.7701477827721277</v>
      </c>
    </row>
    <row r="60" spans="12:19" ht="30" x14ac:dyDescent="0.25">
      <c r="L60" s="4"/>
      <c r="M60" s="156" t="s">
        <v>337</v>
      </c>
      <c r="N60" s="33">
        <v>75</v>
      </c>
      <c r="O60" s="160">
        <f ca="1">Fluência!$BJ$44</f>
        <v>1.071738641828687</v>
      </c>
      <c r="P60" s="33">
        <v>45</v>
      </c>
      <c r="Q60" s="157">
        <f ca="1">IF(Geometria!M18="1 - Sim",IFERROR(Fluência!$AF$92,0),O60)</f>
        <v>2.235982527712816</v>
      </c>
      <c r="R60" s="158">
        <f t="shared" ca="1" si="0"/>
        <v>1.6538605847707515</v>
      </c>
    </row>
    <row r="61" spans="12:19" ht="30" x14ac:dyDescent="0.25">
      <c r="L61" s="4"/>
      <c r="M61" s="165" t="s">
        <v>339</v>
      </c>
      <c r="N61" s="166">
        <v>75</v>
      </c>
      <c r="O61" s="167">
        <f ca="1">Fluência!$BJ$44</f>
        <v>1.071738641828687</v>
      </c>
      <c r="P61" s="166">
        <v>45</v>
      </c>
      <c r="Q61" s="167">
        <f ca="1">IF(Geometria!M18="1 - Sim",IFERROR(Fluência!$AF$92,0),O60)</f>
        <v>2.235982527712816</v>
      </c>
      <c r="R61" s="168">
        <f t="shared" ca="1" si="0"/>
        <v>1.6538605847707515</v>
      </c>
    </row>
    <row r="64" spans="12:19" x14ac:dyDescent="0.25">
      <c r="L64" s="29" t="s">
        <v>343</v>
      </c>
      <c r="M64" s="27"/>
      <c r="N64" s="4"/>
      <c r="O64" s="4"/>
      <c r="P64" s="29" t="s">
        <v>344</v>
      </c>
    </row>
    <row r="66" spans="12:18" x14ac:dyDescent="0.25">
      <c r="L66" s="108" t="s">
        <v>346</v>
      </c>
      <c r="M66" s="181">
        <f ca="1">Fluência!$D$30*2*10^4</f>
        <v>-10.617090839925885</v>
      </c>
      <c r="N66" s="4" t="s">
        <v>241</v>
      </c>
      <c r="O66" s="4"/>
      <c r="P66" s="4" t="s">
        <v>347</v>
      </c>
      <c r="Q66" s="83">
        <f ca="1">1+M77</f>
        <v>1.0658182369157447</v>
      </c>
    </row>
    <row r="67" spans="12:18" x14ac:dyDescent="0.25">
      <c r="L67" s="182"/>
      <c r="M67" s="27"/>
      <c r="N67" s="4"/>
      <c r="O67" s="4"/>
      <c r="P67" s="4" t="s">
        <v>347</v>
      </c>
      <c r="Q67" s="83">
        <f ca="1">1+M78</f>
        <v>1.0831033099873895</v>
      </c>
    </row>
    <row r="69" spans="12:18" x14ac:dyDescent="0.25">
      <c r="L69" s="29" t="s">
        <v>280</v>
      </c>
      <c r="M69" s="27"/>
      <c r="N69" s="4"/>
      <c r="O69" s="4"/>
      <c r="P69" s="4" t="s">
        <v>350</v>
      </c>
      <c r="Q69" s="83">
        <f ca="1">1+0.5*R54</f>
        <v>2.237903452818409</v>
      </c>
    </row>
    <row r="70" spans="12:18" x14ac:dyDescent="0.25">
      <c r="L70" s="4" t="s">
        <v>351</v>
      </c>
      <c r="M70" s="27"/>
      <c r="N70" s="4"/>
      <c r="O70" s="4"/>
      <c r="P70" s="4" t="s">
        <v>352</v>
      </c>
      <c r="Q70" s="83">
        <f ca="1">1+(M22/100)^2*((Geometria!L48/100^2)/(Geometria!L49/100^4))</f>
        <v>3.707499999999999</v>
      </c>
    </row>
    <row r="71" spans="12:18" x14ac:dyDescent="0.25">
      <c r="L71" s="80" t="s">
        <v>353</v>
      </c>
      <c r="M71" s="83">
        <f ca="1">N47/Geometria!$L$88</f>
        <v>0.7047958648416925</v>
      </c>
      <c r="N71" s="4"/>
      <c r="O71" s="4"/>
      <c r="P71" s="4" t="s">
        <v>354</v>
      </c>
      <c r="Q71" s="83">
        <f ca="1">1+(M24/100)^2*((Geometria!L48/100^2)/(Geometria!L49/100^4))</f>
        <v>3.9999999999999996</v>
      </c>
    </row>
    <row r="72" spans="12:18" x14ac:dyDescent="0.25">
      <c r="L72" s="80" t="s">
        <v>355</v>
      </c>
      <c r="M72" s="83">
        <f ca="1">N48/Geometria!$L$88</f>
        <v>0.7689757173361006</v>
      </c>
      <c r="N72" s="4"/>
      <c r="O72" s="4"/>
      <c r="P72" s="4" t="s">
        <v>356</v>
      </c>
      <c r="Q72" s="186">
        <f ca="1">(M21+M23)/(Geometria!L48)</f>
        <v>0.003111111111111111</v>
      </c>
    </row>
    <row r="74" spans="12:18" x14ac:dyDescent="0.25">
      <c r="L74" s="80" t="s">
        <v>357</v>
      </c>
      <c r="M74" s="83">
        <f ca="1">2.5*Q84</f>
        <v>6.369896621042315</v>
      </c>
      <c r="N74" s="4"/>
      <c r="O74" s="4"/>
      <c r="P74" s="24" t="s">
        <v>358</v>
      </c>
      <c r="Q74" s="187">
        <f ca="1">(M66-R33-M80)/(Q67+Q69*R31*Q70*Q72)</f>
        <v>-13.84579683540341</v>
      </c>
      <c r="R74" s="24" t="s">
        <v>241</v>
      </c>
    </row>
    <row r="75" spans="12:18" x14ac:dyDescent="0.25">
      <c r="L75" s="80" t="s">
        <v>359</v>
      </c>
      <c r="M75" s="83">
        <f ca="1">2.5*Q85</f>
        <v>7.974392933402514</v>
      </c>
      <c r="N75" s="4"/>
      <c r="O75" s="4"/>
      <c r="P75" s="32" t="s">
        <v>360</v>
      </c>
      <c r="Q75" s="188">
        <f ca="1">(M66-R44-M81)/(Q67+Q69*R31*Q71*Q72)</f>
        <v>-24.813450986674663</v>
      </c>
      <c r="R75" s="32" t="s">
        <v>241</v>
      </c>
    </row>
    <row r="76" spans="12:18" x14ac:dyDescent="0.25">
      <c r="L76" s="80"/>
      <c r="M76" s="4"/>
      <c r="N76" s="4"/>
      <c r="O76" s="4"/>
      <c r="P76" s="695" t="s">
        <v>361</v>
      </c>
      <c r="Q76" s="695"/>
      <c r="R76" s="695"/>
    </row>
    <row r="77" spans="12:18" x14ac:dyDescent="0.25">
      <c r="L77" s="80" t="s">
        <v>362</v>
      </c>
      <c r="M77" s="189">
        <f ca="1">-LN(1-M74/100)</f>
        <v>0.06581823691574482</v>
      </c>
      <c r="N77" s="4"/>
      <c r="O77" s="4"/>
      <c r="P77" s="27"/>
      <c r="Q77" s="71" t="s">
        <v>253</v>
      </c>
      <c r="R77" s="677" t="s">
        <v>363</v>
      </c>
    </row>
    <row r="78" spans="12:18" x14ac:dyDescent="0.25">
      <c r="L78" s="80" t="s">
        <v>364</v>
      </c>
      <c r="M78" s="189">
        <f ca="1">-LN(1-M75/100)</f>
        <v>0.08310330998738955</v>
      </c>
      <c r="N78" s="4"/>
      <c r="O78" s="4"/>
      <c r="P78" s="30" t="s">
        <v>365</v>
      </c>
      <c r="Q78" s="77" t="s">
        <v>366</v>
      </c>
      <c r="R78" s="677"/>
    </row>
    <row r="79" spans="12:18" x14ac:dyDescent="0.25">
      <c r="L79" s="80"/>
      <c r="M79" s="190"/>
      <c r="N79" s="4"/>
      <c r="O79" s="4"/>
      <c r="P79" s="27">
        <v>0.5</v>
      </c>
      <c r="Q79" s="71">
        <v>0</v>
      </c>
      <c r="R79" s="71">
        <v>0</v>
      </c>
    </row>
    <row r="80" spans="12:18" x14ac:dyDescent="0.25">
      <c r="L80" s="80" t="s">
        <v>367</v>
      </c>
      <c r="M80" s="83">
        <f ca="1">N47*M77</f>
        <v>8.813800029783678</v>
      </c>
      <c r="N80" s="4" t="s">
        <v>241</v>
      </c>
      <c r="O80" s="4"/>
      <c r="P80" s="27">
        <v>0.6</v>
      </c>
      <c r="Q80" s="71">
        <v>1.3</v>
      </c>
      <c r="R80" s="71">
        <v>1.5</v>
      </c>
    </row>
    <row r="81" spans="4:102" x14ac:dyDescent="0.25">
      <c r="L81" s="80" t="s">
        <v>368</v>
      </c>
      <c r="M81" s="83">
        <f ca="1">N48*M78</f>
        <v>12.14184120800587</v>
      </c>
      <c r="N81" s="4" t="s">
        <v>241</v>
      </c>
      <c r="O81" s="4"/>
      <c r="P81" s="27">
        <v>0.7</v>
      </c>
      <c r="Q81" s="71">
        <v>2.5</v>
      </c>
      <c r="R81" s="71">
        <v>4</v>
      </c>
    </row>
    <row r="82" spans="4:102" x14ac:dyDescent="0.25">
      <c r="L82" s="4"/>
      <c r="M82" s="4"/>
      <c r="N82" s="4"/>
      <c r="O82" s="4"/>
      <c r="P82" s="30">
        <v>0.8</v>
      </c>
      <c r="Q82" s="77">
        <v>3.5</v>
      </c>
      <c r="R82" s="77">
        <v>7</v>
      </c>
    </row>
    <row r="84" spans="4:102" x14ac:dyDescent="0.25">
      <c r="L84" s="4"/>
      <c r="M84" s="4"/>
      <c r="N84" s="4"/>
      <c r="O84" s="4"/>
      <c r="P84" s="83">
        <f ca="1">M71</f>
        <v>0.7047958648416925</v>
      </c>
      <c r="Q84" s="83">
        <f ca="1">IF(P84&lt;=INDEX($P$79:$P$82,1),0,INDEX($Q$79:$Q$82,MIN(MATCH(P84,$P$79:$P$82,1),3))+(P84-INDEX($P$79:$P$82,MIN(MATCH(P84,$P$79:$P$82,1),3)))*(INDEX($Q$79:$Q$82,MIN(MATCH(P84,$P$79:$P$82,1),3)+1)-INDEX($Q$79:$Q$82,MIN(MATCH(P84,$P$79:$P$82,1),3)))/(INDEX($P$79:$P$82,MIN(MATCH(P84,$P$79:$P$82,1),3)+1)-INDEX($P$79:$P$82,MIN(MATCH(P84,$P$79:$P$82,1),3))))</f>
        <v>2.547958648416926</v>
      </c>
    </row>
    <row r="85" spans="4:102" x14ac:dyDescent="0.25">
      <c r="L85" s="4"/>
      <c r="M85" s="4"/>
      <c r="N85" s="4"/>
      <c r="O85" s="4"/>
      <c r="P85" s="83">
        <f ca="1">M72</f>
        <v>0.7689757173361006</v>
      </c>
      <c r="Q85" s="83">
        <f ca="1">IF(P85&lt;=INDEX($P$79:$P$82,1),0,INDEX($Q$79:$Q$82,MIN(MATCH(P85,$P$79:$P$82,1),3))+(P85-INDEX($P$79:$P$82,MIN(MATCH(P85,$P$79:$P$82,1),3)))*(INDEX($Q$79:$Q$82,MIN(MATCH(P85,$P$79:$P$82,1),3)+1)-INDEX($Q$79:$Q$82,MIN(MATCH(P85,$P$79:$P$82,1),3)))/(INDEX($P$79:$P$82,MIN(MATCH(P85,$P$79:$P$82,1),3)+1)-INDEX($P$79:$P$82,MIN(MATCH(P85,$P$79:$P$82,1),3))))</f>
        <v>3.1897571733610057</v>
      </c>
    </row>
    <row r="87" spans="4:102" x14ac:dyDescent="0.25">
      <c r="L87" s="694" t="s">
        <v>369</v>
      </c>
      <c r="M87" s="694"/>
      <c r="N87" s="694"/>
    </row>
    <row r="88" spans="4:102" x14ac:dyDescent="0.25">
      <c r="L88" s="4"/>
      <c r="M88" s="4"/>
      <c r="N88" s="27" t="s">
        <v>370</v>
      </c>
    </row>
    <row r="89" spans="4:102" x14ac:dyDescent="0.25">
      <c r="L89" s="4" t="s">
        <v>371</v>
      </c>
      <c r="M89" s="83">
        <f ca="1">N47-ABS(Q74)</f>
        <v>120.06541748451818</v>
      </c>
      <c r="N89" s="191">
        <f ca="1">100-(M89*100)/Geometria!N236</f>
        <v>17.9320454651277</v>
      </c>
    </row>
    <row r="90" spans="4:102" x14ac:dyDescent="0.25">
      <c r="L90" s="32" t="s">
        <v>372</v>
      </c>
      <c r="M90" s="83">
        <f ca="1">N48-ABS(Q75)</f>
        <v>121.29193530718445</v>
      </c>
      <c r="N90" s="191">
        <f ca="1">100-(M90*100)/Geometria!N236</f>
        <v>17.09368741819246</v>
      </c>
    </row>
    <row r="93" spans="4:102" x14ac:dyDescent="0.25">
      <c r="D93" s="4" t="s">
        <v>476</v>
      </c>
      <c r="E93" s="103">
        <f ca="1">Geometria!L909</f>
        <v>749.9028001915608</v>
      </c>
      <c r="F93" s="38" t="s">
        <v>292</v>
      </c>
      <c r="AA93" s="4" t="s">
        <v>476</v>
      </c>
      <c r="AB93" s="103">
        <f ca="1">Geometria!L376</f>
        <v>621.7798114153002</v>
      </c>
      <c r="AC93" s="38" t="s">
        <v>292</v>
      </c>
    </row>
    <row r="94" spans="4:102" x14ac:dyDescent="0.25">
      <c r="D94" s="4" t="s">
        <v>477</v>
      </c>
      <c r="E94" s="103">
        <f ca="1">Geometria!L910</f>
        <v>213.72229805459483</v>
      </c>
      <c r="F94" s="38" t="s">
        <v>216</v>
      </c>
      <c r="M94" t="s">
        <v>1056</v>
      </c>
      <c r="AA94" s="4" t="s">
        <v>477</v>
      </c>
      <c r="AB94" s="103">
        <f ca="1">Geometria!L377</f>
        <v>177.20724625336052</v>
      </c>
      <c r="AC94" s="38" t="s">
        <v>216</v>
      </c>
    </row>
    <row r="95" spans="4:102" x14ac:dyDescent="0.25">
      <c r="H95">
        <v>15331.406999999999</v>
      </c>
    </row>
    <row r="96" spans="4:102" x14ac:dyDescent="0.25">
      <c r="AE96">
        <v>-710</v>
      </c>
      <c r="BC96" s="371">
        <f ca="1">(IF(AW125="Sim",IF(AU125="Sim",$AB$93,Geometria!$L$1452),IF(AU125="Sim",Geometria!$L$1454,Geometria!$L$373)))</f>
        <v>621.7798114153002</v>
      </c>
      <c r="BD96" s="371">
        <f ca="1">(IF(AW125="Sim",IF(AU125="Sim",$AB$94,Geometria!$L$1453),IF(AU125="Sim",Geometria!$L$1455,Geometria!$L$374)))</f>
        <v>177.20724625336052</v>
      </c>
      <c r="BZ96" s="371">
        <f ca="1">(IF(BT125="Sim",IF(BR125="Sim",$AB$93,Geometria!$L$1452),IF(BR125="Sim",Geometria!$L$1454,Geometria!$L$373)))</f>
        <v>621.7798114153002</v>
      </c>
      <c r="CA96" s="371">
        <f ca="1">(IF(BT125="Sim",IF(BR125="Sim",$AB$94,Geometria!$L$1453),IF(BR125="Sim",Geometria!$L$1455,Geometria!$L$374)))</f>
        <v>177.20724625336052</v>
      </c>
      <c r="CW96" s="371">
        <f ca="1">(IF(CQ125="Sim",IF(CO125="Sim",$AB$93,Geometria!$L$1452),IF(CO125="Sim",Geometria!$L$1454,Geometria!$L$373)))</f>
        <v>621.7798114153002</v>
      </c>
      <c r="CX96" s="371">
        <f ca="1">(IF(CQ125="Sim",IF(CO125="Sim",$AB$94,Geometria!$L$1453),IF(CO125="Sim",Geometria!$L$1455,Geometria!$L$374)))</f>
        <v>177.20724625336052</v>
      </c>
    </row>
    <row r="97" spans="1:157" x14ac:dyDescent="0.25">
      <c r="B97" s="361"/>
      <c r="C97" s="362"/>
      <c r="D97" s="756" t="s">
        <v>1057</v>
      </c>
      <c r="E97" s="756"/>
      <c r="F97" s="756"/>
      <c r="G97" s="756"/>
      <c r="H97" s="756"/>
      <c r="I97" s="756"/>
      <c r="J97" s="756"/>
      <c r="K97" s="756"/>
      <c r="L97" s="756"/>
      <c r="M97" s="756"/>
      <c r="N97" s="756"/>
      <c r="O97" s="362"/>
      <c r="P97" s="362"/>
      <c r="Q97" s="362"/>
      <c r="R97" s="362"/>
      <c r="S97" s="362"/>
      <c r="T97" s="362"/>
      <c r="U97" s="362"/>
      <c r="V97" s="362"/>
      <c r="W97" s="363"/>
      <c r="Y97" s="361"/>
      <c r="Z97" s="362"/>
      <c r="AA97" s="756" t="s">
        <v>1058</v>
      </c>
      <c r="AB97" s="756"/>
      <c r="AC97" s="756"/>
      <c r="AD97" s="756"/>
      <c r="AE97" s="756"/>
      <c r="AF97" s="756"/>
      <c r="AG97" s="756"/>
      <c r="AH97" s="756"/>
      <c r="AI97" s="756"/>
      <c r="AJ97" s="756"/>
      <c r="AK97" s="756"/>
      <c r="AL97" s="362"/>
      <c r="AM97" s="362"/>
      <c r="AN97" s="362"/>
      <c r="AO97" s="362"/>
      <c r="AP97" s="362"/>
      <c r="AQ97" s="362"/>
      <c r="AR97" s="362"/>
      <c r="AS97" s="362"/>
      <c r="AT97" s="363"/>
      <c r="AV97" s="361"/>
      <c r="AW97" s="362"/>
      <c r="AX97" s="756" t="s">
        <v>1059</v>
      </c>
      <c r="AY97" s="756"/>
      <c r="AZ97" s="756"/>
      <c r="BA97" s="756"/>
      <c r="BB97" s="756"/>
      <c r="BC97" s="756"/>
      <c r="BD97" s="756"/>
      <c r="BE97" s="756"/>
      <c r="BF97" s="756"/>
      <c r="BG97" s="756"/>
      <c r="BH97" s="756"/>
      <c r="BI97" s="362"/>
      <c r="BJ97" s="362"/>
      <c r="BK97" s="362"/>
      <c r="BL97" s="362"/>
      <c r="BM97" s="362"/>
      <c r="BN97" s="362"/>
      <c r="BO97" s="362"/>
      <c r="BP97" s="362"/>
      <c r="BQ97" s="363"/>
      <c r="BS97" s="361"/>
      <c r="BT97" s="362"/>
      <c r="BU97" s="756" t="s">
        <v>1060</v>
      </c>
      <c r="BV97" s="756"/>
      <c r="BW97" s="756"/>
      <c r="BX97" s="756"/>
      <c r="BY97" s="756"/>
      <c r="BZ97" s="756"/>
      <c r="CA97" s="756"/>
      <c r="CB97" s="756"/>
      <c r="CC97" s="756"/>
      <c r="CD97" s="756"/>
      <c r="CE97" s="756"/>
      <c r="CF97" s="362"/>
      <c r="CG97" s="362"/>
      <c r="CH97" s="362"/>
      <c r="CI97" s="362"/>
      <c r="CJ97" s="362"/>
      <c r="CK97" s="362"/>
      <c r="CL97" s="362"/>
      <c r="CM97" s="362"/>
      <c r="CN97" s="363"/>
      <c r="CP97" s="361"/>
      <c r="CQ97" s="362"/>
      <c r="CR97" s="749" t="s">
        <v>1061</v>
      </c>
      <c r="CS97" s="749"/>
      <c r="CT97" s="749"/>
      <c r="CU97" s="749"/>
      <c r="CV97" s="749"/>
      <c r="CW97" s="749"/>
      <c r="CX97" s="749"/>
      <c r="CY97" s="749"/>
      <c r="CZ97" s="749"/>
      <c r="DA97" s="749"/>
      <c r="DB97" s="749"/>
    </row>
    <row r="99" spans="1:157" ht="15" customHeight="1" x14ac:dyDescent="0.25">
      <c r="B99" s="364"/>
      <c r="D99" s="364"/>
      <c r="F99" s="750" t="s">
        <v>1062</v>
      </c>
      <c r="G99" s="746" t="s">
        <v>1063</v>
      </c>
      <c r="H99" s="746"/>
      <c r="I99" s="746" t="s">
        <v>1064</v>
      </c>
      <c r="J99" s="746"/>
      <c r="L99" s="747" t="s">
        <v>291</v>
      </c>
      <c r="M99" s="747" t="s">
        <v>295</v>
      </c>
      <c r="N99" s="365"/>
      <c r="W99" s="365"/>
      <c r="Y99" s="364"/>
      <c r="AA99" s="364"/>
      <c r="AC99" s="750" t="s">
        <v>1062</v>
      </c>
      <c r="AD99" s="746" t="s">
        <v>1063</v>
      </c>
      <c r="AE99" s="746"/>
      <c r="AF99" s="746" t="s">
        <v>1064</v>
      </c>
      <c r="AG99" s="746"/>
      <c r="AI99" s="747" t="s">
        <v>291</v>
      </c>
      <c r="AJ99" s="747" t="s">
        <v>295</v>
      </c>
      <c r="AK99" s="365"/>
      <c r="AT99" s="365"/>
      <c r="AV99" s="364"/>
      <c r="AX99" s="364"/>
      <c r="AZ99" s="750" t="s">
        <v>1062</v>
      </c>
      <c r="BA99" s="746" t="s">
        <v>1063</v>
      </c>
      <c r="BB99" s="746"/>
      <c r="BC99" s="746" t="s">
        <v>1064</v>
      </c>
      <c r="BD99" s="746"/>
      <c r="BF99" s="747" t="s">
        <v>291</v>
      </c>
      <c r="BG99" s="747" t="s">
        <v>295</v>
      </c>
      <c r="BH99" s="365"/>
      <c r="BQ99" s="365"/>
      <c r="BS99" s="364"/>
      <c r="BU99" s="364"/>
      <c r="BW99" s="750" t="s">
        <v>1062</v>
      </c>
      <c r="BX99" s="746" t="s">
        <v>1063</v>
      </c>
      <c r="BY99" s="746"/>
      <c r="BZ99" s="746" t="s">
        <v>1064</v>
      </c>
      <c r="CA99" s="746"/>
      <c r="CC99" s="747" t="s">
        <v>291</v>
      </c>
      <c r="CD99" s="747" t="s">
        <v>295</v>
      </c>
      <c r="CE99" s="365"/>
      <c r="CN99" s="365"/>
      <c r="CP99" s="364"/>
      <c r="CR99" s="364"/>
      <c r="CT99" s="750" t="s">
        <v>1062</v>
      </c>
      <c r="CU99" s="746" t="s">
        <v>1063</v>
      </c>
      <c r="CV99" s="746"/>
      <c r="CW99" s="746" t="s">
        <v>1064</v>
      </c>
      <c r="CX99" s="746"/>
      <c r="CZ99" s="747" t="s">
        <v>291</v>
      </c>
      <c r="DA99" s="747" t="s">
        <v>295</v>
      </c>
    </row>
    <row r="100" spans="1:157" x14ac:dyDescent="0.25">
      <c r="B100" s="392" t="s">
        <v>1065</v>
      </c>
      <c r="C100" s="393" t="s">
        <v>1066</v>
      </c>
      <c r="D100" s="364"/>
      <c r="F100" s="750"/>
      <c r="G100" s="746"/>
      <c r="H100" s="746"/>
      <c r="I100" s="746"/>
      <c r="J100" s="746"/>
      <c r="L100" s="747"/>
      <c r="M100" s="747"/>
      <c r="N100" s="365"/>
      <c r="R100" s="691" t="s">
        <v>478</v>
      </c>
      <c r="S100" s="691"/>
      <c r="T100" s="691"/>
      <c r="U100" s="691"/>
      <c r="V100" s="691"/>
      <c r="W100" s="394" t="s">
        <v>428</v>
      </c>
      <c r="Y100" s="392" t="s">
        <v>1065</v>
      </c>
      <c r="Z100" s="393" t="s">
        <v>1066</v>
      </c>
      <c r="AA100" s="364"/>
      <c r="AC100" s="750"/>
      <c r="AD100" s="746"/>
      <c r="AE100" s="746"/>
      <c r="AF100" s="746"/>
      <c r="AG100" s="746"/>
      <c r="AI100" s="747"/>
      <c r="AJ100" s="747"/>
      <c r="AK100" s="365"/>
      <c r="AO100" s="691" t="s">
        <v>478</v>
      </c>
      <c r="AP100" s="691"/>
      <c r="AQ100" s="691"/>
      <c r="AR100" s="691"/>
      <c r="AS100" s="691"/>
      <c r="AT100" s="394" t="s">
        <v>428</v>
      </c>
      <c r="AV100" s="392" t="s">
        <v>1065</v>
      </c>
      <c r="AW100" s="393" t="s">
        <v>1066</v>
      </c>
      <c r="AX100" s="364"/>
      <c r="AZ100" s="750"/>
      <c r="BA100" s="746"/>
      <c r="BB100" s="746"/>
      <c r="BC100" s="746"/>
      <c r="BD100" s="746"/>
      <c r="BF100" s="747"/>
      <c r="BG100" s="747"/>
      <c r="BH100" s="365"/>
      <c r="BL100" s="691" t="s">
        <v>478</v>
      </c>
      <c r="BM100" s="691"/>
      <c r="BN100" s="691"/>
      <c r="BO100" s="691"/>
      <c r="BP100" s="691"/>
      <c r="BQ100" s="394" t="s">
        <v>428</v>
      </c>
      <c r="BS100" s="392" t="s">
        <v>1065</v>
      </c>
      <c r="BT100" s="393" t="s">
        <v>1066</v>
      </c>
      <c r="BU100" s="364"/>
      <c r="BW100" s="750"/>
      <c r="BX100" s="746"/>
      <c r="BY100" s="746"/>
      <c r="BZ100" s="746"/>
      <c r="CA100" s="746"/>
      <c r="CC100" s="747"/>
      <c r="CD100" s="747"/>
      <c r="CE100" s="365"/>
      <c r="CI100" s="691" t="s">
        <v>478</v>
      </c>
      <c r="CJ100" s="691"/>
      <c r="CK100" s="691"/>
      <c r="CL100" s="691"/>
      <c r="CM100" s="691"/>
      <c r="CN100" s="394" t="s">
        <v>428</v>
      </c>
      <c r="CP100" s="392" t="s">
        <v>1065</v>
      </c>
      <c r="CQ100" s="393" t="s">
        <v>1066</v>
      </c>
      <c r="CR100" s="364"/>
      <c r="CT100" s="750"/>
      <c r="CU100" s="746"/>
      <c r="CV100" s="746"/>
      <c r="CW100" s="746"/>
      <c r="CX100" s="746"/>
      <c r="CZ100" s="747"/>
      <c r="DA100" s="747"/>
      <c r="DB100" s="365"/>
      <c r="DF100" s="691" t="s">
        <v>478</v>
      </c>
      <c r="DG100" s="691"/>
      <c r="DH100" s="691"/>
      <c r="DI100" s="691"/>
      <c r="DJ100" s="691"/>
      <c r="DK100" s="394" t="s">
        <v>428</v>
      </c>
      <c r="EA100" t="s">
        <v>1067</v>
      </c>
      <c r="EB100" t="s">
        <v>1068</v>
      </c>
      <c r="EC100" t="s">
        <v>1069</v>
      </c>
      <c r="ED100" t="s">
        <v>1070</v>
      </c>
      <c r="EE100" t="s">
        <v>1068</v>
      </c>
      <c r="EF100" t="s">
        <v>1069</v>
      </c>
      <c r="EG100" t="s">
        <v>1071</v>
      </c>
      <c r="EH100" t="s">
        <v>1068</v>
      </c>
      <c r="EI100" t="s">
        <v>1069</v>
      </c>
      <c r="EJ100" t="s">
        <v>1072</v>
      </c>
      <c r="EK100" t="s">
        <v>1068</v>
      </c>
      <c r="EL100" t="s">
        <v>1069</v>
      </c>
      <c r="EM100" t="s">
        <v>1073</v>
      </c>
      <c r="EN100" t="s">
        <v>1068</v>
      </c>
      <c r="EO100" t="s">
        <v>1069</v>
      </c>
      <c r="EP100" t="s">
        <v>1074</v>
      </c>
      <c r="EQ100" t="s">
        <v>1075</v>
      </c>
      <c r="ER100" t="s">
        <v>1076</v>
      </c>
      <c r="ES100" t="s">
        <v>1077</v>
      </c>
      <c r="ET100" t="s">
        <v>1078</v>
      </c>
      <c r="EU100" t="s">
        <v>1079</v>
      </c>
      <c r="EV100" t="s">
        <v>1080</v>
      </c>
      <c r="EW100" t="s">
        <v>1081</v>
      </c>
      <c r="EX100" t="s">
        <v>1082</v>
      </c>
      <c r="EY100" t="s">
        <v>1083</v>
      </c>
      <c r="EZ100" t="s">
        <v>1084</v>
      </c>
      <c r="FA100" t="s">
        <v>1085</v>
      </c>
    </row>
    <row r="101" spans="1:157" x14ac:dyDescent="0.25">
      <c r="A101" s="376" t="str">
        <f>IF(OR(AND(B101&lt;Geometria!$L$1405/100,Geometria!$K$1405&gt;0),AND((Geometria!$L$29/100-B101)&lt;Geometria!$R$1405/100,Geometria!$Q$1405&gt;0)),"Sim","Não")</f>
        <v>Sim</v>
      </c>
      <c r="B101" s="395">
        <f>Tensões!$B$63</f>
        <v>-0.0</v>
      </c>
      <c r="C101" s="376" t="str">
        <f>IF(OR(AND(B101&lt;Geometria!$L$1409/100,OR(Geometria!$K$1409&gt;0,Geometria!$K$1407&gt;0)),AND((Geometria!$L$29/100-B101)&lt;Geometria!$R$1409/100,OR(Geometria!$Q$1409&gt;0,Geometria!$Q$1407&gt;0))),"Sim","Não")</f>
        <v>Não</v>
      </c>
      <c r="D101" s="122" t="s">
        <v>429</v>
      </c>
      <c r="E101" s="198" t="str">
        <f ca="1">IF(Geometria!$K$437&lt;Geometria!$N$1307/100,"Reduzir","OK")</f>
        <v>Reduzir</v>
      </c>
      <c r="F101" s="396">
        <f t="shared" ref="F101:F120" ca="1" si="1">IF(E101="Reduzir",G101,I101)</f>
        <v>0.0</v>
      </c>
      <c r="G101" s="397">
        <v>0</v>
      </c>
      <c r="H101" s="398">
        <v>0</v>
      </c>
      <c r="I101" s="743">
        <f>Geometria!$C$913</f>
        <v>0.0</v>
      </c>
      <c r="J101" s="743"/>
      <c r="L101">
        <v>0</v>
      </c>
      <c r="M101">
        <v>0</v>
      </c>
      <c r="N101" s="365"/>
      <c r="R101" s="4" t="s">
        <v>429</v>
      </c>
      <c r="S101" s="105">
        <v>0</v>
      </c>
      <c r="T101" s="38" t="s">
        <v>234</v>
      </c>
      <c r="U101" s="138">
        <f t="shared" ref="U101:U121" si="2">S101/1000</f>
        <v>0.0</v>
      </c>
      <c r="V101" s="38" t="s">
        <v>160</v>
      </c>
      <c r="W101" s="399">
        <f>Geometria!V938</f>
        <v>0.0</v>
      </c>
      <c r="X101" s="376" t="str">
        <f>IF(OR(AND(Y101&lt;Geometria!$L$1405/100,Geometria!$K$1405&gt;0),AND((Geometria!$L$29/100-Y101)&lt;Geometria!$R$1405/100,Geometria!$Q$1405&gt;0)),"Sim","Não")</f>
        <v>Sim</v>
      </c>
      <c r="Y101" s="395">
        <f>Geometria!$K$415</f>
        <v>-0.0</v>
      </c>
      <c r="Z101" s="376" t="str">
        <f>IF(OR(AND(Y101&lt;Geometria!$L$1409/100,OR(Geometria!$K$1409&gt;0,Geometria!$K$1407&gt;0)),AND((Geometria!$L$29/100-Y101)&lt;Geometria!$R$1409/100,OR(Geometria!$Q$1409&gt;0,Geometria!$Q$1407&gt;0))),"Sim","Não")</f>
        <v>Não</v>
      </c>
      <c r="AA101" s="122" t="s">
        <v>429</v>
      </c>
      <c r="AB101" s="198" t="str">
        <f ca="1">IF(Geometria!$K$437&lt;Geometria!$N$1307/100,"Reduzir","OK")</f>
        <v>Reduzir</v>
      </c>
      <c r="AC101" s="396">
        <f t="shared" ref="AC101:AC120" ca="1" si="3">IF(AB101="Reduzir",AD101,AF101)</f>
        <v>0.0</v>
      </c>
      <c r="AD101" s="397">
        <v>0</v>
      </c>
      <c r="AE101" s="398">
        <v>0</v>
      </c>
      <c r="AF101" s="743">
        <f>Geometria!$C$913</f>
        <v>0.0</v>
      </c>
      <c r="AG101" s="743"/>
      <c r="AI101">
        <v>0</v>
      </c>
      <c r="AJ101">
        <v>0</v>
      </c>
      <c r="AK101" s="365"/>
      <c r="AO101" s="4" t="s">
        <v>429</v>
      </c>
      <c r="AP101" s="105">
        <v>0</v>
      </c>
      <c r="AQ101" s="38" t="s">
        <v>234</v>
      </c>
      <c r="AR101" s="138">
        <f t="shared" ref="AR101:AR121" si="4">AP101/1000</f>
        <v>0.0</v>
      </c>
      <c r="AS101" s="38" t="s">
        <v>160</v>
      </c>
      <c r="AT101" s="399">
        <f>Geometria!AS938</f>
        <v>0.0</v>
      </c>
      <c r="AU101" s="376" t="str">
        <f>IF(OR(AND(AV101&lt;Geometria!$L$1405/100,Geometria!$K$1405&gt;0),AND((Geometria!$L$29/100-AV101)&lt;Geometria!$R$1405/100,Geometria!$Q$1405&gt;0)),"Sim","Não")</f>
        <v>Sim</v>
      </c>
      <c r="AV101" s="395">
        <f>Geometria!$K$415</f>
        <v>-0.0</v>
      </c>
      <c r="AW101" s="376" t="str">
        <f>IF(OR(AND(AV101&lt;Geometria!$L$1409/100,OR(Geometria!$K$1409&gt;0,Geometria!$K$1407&gt;0)),AND((Geometria!$L$29/100-AV101)&lt;Geometria!$R$1409/100,OR(Geometria!$Q$1409&gt;0,Geometria!$Q$1407&gt;0))),"Sim","Não")</f>
        <v>Não</v>
      </c>
      <c r="AX101" s="122" t="s">
        <v>429</v>
      </c>
      <c r="AY101" s="198" t="str">
        <f ca="1">IF(Geometria!$K$437&lt;Geometria!$N$1307/100,"Reduzir","OK")</f>
        <v>Reduzir</v>
      </c>
      <c r="AZ101" s="396">
        <f t="shared" ref="AZ101:AZ120" ca="1" si="5">IF(AY101="Reduzir",BA101,BC101)</f>
        <v>0.0</v>
      </c>
      <c r="BA101" s="397">
        <v>0</v>
      </c>
      <c r="BB101" s="398">
        <v>0</v>
      </c>
      <c r="BC101" s="753">
        <f>Geometria!$C$913</f>
        <v>0.0</v>
      </c>
      <c r="BD101" s="753"/>
      <c r="BF101">
        <v>0</v>
      </c>
      <c r="BG101">
        <v>0</v>
      </c>
      <c r="BH101" s="365"/>
      <c r="BL101" s="4" t="s">
        <v>429</v>
      </c>
      <c r="BM101" s="105">
        <v>0</v>
      </c>
      <c r="BN101" s="38" t="s">
        <v>234</v>
      </c>
      <c r="BO101" s="138">
        <f t="shared" ref="BO101:BO121" si="6">BM101/1000</f>
        <v>0.0</v>
      </c>
      <c r="BP101" s="38" t="s">
        <v>160</v>
      </c>
      <c r="BQ101" s="399">
        <f>Geometria!BP938</f>
        <v>0.0</v>
      </c>
      <c r="BR101" s="376" t="str">
        <f>IF(OR(AND(BS101&lt;Geometria!$L$1405/100,Geometria!$K$1405&gt;0),AND((Geometria!$L$29/100-BS101)&lt;Geometria!$R$1405/100,Geometria!$Q$1405&gt;0)),"Sim","Não")</f>
        <v>Sim</v>
      </c>
      <c r="BS101" s="395">
        <f>Geometria!$K$415</f>
        <v>-0.0</v>
      </c>
      <c r="BT101" s="376" t="str">
        <f>IF(OR(AND(BS101&lt;Geometria!$L$1409/100,OR(Geometria!$K$1409&gt;0,Geometria!$K$1407&gt;0)),AND((Geometria!$L$29/100-BS101)&lt;Geometria!$R$1409/100,OR(Geometria!$Q$1409&gt;0,Geometria!$Q$1407&gt;0))),"Sim","Não")</f>
        <v>Não</v>
      </c>
      <c r="BU101" s="122" t="s">
        <v>429</v>
      </c>
      <c r="BV101" s="198" t="str">
        <f ca="1">IF(Geometria!$K$437&lt;Geometria!$N$1307/100,"Reduzir","OK")</f>
        <v>Reduzir</v>
      </c>
      <c r="BW101" s="396">
        <f t="shared" ref="BW101:BW120" ca="1" si="7">IF(BV101="Reduzir",BX101,BZ101)</f>
        <v>0.0</v>
      </c>
      <c r="BX101" s="397">
        <v>0</v>
      </c>
      <c r="BY101" s="398">
        <v>0</v>
      </c>
      <c r="BZ101" s="753">
        <f>Geometria!$C$913</f>
        <v>0.0</v>
      </c>
      <c r="CA101" s="753"/>
      <c r="CC101">
        <v>0</v>
      </c>
      <c r="CD101">
        <v>0</v>
      </c>
      <c r="CE101" s="365"/>
      <c r="CI101" s="4" t="s">
        <v>429</v>
      </c>
      <c r="CJ101" s="105">
        <v>0</v>
      </c>
      <c r="CK101" s="38" t="s">
        <v>234</v>
      </c>
      <c r="CL101" s="138">
        <f t="shared" ref="CL101:CL121" si="8">CJ101/1000</f>
        <v>0.0</v>
      </c>
      <c r="CM101" s="38" t="s">
        <v>160</v>
      </c>
      <c r="CN101" s="399">
        <f>Geometria!CM938</f>
        <v>0.0</v>
      </c>
      <c r="CO101" s="376" t="str">
        <f>IF(OR(AND(CP101&lt;Geometria!$L$1405/100,Geometria!$K$1405&gt;0),AND((Geometria!$L$29/100-CP101)&lt;Geometria!$R$1405/100,Geometria!$Q$1405&gt;0)),"Sim","Não")</f>
        <v>Sim</v>
      </c>
      <c r="CP101" s="395">
        <f>Geometria!$K$415</f>
        <v>-0.0</v>
      </c>
      <c r="CQ101" s="376" t="str">
        <f>IF(OR(AND(CP101&lt;Geometria!$L$1409/100,OR(Geometria!$K$1409&gt;0,Geometria!$K$1407&gt;0)),AND((Geometria!$L$29/100-CP101)&lt;Geometria!$R$1409/100,OR(Geometria!$Q$1409&gt;0,Geometria!$Q$1407&gt;0))),"Sim","Não")</f>
        <v>Não</v>
      </c>
      <c r="CR101" s="122" t="s">
        <v>429</v>
      </c>
      <c r="CS101" s="198" t="str">
        <f ca="1">IF(Geometria!$K$437&lt;Geometria!$N$1307/100,"Reduzir","OK")</f>
        <v>Reduzir</v>
      </c>
      <c r="CT101" s="396">
        <f t="shared" ref="CT101:CT120" ca="1" si="9">IF(CS101="Reduzir",CU101,CW101)</f>
        <v>0.0</v>
      </c>
      <c r="CU101" s="397">
        <v>0</v>
      </c>
      <c r="CV101" s="398">
        <v>0</v>
      </c>
      <c r="CW101" s="753">
        <f>Geometria!$C$913</f>
        <v>0.0</v>
      </c>
      <c r="CX101" s="753"/>
      <c r="CZ101">
        <v>0</v>
      </c>
      <c r="DA101">
        <v>0</v>
      </c>
      <c r="DB101" s="365"/>
      <c r="DF101" s="4" t="s">
        <v>429</v>
      </c>
      <c r="DG101" s="105">
        <v>0</v>
      </c>
      <c r="DH101" s="38" t="s">
        <v>234</v>
      </c>
      <c r="DI101" s="138">
        <f t="shared" ref="DI101:DI121" si="10">DG101/1000</f>
        <v>0.0</v>
      </c>
      <c r="DJ101" s="38" t="s">
        <v>160</v>
      </c>
      <c r="DK101" s="399">
        <f>Geometria!DJ938</f>
        <v>0.0</v>
      </c>
      <c r="EA101">
        <f>0</f>
        <v>0.0</v>
      </c>
      <c r="EB101">
        <f>Geometria!$C$913</f>
        <v>0.0</v>
      </c>
      <c r="EC101">
        <f ca="1">IF(AND('Aberturas na Alma'!$M$18="NÃO DISPENSADO — furo deve ser verificado (cálculo abaixo)",OR(AND(B101&gt;=('Aberturas na Alma'!$M$4-'Aberturas na Alma'!$M$7/2)/100,B101&lt;=('Aberturas na Alma'!$M$4+'Aberturas na Alma'!$M$7/2)/100),ABS(B101-'Aberturas na Alma'!$M$4/100)&lt;=Geometria!$L$29/4000)),IF(E101="Reduzir",EA101,EB101),F101)</f>
        <v>0.0</v>
      </c>
      <c r="ED101">
        <f>0</f>
        <v>0.0</v>
      </c>
      <c r="EE101">
        <f>Geometria!$C$913</f>
        <v>0.0</v>
      </c>
      <c r="EF101">
        <f ca="1">IF(AND('Aberturas na Alma'!$M$18="NÃO DISPENSADO — furo deve ser verificado (cálculo abaixo)",OR(AND(B101&gt;=('Aberturas na Alma'!$M$4-'Aberturas na Alma'!$M$7/2)/100,B101&lt;=('Aberturas na Alma'!$M$4+'Aberturas na Alma'!$M$7/2)/100),ABS(B101-'Aberturas na Alma'!$M$4/100)&lt;=Geometria!$L$29/4000)),IF(AB101="Reduzir",ED101,EE101),AC101)</f>
        <v>0.0</v>
      </c>
      <c r="EG101">
        <f>0</f>
        <v>0.0</v>
      </c>
      <c r="EH101">
        <f>Geometria!$C$913</f>
        <v>0.0</v>
      </c>
      <c r="EI101">
        <f ca="1">IF(AND('Aberturas na Alma'!$M$18="NÃO DISPENSADO — furo deve ser verificado (cálculo abaixo)",OR(AND(B101&gt;=('Aberturas na Alma'!$M$4-'Aberturas na Alma'!$M$7/2)/100,B101&lt;=('Aberturas na Alma'!$M$4+'Aberturas na Alma'!$M$7/2)/100),ABS(B101-'Aberturas na Alma'!$M$4/100)&lt;=Geometria!$L$29/4000)),IF(AY101="Reduzir",EG101,EH101),AZ101)</f>
        <v>0.0</v>
      </c>
      <c r="EJ101">
        <f>0</f>
        <v>0.0</v>
      </c>
      <c r="EK101">
        <f>Geometria!$C$913</f>
        <v>0.0</v>
      </c>
      <c r="EL101">
        <f ca="1">IF(AND('Aberturas na Alma'!$M$18="NÃO DISPENSADO — furo deve ser verificado (cálculo abaixo)",OR(AND(B101&gt;=('Aberturas na Alma'!$M$4-'Aberturas na Alma'!$M$7/2)/100,B101&lt;=('Aberturas na Alma'!$M$4+'Aberturas na Alma'!$M$7/2)/100),ABS(B101-'Aberturas na Alma'!$M$4/100)&lt;=Geometria!$L$29/4000)),IF(BV101="Reduzir",EJ101,EK101),BW101)</f>
        <v>0.0</v>
      </c>
      <c r="EM101">
        <f>0</f>
        <v>0.0</v>
      </c>
      <c r="EN101">
        <f>Geometria!$C$913</f>
        <v>0.0</v>
      </c>
      <c r="EO101">
        <f ca="1">IF(AND('Aberturas na Alma'!$M$18="NÃO DISPENSADO — furo deve ser verificado (cálculo abaixo)",OR(AND(B101&gt;=('Aberturas na Alma'!$M$4-'Aberturas na Alma'!$M$7/2)/100,B101&lt;=('Aberturas na Alma'!$M$4+'Aberturas na Alma'!$M$7/2)/100),ABS(B101-'Aberturas na Alma'!$M$4/100)&lt;=Geometria!$L$29/4000)),IF(CS101="Reduzir",EM101,EN101),CT101)</f>
        <v>0.0</v>
      </c>
      <c r="EP101" t="str">
        <f>IF(AND(Y101&lt;Geometria!$L$1409/100,OR(Geometria!$K$1409&gt;0,Geometria!$K$1407&gt;0)),"ESQ",IF(AND((Geometria!$L$29/100-Y101)&lt;Geometria!$R$1409/100,OR(Geometria!$Q$1409&gt;0,Geometria!$Q$1407&gt;0)),"DIR","N/A"))</f>
        <v>N/A</v>
      </c>
      <c r="EQ101" t="str">
        <f>IF(AND(Y101&lt;Geometria!$L$1405/100,Geometria!$K$1405&gt;0),"ESQ",IF(AND((Geometria!$L$29/100-Y101)&lt;Geometria!$R$1405/100,Geometria!$Q$1405&gt;0),"DIR","N/A"))</f>
        <v>ESQ</v>
      </c>
      <c r="ER101">
        <f ca="1">IF(EP101="DIR",Geometria!$L$1470,Geometria!$L$1452)</f>
        <v>1243.5596228306003</v>
      </c>
      <c r="ES101">
        <f ca="1">IF(EP101="DIR",Geometria!$L$1471,Geometria!$L$1453)</f>
        <v>233.16742928073757</v>
      </c>
      <c r="ET101">
        <f ca="1">IF(EQ101="DIR",Geometria!$L$1472,Geometria!$L$1454)</f>
        <v>621.7798114153002</v>
      </c>
      <c r="EU101">
        <f ca="1">IF(EQ101="DIR",Geometria!$L$1473,Geometria!$L$1455)</f>
        <v>177.20724625336052</v>
      </c>
      <c r="EV101" t="str">
        <f>IF(AND(B101&lt;Geometria!$L$1409/100,OR(Geometria!$K$1409&gt;0,Geometria!$K$1407&gt;0)),"ESQ",IF(AND((Geometria!$L$29/100-B101)&lt;Geometria!$R$1409/100,OR(Geometria!$Q$1409&gt;0,Geometria!$Q$1407&gt;0)),"DIR","N/A"))</f>
        <v>N/A</v>
      </c>
      <c r="EW101" t="str">
        <f>IF(AND(B101&lt;Geometria!$L$1405/100,Geometria!$K$1405&gt;0),"ESQ",IF(AND((Geometria!$L$29/100-B101)&lt;Geometria!$R$1405/100,Geometria!$Q$1405&gt;0),"DIR","N/A"))</f>
        <v>ESQ</v>
      </c>
      <c r="EX101">
        <f ca="1">IF(EV101="DIR",Geometria!$L$1465,Geometria!$L$1447)</f>
        <v>1499.8056003831216</v>
      </c>
      <c r="EY101">
        <f ca="1">IF(EV101="DIR",Geometria!$L$1466,Geometria!$L$1448)</f>
        <v>281.2135500718353</v>
      </c>
      <c r="EZ101">
        <f ca="1">IF(EW101="DIR",Geometria!$L$1467,Geometria!$L$1449)</f>
        <v>749.9028001915608</v>
      </c>
      <c r="FA101">
        <f ca="1">IF(EW101="DIR",Geometria!$L$1468,Geometria!$L$1450)</f>
        <v>213.72229805459483</v>
      </c>
    </row>
    <row r="102" spans="1:157" x14ac:dyDescent="0.25">
      <c r="A102" s="376" t="str">
        <f>IF(OR(AND(B102&lt;Geometria!$L$1405/100,Geometria!$K$1405&gt;0),AND((Geometria!$L$29/100-B102)&lt;Geometria!$R$1405/100,Geometria!$Q$1405&gt;0)),"Sim","Não")</f>
        <v>Sim</v>
      </c>
      <c r="B102" s="395">
        <f>Tensões!$C$63</f>
        <v>0.39249999999999996</v>
      </c>
      <c r="C102" s="376" t="str">
        <f>IF(OR(AND(B102&lt;Geometria!$L$1409/100,OR(Geometria!$K$1409&gt;0,Geometria!$K$1407&gt;0)),AND((Geometria!$L$29/100-B102)&lt;Geometria!$R$1409/100,OR(Geometria!$Q$1409&gt;0,Geometria!$Q$1407&gt;0))),"Sim","Não")</f>
        <v>Não</v>
      </c>
      <c r="D102" s="122" t="s">
        <v>430</v>
      </c>
      <c r="E102" s="198" t="str">
        <f ca="1">IF(Geometria!$L$437&lt;Geometria!$N$1307/100,"Reduzir","OK")</f>
        <v>Reduzir</v>
      </c>
      <c r="F102" s="396">
        <f t="shared" ca="1" si="1"/>
        <v>1922.4068198767982</v>
      </c>
      <c r="G102" s="397">
        <f ca="1">-L102/(Geometria!$L$48/100^2)+M102/(Geometria!$L$52/100^3)-Geometria!$L$898/(Geometria!$L$52/100^3)</f>
        <v>1922.4068198767982</v>
      </c>
      <c r="H102" s="400">
        <f ca="1">(((Geometria!$L$326*(Geometria!$L$897*100))/Geometria!$N$1307))</f>
        <v>48.97918844669016</v>
      </c>
      <c r="I102" s="743">
        <f ca="1">-(Geometria!$L$906-(Geometria!$L$906-EX102)*(1-(MIN(MIN(1,MAX(0,(B102-Geometria!$L$1409/100)/(Geometria!$N$1307/100))),MIN(1,MAX(0,((Geometria!$L$29/100-B102)-Geometria!$R$1409/100)/(Geometria!$N$1307/100))))))*(IF(OR(Geometria!$K$1409&gt;0,Geometria!$K$1407&gt;0,Geometria!$Q$1409&gt;0,Geometria!$Q$1407&gt;0),1,0))-(Geometria!$L$906-EZ102)*(1-(MIN(MIN(1,MAX(0,(B102-Geometria!$L$1405/100)/(Geometria!$N$1307/100))),MIN(1,MAX(0,((Geometria!$L$29/100-B102)-Geometria!$R$1405/100)/(Geometria!$N$1307/100))))))*(IF(OR(Geometria!$K$1405&gt;0,Geometria!$K$1403&gt;0,Geometria!$Q$1405&gt;0,Geometria!$Q$1403&gt;0),1,0)))/(Geometria!$L$48/100^2)+(Geometria!$L$907-(Geometria!$L$907-EY102)*(1-(MIN(MIN(1,MAX(0,(B102-Geometria!$L$1409/100)/(Geometria!$N$1307/100))),MIN(1,MAX(0,((Geometria!$L$29/100-B102)-Geometria!$R$1409/100)/(Geometria!$N$1307/100))))))*(IF(OR(Geometria!$K$1409&gt;0,Geometria!$K$1407&gt;0,Geometria!$Q$1409&gt;0,Geometria!$Q$1407&gt;0),1,0))-(Geometria!$L$907-FA102)*(1-(MIN(MIN(1,MAX(0,(B102-Geometria!$L$1405/100)/(Geometria!$N$1307/100))),MIN(1,MAX(0,((Geometria!$L$29/100-B102)-Geometria!$R$1405/100)/(Geometria!$N$1307/100))))))*(IF(OR(Geometria!$K$1405&gt;0,Geometria!$K$1403&gt;0,Geometria!$Q$1405&gt;0,Geometria!$Q$1403&gt;0),1,0)))/(Geometria!$L$52/100^3)-Geometria!$L$898/(Geometria!$L$52/100^3)</f>
        <v>7274.372082697988</v>
      </c>
      <c r="J102" s="743"/>
      <c r="L102" s="373">
        <f ca="1">(Geometria!$L$298-(Geometria!$L$298-IF(B102&lt;Geometria!$L$1409/100,Geometria!$L$1442,Geometria!$L$1460))*(1-(MIN(MIN(1,MAX(0,(B102-Geometria!$L$1409/100)/(Geometria!$N$1307/100))),MIN(1,MAX(0,((Geometria!$L$29/100-B102)-Geometria!$R$1409/100)/(Geometria!$N$1307/100))))))*(IF(OR(Geometria!$K$1409&gt;0,Geometria!$K$1407&gt;0,Geometria!$Q$1409&gt;0,Geometria!$Q$1407&gt;0),1,0))-(Geometria!$L$298-IF(B102&lt;Geometria!$L$1405/100,Geometria!$L$1444,Geometria!$L$1462))*(1-(MIN(MIN(1,MAX(0,(B102-Geometria!$L$1405/100)/(Geometria!$N$1307/100))),MIN(1,MAX(0,((Geometria!$L$29/100-B102)-Geometria!$R$1405/100)/(Geometria!$N$1307/100))))))*(IF(OR(Geometria!$K$1405&gt;0,Geometria!$K$1403&gt;0,Geometria!$Q$1405&gt;0,Geometria!$Q$1403&gt;0),1,0)))*H125+Geometria!$P$1429*H102</f>
        <v>229.17104489003975</v>
      </c>
      <c r="M102" s="373">
        <f ca="1">(Geometria!$L$298-(Geometria!$L$298-IF(B102&lt;Geometria!$L$1409/100,Geometria!$L$1442,Geometria!$L$1460))*(1-(MIN(MIN(1,MAX(0,(B102-Geometria!$L$1409/100)/(Geometria!$N$1307/100))),MIN(1,MAX(0,((Geometria!$L$29/100-B102)-Geometria!$R$1409/100)/(Geometria!$N$1307/100))))))*(IF(OR(Geometria!$K$1409&gt;0,Geometria!$K$1407&gt;0,Geometria!$Q$1409&gt;0,Geometria!$Q$1407&gt;0),1,0))-(Geometria!$L$298-IF(B102&lt;Geometria!$L$1405/100,Geometria!$L$1444,Geometria!$L$1462))*(1-(MIN(MIN(1,MAX(0,(B102-Geometria!$L$1405/100)/(Geometria!$N$1307/100))),MIN(1,MAX(0,((Geometria!$L$29/100-B102)-Geometria!$R$1405/100)/(Geometria!$N$1307/100))))))*(IF(OR(Geometria!$K$1405&gt;0,Geometria!$K$1403&gt;0,Geometria!$Q$1405&gt;0,Geometria!$Q$1403&gt;0),1,0)))*H125*(Geometria!$L$299-(Geometria!$L$299-IF(B102&lt;Geometria!$L$1409/100,Geometria!$L$1443,Geometria!$L$1461))*(1-(MIN(MIN(1,MAX(0,(B102-Geometria!$L$1409/100)/(Geometria!$N$1307/100))),MIN(1,MAX(0,((Geometria!$L$29/100-B102)-Geometria!$R$1409/100)/(Geometria!$N$1307/100))))))*(IF(OR(Geometria!$K$1409&gt;0,Geometria!$K$1407&gt;0,Geometria!$Q$1409&gt;0,Geometria!$Q$1407&gt;0),1,0))-(Geometria!$L$299-IF(B102&lt;Geometria!$L$1405/100,Geometria!$L$1445,Geometria!$L$1463))*(1-(MIN(MIN(1,MAX(0,(B102-Geometria!$L$1405/100)/(Geometria!$N$1307/100))),MIN(1,MAX(0,((Geometria!$L$29/100-B102)-Geometria!$R$1405/100)/(Geometria!$N$1307/100))))))*(IF(OR(Geometria!$K$1405&gt;0,Geometria!$K$1403&gt;0,Geometria!$Q$1405&gt;0,Geometria!$Q$1403&gt;0),1,0)))/100-Geometria!$P$1429*H102*Geometria!$L$1438/100</f>
        <v>65.31374779366134</v>
      </c>
      <c r="N102" s="365"/>
      <c r="O102" s="371">
        <f ca="1">(IF(C102="Sim",IF(A102="Sim",$E$93,EX102),IF(A102="Sim",EZ102,Geometria!$L$906)))</f>
        <v>749.9028001915608</v>
      </c>
      <c r="P102" s="371">
        <f ca="1">(IF(C102="Sim",IF(A102="Sim",$E$94,EY102),IF(A102="Sim",FA102,Geometria!$L$907)))</f>
        <v>213.72229805459483</v>
      </c>
      <c r="R102" s="4" t="s">
        <v>430</v>
      </c>
      <c r="S102" s="200">
        <f t="shared" ref="S102:S120" ca="1" si="11">F102</f>
        <v>1922.4068198767982</v>
      </c>
      <c r="T102" s="38" t="s">
        <v>234</v>
      </c>
      <c r="U102" s="201">
        <f t="shared" ca="1" si="2"/>
        <v>1.9224068198767983</v>
      </c>
      <c r="V102" s="38" t="s">
        <v>160</v>
      </c>
      <c r="W102" s="399">
        <f t="shared" ref="W102:W121" si="12">W101</f>
        <v>0.0</v>
      </c>
      <c r="X102" s="376" t="str">
        <f>IF(OR(AND(Y102&lt;Geometria!$L$1405/100,Geometria!$K$1405&gt;0),AND((Geometria!$L$29/100-Y102)&lt;Geometria!$R$1405/100,Geometria!$Q$1405&gt;0)),"Sim","Não")</f>
        <v>Sim</v>
      </c>
      <c r="Y102" s="395">
        <f>Geometria!$L$415</f>
        <v>0.39249999999999996</v>
      </c>
      <c r="Z102" s="376" t="str">
        <f>IF(OR(AND(Y102&lt;Geometria!$L$1409/100,OR(Geometria!$K$1409&gt;0,Geometria!$K$1407&gt;0)),AND((Geometria!$L$29/100-Y102)&lt;Geometria!$R$1409/100,OR(Geometria!$Q$1409&gt;0,Geometria!$Q$1407&gt;0))),"Sim","Não")</f>
        <v>Não</v>
      </c>
      <c r="AA102" s="122" t="s">
        <v>430</v>
      </c>
      <c r="AB102" s="198" t="str">
        <f ca="1">IF(Geometria!$L$437&lt;Geometria!$N$1307/100,"Reduzir","OK")</f>
        <v>Reduzir</v>
      </c>
      <c r="AC102" s="401">
        <f t="shared" ca="1" si="3"/>
        <v>-1066.7546836851948</v>
      </c>
      <c r="AD102" s="402">
        <f ca="1">-(AI102/(Geometria!$L$48/100^2))+(AJ102/(Geometria!$L$52/100^3))-((Geometria!$L$416)/(Geometria!$L$52/100^3))-((Geometria!$L$427)/(Geometria!$M$52))-((Geometria!$L$76*Geometria!$L$438)/(Geometria!$M$52))</f>
        <v>-1066.7546836851948</v>
      </c>
      <c r="AE102" s="400">
        <f ca="1">(((Geometria!$N$369*(Geometria!$L$897*100))/Geometria!$N$1307))</f>
        <v>41.38750808216955</v>
      </c>
      <c r="AF102" s="754">
        <f ca="1">-((Geometria!$L$373-(Geometria!$L$373-ER102)*(1-(MIN(MIN(1,MAX(0,(Y102-Geometria!$L$1409/100)/(Geometria!$N$1307/100))),MIN(1,MAX(0,((Geometria!$L$29/100-Y102)-Geometria!$R$1409/100)/(Geometria!$N$1307/100))))))*(IF(OR(Geometria!$K$1409&gt;0,Geometria!$K$1407&gt;0,Geometria!$Q$1409&gt;0,Geometria!$Q$1407&gt;0),1,0))-(Geometria!$L$373-ET102)*(1-(MIN(MIN(1,MAX(0,(Y102-Geometria!$L$1405/100)/(Geometria!$N$1307/100))),MIN(1,MAX(0,((Geometria!$L$29/100-Y102)-Geometria!$R$1405/100)/(Geometria!$N$1307/100))))))*(IF(OR(Geometria!$K$1405&gt;0,Geometria!$K$1403&gt;0,Geometria!$Q$1405&gt;0,Geometria!$Q$1403&gt;0),1,0))))/(Geometria!$L$48/100^2)+((Geometria!$L$374-(Geometria!$L$374-ES102)*(1-(MIN(MIN(1,MAX(0,(Y102-Geometria!$L$1409/100)/(Geometria!$N$1307/100))),MIN(1,MAX(0,((Geometria!$L$29/100-Y102)-Geometria!$R$1409/100)/(Geometria!$N$1307/100))))))*(IF(OR(Geometria!$K$1409&gt;0,Geometria!$K$1407&gt;0,Geometria!$Q$1409&gt;0,Geometria!$Q$1407&gt;0),1,0))-(Geometria!$L$374-EU102)*(1-(MIN(MIN(1,MAX(0,(Y102-Geometria!$L$1405/100)/(Geometria!$N$1307/100))),MIN(1,MAX(0,((Geometria!$L$29/100-Y102)-Geometria!$R$1405/100)/(Geometria!$N$1307/100))))))*(IF(OR(Geometria!$K$1405&gt;0,Geometria!$K$1403&gt;0,Geometria!$Q$1405&gt;0,Geometria!$Q$1403&gt;0),1,0))))/(Geometria!$L$52/100^3)-((Geometria!$L$416)/(Geometria!$L$52/100^3))-((Geometria!$L$427)/(Geometria!$M$52))-((Geometria!$L$76*Geometria!$L$438)/(Geometria!$M$52))</f>
        <v>3338.5251890025543</v>
      </c>
      <c r="AG102" s="754"/>
      <c r="AI102" s="373">
        <f ca="1">(IF(Z102="Sim",IF(X102="Sim",IF(Y102&lt;Geometria!$L$1405/100,Geometria!$L$1435,Geometria!$L$1476),IF(Y102&lt;Geometria!$L$1409/100,Geometria!$L$1442,Geometria!$L$1460)),IF(X102="Sim",IF(Y102&lt;Geometria!$L$1405/100,Geometria!$L$1444,Geometria!$L$1462),Geometria!$L$298)))*AE125+Geometria!$P$1429*AE102</f>
        <v>193.1579859646002</v>
      </c>
      <c r="AJ102" s="373">
        <f ca="1">(IF(Z102="Sim",IF(X102="Sim",IF(Y102&lt;Geometria!$L$1405/100,Geometria!$L$1435,Geometria!$L$1476),IF(Y102&lt;Geometria!$L$1409/100,Geometria!$L$1442,Geometria!$L$1460)),IF(X102="Sim",IF(Y102&lt;Geometria!$L$1405/100,Geometria!$L$1444,Geometria!$L$1462),Geometria!$L$298)))*AE125*(IF(Z102="Sim",IF(X102="Sim",IF(Y102&lt;Geometria!$L$1405/100,Geometria!$L$1436,Geometria!$L$1484),IF(Y102&lt;Geometria!$L$1409/100,Geometria!$L$1443,Geometria!$L$1461)),IF(X102="Sim",IF(Y102&lt;Geometria!$L$1405/100,Geometria!$L$1445,Geometria!$L$1463),Geometria!$L$299)))/100-Geometria!$P$1429*AE102*Geometria!$L$1438/100</f>
        <v>55.05002599991105</v>
      </c>
      <c r="AK102" s="365"/>
      <c r="AL102" s="371">
        <f ca="1">(IF(Z102="Sim",IF(X102="Sim",$AB$93,ER102),IF(X102="Sim",ET102,Geometria!$L$373)))</f>
        <v>621.7798114153002</v>
      </c>
      <c r="AM102" s="371">
        <f ca="1">(IF(Z102="Sim",IF(X102="Sim",$AB$94,ES102),IF(X102="Sim",EU102,Geometria!$L$374)))</f>
        <v>177.20724625336052</v>
      </c>
      <c r="AO102" s="4" t="s">
        <v>430</v>
      </c>
      <c r="AP102" s="200">
        <f t="shared" ref="AP102:AP120" ca="1" si="13">AC102</f>
        <v>-1066.7546836851948</v>
      </c>
      <c r="AQ102" s="38" t="s">
        <v>234</v>
      </c>
      <c r="AR102" s="201">
        <f t="shared" ca="1" si="4"/>
        <v>-1.0667546836851949</v>
      </c>
      <c r="AS102" s="38" t="s">
        <v>160</v>
      </c>
      <c r="AT102" s="399">
        <f t="shared" ref="AT102:AT121" si="14">AT101</f>
        <v>0.0</v>
      </c>
      <c r="AU102" s="376" t="str">
        <f>IF(OR(AND(AV102&lt;Geometria!$L$1405/100,Geometria!$K$1405&gt;0),AND((Geometria!$L$29/100-AV102)&lt;Geometria!$R$1405/100,Geometria!$Q$1405&gt;0)),"Sim","Não")</f>
        <v>Sim</v>
      </c>
      <c r="AV102" s="395">
        <f>Geometria!$L$415</f>
        <v>0.39249999999999996</v>
      </c>
      <c r="AW102" s="376" t="str">
        <f>IF(OR(AND(AV102&lt;Geometria!$L$1409/100,OR(Geometria!$K$1409&gt;0,Geometria!$K$1407&gt;0)),AND((Geometria!$L$29/100-AV102)&lt;Geometria!$R$1409/100,OR(Geometria!$Q$1409&gt;0,Geometria!$Q$1407&gt;0))),"Sim","Não")</f>
        <v>Não</v>
      </c>
      <c r="AX102" s="122" t="s">
        <v>430</v>
      </c>
      <c r="AY102" s="198" t="str">
        <f ca="1">IF(Geometria!$L$437&lt;Geometria!$N$1307/100,"Reduzir","OK")</f>
        <v>Reduzir</v>
      </c>
      <c r="AZ102" s="401">
        <f t="shared" ca="1" si="5"/>
        <v>-1066.7546836851948</v>
      </c>
      <c r="BA102" s="402">
        <f ca="1">-(BF102/(Geometria!$L$48/100^2))+(BG102/(Geometria!$L$52/100^3))-((Geometria!$L$416)/(Geometria!$L$52/100^3))-((Geometria!$L$427)/(Geometria!$M$52))-((Geometria!$L$76*Geometria!$L$438)/(Geometria!$M$52))</f>
        <v>-1066.7546836851948</v>
      </c>
      <c r="BB102" s="400">
        <f ca="1">(((Geometria!$N$369*(Geometria!$L$897*100))/Geometria!$N$1307))</f>
        <v>41.38750808216955</v>
      </c>
      <c r="BC102" s="754">
        <f ca="1">-((Geometria!$L$373-(Geometria!$L$373-ER102)*(1-(MIN(MIN(1,MAX(0,(AV102-Geometria!$L$1409/100)/(Geometria!$N$1307/100))),MIN(1,MAX(0,((Geometria!$L$29/100-AV102)-Geometria!$R$1409/100)/(Geometria!$N$1307/100))))))*(IF(OR(Geometria!$K$1409&gt;0,Geometria!$K$1407&gt;0,Geometria!$Q$1409&gt;0,Geometria!$Q$1407&gt;0),1,0))-(Geometria!$L$373-ET102)*(1-(MIN(MIN(1,MAX(0,(AV102-Geometria!$L$1405/100)/(Geometria!$N$1307/100))),MIN(1,MAX(0,((Geometria!$L$29/100-AV102)-Geometria!$R$1405/100)/(Geometria!$N$1307/100))))))*(IF(OR(Geometria!$K$1405&gt;0,Geometria!$K$1403&gt;0,Geometria!$Q$1405&gt;0,Geometria!$Q$1403&gt;0),1,0))))/(Geometria!$L$48/100^2)+((Geometria!$L$374-(Geometria!$L$374-ES102)*(1-(MIN(MIN(1,MAX(0,(AV102-Geometria!$L$1409/100)/(Geometria!$N$1307/100))),MIN(1,MAX(0,((Geometria!$L$29/100-AV102)-Geometria!$R$1409/100)/(Geometria!$N$1307/100))))))*(IF(OR(Geometria!$K$1409&gt;0,Geometria!$K$1407&gt;0,Geometria!$Q$1409&gt;0,Geometria!$Q$1407&gt;0),1,0))-(Geometria!$L$374-EU102)*(1-(MIN(MIN(1,MAX(0,(AV102-Geometria!$L$1405/100)/(Geometria!$N$1307/100))),MIN(1,MAX(0,((Geometria!$L$29/100-AV102)-Geometria!$R$1405/100)/(Geometria!$N$1307/100))))))*(IF(OR(Geometria!$K$1405&gt;0,Geometria!$K$1403&gt;0,Geometria!$Q$1405&gt;0,Geometria!$Q$1403&gt;0),1,0))))/(Geometria!$L$52/100^3)-((Geometria!$L$416)/(Geometria!$L$52/100^3))-((Geometria!$L$427)/(Geometria!$M$52))</f>
        <v>3338.5270944397375</v>
      </c>
      <c r="BD102" s="754"/>
      <c r="BF102" s="373">
        <f ca="1">(Geometria!$L$298-(Geometria!$L$298-IF(AV102&lt;Geometria!$L$1409/100,Geometria!$L$1442,Geometria!$L$1460))*(1-(MIN(MIN(1,MAX(0,(AV102-Geometria!$L$1409/100)/(Geometria!$N$1307/100))),MIN(1,MAX(0,((Geometria!$L$29/100-AV102)-Geometria!$R$1409/100)/(Geometria!$N$1307/100))))))*(IF(OR(Geometria!$K$1409&gt;0,Geometria!$K$1407&gt;0,Geometria!$Q$1409&gt;0,Geometria!$Q$1407&gt;0),1,0))-(Geometria!$L$298-IF(AV102&lt;Geometria!$L$1405/100,Geometria!$L$1444,Geometria!$L$1462))*(1-(MIN(MIN(1,MAX(0,(AV102-Geometria!$L$1405/100)/(Geometria!$N$1307/100))),MIN(1,MAX(0,((Geometria!$L$29/100-AV102)-Geometria!$R$1405/100)/(Geometria!$N$1307/100))))))*(IF(OR(Geometria!$K$1405&gt;0,Geometria!$K$1403&gt;0,Geometria!$Q$1405&gt;0,Geometria!$Q$1403&gt;0),1,0)))*BB125+Geometria!$P$1429*BB102</f>
        <v>193.1579859646002</v>
      </c>
      <c r="BG102" s="373">
        <f ca="1">(Geometria!$L$298-(Geometria!$L$298-IF(AV102&lt;Geometria!$L$1409/100,Geometria!$L$1442,Geometria!$L$1460))*(1-(MIN(MIN(1,MAX(0,(AV102-Geometria!$L$1409/100)/(Geometria!$N$1307/100))),MIN(1,MAX(0,((Geometria!$L$29/100-AV102)-Geometria!$R$1409/100)/(Geometria!$N$1307/100))))))*(IF(OR(Geometria!$K$1409&gt;0,Geometria!$K$1407&gt;0,Geometria!$Q$1409&gt;0,Geometria!$Q$1407&gt;0),1,0))-(Geometria!$L$298-IF(AV102&lt;Geometria!$L$1405/100,Geometria!$L$1444,Geometria!$L$1462))*(1-(MIN(MIN(1,MAX(0,(AV102-Geometria!$L$1405/100)/(Geometria!$N$1307/100))),MIN(1,MAX(0,((Geometria!$L$29/100-AV102)-Geometria!$R$1405/100)/(Geometria!$N$1307/100))))))*(IF(OR(Geometria!$K$1405&gt;0,Geometria!$K$1403&gt;0,Geometria!$Q$1405&gt;0,Geometria!$Q$1403&gt;0),1,0)))*BB125*(Geometria!$L$299-(Geometria!$L$299-IF(AV102&lt;Geometria!$L$1409/100,Geometria!$L$1443,Geometria!$L$1461))*(1-(MIN(MIN(1,MAX(0,(AV102-Geometria!$L$1409/100)/(Geometria!$N$1307/100))),MIN(1,MAX(0,((Geometria!$L$29/100-AV102)-Geometria!$R$1409/100)/(Geometria!$N$1307/100))))))*(IF(OR(Geometria!$K$1409&gt;0,Geometria!$K$1407&gt;0,Geometria!$Q$1409&gt;0,Geometria!$Q$1407&gt;0),1,0))-(Geometria!$L$299-IF(AV102&lt;Geometria!$L$1405/100,Geometria!$L$1445,Geometria!$L$1463))*(1-(MIN(MIN(1,MAX(0,(AV102-Geometria!$L$1405/100)/(Geometria!$N$1307/100))),MIN(1,MAX(0,((Geometria!$L$29/100-AV102)-Geometria!$R$1405/100)/(Geometria!$N$1307/100))))))*(IF(OR(Geometria!$K$1405&gt;0,Geometria!$K$1403&gt;0,Geometria!$Q$1405&gt;0,Geometria!$Q$1403&gt;0),1,0)))/100-Geometria!$P$1429*BB102*Geometria!$L$1438/100</f>
        <v>55.05002599991105</v>
      </c>
      <c r="BH102" s="365"/>
      <c r="BI102" s="371">
        <f ca="1">(IF(AW102="Sim",IF(AU102="Sim",$AB$93,ER102),IF(AU102="Sim",ET102,Geometria!$L$373)))</f>
        <v>621.7798114153002</v>
      </c>
      <c r="BJ102" s="371">
        <f ca="1">(IF(AW102="Sim",IF(AU102="Sim",$AB$94,ES102),IF(AU102="Sim",EU102,Geometria!$L$374)))</f>
        <v>177.20724625336052</v>
      </c>
      <c r="BL102" s="4" t="s">
        <v>430</v>
      </c>
      <c r="BM102" s="200">
        <f t="shared" ref="BM102:BM120" ca="1" si="15">AZ102</f>
        <v>-1066.7546836851948</v>
      </c>
      <c r="BN102" s="38" t="s">
        <v>234</v>
      </c>
      <c r="BO102" s="201">
        <f t="shared" ca="1" si="6"/>
        <v>-1.0667546836851949</v>
      </c>
      <c r="BP102" s="38" t="s">
        <v>160</v>
      </c>
      <c r="BQ102" s="399">
        <f t="shared" ref="BQ102:BQ121" si="16">BQ101</f>
        <v>0.0</v>
      </c>
      <c r="BR102" s="376" t="str">
        <f>IF(OR(AND(BS102&lt;Geometria!$L$1405/100,Geometria!$K$1405&gt;0),AND((Geometria!$L$29/100-BS102)&lt;Geometria!$R$1405/100,Geometria!$Q$1405&gt;0)),"Sim","Não")</f>
        <v>Sim</v>
      </c>
      <c r="BS102" s="395">
        <f>Geometria!$L$415</f>
        <v>0.39249999999999996</v>
      </c>
      <c r="BT102" s="376" t="str">
        <f>IF(OR(AND(BS102&lt;Geometria!$L$1409/100,OR(Geometria!$K$1409&gt;0,Geometria!$K$1407&gt;0)),AND((Geometria!$L$29/100-BS102)&lt;Geometria!$R$1409/100,OR(Geometria!$Q$1409&gt;0,Geometria!$Q$1407&gt;0))),"Sim","Não")</f>
        <v>Não</v>
      </c>
      <c r="BU102" s="122" t="s">
        <v>430</v>
      </c>
      <c r="BV102" s="198" t="str">
        <f ca="1">IF(Geometria!$L$437&lt;Geometria!$N$1307/100,"Reduzir","OK")</f>
        <v>Reduzir</v>
      </c>
      <c r="BW102" s="401">
        <f t="shared" ca="1" si="7"/>
        <v>-1066.7546836851948</v>
      </c>
      <c r="BX102" s="402">
        <f ca="1">-(CC102/(Geometria!$L$48/100^2))+(CD102/(Geometria!$L$52/100^3))-((Geometria!$L$416)/(Geometria!$L$52/100^3))-((Geometria!$L$427)/(Geometria!$M$52))-((Geometria!$L$76*Geometria!$L$438)/(Geometria!$M$52))</f>
        <v>-1066.7546836851948</v>
      </c>
      <c r="BY102" s="400">
        <f ca="1">(((Geometria!$N$369*(Geometria!$L$897*100))/Geometria!$N$1307))</f>
        <v>41.38750808216955</v>
      </c>
      <c r="BZ102" s="751">
        <f ca="1">-((Geometria!$L$373-(Geometria!$L$373-ER102)*(1-(MIN(MIN(1,MAX(0,(BS102-Geometria!$L$1409/100)/(Geometria!$N$1307/100))),MIN(1,MAX(0,((Geometria!$L$29/100-BS102)-Geometria!$R$1409/100)/(Geometria!$N$1307/100))))))*(IF(OR(Geometria!$K$1409&gt;0,Geometria!$K$1407&gt;0,Geometria!$Q$1409&gt;0,Geometria!$Q$1407&gt;0),1,0))-(Geometria!$L$373-ET102)*(1-(MIN(MIN(1,MAX(0,(BS102-Geometria!$L$1405/100)/(Geometria!$N$1307/100))),MIN(1,MAX(0,((Geometria!$L$29/100-BS102)-Geometria!$R$1405/100)/(Geometria!$N$1307/100))))))*(IF(OR(Geometria!$K$1405&gt;0,Geometria!$K$1403&gt;0,Geometria!$Q$1405&gt;0,Geometria!$Q$1403&gt;0),1,0))))/(Geometria!$L$48/100^2)+((Geometria!$L$374-(Geometria!$L$374-ES102)*(1-(MIN(MIN(1,MAX(0,(BS102-Geometria!$L$1409/100)/(Geometria!$N$1307/100))),MIN(1,MAX(0,((Geometria!$L$29/100-BS102)-Geometria!$R$1409/100)/(Geometria!$N$1307/100))))))*(IF(OR(Geometria!$K$1409&gt;0,Geometria!$K$1407&gt;0,Geometria!$Q$1409&gt;0,Geometria!$Q$1407&gt;0),1,0))-(Geometria!$L$374-EU102)*(1-(MIN(MIN(1,MAX(0,(BS102-Geometria!$L$1405/100)/(Geometria!$N$1307/100))),MIN(1,MAX(0,((Geometria!$L$29/100-BS102)-Geometria!$R$1405/100)/(Geometria!$N$1307/100))))))*(IF(OR(Geometria!$K$1405&gt;0,Geometria!$K$1403&gt;0,Geometria!$Q$1405&gt;0,Geometria!$Q$1403&gt;0),1,0))))/(Geometria!$L$52/100^3)-((Geometria!$L$673)/(Geometria!$L$52/100^3))-((Geometria!$L$684)/(Geometria!$M$52))-((Geometria!$L$77*Geometria!$L$695)/(Geometria!$M$52))</f>
        <v>3338.525824148282</v>
      </c>
      <c r="CA102" s="751"/>
      <c r="CC102" s="373">
        <f ca="1">(Geometria!$L$298-(Geometria!$L$298-IF(BS102&lt;Geometria!$L$1409/100,Geometria!$L$1442,Geometria!$L$1460))*(1-(MIN(MIN(1,MAX(0,(BS102-Geometria!$L$1409/100)/(Geometria!$N$1307/100))),MIN(1,MAX(0,((Geometria!$L$29/100-BS102)-Geometria!$R$1409/100)/(Geometria!$N$1307/100))))))*(IF(OR(Geometria!$K$1409&gt;0,Geometria!$K$1407&gt;0,Geometria!$Q$1409&gt;0,Geometria!$Q$1407&gt;0),1,0))-(Geometria!$L$298-IF(BS102&lt;Geometria!$L$1405/100,Geometria!$L$1444,Geometria!$L$1462))*(1-(MIN(MIN(1,MAX(0,(BS102-Geometria!$L$1405/100)/(Geometria!$N$1307/100))),MIN(1,MAX(0,((Geometria!$L$29/100-BS102)-Geometria!$R$1405/100)/(Geometria!$N$1307/100))))))*(IF(OR(Geometria!$K$1405&gt;0,Geometria!$K$1403&gt;0,Geometria!$Q$1405&gt;0,Geometria!$Q$1403&gt;0),1,0)))*BY125+Geometria!$P$1429*BY102</f>
        <v>193.1579859646002</v>
      </c>
      <c r="CD102" s="373">
        <f ca="1">(Geometria!$L$298-(Geometria!$L$298-IF(BS102&lt;Geometria!$L$1409/100,Geometria!$L$1442,Geometria!$L$1460))*(1-(MIN(MIN(1,MAX(0,(BS102-Geometria!$L$1409/100)/(Geometria!$N$1307/100))),MIN(1,MAX(0,((Geometria!$L$29/100-BS102)-Geometria!$R$1409/100)/(Geometria!$N$1307/100))))))*(IF(OR(Geometria!$K$1409&gt;0,Geometria!$K$1407&gt;0,Geometria!$Q$1409&gt;0,Geometria!$Q$1407&gt;0),1,0))-(Geometria!$L$298-IF(BS102&lt;Geometria!$L$1405/100,Geometria!$L$1444,Geometria!$L$1462))*(1-(MIN(MIN(1,MAX(0,(BS102-Geometria!$L$1405/100)/(Geometria!$N$1307/100))),MIN(1,MAX(0,((Geometria!$L$29/100-BS102)-Geometria!$R$1405/100)/(Geometria!$N$1307/100))))))*(IF(OR(Geometria!$K$1405&gt;0,Geometria!$K$1403&gt;0,Geometria!$Q$1405&gt;0,Geometria!$Q$1403&gt;0),1,0)))*BY125*(Geometria!$L$299-(Geometria!$L$299-IF(BS102&lt;Geometria!$L$1409/100,Geometria!$L$1443,Geometria!$L$1461))*(1-(MIN(MIN(1,MAX(0,(BS102-Geometria!$L$1409/100)/(Geometria!$N$1307/100))),MIN(1,MAX(0,((Geometria!$L$29/100-BS102)-Geometria!$R$1409/100)/(Geometria!$N$1307/100))))))*(IF(OR(Geometria!$K$1409&gt;0,Geometria!$K$1407&gt;0,Geometria!$Q$1409&gt;0,Geometria!$Q$1407&gt;0),1,0))-(Geometria!$L$299-IF(BS102&lt;Geometria!$L$1405/100,Geometria!$L$1445,Geometria!$L$1463))*(1-(MIN(MIN(1,MAX(0,(BS102-Geometria!$L$1405/100)/(Geometria!$N$1307/100))),MIN(1,MAX(0,((Geometria!$L$29/100-BS102)-Geometria!$R$1405/100)/(Geometria!$N$1307/100))))))*(IF(OR(Geometria!$K$1405&gt;0,Geometria!$K$1403&gt;0,Geometria!$Q$1405&gt;0,Geometria!$Q$1403&gt;0),1,0)))/100-Geometria!$P$1429*BY102*Geometria!$L$1438/100</f>
        <v>55.05002599991105</v>
      </c>
      <c r="CE102" s="365"/>
      <c r="CF102" s="371">
        <f ca="1">(IF(BT102="Sim",IF(BR102="Sim",$AB$93,ER102),IF(BR102="Sim",ET102,Geometria!$L$373)))</f>
        <v>621.7798114153002</v>
      </c>
      <c r="CG102" s="371">
        <f ca="1">(IF(BT102="Sim",IF(BR102="Sim",$AB$94,ES102),IF(BR102="Sim",EU102,Geometria!$L$374)))</f>
        <v>177.20724625336052</v>
      </c>
      <c r="CI102" s="4" t="s">
        <v>430</v>
      </c>
      <c r="CJ102" s="200">
        <f t="shared" ref="CJ102:CJ120" ca="1" si="17">BW102</f>
        <v>-1066.7546836851948</v>
      </c>
      <c r="CK102" s="38" t="s">
        <v>234</v>
      </c>
      <c r="CL102" s="201">
        <f t="shared" ca="1" si="8"/>
        <v>-1.0667546836851949</v>
      </c>
      <c r="CM102" s="38" t="s">
        <v>160</v>
      </c>
      <c r="CN102" s="399">
        <f t="shared" ref="CN102:CN121" si="18">CN101</f>
        <v>0.0</v>
      </c>
      <c r="CO102" s="376" t="str">
        <f>IF(OR(AND(CP102&lt;Geometria!$L$1405/100,Geometria!$K$1405&gt;0),AND((Geometria!$L$29/100-CP102)&lt;Geometria!$R$1405/100,Geometria!$Q$1405&gt;0)),"Sim","Não")</f>
        <v>Sim</v>
      </c>
      <c r="CP102" s="395">
        <f>Geometria!$L$415</f>
        <v>0.39249999999999996</v>
      </c>
      <c r="CQ102" s="376" t="str">
        <f>IF(OR(AND(CP102&lt;Geometria!$L$1409/100,OR(Geometria!$K$1409&gt;0,Geometria!$K$1407&gt;0)),AND((Geometria!$L$29/100-CP102)&lt;Geometria!$R$1409/100,OR(Geometria!$Q$1409&gt;0,Geometria!$Q$1407&gt;0))),"Sim","Não")</f>
        <v>Não</v>
      </c>
      <c r="CR102" s="122" t="s">
        <v>430</v>
      </c>
      <c r="CS102" s="198" t="str">
        <f ca="1">IF(Geometria!$L$437&lt;Geometria!$N$1307/100,"Reduzir","OK")</f>
        <v>Reduzir</v>
      </c>
      <c r="CT102" s="401">
        <f t="shared" ca="1" si="9"/>
        <v>-1066.7546836851948</v>
      </c>
      <c r="CU102" s="402">
        <f ca="1">-(CZ102/(Geometria!$L$48/100^2))+(DA102/(Geometria!$L$52/100^3))-((Geometria!$L$416)/(Geometria!$L$52/100^3))-((Geometria!$L$427)/(Geometria!$M$52))-((Geometria!$L$76*Geometria!$L$438)/(Geometria!$M$52))</f>
        <v>-1066.7546836851948</v>
      </c>
      <c r="CV102" s="400">
        <f ca="1">(((Geometria!$N$369*(Geometria!$L$897*100))/Geometria!$N$1307))</f>
        <v>41.38750808216955</v>
      </c>
      <c r="CW102" s="751">
        <f ca="1">-((Geometria!$L$373-(Geometria!$L$373-ER102)*(1-(MIN(MIN(1,MAX(0,(CP102-Geometria!$L$1409/100)/(Geometria!$N$1307/100))),MIN(1,MAX(0,((Geometria!$L$29/100-CP102)-Geometria!$R$1409/100)/(Geometria!$N$1307/100))))))*(IF(OR(Geometria!$K$1409&gt;0,Geometria!$K$1407&gt;0,Geometria!$Q$1409&gt;0,Geometria!$Q$1407&gt;0),1,0))-(Geometria!$L$373-ET102)*(1-(MIN(MIN(1,MAX(0,(CP102-Geometria!$L$1405/100)/(Geometria!$N$1307/100))),MIN(1,MAX(0,((Geometria!$L$29/100-CP102)-Geometria!$R$1405/100)/(Geometria!$N$1307/100))))))*(IF(OR(Geometria!$K$1405&gt;0,Geometria!$K$1403&gt;0,Geometria!$Q$1405&gt;0,Geometria!$Q$1403&gt;0),1,0))))/(Geometria!$L$48/100^2)+((Geometria!$L$374-(Geometria!$L$374-ES102)*(1-(MIN(MIN(1,MAX(0,(CP102-Geometria!$L$1409/100)/(Geometria!$N$1307/100))),MIN(1,MAX(0,((Geometria!$L$29/100-CP102)-Geometria!$R$1409/100)/(Geometria!$N$1307/100))))))*(IF(OR(Geometria!$K$1409&gt;0,Geometria!$K$1407&gt;0,Geometria!$Q$1409&gt;0,Geometria!$Q$1407&gt;0),1,0))-(Geometria!$L$374-EU102)*(1-(MIN(MIN(1,MAX(0,(CP102-Geometria!$L$1405/100)/(Geometria!$N$1307/100))),MIN(1,MAX(0,((Geometria!$L$29/100-CP102)-Geometria!$R$1405/100)/(Geometria!$N$1307/100))))))*(IF(OR(Geometria!$K$1405&gt;0,Geometria!$K$1403&gt;0,Geometria!$Q$1405&gt;0,Geometria!$Q$1403&gt;0),1,0))))/(Geometria!$L$52/100^3)-((Geometria!$L$673)/(Geometria!$L$52/100^3))-((Geometria!$L$684)/(Geometria!$M$52))</f>
        <v>3338.5270944397375</v>
      </c>
      <c r="CX102" s="751"/>
      <c r="CZ102" s="373">
        <f ca="1">(IF(CQ102="Sim",IF(CO102="Sim",IF(CP102&lt;Geometria!$L$1405/100,Geometria!$L$1435,Geometria!$L$1476),IF(CP102&lt;Geometria!$L$1409/100,Geometria!$L$1442,Geometria!$L$1460)),IF(CO102="Sim",IF(CP102&lt;Geometria!$L$1405/100,Geometria!$L$1444,Geometria!$L$1462),Geometria!$L$298)))*CV125+Geometria!$P$1429*CV102</f>
        <v>193.1579859646002</v>
      </c>
      <c r="DA102" s="373">
        <f ca="1">(IF(CQ102="Sim",IF(CO102="Sim",IF(CP102&lt;Geometria!$L$1405/100,Geometria!$L$1435,Geometria!$L$1476),IF(CP102&lt;Geometria!$L$1409/100,Geometria!$L$1442,Geometria!$L$1460)),IF(CO102="Sim",IF(CP102&lt;Geometria!$L$1405/100,Geometria!$L$1444,Geometria!$L$1462),Geometria!$L$298)))*CV125*(IF(CQ102="Sim",IF(CO102="Sim",IF(CP102&lt;Geometria!$L$1405/100,Geometria!$L$1436,Geometria!$L$1484),IF(CP102&lt;Geometria!$L$1409/100,Geometria!$L$1443,Geometria!$L$1461)),IF(CO102="Sim",IF(CP102&lt;Geometria!$L$1405/100,Geometria!$L$1445,Geometria!$L$1463),Geometria!$L$299)))/100-Geometria!$P$1429*CV102*Geometria!$L$1438/100</f>
        <v>55.05002599991105</v>
      </c>
      <c r="DB102" s="365"/>
      <c r="DC102" s="371">
        <f ca="1">(IF(CQ102="Sim",IF(CO102="Sim",$AB$93,ER102),IF(CO102="Sim",ET102,Geometria!$L$373)))</f>
        <v>621.7798114153002</v>
      </c>
      <c r="DD102" s="371">
        <f ca="1">(IF(CQ102="Sim",IF(CO102="Sim",$AB$94,ES102),IF(CO102="Sim",EU102,Geometria!$L$374)))</f>
        <v>177.20724625336052</v>
      </c>
      <c r="DF102" s="4" t="s">
        <v>430</v>
      </c>
      <c r="DG102" s="200">
        <f t="shared" ref="DG102:DG120" ca="1" si="19">CT102</f>
        <v>-1066.7546836851948</v>
      </c>
      <c r="DH102" s="38" t="s">
        <v>234</v>
      </c>
      <c r="DI102" s="201">
        <f t="shared" ca="1" si="10"/>
        <v>-1.0667546836851949</v>
      </c>
      <c r="DJ102" s="38" t="s">
        <v>160</v>
      </c>
      <c r="DK102" s="399">
        <f t="shared" ref="DK102:DK121" si="20">DK101</f>
        <v>0.0</v>
      </c>
      <c r="EA102">
        <f ca="1">-L102/('Aberturas na Alma'!$M$112/100^2)+M102/('Aberturas na Alma'!$M$119/100^3)-Geometria!$L$898/('Aberturas na Alma'!$M$119/100^3)</f>
        <v>1635.9302323125173</v>
      </c>
      <c r="EB102">
        <f ca="1">-(IF(C102="Sim",IF(A102="Sim",$E$93,EX102),IF(A102="Sim",EZ102,Geometria!$L$906)))/('Aberturas na Alma'!$M$112/100^2)+(IF(C102="Sim",IF(A102="Sim",$E$94,EY102),IF(A102="Sim",FA102,Geometria!$L$907)))/('Aberturas na Alma'!$M$119/100^3)-Geometria!$L$898/('Aberturas na Alma'!$M$119/100^3)</f>
        <v>6379.410180840877</v>
      </c>
      <c r="EC102">
        <f ca="1">IF(AND('Aberturas na Alma'!$M$18="NÃO DISPENSADO — furo deve ser verificado (cálculo abaixo)",OR(AND(B102&gt;=('Aberturas na Alma'!$M$4-'Aberturas na Alma'!$M$7/2)/100,B102&lt;=('Aberturas na Alma'!$M$4+'Aberturas na Alma'!$M$7/2)/100),ABS(B102-'Aberturas na Alma'!$M$4/100)&lt;=Geometria!$L$29/4000)),IF(E102="Reduzir",EA102,EB102),F102)</f>
        <v>1922.4068198767982</v>
      </c>
      <c r="ED102">
        <f ca="1">-(AI102/('Aberturas na Alma'!$M$112/100^2))+(AJ102/('Aberturas na Alma'!$M$119/100^3))-((Geometria!$L$416)/('Aberturas na Alma'!$M$119/100^3))-((Geometria!$L$427)/('Aberturas na Alma'!$M$119/100^3))-((Geometria!$L$76*Geometria!$L$438)/('Aberturas na Alma'!$M$119/100^3))</f>
        <v>-9346.041494499654</v>
      </c>
      <c r="EE102">
        <f ca="1">-((IF(Z102="Sim",IF(X102="Sim",$AB$93,ER102),IF(X102="Sim",ET102,Geometria!$L$373)))/('Aberturas na Alma'!$M$112/100^2))+((IF(Z102="Sim",IF(X102="Sim",$AB$94,ES102),IF(X102="Sim",EU102,Geometria!$L$374)))/('Aberturas na Alma'!$M$119/100^3))-((Geometria!$L$416)/('Aberturas na Alma'!$M$119/100^3))-((Geometria!$L$427)/('Aberturas na Alma'!$M$119/100^3))-((Geometria!$L$76*Geometria!$L$438)/('Aberturas na Alma'!$M$119/100^3))</f>
        <v>-5441.614668542496</v>
      </c>
      <c r="EF102" s="371">
        <f ca="1">IF(AND('Aberturas na Alma'!$M$18="NÃO DISPENSADO — furo deve ser verificado (cálculo abaixo)",OR(AND(B102&gt;=('Aberturas na Alma'!$M$4-'Aberturas na Alma'!$M$7/2)/100,B102&lt;=('Aberturas na Alma'!$M$4+'Aberturas na Alma'!$M$7/2)/100),ABS(B102-'Aberturas na Alma'!$M$4/100)&lt;=Geometria!$L$29/4000)),IF(AB102="Reduzir",ED102,EE102),AC102)</f>
        <v>-1066.7546836851948</v>
      </c>
      <c r="EG102">
        <f ca="1">-(BF102/('Aberturas na Alma'!$M$112/100^2))+(BG102/('Aberturas na Alma'!$M$119/100^3))-((Geometria!$L$416)/('Aberturas na Alma'!$M$119/100^3))-((Geometria!$L$427)/('Aberturas na Alma'!$M$119/100^3))-((Geometria!$L$76*Geometria!$L$438)/('Aberturas na Alma'!$M$119/100^3))</f>
        <v>-9346.041494499654</v>
      </c>
      <c r="EH102">
        <f ca="1">-((IF(AW102="Sim",IF(AU102="Sim",$AB$93,ER102),IF(AU102="Sim",ET102,Geometria!$L$373)))/('Aberturas na Alma'!$M$112/100^2))+((IF(AW102="Sim",IF(AU102="Sim",$AB$94,ES102),IF(AU102="Sim",EU102,Geometria!$L$374)))/('Aberturas na Alma'!$M$119/100^3))-((Geometria!$L$416)/('Aberturas na Alma'!$M$119/100^3))-((Geometria!$L$427)/('Aberturas na Alma'!$M$119/100^3))</f>
        <v>1985.1317098738728</v>
      </c>
      <c r="EI102" s="371">
        <f ca="1">IF(AND('Aberturas na Alma'!$M$18="NÃO DISPENSADO — furo deve ser verificado (cálculo abaixo)",OR(AND(B102&gt;=('Aberturas na Alma'!$M$4-'Aberturas na Alma'!$M$7/2)/100,B102&lt;=('Aberturas na Alma'!$M$4+'Aberturas na Alma'!$M$7/2)/100),ABS(B102-'Aberturas na Alma'!$M$4/100)&lt;=Geometria!$L$29/4000)),IF(AY102="Reduzir",EG102,EH102),AZ102)</f>
        <v>-1066.7546836851948</v>
      </c>
      <c r="EJ102">
        <f ca="1">-(CC102/('Aberturas na Alma'!$M$112/100^2))+(CD102/('Aberturas na Alma'!$M$119/100^3))-((Geometria!$L$416)/('Aberturas na Alma'!$M$119/100^3))-((Geometria!$L$427)/('Aberturas na Alma'!$M$119/100^3))-((Geometria!$L$76*Geometria!$L$438)/('Aberturas na Alma'!$M$119/100^3))</f>
        <v>-9346.041494499654</v>
      </c>
      <c r="EK102">
        <f ca="1">-((IF(BT102="Sim",IF(BR102="Sim",$AB$93,ER102),IF(BR102="Sim",ET102,Geometria!$L$373)))/('Aberturas na Alma'!$M$112/100^2))+((IF(BT102="Sim",IF(BR102="Sim",$AB$94,ES102),IF(BR102="Sim",EU102,Geometria!$L$374)))/('Aberturas na Alma'!$M$119/100^3))-((Geometria!$L$673)/('Aberturas na Alma'!$M$119/100^3))-((Geometria!$L$684)/('Aberturas na Alma'!$M$119/100^3))-((Geometria!$L$77*Geometria!$L$695)/('Aberturas na Alma'!$M$119/100^3))</f>
        <v>-2966.0325424037064</v>
      </c>
      <c r="EL102" s="371">
        <f ca="1">IF(AND('Aberturas na Alma'!$M$18="NÃO DISPENSADO — furo deve ser verificado (cálculo abaixo)",OR(AND(B102&gt;=('Aberturas na Alma'!$M$4-'Aberturas na Alma'!$M$7/2)/100,B102&lt;=('Aberturas na Alma'!$M$4+'Aberturas na Alma'!$M$7/2)/100),ABS(B102-'Aberturas na Alma'!$M$4/100)&lt;=Geometria!$L$29/4000)),IF(BV102="Reduzir",EJ102,EK102),BW102)</f>
        <v>-1066.7546836851948</v>
      </c>
      <c r="EM102">
        <f ca="1">-(CZ102/('Aberturas na Alma'!$M$112/100^2))+(DA102/('Aberturas na Alma'!$M$119/100^3))-((Geometria!$L$416)/('Aberturas na Alma'!$M$119/100^3))-((Geometria!$L$427)/('Aberturas na Alma'!$M$119/100^3))-((Geometria!$L$76*Geometria!$L$438)/('Aberturas na Alma'!$M$119/100^3))</f>
        <v>-9346.041494499654</v>
      </c>
      <c r="EN102">
        <f ca="1">-((IF(CQ102="Sim",IF(CO102="Sim",$AB$93,ER102),IF(CO102="Sim",ET102,Geometria!$L$373)))/('Aberturas na Alma'!$M$112/100^2))+((IF(CQ102="Sim",IF(CO102="Sim",$AB$94,ES102),IF(CO102="Sim",EU102,Geometria!$L$374)))/('Aberturas na Alma'!$M$119/100^3))-((Geometria!$L$673)/('Aberturas na Alma'!$M$119/100^3))-((Geometria!$L$684)/('Aberturas na Alma'!$M$119/100^3))</f>
        <v>1985.1317098738728</v>
      </c>
      <c r="EO102" s="371">
        <f ca="1">IF(AND('Aberturas na Alma'!$M$18="NÃO DISPENSADO — furo deve ser verificado (cálculo abaixo)",OR(AND(B102&gt;=('Aberturas na Alma'!$M$4-'Aberturas na Alma'!$M$7/2)/100,B102&lt;=('Aberturas na Alma'!$M$4+'Aberturas na Alma'!$M$7/2)/100),ABS(B102-'Aberturas na Alma'!$M$4/100)&lt;=Geometria!$L$29/4000)),IF(CS102="Reduzir",EM102,EN102),CT102)</f>
        <v>-1066.7546836851948</v>
      </c>
      <c r="EP102" t="str">
        <f>IF(AND(Y102&lt;Geometria!$L$1409/100,OR(Geometria!$K$1409&gt;0,Geometria!$K$1407&gt;0)),"ESQ",IF(AND((Geometria!$L$29/100-Y102)&lt;Geometria!$R$1409/100,OR(Geometria!$Q$1409&gt;0,Geometria!$Q$1407&gt;0)),"DIR","N/A"))</f>
        <v>N/A</v>
      </c>
      <c r="EQ102" t="str">
        <f>IF(AND(Y102&lt;Geometria!$L$1405/100,Geometria!$K$1405&gt;0),"ESQ",IF(AND((Geometria!$L$29/100-Y102)&lt;Geometria!$R$1405/100,Geometria!$Q$1405&gt;0),"DIR","N/A"))</f>
        <v>ESQ</v>
      </c>
      <c r="ER102">
        <f ca="1">IF(EP102="DIR",Geometria!$L$1470,Geometria!$L$1452)</f>
        <v>1243.5596228306003</v>
      </c>
      <c r="ES102">
        <f ca="1">IF(EP102="DIR",Geometria!$L$1471,Geometria!$L$1453)</f>
        <v>233.16742928073757</v>
      </c>
      <c r="ET102">
        <f ca="1">IF(EQ102="DIR",Geometria!$L$1472,Geometria!$L$1454)</f>
        <v>621.7798114153002</v>
      </c>
      <c r="EU102">
        <f ca="1">IF(EQ102="DIR",Geometria!$L$1473,Geometria!$L$1455)</f>
        <v>177.20724625336052</v>
      </c>
      <c r="EV102" t="str">
        <f>IF(AND(B102&lt;Geometria!$L$1409/100,OR(Geometria!$K$1409&gt;0,Geometria!$K$1407&gt;0)),"ESQ",IF(AND((Geometria!$L$29/100-B102)&lt;Geometria!$R$1409/100,OR(Geometria!$Q$1409&gt;0,Geometria!$Q$1407&gt;0)),"DIR","N/A"))</f>
        <v>N/A</v>
      </c>
      <c r="EW102" t="str">
        <f>IF(AND(B102&lt;Geometria!$L$1405/100,Geometria!$K$1405&gt;0),"ESQ",IF(AND((Geometria!$L$29/100-B102)&lt;Geometria!$R$1405/100,Geometria!$Q$1405&gt;0),"DIR","N/A"))</f>
        <v>ESQ</v>
      </c>
      <c r="EX102">
        <f ca="1">IF(EV102="DIR",Geometria!$L$1465,Geometria!$L$1447)</f>
        <v>1499.8056003831216</v>
      </c>
      <c r="EY102">
        <f ca="1">IF(EV102="DIR",Geometria!$L$1466,Geometria!$L$1448)</f>
        <v>281.2135500718353</v>
      </c>
      <c r="EZ102">
        <f ca="1">IF(EW102="DIR",Geometria!$L$1467,Geometria!$L$1449)</f>
        <v>749.9028001915608</v>
      </c>
      <c r="FA102">
        <f ca="1">IF(EW102="DIR",Geometria!$L$1468,Geometria!$L$1450)</f>
        <v>213.72229805459483</v>
      </c>
    </row>
    <row r="103" spans="1:157" x14ac:dyDescent="0.25">
      <c r="A103" s="376" t="str">
        <f>IF(OR(AND(B103&lt;Geometria!$L$1405/100,Geometria!$K$1405&gt;0),AND((Geometria!$L$29/100-B103)&lt;Geometria!$R$1405/100,Geometria!$Q$1405&gt;0)),"Sim","Não")</f>
        <v>Sim</v>
      </c>
      <c r="B103" s="395">
        <f>Tensões!$D$63</f>
        <v>0.7849999999999999</v>
      </c>
      <c r="C103" s="376" t="str">
        <f>IF(OR(AND(B103&lt;Geometria!$L$1409/100,OR(Geometria!$K$1409&gt;0,Geometria!$K$1407&gt;0)),AND((Geometria!$L$29/100-B103)&lt;Geometria!$R$1409/100,OR(Geometria!$Q$1409&gt;0,Geometria!$Q$1407&gt;0))),"Sim","Não")</f>
        <v>Não</v>
      </c>
      <c r="D103" s="122" t="s">
        <v>431</v>
      </c>
      <c r="E103" s="198" t="str">
        <f ca="1">IF(Geometria!$M$437&lt;Geometria!$N$1307/100,"Reduzir","OK")</f>
        <v>Reduzir</v>
      </c>
      <c r="F103" s="396">
        <f t="shared" ca="1" si="1"/>
        <v>4277.775892357763</v>
      </c>
      <c r="G103" s="397">
        <f ca="1">-L103/(Geometria!$L$48/100^2)+M103/(Geometria!$L$52/100^3)-Geometria!$L$898/(Geometria!$L$52/100^3)</f>
        <v>4277.775892357763</v>
      </c>
      <c r="H103" s="400">
        <f ca="1">((Geometria!$L$326*(Geometria!$M$897*100))/Geometria!$N$1307)</f>
        <v>97.95837689338032</v>
      </c>
      <c r="I103" s="743">
        <f ca="1">-(Geometria!$L$906-(Geometria!$L$906-EX103)*(1-(MIN(MIN(1,MAX(0,(B103-Geometria!$L$1409/100)/(Geometria!$N$1307/100))),MIN(1,MAX(0,((Geometria!$L$29/100-B103)-Geometria!$R$1409/100)/(Geometria!$N$1307/100))))))*(IF(OR(Geometria!$K$1409&gt;0,Geometria!$K$1407&gt;0,Geometria!$Q$1409&gt;0,Geometria!$Q$1407&gt;0),1,0))-(Geometria!$L$906-EZ103)*(1-(MIN(MIN(1,MAX(0,(B103-Geometria!$L$1405/100)/(Geometria!$N$1307/100))),MIN(1,MAX(0,((Geometria!$L$29/100-B103)-Geometria!$R$1405/100)/(Geometria!$N$1307/100))))))*(IF(OR(Geometria!$K$1405&gt;0,Geometria!$K$1403&gt;0,Geometria!$Q$1405&gt;0,Geometria!$Q$1403&gt;0),1,0)))/(Geometria!$L$48/100^2)+(Geometria!$L$907-(Geometria!$L$907-EY103)*(1-(MIN(MIN(1,MAX(0,(B103-Geometria!$L$1409/100)/(Geometria!$N$1307/100))),MIN(1,MAX(0,((Geometria!$L$29/100-B103)-Geometria!$R$1409/100)/(Geometria!$N$1307/100))))))*(IF(OR(Geometria!$K$1409&gt;0,Geometria!$K$1407&gt;0,Geometria!$Q$1409&gt;0,Geometria!$Q$1407&gt;0),1,0))-(Geometria!$L$907-FA103)*(1-(MIN(MIN(1,MAX(0,(B103-Geometria!$L$1405/100)/(Geometria!$N$1307/100))),MIN(1,MAX(0,((Geometria!$L$29/100-B103)-Geometria!$R$1405/100)/(Geometria!$N$1307/100))))))*(IF(OR(Geometria!$K$1405&gt;0,Geometria!$K$1403&gt;0,Geometria!$Q$1405&gt;0,Geometria!$Q$1403&gt;0),1,0)))/(Geometria!$L$52/100^3)-Geometria!$M$898/(Geometria!$L$52/100^3)</f>
        <v>6886.984804052155</v>
      </c>
      <c r="J103" s="743"/>
      <c r="L103" s="373">
        <f ca="1">(Geometria!$L$298-(Geometria!$L$298-IF(B103&lt;Geometria!$L$1409/100,Geometria!$L$1442,Geometria!$L$1460))*(1-(MIN(MIN(1,MAX(0,(B103-Geometria!$L$1409/100)/(Geometria!$N$1307/100))),MIN(1,MAX(0,((Geometria!$L$29/100-B103)-Geometria!$R$1409/100)/(Geometria!$N$1307/100))))))*(IF(OR(Geometria!$K$1409&gt;0,Geometria!$K$1407&gt;0,Geometria!$Q$1409&gt;0,Geometria!$Q$1407&gt;0),1,0))-(Geometria!$L$298-IF(B103&lt;Geometria!$L$1405/100,Geometria!$L$1444,Geometria!$L$1462))*(1-(MIN(MIN(1,MAX(0,(B103-Geometria!$L$1405/100)/(Geometria!$N$1307/100))),MIN(1,MAX(0,((Geometria!$L$29/100-B103)-Geometria!$R$1405/100)/(Geometria!$N$1307/100))))))*(IF(OR(Geometria!$K$1405&gt;0,Geometria!$K$1403&gt;0,Geometria!$Q$1405&gt;0,Geometria!$Q$1403&gt;0),1,0)))*H126+Geometria!$P$1429*H103</f>
        <v>458.3420897800795</v>
      </c>
      <c r="M103" s="373">
        <f ca="1">(Geometria!$L$298-(Geometria!$L$298-IF(B103&lt;Geometria!$L$1409/100,Geometria!$L$1442,Geometria!$L$1460))*(1-(MIN(MIN(1,MAX(0,(B103-Geometria!$L$1409/100)/(Geometria!$N$1307/100))),MIN(1,MAX(0,((Geometria!$L$29/100-B103)-Geometria!$R$1409/100)/(Geometria!$N$1307/100))))))*(IF(OR(Geometria!$K$1409&gt;0,Geometria!$K$1407&gt;0,Geometria!$Q$1409&gt;0,Geometria!$Q$1407&gt;0),1,0))-(Geometria!$L$298-IF(B103&lt;Geometria!$L$1405/100,Geometria!$L$1444,Geometria!$L$1462))*(1-(MIN(MIN(1,MAX(0,(B103-Geometria!$L$1405/100)/(Geometria!$N$1307/100))),MIN(1,MAX(0,((Geometria!$L$29/100-B103)-Geometria!$R$1405/100)/(Geometria!$N$1307/100))))))*(IF(OR(Geometria!$K$1405&gt;0,Geometria!$K$1403&gt;0,Geometria!$Q$1405&gt;0,Geometria!$Q$1403&gt;0),1,0)))*H126*(Geometria!$L$299-(Geometria!$L$299-IF(B103&lt;Geometria!$L$1409/100,Geometria!$L$1443,Geometria!$L$1461))*(1-(MIN(MIN(1,MAX(0,(B103-Geometria!$L$1409/100)/(Geometria!$N$1307/100))),MIN(1,MAX(0,((Geometria!$L$29/100-B103)-Geometria!$R$1409/100)/(Geometria!$N$1307/100))))))*(IF(OR(Geometria!$K$1409&gt;0,Geometria!$K$1407&gt;0,Geometria!$Q$1409&gt;0,Geometria!$Q$1407&gt;0),1,0))-(Geometria!$L$299-IF(B103&lt;Geometria!$L$1405/100,Geometria!$L$1445,Geometria!$L$1463))*(1-(MIN(MIN(1,MAX(0,(B103-Geometria!$L$1405/100)/(Geometria!$N$1307/100))),MIN(1,MAX(0,((Geometria!$L$29/100-B103)-Geometria!$R$1405/100)/(Geometria!$N$1307/100))))))*(IF(OR(Geometria!$K$1405&gt;0,Geometria!$K$1403&gt;0,Geometria!$Q$1405&gt;0,Geometria!$Q$1403&gt;0),1,0)))/100-Geometria!$P$1429*H103*Geometria!$L$1438/100</f>
        <v>130.62749558732267</v>
      </c>
      <c r="N103" s="365"/>
      <c r="O103" s="371">
        <f ca="1">(IF(C103="Sim",IF(A103="Sim",$E$93,EX103),IF(A103="Sim",EZ103,Geometria!$L$906)))</f>
        <v>749.9028001915608</v>
      </c>
      <c r="P103" s="371">
        <f ca="1">(IF(C103="Sim",IF(A103="Sim",$E$94,EY103),IF(A103="Sim",FA103,Geometria!$L$907)))</f>
        <v>213.72229805459483</v>
      </c>
      <c r="R103" s="4" t="s">
        <v>431</v>
      </c>
      <c r="S103" s="202">
        <f t="shared" ca="1" si="11"/>
        <v>4277.775892357763</v>
      </c>
      <c r="T103" s="38" t="s">
        <v>234</v>
      </c>
      <c r="U103" s="203">
        <f t="shared" ca="1" si="2"/>
        <v>4.277775892357763</v>
      </c>
      <c r="V103" s="38" t="s">
        <v>160</v>
      </c>
      <c r="W103" s="399">
        <f t="shared" si="12"/>
        <v>0.0</v>
      </c>
      <c r="X103" s="376" t="str">
        <f>IF(OR(AND(Y103&lt;Geometria!$L$1405/100,Geometria!$K$1405&gt;0),AND((Geometria!$L$29/100-Y103)&lt;Geometria!$R$1405/100,Geometria!$Q$1405&gt;0)),"Sim","Não")</f>
        <v>Sim</v>
      </c>
      <c r="Y103" s="395">
        <f>Geometria!$M$415</f>
        <v>0.7849999999999999</v>
      </c>
      <c r="Z103" s="376" t="str">
        <f>IF(OR(AND(Y103&lt;Geometria!$L$1409/100,OR(Geometria!$K$1409&gt;0,Geometria!$K$1407&gt;0)),AND((Geometria!$L$29/100-Y103)&lt;Geometria!$R$1409/100,OR(Geometria!$Q$1409&gt;0,Geometria!$Q$1407&gt;0))),"Sim","Não")</f>
        <v>Não</v>
      </c>
      <c r="AA103" s="122" t="s">
        <v>431</v>
      </c>
      <c r="AB103" s="198" t="str">
        <f ca="1">IF(Geometria!$M$437&lt;Geometria!$N$1307/100,"Reduzir","OK")</f>
        <v>Reduzir</v>
      </c>
      <c r="AC103" s="401">
        <f t="shared" ca="1" si="3"/>
        <v>-1812.2473105880242</v>
      </c>
      <c r="AD103" s="403">
        <f ca="1">-(AI103/(Geometria!$L$48/100^2))+(AJ103/(Geometria!$L$52/100^3))-((Geometria!$M$416)/(Geometria!$L$52/100^3))-((Geometria!$M$427)/(Geometria!$M$52))-((Geometria!$L$76*Geometria!$M$438)/(Geometria!$M$52))</f>
        <v>-1812.2473105880242</v>
      </c>
      <c r="AE103" s="400">
        <f ca="1">((Geometria!$N$369*(Geometria!$M$897*100))/Geometria!$N$1307)</f>
        <v>82.7750161643391</v>
      </c>
      <c r="AF103" s="751">
        <f ca="1">-((Geometria!$L$373-(Geometria!$L$373-ER103)*(1-(MIN(MIN(1,MAX(0,(Y103-Geometria!$L$1409/100)/(Geometria!$N$1307/100))),MIN(1,MAX(0,((Geometria!$L$29/100-Y103)-Geometria!$R$1409/100)/(Geometria!$N$1307/100))))))*(IF(OR(Geometria!$K$1409&gt;0,Geometria!$K$1407&gt;0,Geometria!$Q$1409&gt;0,Geometria!$Q$1407&gt;0),1,0))-(Geometria!$L$373-ET103)*(1-(MIN(MIN(1,MAX(0,(Y103-Geometria!$L$1405/100)/(Geometria!$N$1307/100))),MIN(1,MAX(0,((Geometria!$L$29/100-Y103)-Geometria!$R$1405/100)/(Geometria!$N$1307/100))))))*(IF(OR(Geometria!$K$1405&gt;0,Geometria!$K$1403&gt;0,Geometria!$Q$1405&gt;0,Geometria!$Q$1403&gt;0),1,0))))/(Geometria!$L$48/100^2)+((Geometria!$L$374-(Geometria!$L$374-ES103)*(1-(MIN(MIN(1,MAX(0,(Y103-Geometria!$L$1409/100)/(Geometria!$N$1307/100))),MIN(1,MAX(0,((Geometria!$L$29/100-Y103)-Geometria!$R$1409/100)/(Geometria!$N$1307/100))))))*(IF(OR(Geometria!$K$1409&gt;0,Geometria!$K$1407&gt;0,Geometria!$Q$1409&gt;0,Geometria!$Q$1407&gt;0),1,0))-(Geometria!$L$374-EU103)*(1-(MIN(MIN(1,MAX(0,(Y103-Geometria!$L$1405/100)/(Geometria!$N$1307/100))),MIN(1,MAX(0,((Geometria!$L$29/100-Y103)-Geometria!$R$1405/100)/(Geometria!$N$1307/100))))))*(IF(OR(Geometria!$K$1405&gt;0,Geometria!$K$1403&gt;0,Geometria!$Q$1405&gt;0,Geometria!$Q$1403&gt;0),1,0))))/(Geometria!$L$52/100^3)-((Geometria!$M$416)/(Geometria!$L$52/100^3))-((Geometria!$M$427)/(Geometria!$M$52))-((Geometria!$L$76*Geometria!$M$438)/(Geometria!$M$52))</f>
        <v>607.7977063524451</v>
      </c>
      <c r="AG103" s="751"/>
      <c r="AI103" s="373">
        <f ca="1">(IF(Z103="Sim",IF(X103="Sim",IF(Y103&lt;Geometria!$L$1405/100,Geometria!$L$1435,Geometria!$L$1476),IF(Y103&lt;Geometria!$L$1409/100,Geometria!$L$1442,Geometria!$L$1460)),IF(X103="Sim",IF(Y103&lt;Geometria!$L$1405/100,Geometria!$L$1444,Geometria!$L$1462),Geometria!$L$298)))*AE126+Geometria!$P$1429*AE103</f>
        <v>386.3159719292004</v>
      </c>
      <c r="AJ103" s="373">
        <f ca="1">(IF(Z103="Sim",IF(X103="Sim",IF(Y103&lt;Geometria!$L$1405/100,Geometria!$L$1435,Geometria!$L$1476),IF(Y103&lt;Geometria!$L$1409/100,Geometria!$L$1442,Geometria!$L$1460)),IF(X103="Sim",IF(Y103&lt;Geometria!$L$1405/100,Geometria!$L$1444,Geometria!$L$1462),Geometria!$L$298)))*AE126*(IF(Z103="Sim",IF(X103="Sim",IF(Y103&lt;Geometria!$L$1405/100,Geometria!$L$1436,Geometria!$L$1484),IF(Y103&lt;Geometria!$L$1409/100,Geometria!$L$1443,Geometria!$L$1461)),IF(X103="Sim",IF(Y103&lt;Geometria!$L$1405/100,Geometria!$L$1445,Geometria!$L$1463),Geometria!$L$299)))/100-Geometria!$P$1429*AE103*Geometria!$L$1438/100</f>
        <v>110.1000519998221</v>
      </c>
      <c r="AK103" s="365"/>
      <c r="AL103" s="371">
        <f ca="1">(IF(Z103="Sim",IF(X103="Sim",$AB$93,ER103),IF(X103="Sim",ET103,Geometria!$L$373)))</f>
        <v>621.7798114153002</v>
      </c>
      <c r="AM103" s="371">
        <f ca="1">(IF(Z103="Sim",IF(X103="Sim",$AB$94,ES103),IF(X103="Sim",EU103,Geometria!$L$374)))</f>
        <v>177.20724625336052</v>
      </c>
      <c r="AO103" s="4" t="s">
        <v>431</v>
      </c>
      <c r="AP103" s="202">
        <f t="shared" ca="1" si="13"/>
        <v>-1812.2473105880242</v>
      </c>
      <c r="AQ103" s="38" t="s">
        <v>234</v>
      </c>
      <c r="AR103" s="203">
        <f t="shared" ca="1" si="4"/>
        <v>-1.8122473105880241</v>
      </c>
      <c r="AS103" s="38" t="s">
        <v>160</v>
      </c>
      <c r="AT103" s="399">
        <f t="shared" si="14"/>
        <v>0.0</v>
      </c>
      <c r="AU103" s="376" t="str">
        <f>IF(OR(AND(AV103&lt;Geometria!$L$1405/100,Geometria!$K$1405&gt;0),AND((Geometria!$L$29/100-AV103)&lt;Geometria!$R$1405/100,Geometria!$Q$1405&gt;0)),"Sim","Não")</f>
        <v>Sim</v>
      </c>
      <c r="AV103" s="395">
        <f>Geometria!$M$415</f>
        <v>0.7849999999999999</v>
      </c>
      <c r="AW103" s="376" t="str">
        <f>IF(OR(AND(AV103&lt;Geometria!$L$1409/100,OR(Geometria!$K$1409&gt;0,Geometria!$K$1407&gt;0)),AND((Geometria!$L$29/100-AV103)&lt;Geometria!$R$1409/100,OR(Geometria!$Q$1409&gt;0,Geometria!$Q$1407&gt;0))),"Sim","Não")</f>
        <v>Não</v>
      </c>
      <c r="AX103" s="122" t="s">
        <v>431</v>
      </c>
      <c r="AY103" s="198" t="str">
        <f ca="1">IF(Geometria!$M$437&lt;Geometria!$N$1307/100,"Reduzir","OK")</f>
        <v>Reduzir</v>
      </c>
      <c r="AZ103" s="401">
        <f t="shared" ca="1" si="5"/>
        <v>-1812.2473105880242</v>
      </c>
      <c r="BA103" s="403">
        <f ca="1">-(BF103/(Geometria!$L$48/100^2))+(BG103/(Geometria!$L$52/100^3))-((Geometria!$M$416)/(Geometria!$L$52/100^3))-((Geometria!$M$427)/(Geometria!$M$52))-((Geometria!$L$76*Geometria!$M$438)/(Geometria!$M$52))</f>
        <v>-1812.2473105880242</v>
      </c>
      <c r="BB103" s="400">
        <f ca="1">((Geometria!$N$369*(Geometria!$M$897*100))/Geometria!$N$1307)</f>
        <v>82.7750161643391</v>
      </c>
      <c r="BC103" s="751">
        <f ca="1">-((Geometria!$L$373-(Geometria!$L$373-ER103)*(1-(MIN(MIN(1,MAX(0,(AV103-Geometria!$L$1409/100)/(Geometria!$N$1307/100))),MIN(1,MAX(0,((Geometria!$L$29/100-AV103)-Geometria!$R$1409/100)/(Geometria!$N$1307/100))))))*(IF(OR(Geometria!$K$1409&gt;0,Geometria!$K$1407&gt;0,Geometria!$Q$1409&gt;0,Geometria!$Q$1407&gt;0),1,0))-(Geometria!$L$373-ET103)*(1-(MIN(MIN(1,MAX(0,(AV103-Geometria!$L$1405/100)/(Geometria!$N$1307/100))),MIN(1,MAX(0,((Geometria!$L$29/100-AV103)-Geometria!$R$1405/100)/(Geometria!$N$1307/100))))))*(IF(OR(Geometria!$K$1405&gt;0,Geometria!$K$1403&gt;0,Geometria!$Q$1405&gt;0,Geometria!$Q$1403&gt;0),1,0))))/(Geometria!$L$48/100^2)+((Geometria!$L$374-(Geometria!$L$374-ES103)*(1-(MIN(MIN(1,MAX(0,(AV103-Geometria!$L$1409/100)/(Geometria!$N$1307/100))),MIN(1,MAX(0,((Geometria!$L$29/100-AV103)-Geometria!$R$1409/100)/(Geometria!$N$1307/100))))))*(IF(OR(Geometria!$K$1409&gt;0,Geometria!$K$1407&gt;0,Geometria!$Q$1409&gt;0,Geometria!$Q$1407&gt;0),1,0))-(Geometria!$L$374-EU103)*(1-(MIN(MIN(1,MAX(0,(AV103-Geometria!$L$1405/100)/(Geometria!$N$1307/100))),MIN(1,MAX(0,((Geometria!$L$29/100-AV103)-Geometria!$R$1405/100)/(Geometria!$N$1307/100))))))*(IF(OR(Geometria!$K$1405&gt;0,Geometria!$K$1403&gt;0,Geometria!$Q$1405&gt;0,Geometria!$Q$1403&gt;0),1,0))))/(Geometria!$L$52/100^3)-((Geometria!$M$416)/(Geometria!$L$52/100^3))-((Geometria!$M$427)/(Geometria!$M$52))</f>
        <v>607.8013166544765</v>
      </c>
      <c r="BD103" s="751"/>
      <c r="BF103" s="373">
        <f ca="1">(Geometria!$L$298-(Geometria!$L$298-IF(AV103&lt;Geometria!$L$1409/100,Geometria!$L$1442,Geometria!$L$1460))*(1-(MIN(MIN(1,MAX(0,(AV103-Geometria!$L$1409/100)/(Geometria!$N$1307/100))),MIN(1,MAX(0,((Geometria!$L$29/100-AV103)-Geometria!$R$1409/100)/(Geometria!$N$1307/100))))))*(IF(OR(Geometria!$K$1409&gt;0,Geometria!$K$1407&gt;0,Geometria!$Q$1409&gt;0,Geometria!$Q$1407&gt;0),1,0))-(Geometria!$L$298-IF(AV103&lt;Geometria!$L$1405/100,Geometria!$L$1444,Geometria!$L$1462))*(1-(MIN(MIN(1,MAX(0,(AV103-Geometria!$L$1405/100)/(Geometria!$N$1307/100))),MIN(1,MAX(0,((Geometria!$L$29/100-AV103)-Geometria!$R$1405/100)/(Geometria!$N$1307/100))))))*(IF(OR(Geometria!$K$1405&gt;0,Geometria!$K$1403&gt;0,Geometria!$Q$1405&gt;0,Geometria!$Q$1403&gt;0),1,0)))*BB126+Geometria!$P$1429*BB103</f>
        <v>386.3159719292004</v>
      </c>
      <c r="BG103" s="373">
        <f ca="1">(Geometria!$L$298-(Geometria!$L$298-IF(AV103&lt;Geometria!$L$1409/100,Geometria!$L$1442,Geometria!$L$1460))*(1-(MIN(MIN(1,MAX(0,(AV103-Geometria!$L$1409/100)/(Geometria!$N$1307/100))),MIN(1,MAX(0,((Geometria!$L$29/100-AV103)-Geometria!$R$1409/100)/(Geometria!$N$1307/100))))))*(IF(OR(Geometria!$K$1409&gt;0,Geometria!$K$1407&gt;0,Geometria!$Q$1409&gt;0,Geometria!$Q$1407&gt;0),1,0))-(Geometria!$L$298-IF(AV103&lt;Geometria!$L$1405/100,Geometria!$L$1444,Geometria!$L$1462))*(1-(MIN(MIN(1,MAX(0,(AV103-Geometria!$L$1405/100)/(Geometria!$N$1307/100))),MIN(1,MAX(0,((Geometria!$L$29/100-AV103)-Geometria!$R$1405/100)/(Geometria!$N$1307/100))))))*(IF(OR(Geometria!$K$1405&gt;0,Geometria!$K$1403&gt;0,Geometria!$Q$1405&gt;0,Geometria!$Q$1403&gt;0),1,0)))*BB126*(Geometria!$L$299-(Geometria!$L$299-IF(AV103&lt;Geometria!$L$1409/100,Geometria!$L$1443,Geometria!$L$1461))*(1-(MIN(MIN(1,MAX(0,(AV103-Geometria!$L$1409/100)/(Geometria!$N$1307/100))),MIN(1,MAX(0,((Geometria!$L$29/100-AV103)-Geometria!$R$1409/100)/(Geometria!$N$1307/100))))))*(IF(OR(Geometria!$K$1409&gt;0,Geometria!$K$1407&gt;0,Geometria!$Q$1409&gt;0,Geometria!$Q$1407&gt;0),1,0))-(Geometria!$L$299-IF(AV103&lt;Geometria!$L$1405/100,Geometria!$L$1445,Geometria!$L$1463))*(1-(MIN(MIN(1,MAX(0,(AV103-Geometria!$L$1405/100)/(Geometria!$N$1307/100))),MIN(1,MAX(0,((Geometria!$L$29/100-AV103)-Geometria!$R$1405/100)/(Geometria!$N$1307/100))))))*(IF(OR(Geometria!$K$1405&gt;0,Geometria!$K$1403&gt;0,Geometria!$Q$1405&gt;0,Geometria!$Q$1403&gt;0),1,0)))/100-Geometria!$P$1429*BB103*Geometria!$L$1438/100</f>
        <v>110.1000519998221</v>
      </c>
      <c r="BH103" s="365"/>
      <c r="BI103" s="371">
        <f ca="1">(IF(AW103="Sim",IF(AU103="Sim",$AB$93,ER103),IF(AU103="Sim",ET103,Geometria!$L$373)))</f>
        <v>621.7798114153002</v>
      </c>
      <c r="BJ103" s="371">
        <f ca="1">(IF(AW103="Sim",IF(AU103="Sim",$AB$94,ES103),IF(AU103="Sim",EU103,Geometria!$L$374)))</f>
        <v>177.20724625336052</v>
      </c>
      <c r="BL103" s="4" t="s">
        <v>431</v>
      </c>
      <c r="BM103" s="202">
        <f t="shared" ca="1" si="15"/>
        <v>-1812.2473105880242</v>
      </c>
      <c r="BN103" s="38" t="s">
        <v>234</v>
      </c>
      <c r="BO103" s="203">
        <f t="shared" ca="1" si="6"/>
        <v>-1.8122473105880241</v>
      </c>
      <c r="BP103" s="38" t="s">
        <v>160</v>
      </c>
      <c r="BQ103" s="399">
        <f t="shared" si="16"/>
        <v>0.0</v>
      </c>
      <c r="BR103" s="376" t="str">
        <f>IF(OR(AND(BS103&lt;Geometria!$L$1405/100,Geometria!$K$1405&gt;0),AND((Geometria!$L$29/100-BS103)&lt;Geometria!$R$1405/100,Geometria!$Q$1405&gt;0)),"Sim","Não")</f>
        <v>Sim</v>
      </c>
      <c r="BS103" s="395">
        <f>Geometria!$M$415</f>
        <v>0.7849999999999999</v>
      </c>
      <c r="BT103" s="376" t="str">
        <f>IF(OR(AND(BS103&lt;Geometria!$L$1409/100,OR(Geometria!$K$1409&gt;0,Geometria!$K$1407&gt;0)),AND((Geometria!$L$29/100-BS103)&lt;Geometria!$R$1409/100,OR(Geometria!$Q$1409&gt;0,Geometria!$Q$1407&gt;0))),"Sim","Não")</f>
        <v>Não</v>
      </c>
      <c r="BU103" s="122" t="s">
        <v>431</v>
      </c>
      <c r="BV103" s="198" t="str">
        <f ca="1">IF(Geometria!$M$437&lt;Geometria!$N$1307/100,"Reduzir","OK")</f>
        <v>Reduzir</v>
      </c>
      <c r="BW103" s="401">
        <f t="shared" ca="1" si="7"/>
        <v>-1812.2473105880242</v>
      </c>
      <c r="BX103" s="403">
        <f ca="1">-(CC103/(Geometria!$L$48/100^2))+(CD103/(Geometria!$L$52/100^3))-((Geometria!$M$416)/(Geometria!$L$52/100^3))-((Geometria!$M$427)/(Geometria!$M$52))-((Geometria!$L$76*Geometria!$M$438)/(Geometria!$M$52))</f>
        <v>-1812.2473105880242</v>
      </c>
      <c r="BY103" s="400">
        <f ca="1">((Geometria!$N$369*(Geometria!$M$897*100))/Geometria!$N$1307)</f>
        <v>82.7750161643391</v>
      </c>
      <c r="BZ103" s="751">
        <f ca="1">-((Geometria!$L$373-(Geometria!$L$373-ER103)*(1-(MIN(MIN(1,MAX(0,(BS103-Geometria!$L$1409/100)/(Geometria!$N$1307/100))),MIN(1,MAX(0,((Geometria!$L$29/100-BS103)-Geometria!$R$1409/100)/(Geometria!$N$1307/100))))))*(IF(OR(Geometria!$K$1409&gt;0,Geometria!$K$1407&gt;0,Geometria!$Q$1409&gt;0,Geometria!$Q$1407&gt;0),1,0))-(Geometria!$L$373-ET103)*(1-(MIN(MIN(1,MAX(0,(BS103-Geometria!$L$1405/100)/(Geometria!$N$1307/100))),MIN(1,MAX(0,((Geometria!$L$29/100-BS103)-Geometria!$R$1405/100)/(Geometria!$N$1307/100))))))*(IF(OR(Geometria!$K$1405&gt;0,Geometria!$K$1403&gt;0,Geometria!$Q$1405&gt;0,Geometria!$Q$1403&gt;0),1,0))))/(Geometria!$L$48/100^2)+((Geometria!$L$374-(Geometria!$L$374-ES103)*(1-(MIN(MIN(1,MAX(0,(BS103-Geometria!$L$1409/100)/(Geometria!$N$1307/100))),MIN(1,MAX(0,((Geometria!$L$29/100-BS103)-Geometria!$R$1409/100)/(Geometria!$N$1307/100))))))*(IF(OR(Geometria!$K$1409&gt;0,Geometria!$K$1407&gt;0,Geometria!$Q$1409&gt;0,Geometria!$Q$1407&gt;0),1,0))-(Geometria!$L$374-EU103)*(1-(MIN(MIN(1,MAX(0,(BS103-Geometria!$L$1405/100)/(Geometria!$N$1307/100))),MIN(1,MAX(0,((Geometria!$L$29/100-BS103)-Geometria!$R$1405/100)/(Geometria!$N$1307/100))))))*(IF(OR(Geometria!$K$1405&gt;0,Geometria!$K$1403&gt;0,Geometria!$Q$1405&gt;0,Geometria!$Q$1403&gt;0),1,0))))/(Geometria!$L$52/100^3)-((Geometria!$M$673)/(Geometria!$L$52/100^3))-((Geometria!$M$684)/(Geometria!$M$52))-((Geometria!$L$77*Geometria!$M$695)/(Geometria!$M$52))</f>
        <v>607.7989097864555</v>
      </c>
      <c r="CA103" s="751"/>
      <c r="CC103" s="373">
        <f ca="1">(Geometria!$L$298-(Geometria!$L$298-IF(BS103&lt;Geometria!$L$1409/100,Geometria!$L$1442,Geometria!$L$1460))*(1-(MIN(MIN(1,MAX(0,(BS103-Geometria!$L$1409/100)/(Geometria!$N$1307/100))),MIN(1,MAX(0,((Geometria!$L$29/100-BS103)-Geometria!$R$1409/100)/(Geometria!$N$1307/100))))))*(IF(OR(Geometria!$K$1409&gt;0,Geometria!$K$1407&gt;0,Geometria!$Q$1409&gt;0,Geometria!$Q$1407&gt;0),1,0))-(Geometria!$L$298-IF(BS103&lt;Geometria!$L$1405/100,Geometria!$L$1444,Geometria!$L$1462))*(1-(MIN(MIN(1,MAX(0,(BS103-Geometria!$L$1405/100)/(Geometria!$N$1307/100))),MIN(1,MAX(0,((Geometria!$L$29/100-BS103)-Geometria!$R$1405/100)/(Geometria!$N$1307/100))))))*(IF(OR(Geometria!$K$1405&gt;0,Geometria!$K$1403&gt;0,Geometria!$Q$1405&gt;0,Geometria!$Q$1403&gt;0),1,0)))*BY126+Geometria!$P$1429*BY103</f>
        <v>386.3159719292004</v>
      </c>
      <c r="CD103" s="373">
        <f ca="1">(Geometria!$L$298-(Geometria!$L$298-IF(BS103&lt;Geometria!$L$1409/100,Geometria!$L$1442,Geometria!$L$1460))*(1-(MIN(MIN(1,MAX(0,(BS103-Geometria!$L$1409/100)/(Geometria!$N$1307/100))),MIN(1,MAX(0,((Geometria!$L$29/100-BS103)-Geometria!$R$1409/100)/(Geometria!$N$1307/100))))))*(IF(OR(Geometria!$K$1409&gt;0,Geometria!$K$1407&gt;0,Geometria!$Q$1409&gt;0,Geometria!$Q$1407&gt;0),1,0))-(Geometria!$L$298-IF(BS103&lt;Geometria!$L$1405/100,Geometria!$L$1444,Geometria!$L$1462))*(1-(MIN(MIN(1,MAX(0,(BS103-Geometria!$L$1405/100)/(Geometria!$N$1307/100))),MIN(1,MAX(0,((Geometria!$L$29/100-BS103)-Geometria!$R$1405/100)/(Geometria!$N$1307/100))))))*(IF(OR(Geometria!$K$1405&gt;0,Geometria!$K$1403&gt;0,Geometria!$Q$1405&gt;0,Geometria!$Q$1403&gt;0),1,0)))*BY126*(Geometria!$L$299-(Geometria!$L$299-IF(BS103&lt;Geometria!$L$1409/100,Geometria!$L$1443,Geometria!$L$1461))*(1-(MIN(MIN(1,MAX(0,(BS103-Geometria!$L$1409/100)/(Geometria!$N$1307/100))),MIN(1,MAX(0,((Geometria!$L$29/100-BS103)-Geometria!$R$1409/100)/(Geometria!$N$1307/100))))))*(IF(OR(Geometria!$K$1409&gt;0,Geometria!$K$1407&gt;0,Geometria!$Q$1409&gt;0,Geometria!$Q$1407&gt;0),1,0))-(Geometria!$L$299-IF(BS103&lt;Geometria!$L$1405/100,Geometria!$L$1445,Geometria!$L$1463))*(1-(MIN(MIN(1,MAX(0,(BS103-Geometria!$L$1405/100)/(Geometria!$N$1307/100))),MIN(1,MAX(0,((Geometria!$L$29/100-BS103)-Geometria!$R$1405/100)/(Geometria!$N$1307/100))))))*(IF(OR(Geometria!$K$1405&gt;0,Geometria!$K$1403&gt;0,Geometria!$Q$1405&gt;0,Geometria!$Q$1403&gt;0),1,0)))/100-Geometria!$P$1429*BY103*Geometria!$L$1438/100</f>
        <v>110.1000519998221</v>
      </c>
      <c r="CE103" s="365"/>
      <c r="CF103" s="371">
        <f ca="1">(IF(BT103="Sim",IF(BR103="Sim",$AB$93,ER103),IF(BR103="Sim",ET103,Geometria!$L$373)))</f>
        <v>621.7798114153002</v>
      </c>
      <c r="CG103" s="371">
        <f ca="1">(IF(BT103="Sim",IF(BR103="Sim",$AB$94,ES103),IF(BR103="Sim",EU103,Geometria!$L$374)))</f>
        <v>177.20724625336052</v>
      </c>
      <c r="CI103" s="4" t="s">
        <v>431</v>
      </c>
      <c r="CJ103" s="202">
        <f t="shared" ca="1" si="17"/>
        <v>-1812.2473105880242</v>
      </c>
      <c r="CK103" s="38" t="s">
        <v>234</v>
      </c>
      <c r="CL103" s="203">
        <f t="shared" ca="1" si="8"/>
        <v>-1.8122473105880241</v>
      </c>
      <c r="CM103" s="38" t="s">
        <v>160</v>
      </c>
      <c r="CN103" s="399">
        <f t="shared" si="18"/>
        <v>0.0</v>
      </c>
      <c r="CO103" s="376" t="str">
        <f>IF(OR(AND(CP103&lt;Geometria!$L$1405/100,Geometria!$K$1405&gt;0),AND((Geometria!$L$29/100-CP103)&lt;Geometria!$R$1405/100,Geometria!$Q$1405&gt;0)),"Sim","Não")</f>
        <v>Sim</v>
      </c>
      <c r="CP103" s="395">
        <f>Geometria!$M$415</f>
        <v>0.7849999999999999</v>
      </c>
      <c r="CQ103" s="376" t="str">
        <f>IF(OR(AND(CP103&lt;Geometria!$L$1409/100,OR(Geometria!$K$1409&gt;0,Geometria!$K$1407&gt;0)),AND((Geometria!$L$29/100-CP103)&lt;Geometria!$R$1409/100,OR(Geometria!$Q$1409&gt;0,Geometria!$Q$1407&gt;0))),"Sim","Não")</f>
        <v>Não</v>
      </c>
      <c r="CR103" s="122" t="s">
        <v>431</v>
      </c>
      <c r="CS103" s="198" t="str">
        <f ca="1">IF(Geometria!$M$437&lt;Geometria!$N$1307/100,"Reduzir","OK")</f>
        <v>Reduzir</v>
      </c>
      <c r="CT103" s="401">
        <f t="shared" ca="1" si="9"/>
        <v>-1812.2473105880242</v>
      </c>
      <c r="CU103" s="403">
        <f ca="1">-(CZ103/(Geometria!$L$48/100^2))+(DA103/(Geometria!$L$52/100^3))-((Geometria!$M$416)/(Geometria!$L$52/100^3))-((Geometria!$M$427)/(Geometria!$M$52))-((Geometria!$L$76*Geometria!$M$438)/(Geometria!$M$52))</f>
        <v>-1812.2473105880242</v>
      </c>
      <c r="CV103" s="400">
        <f ca="1">((Geometria!$N$369*(Geometria!$M$897*100))/Geometria!$N$1307)</f>
        <v>82.7750161643391</v>
      </c>
      <c r="CW103" s="751">
        <f ca="1">-((Geometria!$L$373-(Geometria!$L$373-ER103)*(1-(MIN(MIN(1,MAX(0,(CP103-Geometria!$L$1409/100)/(Geometria!$N$1307/100))),MIN(1,MAX(0,((Geometria!$L$29/100-CP103)-Geometria!$R$1409/100)/(Geometria!$N$1307/100))))))*(IF(OR(Geometria!$K$1409&gt;0,Geometria!$K$1407&gt;0,Geometria!$Q$1409&gt;0,Geometria!$Q$1407&gt;0),1,0))-(Geometria!$L$373-ET103)*(1-(MIN(MIN(1,MAX(0,(CP103-Geometria!$L$1405/100)/(Geometria!$N$1307/100))),MIN(1,MAX(0,((Geometria!$L$29/100-CP103)-Geometria!$R$1405/100)/(Geometria!$N$1307/100))))))*(IF(OR(Geometria!$K$1405&gt;0,Geometria!$K$1403&gt;0,Geometria!$Q$1405&gt;0,Geometria!$Q$1403&gt;0),1,0))))/(Geometria!$L$48/100^2)+((Geometria!$L$374-(Geometria!$L$374-ES103)*(1-(MIN(MIN(1,MAX(0,(CP103-Geometria!$L$1409/100)/(Geometria!$N$1307/100))),MIN(1,MAX(0,((Geometria!$L$29/100-CP103)-Geometria!$R$1409/100)/(Geometria!$N$1307/100))))))*(IF(OR(Geometria!$K$1409&gt;0,Geometria!$K$1407&gt;0,Geometria!$Q$1409&gt;0,Geometria!$Q$1407&gt;0),1,0))-(Geometria!$L$374-EU103)*(1-(MIN(MIN(1,MAX(0,(CP103-Geometria!$L$1405/100)/(Geometria!$N$1307/100))),MIN(1,MAX(0,((Geometria!$L$29/100-CP103)-Geometria!$R$1405/100)/(Geometria!$N$1307/100))))))*(IF(OR(Geometria!$K$1405&gt;0,Geometria!$K$1403&gt;0,Geometria!$Q$1405&gt;0,Geometria!$Q$1403&gt;0),1,0))))/(Geometria!$L$52/100^3)-((Geometria!$M$673)/(Geometria!$L$52/100^3))-((Geometria!$M$684)/(Geometria!$M$52))</f>
        <v>607.8013166544765</v>
      </c>
      <c r="CX103" s="751"/>
      <c r="CZ103" s="373">
        <f ca="1">(IF(CQ103="Sim",IF(CO103="Sim",IF(CP103&lt;Geometria!$L$1405/100,Geometria!$L$1435,Geometria!$L$1476),IF(CP103&lt;Geometria!$L$1409/100,Geometria!$L$1442,Geometria!$L$1460)),IF(CO103="Sim",IF(CP103&lt;Geometria!$L$1405/100,Geometria!$L$1444,Geometria!$L$1462),Geometria!$L$298)))*CV126+Geometria!$P$1429*CV103</f>
        <v>386.3159719292004</v>
      </c>
      <c r="DA103" s="373">
        <f ca="1">(IF(CQ103="Sim",IF(CO103="Sim",IF(CP103&lt;Geometria!$L$1405/100,Geometria!$L$1435,Geometria!$L$1476),IF(CP103&lt;Geometria!$L$1409/100,Geometria!$L$1442,Geometria!$L$1460)),IF(CO103="Sim",IF(CP103&lt;Geometria!$L$1405/100,Geometria!$L$1444,Geometria!$L$1462),Geometria!$L$298)))*CV126*(IF(CQ103="Sim",IF(CO103="Sim",IF(CP103&lt;Geometria!$L$1405/100,Geometria!$L$1436,Geometria!$L$1484),IF(CP103&lt;Geometria!$L$1409/100,Geometria!$L$1443,Geometria!$L$1461)),IF(CO103="Sim",IF(CP103&lt;Geometria!$L$1405/100,Geometria!$L$1445,Geometria!$L$1463),Geometria!$L$299)))/100-Geometria!$P$1429*CV103*Geometria!$L$1438/100</f>
        <v>110.1000519998221</v>
      </c>
      <c r="DB103" s="365"/>
      <c r="DC103" s="371">
        <f ca="1">(IF(CQ103="Sim",IF(CO103="Sim",$AB$93,ER103),IF(CO103="Sim",ET103,Geometria!$L$373)))</f>
        <v>621.7798114153002</v>
      </c>
      <c r="DD103" s="371">
        <f ca="1">(IF(CQ103="Sim",IF(CO103="Sim",$AB$94,ES103),IF(CO103="Sim",EU103,Geometria!$L$374)))</f>
        <v>177.20724625336052</v>
      </c>
      <c r="DF103" s="4" t="s">
        <v>431</v>
      </c>
      <c r="DG103" s="202">
        <f t="shared" ca="1" si="19"/>
        <v>-1812.2473105880242</v>
      </c>
      <c r="DH103" s="38" t="s">
        <v>234</v>
      </c>
      <c r="DI103" s="203">
        <f t="shared" ca="1" si="10"/>
        <v>-1.8122473105880241</v>
      </c>
      <c r="DJ103" s="38" t="s">
        <v>160</v>
      </c>
      <c r="DK103" s="399">
        <f t="shared" si="20"/>
        <v>0.0</v>
      </c>
      <c r="EA103">
        <f ca="1">-L103/('Aberturas na Alma'!$M$112/100^2)+M103/('Aberturas na Alma'!$M$119/100^3)-Geometria!$L$898/('Aberturas na Alma'!$M$119/100^3)</f>
        <v>3723.5084242546377</v>
      </c>
      <c r="EB103">
        <f ca="1">-(IF(C103="Sim",IF(A103="Sim",$E$93,EX103),IF(A103="Sim",EZ103,Geometria!$L$906)))/('Aberturas na Alma'!$M$112/100^2)+(IF(C103="Sim",IF(A103="Sim",$E$94,EY103),IF(A103="Sim",FA103,Geometria!$L$907)))/('Aberturas na Alma'!$M$119/100^3)-Geometria!$M$898/('Aberturas na Alma'!$M$119/100^3)</f>
        <v>5975.3041116986</v>
      </c>
      <c r="EC103">
        <f ca="1">IF(AND('Aberturas na Alma'!$M$18="NÃO DISPENSADO — furo deve ser verificado (cálculo abaixo)",OR(AND(B103&gt;=('Aberturas na Alma'!$M$4-'Aberturas na Alma'!$M$7/2)/100,B103&lt;=('Aberturas na Alma'!$M$4+'Aberturas na Alma'!$M$7/2)/100),ABS(B103-'Aberturas na Alma'!$M$4/100)&lt;=Geometria!$L$29/4000)),IF(E103="Reduzir",EA103,EB103),F103)</f>
        <v>4277.775892357763</v>
      </c>
      <c r="ED103">
        <f ca="1">-(AI103/('Aberturas na Alma'!$M$112/100^2))+(AJ103/('Aberturas na Alma'!$M$119/100^3))-((Geometria!$M$416)/('Aberturas na Alma'!$M$119/100^3))-((Geometria!$M$427)/('Aberturas na Alma'!$M$119/100^3))-((Geometria!$L$76*Geometria!$M$438)/('Aberturas na Alma'!$M$119/100^3))</f>
        <v>-17523.07589020916</v>
      </c>
      <c r="EE103">
        <f ca="1">-((IF(Z103="Sim",IF(X103="Sim",$AB$93,ER103),IF(X103="Sim",ET103,Geometria!$L$373)))/('Aberturas na Alma'!$M$112/100^2))+((IF(Z103="Sim",IF(X103="Sim",$AB$94,ES103),IF(X103="Sim",EU103,Geometria!$L$374)))/('Aberturas na Alma'!$M$119/100^3))-((Geometria!$M$416)/('Aberturas na Alma'!$M$119/100^3))-((Geometria!$M$427)/('Aberturas na Alma'!$M$119/100^3))-((Geometria!$L$76*Geometria!$M$438)/('Aberturas na Alma'!$M$119/100^3))</f>
        <v>-15378.175008258755</v>
      </c>
      <c r="EF103" s="371">
        <f ca="1">IF(AND('Aberturas na Alma'!$M$18="NÃO DISPENSADO — furo deve ser verificado (cálculo abaixo)",OR(AND(B103&gt;=('Aberturas na Alma'!$M$4-'Aberturas na Alma'!$M$7/2)/100,B103&lt;=('Aberturas na Alma'!$M$4+'Aberturas na Alma'!$M$7/2)/100),ABS(B103-'Aberturas na Alma'!$M$4/100)&lt;=Geometria!$L$29/4000)),IF(AB103="Reduzir",ED103,EE103),AC103)</f>
        <v>-1812.2473105880242</v>
      </c>
      <c r="EG103">
        <f ca="1">-(BF103/('Aberturas na Alma'!$M$112/100^2))+(BG103/('Aberturas na Alma'!$M$119/100^3))-((Geometria!$M$416)/('Aberturas na Alma'!$M$119/100^3))-((Geometria!$M$427)/('Aberturas na Alma'!$M$119/100^3))-((Geometria!$L$76*Geometria!$M$438)/('Aberturas na Alma'!$M$119/100^3))</f>
        <v>-17523.07589020916</v>
      </c>
      <c r="EH103">
        <f ca="1">-((IF(AW103="Sim",IF(AU103="Sim",$AB$93,ER103),IF(AU103="Sim",ET103,Geometria!$L$373)))/('Aberturas na Alma'!$M$112/100^2))+((IF(AW103="Sim",IF(AU103="Sim",$AB$94,ES103),IF(AU103="Sim",EU103,Geometria!$L$374)))/('Aberturas na Alma'!$M$119/100^3))-((Geometria!$M$416)/('Aberturas na Alma'!$M$119/100^3))-((Geometria!$M$427)/('Aberturas na Alma'!$M$119/100^3))</f>
        <v>-1306.4450281014267</v>
      </c>
      <c r="EI103" s="371">
        <f ca="1">IF(AND('Aberturas na Alma'!$M$18="NÃO DISPENSADO — furo deve ser verificado (cálculo abaixo)",OR(AND(B103&gt;=('Aberturas na Alma'!$M$4-'Aberturas na Alma'!$M$7/2)/100,B103&lt;=('Aberturas na Alma'!$M$4+'Aberturas na Alma'!$M$7/2)/100),ABS(B103-'Aberturas na Alma'!$M$4/100)&lt;=Geometria!$L$29/4000)),IF(AY103="Reduzir",EG103,EH103),AZ103)</f>
        <v>-1812.2473105880242</v>
      </c>
      <c r="EJ103">
        <f ca="1">-(CC103/('Aberturas na Alma'!$M$112/100^2))+(CD103/('Aberturas na Alma'!$M$119/100^3))-((Geometria!$M$416)/('Aberturas na Alma'!$M$119/100^3))-((Geometria!$M$427)/('Aberturas na Alma'!$M$119/100^3))-((Geometria!$L$76*Geometria!$M$438)/('Aberturas na Alma'!$M$119/100^3))</f>
        <v>-17523.07589020916</v>
      </c>
      <c r="EK103">
        <f ca="1">-((IF(BT103="Sim",IF(BR103="Sim",$AB$93,ER103),IF(BR103="Sim",ET103,Geometria!$L$373)))/('Aberturas na Alma'!$M$112/100^2))+((IF(BT103="Sim",IF(BR103="Sim",$AB$94,ES103),IF(BR103="Sim",EU103,Geometria!$L$374)))/('Aberturas na Alma'!$M$119/100^3))-((Geometria!$M$673)/('Aberturas na Alma'!$M$119/100^3))-((Geometria!$M$684)/('Aberturas na Alma'!$M$119/100^3))-((Geometria!$L$77*Geometria!$M$695)/('Aberturas na Alma'!$M$119/100^3))</f>
        <v>-10687.598348206315</v>
      </c>
      <c r="EL103" s="371">
        <f ca="1">IF(AND('Aberturas na Alma'!$M$18="NÃO DISPENSADO — furo deve ser verificado (cálculo abaixo)",OR(AND(B103&gt;=('Aberturas na Alma'!$M$4-'Aberturas na Alma'!$M$7/2)/100,B103&lt;=('Aberturas na Alma'!$M$4+'Aberturas na Alma'!$M$7/2)/100),ABS(B103-'Aberturas na Alma'!$M$4/100)&lt;=Geometria!$L$29/4000)),IF(BV103="Reduzir",EJ103,EK103),BW103)</f>
        <v>-1812.2473105880242</v>
      </c>
      <c r="EM103">
        <f ca="1">-(CZ103/('Aberturas na Alma'!$M$112/100^2))+(DA103/('Aberturas na Alma'!$M$119/100^3))-((Geometria!$M$416)/('Aberturas na Alma'!$M$119/100^3))-((Geometria!$M$427)/('Aberturas na Alma'!$M$119/100^3))-((Geometria!$L$76*Geometria!$M$438)/('Aberturas na Alma'!$M$119/100^3))</f>
        <v>-17523.07589020916</v>
      </c>
      <c r="EN103">
        <f ca="1">-((IF(CQ103="Sim",IF(CO103="Sim",$AB$93,ER103),IF(CO103="Sim",ET103,Geometria!$L$373)))/('Aberturas na Alma'!$M$112/100^2))+((IF(CQ103="Sim",IF(CO103="Sim",$AB$94,ES103),IF(CO103="Sim",EU103,Geometria!$L$374)))/('Aberturas na Alma'!$M$119/100^3))-((Geometria!$M$673)/('Aberturas na Alma'!$M$119/100^3))-((Geometria!$M$684)/('Aberturas na Alma'!$M$119/100^3))</f>
        <v>-1306.4450281014267</v>
      </c>
      <c r="EO103" s="371">
        <f ca="1">IF(AND('Aberturas na Alma'!$M$18="NÃO DISPENSADO — furo deve ser verificado (cálculo abaixo)",OR(AND(B103&gt;=('Aberturas na Alma'!$M$4-'Aberturas na Alma'!$M$7/2)/100,B103&lt;=('Aberturas na Alma'!$M$4+'Aberturas na Alma'!$M$7/2)/100),ABS(B103-'Aberturas na Alma'!$M$4/100)&lt;=Geometria!$L$29/4000)),IF(CS103="Reduzir",EM103,EN103),CT103)</f>
        <v>-1812.2473105880242</v>
      </c>
      <c r="EP103" t="str">
        <f>IF(AND(Y103&lt;Geometria!$L$1409/100,OR(Geometria!$K$1409&gt;0,Geometria!$K$1407&gt;0)),"ESQ",IF(AND((Geometria!$L$29/100-Y103)&lt;Geometria!$R$1409/100,OR(Geometria!$Q$1409&gt;0,Geometria!$Q$1407&gt;0)),"DIR","N/A"))</f>
        <v>N/A</v>
      </c>
      <c r="EQ103" t="str">
        <f>IF(AND(Y103&lt;Geometria!$L$1405/100,Geometria!$K$1405&gt;0),"ESQ",IF(AND((Geometria!$L$29/100-Y103)&lt;Geometria!$R$1405/100,Geometria!$Q$1405&gt;0),"DIR","N/A"))</f>
        <v>ESQ</v>
      </c>
      <c r="ER103">
        <f ca="1">IF(EP103="DIR",Geometria!$L$1470,Geometria!$L$1452)</f>
        <v>1243.5596228306003</v>
      </c>
      <c r="ES103">
        <f ca="1">IF(EP103="DIR",Geometria!$L$1471,Geometria!$L$1453)</f>
        <v>233.16742928073757</v>
      </c>
      <c r="ET103">
        <f ca="1">IF(EQ103="DIR",Geometria!$L$1472,Geometria!$L$1454)</f>
        <v>621.7798114153002</v>
      </c>
      <c r="EU103">
        <f ca="1">IF(EQ103="DIR",Geometria!$L$1473,Geometria!$L$1455)</f>
        <v>177.20724625336052</v>
      </c>
      <c r="EV103" t="str">
        <f>IF(AND(B103&lt;Geometria!$L$1409/100,OR(Geometria!$K$1409&gt;0,Geometria!$K$1407&gt;0)),"ESQ",IF(AND((Geometria!$L$29/100-B103)&lt;Geometria!$R$1409/100,OR(Geometria!$Q$1409&gt;0,Geometria!$Q$1407&gt;0)),"DIR","N/A"))</f>
        <v>N/A</v>
      </c>
      <c r="EW103" t="str">
        <f>IF(AND(B103&lt;Geometria!$L$1405/100,Geometria!$K$1405&gt;0),"ESQ",IF(AND((Geometria!$L$29/100-B103)&lt;Geometria!$R$1405/100,Geometria!$Q$1405&gt;0),"DIR","N/A"))</f>
        <v>ESQ</v>
      </c>
      <c r="EX103">
        <f ca="1">IF(EV103="DIR",Geometria!$L$1465,Geometria!$L$1447)</f>
        <v>1499.8056003831216</v>
      </c>
      <c r="EY103">
        <f ca="1">IF(EV103="DIR",Geometria!$L$1466,Geometria!$L$1448)</f>
        <v>281.2135500718353</v>
      </c>
      <c r="EZ103">
        <f ca="1">IF(EW103="DIR",Geometria!$L$1467,Geometria!$L$1449)</f>
        <v>749.9028001915608</v>
      </c>
      <c r="FA103">
        <f ca="1">IF(EW103="DIR",Geometria!$L$1468,Geometria!$L$1450)</f>
        <v>213.72229805459483</v>
      </c>
    </row>
    <row r="104" spans="1:157" x14ac:dyDescent="0.25">
      <c r="A104" s="376" t="str">
        <f>IF(OR(AND(B104&lt;Geometria!$L$1405/100,Geometria!$K$1405&gt;0),AND((Geometria!$L$29/100-B104)&lt;Geometria!$R$1405/100,Geometria!$Q$1405&gt;0)),"Sim","Não")</f>
        <v>Sim</v>
      </c>
      <c r="B104" s="395">
        <f>Tensões!$E$63</f>
        <v>1.1774999999999998</v>
      </c>
      <c r="C104" s="376" t="str">
        <f>IF(OR(AND(B104&lt;Geometria!$L$1409/100,OR(Geometria!$K$1409&gt;0,Geometria!$K$1407&gt;0)),AND((Geometria!$L$29/100-B104)&lt;Geometria!$R$1409/100,OR(Geometria!$Q$1409&gt;0,Geometria!$Q$1407&gt;0))),"Sim","Não")</f>
        <v>Não</v>
      </c>
      <c r="D104" s="122" t="s">
        <v>432</v>
      </c>
      <c r="E104" s="198" t="str">
        <f ca="1">IF(Geometria!$N$437&lt;Geometria!$N$1307/100,"Reduzir","OK")</f>
        <v>OK</v>
      </c>
      <c r="F104" s="396">
        <f t="shared" ca="1" si="1"/>
        <v>6545.172499364655</v>
      </c>
      <c r="G104" s="397">
        <f ca="1">-L104/(Geometria!$L$48/100^2)+M104/(Geometria!$L$52/100^3)-Geometria!$L$898/(Geometria!$L$52/100^3)</f>
        <v>6633.144964838723</v>
      </c>
      <c r="H104" s="400">
        <f ca="1">((Geometria!$L$326*(Geometria!$N$897*100))/Geometria!$N$1307)</f>
        <v>146.93756534007045</v>
      </c>
      <c r="I104" s="743">
        <f ca="1">-(Geometria!$L$906-(Geometria!$L$906-EX104)*(1-(MIN(MIN(1,MAX(0,(B104-Geometria!$L$1409/100)/(Geometria!$N$1307/100))),MIN(1,MAX(0,((Geometria!$L$29/100-B104)-Geometria!$R$1409/100)/(Geometria!$N$1307/100))))))*(IF(OR(Geometria!$K$1409&gt;0,Geometria!$K$1407&gt;0,Geometria!$Q$1409&gt;0,Geometria!$Q$1407&gt;0),1,0))-(Geometria!$L$906-EZ104)*(1-(MIN(MIN(1,MAX(0,(B104-Geometria!$L$1405/100)/(Geometria!$N$1307/100))),MIN(1,MAX(0,((Geometria!$L$29/100-B104)-Geometria!$R$1405/100)/(Geometria!$N$1307/100))))))*(IF(OR(Geometria!$K$1405&gt;0,Geometria!$K$1403&gt;0,Geometria!$Q$1405&gt;0,Geometria!$Q$1403&gt;0),1,0)))/(Geometria!$L$48/100^2)+(Geometria!$L$907-(Geometria!$L$907-EY104)*(1-(MIN(MIN(1,MAX(0,(B104-Geometria!$L$1409/100)/(Geometria!$N$1307/100))),MIN(1,MAX(0,((Geometria!$L$29/100-B104)-Geometria!$R$1409/100)/(Geometria!$N$1307/100))))))*(IF(OR(Geometria!$K$1409&gt;0,Geometria!$K$1407&gt;0,Geometria!$Q$1409&gt;0,Geometria!$Q$1407&gt;0),1,0))-(Geometria!$L$907-FA104)*(1-(MIN(MIN(1,MAX(0,(B104-Geometria!$L$1405/100)/(Geometria!$N$1307/100))),MIN(1,MAX(0,((Geometria!$L$29/100-B104)-Geometria!$R$1405/100)/(Geometria!$N$1307/100))))))*(IF(OR(Geometria!$K$1405&gt;0,Geometria!$K$1403&gt;0,Geometria!$Q$1405&gt;0,Geometria!$Q$1403&gt;0),1,0)))/(Geometria!$L$52/100^3)-Geometria!$N$898/(Geometria!$L$52/100^3)</f>
        <v>6545.172499364655</v>
      </c>
      <c r="J104" s="743"/>
      <c r="L104" s="373">
        <f ca="1">(Geometria!$L$298-(Geometria!$L$298-IF(B104&lt;Geometria!$L$1409/100,Geometria!$L$1442,Geometria!$L$1460))*(1-(MIN(MIN(1,MAX(0,(B104-Geometria!$L$1409/100)/(Geometria!$N$1307/100))),MIN(1,MAX(0,((Geometria!$L$29/100-B104)-Geometria!$R$1409/100)/(Geometria!$N$1307/100))))))*(IF(OR(Geometria!$K$1409&gt;0,Geometria!$K$1407&gt;0,Geometria!$Q$1409&gt;0,Geometria!$Q$1407&gt;0),1,0))-(Geometria!$L$298-IF(B104&lt;Geometria!$L$1405/100,Geometria!$L$1444,Geometria!$L$1462))*(1-(MIN(MIN(1,MAX(0,(B104-Geometria!$L$1405/100)/(Geometria!$N$1307/100))),MIN(1,MAX(0,((Geometria!$L$29/100-B104)-Geometria!$R$1405/100)/(Geometria!$N$1307/100))))))*(IF(OR(Geometria!$K$1405&gt;0,Geometria!$K$1403&gt;0,Geometria!$Q$1405&gt;0,Geometria!$Q$1403&gt;0),1,0)))*H127+Geometria!$P$1429*H104</f>
        <v>687.5131346701191</v>
      </c>
      <c r="M104" s="373">
        <f ca="1">(Geometria!$L$298-(Geometria!$L$298-IF(B104&lt;Geometria!$L$1409/100,Geometria!$L$1442,Geometria!$L$1460))*(1-(MIN(MIN(1,MAX(0,(B104-Geometria!$L$1409/100)/(Geometria!$N$1307/100))),MIN(1,MAX(0,((Geometria!$L$29/100-B104)-Geometria!$R$1409/100)/(Geometria!$N$1307/100))))))*(IF(OR(Geometria!$K$1409&gt;0,Geometria!$K$1407&gt;0,Geometria!$Q$1409&gt;0,Geometria!$Q$1407&gt;0),1,0))-(Geometria!$L$298-IF(B104&lt;Geometria!$L$1405/100,Geometria!$L$1444,Geometria!$L$1462))*(1-(MIN(MIN(1,MAX(0,(B104-Geometria!$L$1405/100)/(Geometria!$N$1307/100))),MIN(1,MAX(0,((Geometria!$L$29/100-B104)-Geometria!$R$1405/100)/(Geometria!$N$1307/100))))))*(IF(OR(Geometria!$K$1405&gt;0,Geometria!$K$1403&gt;0,Geometria!$Q$1405&gt;0,Geometria!$Q$1403&gt;0),1,0)))*H127*(Geometria!$L$299-(Geometria!$L$299-IF(B104&lt;Geometria!$L$1409/100,Geometria!$L$1443,Geometria!$L$1461))*(1-(MIN(MIN(1,MAX(0,(B104-Geometria!$L$1409/100)/(Geometria!$N$1307/100))),MIN(1,MAX(0,((Geometria!$L$29/100-B104)-Geometria!$R$1409/100)/(Geometria!$N$1307/100))))))*(IF(OR(Geometria!$K$1409&gt;0,Geometria!$K$1407&gt;0,Geometria!$Q$1409&gt;0,Geometria!$Q$1407&gt;0),1,0))-(Geometria!$L$299-IF(B104&lt;Geometria!$L$1405/100,Geometria!$L$1445,Geometria!$L$1463))*(1-(MIN(MIN(1,MAX(0,(B104-Geometria!$L$1405/100)/(Geometria!$N$1307/100))),MIN(1,MAX(0,((Geometria!$L$29/100-B104)-Geometria!$R$1405/100)/(Geometria!$N$1307/100))))))*(IF(OR(Geometria!$K$1405&gt;0,Geometria!$K$1403&gt;0,Geometria!$Q$1405&gt;0,Geometria!$Q$1403&gt;0),1,0)))/100-Geometria!$P$1429*H104*Geometria!$L$1438/100</f>
        <v>195.94124338098393</v>
      </c>
      <c r="N104" s="365"/>
      <c r="O104" s="371">
        <f ca="1">(IF(C104="Sim",IF(A104="Sim",$E$93,EX104),IF(A104="Sim",EZ104,Geometria!$L$906)))</f>
        <v>749.9028001915608</v>
      </c>
      <c r="P104" s="371">
        <f ca="1">(IF(C104="Sim",IF(A104="Sim",$E$94,EY104),IF(A104="Sim",FA104,Geometria!$L$907)))</f>
        <v>213.72229805459483</v>
      </c>
      <c r="R104" s="4" t="s">
        <v>432</v>
      </c>
      <c r="S104" s="202">
        <f t="shared" ca="1" si="11"/>
        <v>6545.172499364655</v>
      </c>
      <c r="T104" s="38" t="s">
        <v>234</v>
      </c>
      <c r="U104" s="203">
        <f t="shared" ca="1" si="2"/>
        <v>6.5451724993646545</v>
      </c>
      <c r="V104" s="38" t="s">
        <v>160</v>
      </c>
      <c r="W104" s="399">
        <f t="shared" si="12"/>
        <v>0.0</v>
      </c>
      <c r="X104" s="376" t="str">
        <f>IF(OR(AND(Y104&lt;Geometria!$L$1405/100,Geometria!$K$1405&gt;0),AND((Geometria!$L$29/100-Y104)&lt;Geometria!$R$1405/100,Geometria!$Q$1405&gt;0)),"Sim","Não")</f>
        <v>Sim</v>
      </c>
      <c r="Y104" s="395">
        <f>Geometria!$N$415</f>
        <v>1.1774999999999998</v>
      </c>
      <c r="Z104" s="376" t="str">
        <f>IF(OR(AND(Y104&lt;Geometria!$L$1409/100,OR(Geometria!$K$1409&gt;0,Geometria!$K$1407&gt;0)),AND((Geometria!$L$29/100-Y104)&lt;Geometria!$R$1409/100,OR(Geometria!$Q$1409&gt;0,Geometria!$Q$1407&gt;0))),"Sim","Não")</f>
        <v>Não</v>
      </c>
      <c r="AA104" s="122" t="s">
        <v>432</v>
      </c>
      <c r="AB104" s="198" t="str">
        <f ca="1">IF(Geometria!$N$437&lt;Geometria!$N$1307/100,"Reduzir","OK")</f>
        <v>OK</v>
      </c>
      <c r="AC104" s="401">
        <f t="shared" ca="1" si="3"/>
        <v>-1801.6677195152977</v>
      </c>
      <c r="AD104" s="403">
        <f ca="1">-(AI104/(Geometria!$L$48/100^2))+(AJ104/(Geometria!$L$52/100^3))-((Geometria!$N$416)/(Geometria!$L$52/100^3))-((Geometria!$N$427)/(Geometria!$M$52))-((Geometria!$L$76*Geometria!$N$438)/(Geometria!$M$52))</f>
        <v>-2236.4778807084867</v>
      </c>
      <c r="AE104" s="400">
        <f ca="1">((Geometria!$N$369*(Geometria!$N$897*100))/Geometria!$N$1307)</f>
        <v>124.16252424650864</v>
      </c>
      <c r="AF104" s="751">
        <f ca="1">-((Geometria!$L$373-(Geometria!$L$373-ER104)*(1-(MIN(MIN(1,MAX(0,(Y104-Geometria!$L$1409/100)/(Geometria!$N$1307/100))),MIN(1,MAX(0,((Geometria!$L$29/100-Y104)-Geometria!$R$1409/100)/(Geometria!$N$1307/100))))))*(IF(OR(Geometria!$K$1409&gt;0,Geometria!$K$1407&gt;0,Geometria!$Q$1409&gt;0,Geometria!$Q$1407&gt;0),1,0))-(Geometria!$L$373-ET104)*(1-(MIN(MIN(1,MAX(0,(Y104-Geometria!$L$1405/100)/(Geometria!$N$1307/100))),MIN(1,MAX(0,((Geometria!$L$29/100-Y104)-Geometria!$R$1405/100)/(Geometria!$N$1307/100))))))*(IF(OR(Geometria!$K$1405&gt;0,Geometria!$K$1403&gt;0,Geometria!$Q$1405&gt;0,Geometria!$Q$1403&gt;0),1,0))))/(Geometria!$L$48/100^2)+((Geometria!$L$374-(Geometria!$L$374-ES104)*(1-(MIN(MIN(1,MAX(0,(Y104-Geometria!$L$1409/100)/(Geometria!$N$1307/100))),MIN(1,MAX(0,((Geometria!$L$29/100-Y104)-Geometria!$R$1409/100)/(Geometria!$N$1307/100))))))*(IF(OR(Geometria!$K$1409&gt;0,Geometria!$K$1407&gt;0,Geometria!$Q$1409&gt;0,Geometria!$Q$1407&gt;0),1,0))-(Geometria!$L$374-EU104)*(1-(MIN(MIN(1,MAX(0,(Y104-Geometria!$L$1405/100)/(Geometria!$N$1307/100))),MIN(1,MAX(0,((Geometria!$L$29/100-Y104)-Geometria!$R$1405/100)/(Geometria!$N$1307/100))))))*(IF(OR(Geometria!$K$1405&gt;0,Geometria!$K$1403&gt;0,Geometria!$Q$1405&gt;0,Geometria!$Q$1403&gt;0),1,0))))/(Geometria!$L$52/100^3)-((Geometria!$N$416)/(Geometria!$L$52/100^3))-((Geometria!$N$427)/(Geometria!$M$52))-((Geometria!$L$76*Geometria!$N$438)/(Geometria!$M$52))</f>
        <v>-1801.6677195152977</v>
      </c>
      <c r="AG104" s="751"/>
      <c r="AI104" s="373">
        <f ca="1">(IF(Z104="Sim",IF(X104="Sim",IF(Y104&lt;Geometria!$L$1405/100,Geometria!$L$1435,Geometria!$L$1476),IF(Y104&lt;Geometria!$L$1409/100,Geometria!$L$1442,Geometria!$L$1460)),IF(X104="Sim",IF(Y104&lt;Geometria!$L$1405/100,Geometria!$L$1444,Geometria!$L$1462),Geometria!$L$298)))*AE127+Geometria!$P$1429*AE104</f>
        <v>579.4739578938005</v>
      </c>
      <c r="AJ104" s="373">
        <f ca="1">(IF(Z104="Sim",IF(X104="Sim",IF(Y104&lt;Geometria!$L$1405/100,Geometria!$L$1435,Geometria!$L$1476),IF(Y104&lt;Geometria!$L$1409/100,Geometria!$L$1442,Geometria!$L$1460)),IF(X104="Sim",IF(Y104&lt;Geometria!$L$1405/100,Geometria!$L$1444,Geometria!$L$1462),Geometria!$L$298)))*AE127*(IF(Z104="Sim",IF(X104="Sim",IF(Y104&lt;Geometria!$L$1405/100,Geometria!$L$1436,Geometria!$L$1484),IF(Y104&lt;Geometria!$L$1409/100,Geometria!$L$1443,Geometria!$L$1461)),IF(X104="Sim",IF(Y104&lt;Geometria!$L$1405/100,Geometria!$L$1445,Geometria!$L$1463),Geometria!$L$299)))/100-Geometria!$P$1429*AE104*Geometria!$L$1438/100</f>
        <v>165.15007799973316</v>
      </c>
      <c r="AK104" s="365"/>
      <c r="AL104" s="371">
        <f ca="1">(IF(Z104="Sim",IF(X104="Sim",$AB$93,ER104),IF(X104="Sim",ET104,Geometria!$L$373)))</f>
        <v>621.7798114153002</v>
      </c>
      <c r="AM104" s="371">
        <f ca="1">(IF(Z104="Sim",IF(X104="Sim",$AB$94,ES104),IF(X104="Sim",EU104,Geometria!$L$374)))</f>
        <v>177.20724625336052</v>
      </c>
      <c r="AO104" s="4" t="s">
        <v>432</v>
      </c>
      <c r="AP104" s="202">
        <f t="shared" ca="1" si="13"/>
        <v>-1801.6677195152977</v>
      </c>
      <c r="AQ104" s="38" t="s">
        <v>234</v>
      </c>
      <c r="AR104" s="203">
        <f t="shared" ca="1" si="4"/>
        <v>-1.8016677195152977</v>
      </c>
      <c r="AS104" s="38" t="s">
        <v>160</v>
      </c>
      <c r="AT104" s="399">
        <f t="shared" si="14"/>
        <v>0.0</v>
      </c>
      <c r="AU104" s="376" t="str">
        <f>IF(OR(AND(AV104&lt;Geometria!$L$1405/100,Geometria!$K$1405&gt;0),AND((Geometria!$L$29/100-AV104)&lt;Geometria!$R$1405/100,Geometria!$Q$1405&gt;0)),"Sim","Não")</f>
        <v>Sim</v>
      </c>
      <c r="AV104" s="395">
        <f>Geometria!$N$415</f>
        <v>1.1774999999999998</v>
      </c>
      <c r="AW104" s="376" t="str">
        <f>IF(OR(AND(AV104&lt;Geometria!$L$1409/100,OR(Geometria!$K$1409&gt;0,Geometria!$K$1407&gt;0)),AND((Geometria!$L$29/100-AV104)&lt;Geometria!$R$1409/100,OR(Geometria!$Q$1409&gt;0,Geometria!$Q$1407&gt;0))),"Sim","Não")</f>
        <v>Não</v>
      </c>
      <c r="AX104" s="122" t="s">
        <v>432</v>
      </c>
      <c r="AY104" s="198" t="str">
        <f ca="1">IF(Geometria!$N$437&lt;Geometria!$N$1307/100,"Reduzir","OK")</f>
        <v>OK</v>
      </c>
      <c r="AZ104" s="401">
        <f t="shared" ca="1" si="5"/>
        <v>-1801.6626049207532</v>
      </c>
      <c r="BA104" s="403">
        <f ca="1">-(BF104/(Geometria!$L$48/100^2))+(BG104/(Geometria!$L$52/100^3))-((Geometria!$N$416)/(Geometria!$L$52/100^3))-((Geometria!$N$427)/(Geometria!$M$52))-((Geometria!$L$76*Geometria!$N$438)/(Geometria!$M$52))</f>
        <v>-2236.4778807084867</v>
      </c>
      <c r="BB104" s="400">
        <f ca="1">((Geometria!$N$369*(Geometria!$N$897*100))/Geometria!$N$1307)</f>
        <v>124.16252424650864</v>
      </c>
      <c r="BC104" s="751">
        <f ca="1">-((Geometria!$L$373-(Geometria!$L$373-ER104)*(1-(MIN(MIN(1,MAX(0,(AV104-Geometria!$L$1409/100)/(Geometria!$N$1307/100))),MIN(1,MAX(0,((Geometria!$L$29/100-AV104)-Geometria!$R$1409/100)/(Geometria!$N$1307/100))))))*(IF(OR(Geometria!$K$1409&gt;0,Geometria!$K$1407&gt;0,Geometria!$Q$1409&gt;0,Geometria!$Q$1407&gt;0),1,0))-(Geometria!$L$373-ET104)*(1-(MIN(MIN(1,MAX(0,(AV104-Geometria!$L$1405/100)/(Geometria!$N$1307/100))),MIN(1,MAX(0,((Geometria!$L$29/100-AV104)-Geometria!$R$1405/100)/(Geometria!$N$1307/100))))))*(IF(OR(Geometria!$K$1405&gt;0,Geometria!$K$1403&gt;0,Geometria!$Q$1405&gt;0,Geometria!$Q$1403&gt;0),1,0))))/(Geometria!$L$48/100^2)+((Geometria!$L$374-(Geometria!$L$374-ES104)*(1-(MIN(MIN(1,MAX(0,(AV104-Geometria!$L$1409/100)/(Geometria!$N$1307/100))),MIN(1,MAX(0,((Geometria!$L$29/100-AV104)-Geometria!$R$1409/100)/(Geometria!$N$1307/100))))))*(IF(OR(Geometria!$K$1409&gt;0,Geometria!$K$1407&gt;0,Geometria!$Q$1409&gt;0,Geometria!$Q$1407&gt;0),1,0))-(Geometria!$L$374-EU104)*(1-(MIN(MIN(1,MAX(0,(AV104-Geometria!$L$1405/100)/(Geometria!$N$1307/100))),MIN(1,MAX(0,((Geometria!$L$29/100-AV104)-Geometria!$R$1405/100)/(Geometria!$N$1307/100))))))*(IF(OR(Geometria!$K$1405&gt;0,Geometria!$K$1403&gt;0,Geometria!$Q$1405&gt;0,Geometria!$Q$1403&gt;0),1,0))))/(Geometria!$L$52/100^3)-((Geometria!$N$416)/(Geometria!$L$52/100^3))-((Geometria!$N$427)/(Geometria!$M$52))</f>
        <v>-1801.6626049207532</v>
      </c>
      <c r="BD104" s="751"/>
      <c r="BF104" s="373">
        <f ca="1">(Geometria!$L$298-(Geometria!$L$298-IF(AV104&lt;Geometria!$L$1409/100,Geometria!$L$1442,Geometria!$L$1460))*(1-(MIN(MIN(1,MAX(0,(AV104-Geometria!$L$1409/100)/(Geometria!$N$1307/100))),MIN(1,MAX(0,((Geometria!$L$29/100-AV104)-Geometria!$R$1409/100)/(Geometria!$N$1307/100))))))*(IF(OR(Geometria!$K$1409&gt;0,Geometria!$K$1407&gt;0,Geometria!$Q$1409&gt;0,Geometria!$Q$1407&gt;0),1,0))-(Geometria!$L$298-IF(AV104&lt;Geometria!$L$1405/100,Geometria!$L$1444,Geometria!$L$1462))*(1-(MIN(MIN(1,MAX(0,(AV104-Geometria!$L$1405/100)/(Geometria!$N$1307/100))),MIN(1,MAX(0,((Geometria!$L$29/100-AV104)-Geometria!$R$1405/100)/(Geometria!$N$1307/100))))))*(IF(OR(Geometria!$K$1405&gt;0,Geometria!$K$1403&gt;0,Geometria!$Q$1405&gt;0,Geometria!$Q$1403&gt;0),1,0)))*BB127+Geometria!$P$1429*BB104</f>
        <v>579.4739578938005</v>
      </c>
      <c r="BG104" s="373">
        <f ca="1">(Geometria!$L$298-(Geometria!$L$298-IF(AV104&lt;Geometria!$L$1409/100,Geometria!$L$1442,Geometria!$L$1460))*(1-(MIN(MIN(1,MAX(0,(AV104-Geometria!$L$1409/100)/(Geometria!$N$1307/100))),MIN(1,MAX(0,((Geometria!$L$29/100-AV104)-Geometria!$R$1409/100)/(Geometria!$N$1307/100))))))*(IF(OR(Geometria!$K$1409&gt;0,Geometria!$K$1407&gt;0,Geometria!$Q$1409&gt;0,Geometria!$Q$1407&gt;0),1,0))-(Geometria!$L$298-IF(AV104&lt;Geometria!$L$1405/100,Geometria!$L$1444,Geometria!$L$1462))*(1-(MIN(MIN(1,MAX(0,(AV104-Geometria!$L$1405/100)/(Geometria!$N$1307/100))),MIN(1,MAX(0,((Geometria!$L$29/100-AV104)-Geometria!$R$1405/100)/(Geometria!$N$1307/100))))))*(IF(OR(Geometria!$K$1405&gt;0,Geometria!$K$1403&gt;0,Geometria!$Q$1405&gt;0,Geometria!$Q$1403&gt;0),1,0)))*BB127*(Geometria!$L$299-(Geometria!$L$299-IF(AV104&lt;Geometria!$L$1409/100,Geometria!$L$1443,Geometria!$L$1461))*(1-(MIN(MIN(1,MAX(0,(AV104-Geometria!$L$1409/100)/(Geometria!$N$1307/100))),MIN(1,MAX(0,((Geometria!$L$29/100-AV104)-Geometria!$R$1409/100)/(Geometria!$N$1307/100))))))*(IF(OR(Geometria!$K$1409&gt;0,Geometria!$K$1407&gt;0,Geometria!$Q$1409&gt;0,Geometria!$Q$1407&gt;0),1,0))-(Geometria!$L$299-IF(AV104&lt;Geometria!$L$1405/100,Geometria!$L$1445,Geometria!$L$1463))*(1-(MIN(MIN(1,MAX(0,(AV104-Geometria!$L$1405/100)/(Geometria!$N$1307/100))),MIN(1,MAX(0,((Geometria!$L$29/100-AV104)-Geometria!$R$1405/100)/(Geometria!$N$1307/100))))))*(IF(OR(Geometria!$K$1405&gt;0,Geometria!$K$1403&gt;0,Geometria!$Q$1405&gt;0,Geometria!$Q$1403&gt;0),1,0)))/100-Geometria!$P$1429*BB104*Geometria!$L$1438/100</f>
        <v>165.15007799973316</v>
      </c>
      <c r="BH104" s="365"/>
      <c r="BI104" s="371">
        <f ca="1">(IF(AW104="Sim",IF(AU104="Sim",$AB$93,ER104),IF(AU104="Sim",ET104,Geometria!$L$373)))</f>
        <v>621.7798114153002</v>
      </c>
      <c r="BJ104" s="371">
        <f ca="1">(IF(AW104="Sim",IF(AU104="Sim",$AB$94,ES104),IF(AU104="Sim",EU104,Geometria!$L$374)))</f>
        <v>177.20724625336052</v>
      </c>
      <c r="BL104" s="4" t="s">
        <v>432</v>
      </c>
      <c r="BM104" s="202">
        <f t="shared" ca="1" si="15"/>
        <v>-1801.6626049207532</v>
      </c>
      <c r="BN104" s="38" t="s">
        <v>234</v>
      </c>
      <c r="BO104" s="203">
        <f t="shared" ca="1" si="6"/>
        <v>-1.8016626049207531</v>
      </c>
      <c r="BP104" s="38" t="s">
        <v>160</v>
      </c>
      <c r="BQ104" s="399">
        <f t="shared" si="16"/>
        <v>0.0</v>
      </c>
      <c r="BR104" s="376" t="str">
        <f>IF(OR(AND(BS104&lt;Geometria!$L$1405/100,Geometria!$K$1405&gt;0),AND((Geometria!$L$29/100-BS104)&lt;Geometria!$R$1405/100,Geometria!$Q$1405&gt;0)),"Sim","Não")</f>
        <v>Sim</v>
      </c>
      <c r="BS104" s="395">
        <f>Geometria!$N$415</f>
        <v>1.1774999999999998</v>
      </c>
      <c r="BT104" s="376" t="str">
        <f>IF(OR(AND(BS104&lt;Geometria!$L$1409/100,OR(Geometria!$K$1409&gt;0,Geometria!$K$1407&gt;0)),AND((Geometria!$L$29/100-BS104)&lt;Geometria!$R$1409/100,OR(Geometria!$Q$1409&gt;0,Geometria!$Q$1407&gt;0))),"Sim","Não")</f>
        <v>Não</v>
      </c>
      <c r="BU104" s="122" t="s">
        <v>432</v>
      </c>
      <c r="BV104" s="198" t="str">
        <f ca="1">IF(Geometria!$N$437&lt;Geometria!$N$1307/100,"Reduzir","OK")</f>
        <v>OK</v>
      </c>
      <c r="BW104" s="401">
        <f t="shared" ca="1" si="7"/>
        <v>-1801.6660146504496</v>
      </c>
      <c r="BX104" s="403">
        <f ca="1">-(CC104/(Geometria!$L$48/100^2))+(CD104/(Geometria!$L$52/100^3))-((Geometria!$N$416)/(Geometria!$L$52/100^3))-((Geometria!$N$427)/(Geometria!$M$52))-((Geometria!$L$76*Geometria!$N$438)/(Geometria!$M$52))</f>
        <v>-2236.4778807084867</v>
      </c>
      <c r="BY104" s="400">
        <f ca="1">((Geometria!$N$369*(Geometria!$N$897*100))/Geometria!$N$1307)</f>
        <v>124.16252424650864</v>
      </c>
      <c r="BZ104" s="751">
        <f ca="1">-((Geometria!$L$373-(Geometria!$L$373-ER104)*(1-(MIN(MIN(1,MAX(0,(BS104-Geometria!$L$1409/100)/(Geometria!$N$1307/100))),MIN(1,MAX(0,((Geometria!$L$29/100-BS104)-Geometria!$R$1409/100)/(Geometria!$N$1307/100))))))*(IF(OR(Geometria!$K$1409&gt;0,Geometria!$K$1407&gt;0,Geometria!$Q$1409&gt;0,Geometria!$Q$1407&gt;0),1,0))-(Geometria!$L$373-ET104)*(1-(MIN(MIN(1,MAX(0,(BS104-Geometria!$L$1405/100)/(Geometria!$N$1307/100))),MIN(1,MAX(0,((Geometria!$L$29/100-BS104)-Geometria!$R$1405/100)/(Geometria!$N$1307/100))))))*(IF(OR(Geometria!$K$1405&gt;0,Geometria!$K$1403&gt;0,Geometria!$Q$1405&gt;0,Geometria!$Q$1403&gt;0),1,0))))/(Geometria!$L$48/100^2)+((Geometria!$L$374-(Geometria!$L$374-ES104)*(1-(MIN(MIN(1,MAX(0,(BS104-Geometria!$L$1409/100)/(Geometria!$N$1307/100))),MIN(1,MAX(0,((Geometria!$L$29/100-BS104)-Geometria!$R$1409/100)/(Geometria!$N$1307/100))))))*(IF(OR(Geometria!$K$1409&gt;0,Geometria!$K$1407&gt;0,Geometria!$Q$1409&gt;0,Geometria!$Q$1407&gt;0),1,0))-(Geometria!$L$374-EU104)*(1-(MIN(MIN(1,MAX(0,(BS104-Geometria!$L$1405/100)/(Geometria!$N$1307/100))),MIN(1,MAX(0,((Geometria!$L$29/100-BS104)-Geometria!$R$1405/100)/(Geometria!$N$1307/100))))))*(IF(OR(Geometria!$K$1405&gt;0,Geometria!$K$1403&gt;0,Geometria!$Q$1405&gt;0,Geometria!$Q$1403&gt;0),1,0))))/(Geometria!$L$52/100^3)-((Geometria!$N$673)/(Geometria!$L$52/100^3))-((Geometria!$N$684)/(Geometria!$M$52))-((Geometria!$L$77*Geometria!$N$695)/(Geometria!$M$52))</f>
        <v>-1801.6660146504496</v>
      </c>
      <c r="CA104" s="751"/>
      <c r="CC104" s="373">
        <f ca="1">(Geometria!$L$298-(Geometria!$L$298-IF(BS104&lt;Geometria!$L$1409/100,Geometria!$L$1442,Geometria!$L$1460))*(1-(MIN(MIN(1,MAX(0,(BS104-Geometria!$L$1409/100)/(Geometria!$N$1307/100))),MIN(1,MAX(0,((Geometria!$L$29/100-BS104)-Geometria!$R$1409/100)/(Geometria!$N$1307/100))))))*(IF(OR(Geometria!$K$1409&gt;0,Geometria!$K$1407&gt;0,Geometria!$Q$1409&gt;0,Geometria!$Q$1407&gt;0),1,0))-(Geometria!$L$298-IF(BS104&lt;Geometria!$L$1405/100,Geometria!$L$1444,Geometria!$L$1462))*(1-(MIN(MIN(1,MAX(0,(BS104-Geometria!$L$1405/100)/(Geometria!$N$1307/100))),MIN(1,MAX(0,((Geometria!$L$29/100-BS104)-Geometria!$R$1405/100)/(Geometria!$N$1307/100))))))*(IF(OR(Geometria!$K$1405&gt;0,Geometria!$K$1403&gt;0,Geometria!$Q$1405&gt;0,Geometria!$Q$1403&gt;0),1,0)))*BY127+Geometria!$P$1429*BY104</f>
        <v>579.4739578938005</v>
      </c>
      <c r="CD104" s="373">
        <f ca="1">(Geometria!$L$298-(Geometria!$L$298-IF(BS104&lt;Geometria!$L$1409/100,Geometria!$L$1442,Geometria!$L$1460))*(1-(MIN(MIN(1,MAX(0,(BS104-Geometria!$L$1409/100)/(Geometria!$N$1307/100))),MIN(1,MAX(0,((Geometria!$L$29/100-BS104)-Geometria!$R$1409/100)/(Geometria!$N$1307/100))))))*(IF(OR(Geometria!$K$1409&gt;0,Geometria!$K$1407&gt;0,Geometria!$Q$1409&gt;0,Geometria!$Q$1407&gt;0),1,0))-(Geometria!$L$298-IF(BS104&lt;Geometria!$L$1405/100,Geometria!$L$1444,Geometria!$L$1462))*(1-(MIN(MIN(1,MAX(0,(BS104-Geometria!$L$1405/100)/(Geometria!$N$1307/100))),MIN(1,MAX(0,((Geometria!$L$29/100-BS104)-Geometria!$R$1405/100)/(Geometria!$N$1307/100))))))*(IF(OR(Geometria!$K$1405&gt;0,Geometria!$K$1403&gt;0,Geometria!$Q$1405&gt;0,Geometria!$Q$1403&gt;0),1,0)))*BY127*(Geometria!$L$299-(Geometria!$L$299-IF(BS104&lt;Geometria!$L$1409/100,Geometria!$L$1443,Geometria!$L$1461))*(1-(MIN(MIN(1,MAX(0,(BS104-Geometria!$L$1409/100)/(Geometria!$N$1307/100))),MIN(1,MAX(0,((Geometria!$L$29/100-BS104)-Geometria!$R$1409/100)/(Geometria!$N$1307/100))))))*(IF(OR(Geometria!$K$1409&gt;0,Geometria!$K$1407&gt;0,Geometria!$Q$1409&gt;0,Geometria!$Q$1407&gt;0),1,0))-(Geometria!$L$299-IF(BS104&lt;Geometria!$L$1405/100,Geometria!$L$1445,Geometria!$L$1463))*(1-(MIN(MIN(1,MAX(0,(BS104-Geometria!$L$1405/100)/(Geometria!$N$1307/100))),MIN(1,MAX(0,((Geometria!$L$29/100-BS104)-Geometria!$R$1405/100)/(Geometria!$N$1307/100))))))*(IF(OR(Geometria!$K$1405&gt;0,Geometria!$K$1403&gt;0,Geometria!$Q$1405&gt;0,Geometria!$Q$1403&gt;0),1,0)))/100-Geometria!$P$1429*BY104*Geometria!$L$1438/100</f>
        <v>165.15007799973316</v>
      </c>
      <c r="CE104" s="365"/>
      <c r="CF104" s="371">
        <f ca="1">(IF(BT104="Sim",IF(BR104="Sim",$AB$93,ER104),IF(BR104="Sim",ET104,Geometria!$L$373)))</f>
        <v>621.7798114153002</v>
      </c>
      <c r="CG104" s="371">
        <f ca="1">(IF(BT104="Sim",IF(BR104="Sim",$AB$94,ES104),IF(BR104="Sim",EU104,Geometria!$L$374)))</f>
        <v>177.20724625336052</v>
      </c>
      <c r="CI104" s="4" t="s">
        <v>432</v>
      </c>
      <c r="CJ104" s="202">
        <f t="shared" ca="1" si="17"/>
        <v>-1801.6660146504496</v>
      </c>
      <c r="CK104" s="38" t="s">
        <v>234</v>
      </c>
      <c r="CL104" s="203">
        <f t="shared" ca="1" si="8"/>
        <v>-1.8016660146504495</v>
      </c>
      <c r="CM104" s="38" t="s">
        <v>160</v>
      </c>
      <c r="CN104" s="399">
        <f t="shared" si="18"/>
        <v>0.0</v>
      </c>
      <c r="CO104" s="376" t="str">
        <f>IF(OR(AND(CP104&lt;Geometria!$L$1405/100,Geometria!$K$1405&gt;0),AND((Geometria!$L$29/100-CP104)&lt;Geometria!$R$1405/100,Geometria!$Q$1405&gt;0)),"Sim","Não")</f>
        <v>Sim</v>
      </c>
      <c r="CP104" s="395">
        <f>Geometria!$N$415</f>
        <v>1.1774999999999998</v>
      </c>
      <c r="CQ104" s="376" t="str">
        <f>IF(OR(AND(CP104&lt;Geometria!$L$1409/100,OR(Geometria!$K$1409&gt;0,Geometria!$K$1407&gt;0)),AND((Geometria!$L$29/100-CP104)&lt;Geometria!$R$1409/100,OR(Geometria!$Q$1409&gt;0,Geometria!$Q$1407&gt;0))),"Sim","Não")</f>
        <v>Não</v>
      </c>
      <c r="CR104" s="122" t="s">
        <v>432</v>
      </c>
      <c r="CS104" s="198" t="str">
        <f ca="1">IF(Geometria!$N$437&lt;Geometria!$N$1307/100,"Reduzir","OK")</f>
        <v>OK</v>
      </c>
      <c r="CT104" s="401">
        <f t="shared" ca="1" si="9"/>
        <v>-1801.6626049207532</v>
      </c>
      <c r="CU104" s="403">
        <f ca="1">-(CZ104/(Geometria!$L$48/100^2))+(DA104/(Geometria!$L$52/100^3))-((Geometria!$N$416)/(Geometria!$L$52/100^3))-((Geometria!$N$427)/(Geometria!$M$52))-((Geometria!$L$76*Geometria!$N$438)/(Geometria!$M$52))</f>
        <v>-2236.4778807084867</v>
      </c>
      <c r="CV104" s="400">
        <f ca="1">((Geometria!$N$369*(Geometria!$N$897*100))/Geometria!$N$1307)</f>
        <v>124.16252424650864</v>
      </c>
      <c r="CW104" s="751">
        <f ca="1">-((Geometria!$L$373-(Geometria!$L$373-ER104)*(1-(MIN(MIN(1,MAX(0,(CP104-Geometria!$L$1409/100)/(Geometria!$N$1307/100))),MIN(1,MAX(0,((Geometria!$L$29/100-CP104)-Geometria!$R$1409/100)/(Geometria!$N$1307/100))))))*(IF(OR(Geometria!$K$1409&gt;0,Geometria!$K$1407&gt;0,Geometria!$Q$1409&gt;0,Geometria!$Q$1407&gt;0),1,0))-(Geometria!$L$373-ET104)*(1-(MIN(MIN(1,MAX(0,(CP104-Geometria!$L$1405/100)/(Geometria!$N$1307/100))),MIN(1,MAX(0,((Geometria!$L$29/100-CP104)-Geometria!$R$1405/100)/(Geometria!$N$1307/100))))))*(IF(OR(Geometria!$K$1405&gt;0,Geometria!$K$1403&gt;0,Geometria!$Q$1405&gt;0,Geometria!$Q$1403&gt;0),1,0))))/(Geometria!$L$48/100^2)+((Geometria!$L$374-(Geometria!$L$374-ES104)*(1-(MIN(MIN(1,MAX(0,(CP104-Geometria!$L$1409/100)/(Geometria!$N$1307/100))),MIN(1,MAX(0,((Geometria!$L$29/100-CP104)-Geometria!$R$1409/100)/(Geometria!$N$1307/100))))))*(IF(OR(Geometria!$K$1409&gt;0,Geometria!$K$1407&gt;0,Geometria!$Q$1409&gt;0,Geometria!$Q$1407&gt;0),1,0))-(Geometria!$L$374-EU104)*(1-(MIN(MIN(1,MAX(0,(CP104-Geometria!$L$1405/100)/(Geometria!$N$1307/100))),MIN(1,MAX(0,((Geometria!$L$29/100-CP104)-Geometria!$R$1405/100)/(Geometria!$N$1307/100))))))*(IF(OR(Geometria!$K$1405&gt;0,Geometria!$K$1403&gt;0,Geometria!$Q$1405&gt;0,Geometria!$Q$1403&gt;0),1,0))))/(Geometria!$L$52/100^3)-((Geometria!$N$673)/(Geometria!$L$52/100^3))-((Geometria!$N$684)/(Geometria!$M$52))</f>
        <v>-1801.6626049207532</v>
      </c>
      <c r="CX104" s="751"/>
      <c r="CZ104" s="373">
        <f ca="1">(IF(CQ104="Sim",IF(CO104="Sim",IF(CP104&lt;Geometria!$L$1405/100,Geometria!$L$1435,Geometria!$L$1476),IF(CP104&lt;Geometria!$L$1409/100,Geometria!$L$1442,Geometria!$L$1460)),IF(CO104="Sim",IF(CP104&lt;Geometria!$L$1405/100,Geometria!$L$1444,Geometria!$L$1462),Geometria!$L$298)))*CV127+Geometria!$P$1429*CV104</f>
        <v>579.4739578938005</v>
      </c>
      <c r="DA104" s="373">
        <f ca="1">(IF(CQ104="Sim",IF(CO104="Sim",IF(CP104&lt;Geometria!$L$1405/100,Geometria!$L$1435,Geometria!$L$1476),IF(CP104&lt;Geometria!$L$1409/100,Geometria!$L$1442,Geometria!$L$1460)),IF(CO104="Sim",IF(CP104&lt;Geometria!$L$1405/100,Geometria!$L$1444,Geometria!$L$1462),Geometria!$L$298)))*CV127*(IF(CQ104="Sim",IF(CO104="Sim",IF(CP104&lt;Geometria!$L$1405/100,Geometria!$L$1436,Geometria!$L$1484),IF(CP104&lt;Geometria!$L$1409/100,Geometria!$L$1443,Geometria!$L$1461)),IF(CO104="Sim",IF(CP104&lt;Geometria!$L$1405/100,Geometria!$L$1445,Geometria!$L$1463),Geometria!$L$299)))/100-Geometria!$P$1429*CV104*Geometria!$L$1438/100</f>
        <v>165.15007799973316</v>
      </c>
      <c r="DB104" s="365"/>
      <c r="DC104" s="371">
        <f ca="1">(IF(CQ104="Sim",IF(CO104="Sim",$AB$93,ER104),IF(CO104="Sim",ET104,Geometria!$L$373)))</f>
        <v>621.7798114153002</v>
      </c>
      <c r="DD104" s="371">
        <f ca="1">(IF(CQ104="Sim",IF(CO104="Sim",$AB$94,ES104),IF(CO104="Sim",EU104,Geometria!$L$374)))</f>
        <v>177.20724625336052</v>
      </c>
      <c r="DF104" s="4" t="s">
        <v>432</v>
      </c>
      <c r="DG104" s="202">
        <f t="shared" ca="1" si="19"/>
        <v>-1801.6626049207532</v>
      </c>
      <c r="DH104" s="38" t="s">
        <v>234</v>
      </c>
      <c r="DI104" s="203">
        <f t="shared" ca="1" si="10"/>
        <v>-1.8016626049207531</v>
      </c>
      <c r="DJ104" s="38" t="s">
        <v>160</v>
      </c>
      <c r="DK104" s="399">
        <f t="shared" si="20"/>
        <v>0.0</v>
      </c>
      <c r="EA104">
        <f ca="1">-L104/('Aberturas na Alma'!$M$112/100^2)+M104/('Aberturas na Alma'!$M$119/100^3)-Geometria!$L$898/('Aberturas na Alma'!$M$119/100^3)</f>
        <v>5811.086616196757</v>
      </c>
      <c r="EB104">
        <f ca="1">-(IF(C104="Sim",IF(A104="Sim",$E$93,EX104),IF(A104="Sim",EZ104,Geometria!$L$906)))/('Aberturas na Alma'!$M$112/100^2)+(IF(C104="Sim",IF(A104="Sim",$E$94,EY104),IF(A104="Sim",FA104,Geometria!$L$907)))/('Aberturas na Alma'!$M$119/100^3)-Geometria!$N$898/('Aberturas na Alma'!$M$119/100^3)</f>
        <v>5618.73993304365</v>
      </c>
      <c r="EC104">
        <f ca="1">IF(AND('Aberturas na Alma'!$M$18="NÃO DISPENSADO — furo deve ser verificado (cálculo abaixo)",OR(AND(B104&gt;=('Aberturas na Alma'!$M$4-'Aberturas na Alma'!$M$7/2)/100,B104&lt;=('Aberturas na Alma'!$M$4+'Aberturas na Alma'!$M$7/2)/100),ABS(B104-'Aberturas na Alma'!$M$4/100)&lt;=Geometria!$L$29/4000)),IF(E104="Reduzir",EA104,EB104),F104)</f>
        <v>6545.172499364655</v>
      </c>
      <c r="ED104">
        <f ca="1">-(AI104/('Aberturas na Alma'!$M$112/100^2))+(AJ104/('Aberturas na Alma'!$M$119/100^3))-((Geometria!$N$416)/('Aberturas na Alma'!$M$119/100^3))-((Geometria!$N$427)/('Aberturas na Alma'!$M$119/100^3))-((Geometria!$L$76*Geometria!$N$438)/('Aberturas na Alma'!$M$119/100^3))</f>
        <v>-24531.103187128512</v>
      </c>
      <c r="EE104">
        <f ca="1">-((IF(Z104="Sim",IF(X104="Sim",$AB$93,ER104),IF(X104="Sim",ET104,Geometria!$L$373)))/('Aberturas na Alma'!$M$112/100^2))+((IF(Z104="Sim",IF(X104="Sim",$AB$94,ES104),IF(X104="Sim",EU104,Geometria!$L$374)))/('Aberturas na Alma'!$M$119/100^3))-((Geometria!$N$416)/('Aberturas na Alma'!$M$119/100^3))-((Geometria!$N$427)/('Aberturas na Alma'!$M$119/100^3))-((Geometria!$L$76*Geometria!$N$438)/('Aberturas na Alma'!$M$119/100^3))</f>
        <v>-24145.728249184867</v>
      </c>
      <c r="EF104" s="371">
        <f ca="1">IF(AND('Aberturas na Alma'!$M$18="NÃO DISPENSADO — furo deve ser verificado (cálculo abaixo)",OR(AND(B104&gt;=('Aberturas na Alma'!$M$4-'Aberturas na Alma'!$M$7/2)/100,B104&lt;=('Aberturas na Alma'!$M$4+'Aberturas na Alma'!$M$7/2)/100),ABS(B104-'Aberturas na Alma'!$M$4/100)&lt;=Geometria!$L$29/4000)),IF(AB104="Reduzir",ED104,EE104),AC104)</f>
        <v>-1801.6677195152977</v>
      </c>
      <c r="EG104">
        <f ca="1">-(BF104/('Aberturas na Alma'!$M$112/100^2))+(BG104/('Aberturas na Alma'!$M$119/100^3))-((Geometria!$N$416)/('Aberturas na Alma'!$M$119/100^3))-((Geometria!$N$427)/('Aberturas na Alma'!$M$119/100^3))-((Geometria!$L$76*Geometria!$N$438)/('Aberturas na Alma'!$M$119/100^3))</f>
        <v>-24531.103187128512</v>
      </c>
      <c r="EH104">
        <f ca="1">-((IF(AW104="Sim",IF(AU104="Sim",$AB$93,ER104),IF(AU104="Sim",ET104,Geometria!$L$373)))/('Aberturas na Alma'!$M$112/100^2))+((IF(AW104="Sim",IF(AU104="Sim",$AB$94,ES104),IF(AU104="Sim",EU104,Geometria!$L$374)))/('Aberturas na Alma'!$M$119/100^3))-((Geometria!$N$416)/('Aberturas na Alma'!$M$119/100^3))-((Geometria!$N$427)/('Aberturas na Alma'!$M$119/100^3))</f>
        <v>-4210.777443961984</v>
      </c>
      <c r="EI104" s="371">
        <f ca="1">IF(AND('Aberturas na Alma'!$M$18="NÃO DISPENSADO — furo deve ser verificado (cálculo abaixo)",OR(AND(B104&gt;=('Aberturas na Alma'!$M$4-'Aberturas na Alma'!$M$7/2)/100,B104&lt;=('Aberturas na Alma'!$M$4+'Aberturas na Alma'!$M$7/2)/100),ABS(B104-'Aberturas na Alma'!$M$4/100)&lt;=Geometria!$L$29/4000)),IF(AY104="Reduzir",EG104,EH104),AZ104)</f>
        <v>-1801.6626049207532</v>
      </c>
      <c r="EJ104">
        <f ca="1">-(CC104/('Aberturas na Alma'!$M$112/100^2))+(CD104/('Aberturas na Alma'!$M$119/100^3))-((Geometria!$N$416)/('Aberturas na Alma'!$M$119/100^3))-((Geometria!$N$427)/('Aberturas na Alma'!$M$119/100^3))-((Geometria!$L$76*Geometria!$N$438)/('Aberturas na Alma'!$M$119/100^3))</f>
        <v>-24531.103187128512</v>
      </c>
      <c r="EK104">
        <f ca="1">-((IF(BT104="Sim",IF(BR104="Sim",$AB$93,ER104),IF(BR104="Sim",ET104,Geometria!$L$373)))/('Aberturas na Alma'!$M$112/100^2))+((IF(BT104="Sim",IF(BR104="Sim",$AB$94,ES104),IF(BR104="Sim",EU104,Geometria!$L$374)))/('Aberturas na Alma'!$M$119/100^3))-((Geometria!$N$673)/('Aberturas na Alma'!$M$119/100^3))-((Geometria!$N$684)/('Aberturas na Alma'!$M$119/100^3))-((Geometria!$L$77*Geometria!$N$695)/('Aberturas na Alma'!$M$119/100^3))</f>
        <v>-17500.744647443906</v>
      </c>
      <c r="EL104" s="371">
        <f ca="1">IF(AND('Aberturas na Alma'!$M$18="NÃO DISPENSADO — furo deve ser verificado (cálculo abaixo)",OR(AND(B104&gt;=('Aberturas na Alma'!$M$4-'Aberturas na Alma'!$M$7/2)/100,B104&lt;=('Aberturas na Alma'!$M$4+'Aberturas na Alma'!$M$7/2)/100),ABS(B104-'Aberturas na Alma'!$M$4/100)&lt;=Geometria!$L$29/4000)),IF(BV104="Reduzir",EJ104,EK104),BW104)</f>
        <v>-1801.6660146504496</v>
      </c>
      <c r="EM104">
        <f ca="1">-(CZ104/('Aberturas na Alma'!$M$112/100^2))+(DA104/('Aberturas na Alma'!$M$119/100^3))-((Geometria!$N$416)/('Aberturas na Alma'!$M$119/100^3))-((Geometria!$N$427)/('Aberturas na Alma'!$M$119/100^3))-((Geometria!$L$76*Geometria!$N$438)/('Aberturas na Alma'!$M$119/100^3))</f>
        <v>-24531.103187128512</v>
      </c>
      <c r="EN104">
        <f ca="1">-((IF(CQ104="Sim",IF(CO104="Sim",$AB$93,ER104),IF(CO104="Sim",ET104,Geometria!$L$373)))/('Aberturas na Alma'!$M$112/100^2))+((IF(CQ104="Sim",IF(CO104="Sim",$AB$94,ES104),IF(CO104="Sim",EU104,Geometria!$L$374)))/('Aberturas na Alma'!$M$119/100^3))-((Geometria!$N$673)/('Aberturas na Alma'!$M$119/100^3))-((Geometria!$N$684)/('Aberturas na Alma'!$M$119/100^3))</f>
        <v>-4210.777443961984</v>
      </c>
      <c r="EO104" s="371">
        <f ca="1">IF(AND('Aberturas na Alma'!$M$18="NÃO DISPENSADO — furo deve ser verificado (cálculo abaixo)",OR(AND(B104&gt;=('Aberturas na Alma'!$M$4-'Aberturas na Alma'!$M$7/2)/100,B104&lt;=('Aberturas na Alma'!$M$4+'Aberturas na Alma'!$M$7/2)/100),ABS(B104-'Aberturas na Alma'!$M$4/100)&lt;=Geometria!$L$29/4000)),IF(CS104="Reduzir",EM104,EN104),CT104)</f>
        <v>-1801.6626049207532</v>
      </c>
      <c r="EP104" t="str">
        <f>IF(AND(Y104&lt;Geometria!$L$1409/100,OR(Geometria!$K$1409&gt;0,Geometria!$K$1407&gt;0)),"ESQ",IF(AND((Geometria!$L$29/100-Y104)&lt;Geometria!$R$1409/100,OR(Geometria!$Q$1409&gt;0,Geometria!$Q$1407&gt;0)),"DIR","N/A"))</f>
        <v>N/A</v>
      </c>
      <c r="EQ104" t="str">
        <f>IF(AND(Y104&lt;Geometria!$L$1405/100,Geometria!$K$1405&gt;0),"ESQ",IF(AND((Geometria!$L$29/100-Y104)&lt;Geometria!$R$1405/100,Geometria!$Q$1405&gt;0),"DIR","N/A"))</f>
        <v>ESQ</v>
      </c>
      <c r="ER104">
        <f ca="1">IF(EP104="DIR",Geometria!$L$1470,Geometria!$L$1452)</f>
        <v>1243.5596228306003</v>
      </c>
      <c r="ES104">
        <f ca="1">IF(EP104="DIR",Geometria!$L$1471,Geometria!$L$1453)</f>
        <v>233.16742928073757</v>
      </c>
      <c r="ET104">
        <f ca="1">IF(EQ104="DIR",Geometria!$L$1472,Geometria!$L$1454)</f>
        <v>621.7798114153002</v>
      </c>
      <c r="EU104">
        <f ca="1">IF(EQ104="DIR",Geometria!$L$1473,Geometria!$L$1455)</f>
        <v>177.20724625336052</v>
      </c>
      <c r="EV104" t="str">
        <f>IF(AND(B104&lt;Geometria!$L$1409/100,OR(Geometria!$K$1409&gt;0,Geometria!$K$1407&gt;0)),"ESQ",IF(AND((Geometria!$L$29/100-B104)&lt;Geometria!$R$1409/100,OR(Geometria!$Q$1409&gt;0,Geometria!$Q$1407&gt;0)),"DIR","N/A"))</f>
        <v>N/A</v>
      </c>
      <c r="EW104" t="str">
        <f>IF(AND(B104&lt;Geometria!$L$1405/100,Geometria!$K$1405&gt;0),"ESQ",IF(AND((Geometria!$L$29/100-B104)&lt;Geometria!$R$1405/100,Geometria!$Q$1405&gt;0),"DIR","N/A"))</f>
        <v>ESQ</v>
      </c>
      <c r="EX104">
        <f ca="1">IF(EV104="DIR",Geometria!$L$1465,Geometria!$L$1447)</f>
        <v>1499.8056003831216</v>
      </c>
      <c r="EY104">
        <f ca="1">IF(EV104="DIR",Geometria!$L$1466,Geometria!$L$1448)</f>
        <v>281.2135500718353</v>
      </c>
      <c r="EZ104">
        <f ca="1">IF(EW104="DIR",Geometria!$L$1467,Geometria!$L$1449)</f>
        <v>749.9028001915608</v>
      </c>
      <c r="FA104">
        <f ca="1">IF(EW104="DIR",Geometria!$L$1468,Geometria!$L$1450)</f>
        <v>213.72229805459483</v>
      </c>
    </row>
    <row r="105" spans="1:157" x14ac:dyDescent="0.25">
      <c r="A105" s="376" t="str">
        <f>IF(OR(AND(B105&lt;Geometria!$L$1405/100,Geometria!$K$1405&gt;0),AND((Geometria!$L$29/100-B105)&lt;Geometria!$R$1405/100,Geometria!$Q$1405&gt;0)),"Sim","Não")</f>
        <v>Sim</v>
      </c>
      <c r="B105" s="395">
        <f>Tensões!$F$63</f>
        <v>1.5699999999999998</v>
      </c>
      <c r="C105" s="376" t="str">
        <f>IF(OR(AND(B105&lt;Geometria!$L$1409/100,OR(Geometria!$K$1409&gt;0,Geometria!$K$1407&gt;0)),AND((Geometria!$L$29/100-B105)&lt;Geometria!$R$1409/100,OR(Geometria!$Q$1409&gt;0,Geometria!$Q$1407&gt;0))),"Sim","Não")</f>
        <v>Não</v>
      </c>
      <c r="D105" s="122" t="s">
        <v>433</v>
      </c>
      <c r="E105" s="198" t="str">
        <f ca="1">IF(Geometria!$O$437&lt;Geometria!$N$1307/100,"Reduzir","OK")</f>
        <v>OK</v>
      </c>
      <c r="F105" s="396">
        <f t="shared" ca="1" si="1"/>
        <v>6248.9351686354885</v>
      </c>
      <c r="G105" s="397">
        <f ca="1">-L105/(Geometria!$L$48/100^2)+M105/(Geometria!$L$52/100^3)-Geometria!$L$898/(Geometria!$L$52/100^3)</f>
        <v>8988.514037319694</v>
      </c>
      <c r="H105" s="400">
        <f ca="1">((Geometria!$L$326*(Geometria!$O$897*100))/Geometria!$N$1307)</f>
        <v>195.91675378676064</v>
      </c>
      <c r="I105" s="743">
        <f ca="1">-(Geometria!$L$906-(Geometria!$L$906-EX105)*(1-(MIN(MIN(1,MAX(0,(B105-Geometria!$L$1409/100)/(Geometria!$N$1307/100))),MIN(1,MAX(0,((Geometria!$L$29/100-B105)-Geometria!$R$1409/100)/(Geometria!$N$1307/100))))))*(IF(OR(Geometria!$K$1409&gt;0,Geometria!$K$1407&gt;0,Geometria!$Q$1409&gt;0,Geometria!$Q$1407&gt;0),1,0))-(Geometria!$L$906-EZ105)*(1-(MIN(MIN(1,MAX(0,(B105-Geometria!$L$1405/100)/(Geometria!$N$1307/100))),MIN(1,MAX(0,((Geometria!$L$29/100-B105)-Geometria!$R$1405/100)/(Geometria!$N$1307/100))))))*(IF(OR(Geometria!$K$1405&gt;0,Geometria!$K$1403&gt;0,Geometria!$Q$1405&gt;0,Geometria!$Q$1403&gt;0),1,0)))/(Geometria!$L$48/100^2)+(Geometria!$L$907-(Geometria!$L$907-EY105)*(1-(MIN(MIN(1,MAX(0,(B105-Geometria!$L$1409/100)/(Geometria!$N$1307/100))),MIN(1,MAX(0,((Geometria!$L$29/100-B105)-Geometria!$R$1409/100)/(Geometria!$N$1307/100))))))*(IF(OR(Geometria!$K$1409&gt;0,Geometria!$K$1407&gt;0,Geometria!$Q$1409&gt;0,Geometria!$Q$1407&gt;0),1,0))-(Geometria!$L$907-FA105)*(1-(MIN(MIN(1,MAX(0,(B105-Geometria!$L$1405/100)/(Geometria!$N$1307/100))),MIN(1,MAX(0,((Geometria!$L$29/100-B105)-Geometria!$R$1405/100)/(Geometria!$N$1307/100))))))*(IF(OR(Geometria!$K$1405&gt;0,Geometria!$K$1403&gt;0,Geometria!$Q$1405&gt;0,Geometria!$Q$1403&gt;0),1,0)))/(Geometria!$L$52/100^3)-Geometria!$O$898/(Geometria!$L$52/100^3)</f>
        <v>6248.9351686354885</v>
      </c>
      <c r="J105" s="743"/>
      <c r="L105" s="373">
        <f ca="1">(Geometria!$L$298-(Geometria!$L$298-IF(B105&lt;Geometria!$L$1409/100,Geometria!$L$1442,Geometria!$L$1460))*(1-(MIN(MIN(1,MAX(0,(B105-Geometria!$L$1409/100)/(Geometria!$N$1307/100))),MIN(1,MAX(0,((Geometria!$L$29/100-B105)-Geometria!$R$1409/100)/(Geometria!$N$1307/100))))))*(IF(OR(Geometria!$K$1409&gt;0,Geometria!$K$1407&gt;0,Geometria!$Q$1409&gt;0,Geometria!$Q$1407&gt;0),1,0))-(Geometria!$L$298-IF(B105&lt;Geometria!$L$1405/100,Geometria!$L$1444,Geometria!$L$1462))*(1-(MIN(MIN(1,MAX(0,(B105-Geometria!$L$1405/100)/(Geometria!$N$1307/100))),MIN(1,MAX(0,((Geometria!$L$29/100-B105)-Geometria!$R$1405/100)/(Geometria!$N$1307/100))))))*(IF(OR(Geometria!$K$1405&gt;0,Geometria!$K$1403&gt;0,Geometria!$Q$1405&gt;0,Geometria!$Q$1403&gt;0),1,0)))*H128+Geometria!$P$1429*H105</f>
        <v>916.684179560159</v>
      </c>
      <c r="M105" s="373">
        <f ca="1">(Geometria!$L$298-(Geometria!$L$298-IF(B105&lt;Geometria!$L$1409/100,Geometria!$L$1442,Geometria!$L$1460))*(1-(MIN(MIN(1,MAX(0,(B105-Geometria!$L$1409/100)/(Geometria!$N$1307/100))),MIN(1,MAX(0,((Geometria!$L$29/100-B105)-Geometria!$R$1409/100)/(Geometria!$N$1307/100))))))*(IF(OR(Geometria!$K$1409&gt;0,Geometria!$K$1407&gt;0,Geometria!$Q$1409&gt;0,Geometria!$Q$1407&gt;0),1,0))-(Geometria!$L$298-IF(B105&lt;Geometria!$L$1405/100,Geometria!$L$1444,Geometria!$L$1462))*(1-(MIN(MIN(1,MAX(0,(B105-Geometria!$L$1405/100)/(Geometria!$N$1307/100))),MIN(1,MAX(0,((Geometria!$L$29/100-B105)-Geometria!$R$1405/100)/(Geometria!$N$1307/100))))))*(IF(OR(Geometria!$K$1405&gt;0,Geometria!$K$1403&gt;0,Geometria!$Q$1405&gt;0,Geometria!$Q$1403&gt;0),1,0)))*H128*(Geometria!$L$299-(Geometria!$L$299-IF(B105&lt;Geometria!$L$1409/100,Geometria!$L$1443,Geometria!$L$1461))*(1-(MIN(MIN(1,MAX(0,(B105-Geometria!$L$1409/100)/(Geometria!$N$1307/100))),MIN(1,MAX(0,((Geometria!$L$29/100-B105)-Geometria!$R$1409/100)/(Geometria!$N$1307/100))))))*(IF(OR(Geometria!$K$1409&gt;0,Geometria!$K$1407&gt;0,Geometria!$Q$1409&gt;0,Geometria!$Q$1407&gt;0),1,0))-(Geometria!$L$299-IF(B105&lt;Geometria!$L$1405/100,Geometria!$L$1445,Geometria!$L$1463))*(1-(MIN(MIN(1,MAX(0,(B105-Geometria!$L$1405/100)/(Geometria!$N$1307/100))),MIN(1,MAX(0,((Geometria!$L$29/100-B105)-Geometria!$R$1405/100)/(Geometria!$N$1307/100))))))*(IF(OR(Geometria!$K$1405&gt;0,Geometria!$K$1403&gt;0,Geometria!$Q$1405&gt;0,Geometria!$Q$1403&gt;0),1,0)))/100-Geometria!$P$1429*H105*Geometria!$L$1438/100</f>
        <v>261.25499117464534</v>
      </c>
      <c r="N105" s="365"/>
      <c r="O105" s="371">
        <f ca="1">(IF(C105="Sim",IF(A105="Sim",$E$93,EX105),IF(A105="Sim",EZ105,Geometria!$L$906)))</f>
        <v>749.9028001915608</v>
      </c>
      <c r="P105" s="371">
        <f ca="1">(IF(C105="Sim",IF(A105="Sim",$E$94,EY105),IF(A105="Sim",FA105,Geometria!$L$907)))</f>
        <v>213.72229805459483</v>
      </c>
      <c r="R105" s="4" t="s">
        <v>433</v>
      </c>
      <c r="S105" s="202">
        <f t="shared" ca="1" si="11"/>
        <v>6248.9351686354885</v>
      </c>
      <c r="T105" s="38" t="s">
        <v>234</v>
      </c>
      <c r="U105" s="203">
        <f t="shared" ca="1" si="2"/>
        <v>6.248935168635488</v>
      </c>
      <c r="V105" s="38" t="s">
        <v>160</v>
      </c>
      <c r="W105" s="399">
        <f t="shared" si="12"/>
        <v>0.0</v>
      </c>
      <c r="X105" s="376" t="str">
        <f>IF(OR(AND(Y105&lt;Geometria!$L$1405/100,Geometria!$K$1405&gt;0),AND((Geometria!$L$29/100-Y105)&lt;Geometria!$R$1405/100,Geometria!$Q$1405&gt;0)),"Sim","Não")</f>
        <v>Sim</v>
      </c>
      <c r="Y105" s="395">
        <f>Geometria!$O$415</f>
        <v>1.5699999999999998</v>
      </c>
      <c r="Z105" s="376" t="str">
        <f>IF(OR(AND(Y105&lt;Geometria!$L$1409/100,OR(Geometria!$K$1409&gt;0,Geometria!$K$1407&gt;0)),AND((Geometria!$L$29/100-Y105)&lt;Geometria!$R$1409/100,OR(Geometria!$Q$1409&gt;0,Geometria!$Q$1407&gt;0))),"Sim","Não")</f>
        <v>Não</v>
      </c>
      <c r="AA105" s="122" t="s">
        <v>433</v>
      </c>
      <c r="AB105" s="198" t="str">
        <f ca="1">IF(Geometria!$O$437&lt;Geometria!$N$1307/100,"Reduzir","OK")</f>
        <v>OK</v>
      </c>
      <c r="AC105" s="401">
        <f t="shared" ca="1" si="3"/>
        <v>-3889.871088600675</v>
      </c>
      <c r="AD105" s="403">
        <f ca="1">-(AI105/(Geometria!$L$48/100^2))+(AJ105/(Geometria!$L$52/100^3))-((Geometria!$O$416)/(Geometria!$L$52/100^3))-((Geometria!$O$427)/(Geometria!$M$52))-((Geometria!$L$76*Geometria!$O$438)/(Geometria!$M$52))</f>
        <v>-3889.871088600675</v>
      </c>
      <c r="AE105" s="400">
        <f ca="1">((Geometria!$N$369*(Geometria!$O$897*100))/Geometria!$N$1307)</f>
        <v>165.5500323286782</v>
      </c>
      <c r="AF105" s="751">
        <f ca="1">-((Geometria!$L$373-(Geometria!$L$373-ER105)*(1-(MIN(MIN(1,MAX(0,(Y105-Geometria!$L$1409/100)/(Geometria!$N$1307/100))),MIN(1,MAX(0,((Geometria!$L$29/100-Y105)-Geometria!$R$1409/100)/(Geometria!$N$1307/100))))))*(IF(OR(Geometria!$K$1409&gt;0,Geometria!$K$1407&gt;0,Geometria!$Q$1409&gt;0,Geometria!$Q$1407&gt;0),1,0))-(Geometria!$L$373-ET105)*(1-(MIN(MIN(1,MAX(0,(Y105-Geometria!$L$1405/100)/(Geometria!$N$1307/100))),MIN(1,MAX(0,((Geometria!$L$29/100-Y105)-Geometria!$R$1405/100)/(Geometria!$N$1307/100))))))*(IF(OR(Geometria!$K$1405&gt;0,Geometria!$K$1403&gt;0,Geometria!$Q$1405&gt;0,Geometria!$Q$1403&gt;0),1,0))))/(Geometria!$L$48/100^2)+((Geometria!$L$374-(Geometria!$L$374-ES105)*(1-(MIN(MIN(1,MAX(0,(Y105-Geometria!$L$1409/100)/(Geometria!$N$1307/100))),MIN(1,MAX(0,((Geometria!$L$29/100-Y105)-Geometria!$R$1409/100)/(Geometria!$N$1307/100))))))*(IF(OR(Geometria!$K$1409&gt;0,Geometria!$K$1407&gt;0,Geometria!$Q$1409&gt;0,Geometria!$Q$1407&gt;0),1,0))-(Geometria!$L$374-EU105)*(1-(MIN(MIN(1,MAX(0,(Y105-Geometria!$L$1405/100)/(Geometria!$N$1307/100))),MIN(1,MAX(0,((Geometria!$L$29/100-Y105)-Geometria!$R$1405/100)/(Geometria!$N$1307/100))))))*(IF(OR(Geometria!$K$1405&gt;0,Geometria!$K$1403&gt;0,Geometria!$Q$1405&gt;0,Geometria!$Q$1403&gt;0),1,0))))/(Geometria!$L$52/100^3)-((Geometria!$O$416)/(Geometria!$L$52/100^3))-((Geometria!$O$427)/(Geometria!$M$52))-((Geometria!$L$76*Geometria!$O$438)/(Geometria!$M$52))</f>
        <v>-3889.871088600675</v>
      </c>
      <c r="AG105" s="751"/>
      <c r="AI105" s="373">
        <f ca="1">(IF(Z105="Sim",IF(X105="Sim",IF(Y105&lt;Geometria!$L$1405/100,Geometria!$L$1435,Geometria!$L$1476),IF(Y105&lt;Geometria!$L$1409/100,Geometria!$L$1442,Geometria!$L$1460)),IF(X105="Sim",IF(Y105&lt;Geometria!$L$1405/100,Geometria!$L$1444,Geometria!$L$1462),Geometria!$L$298)))*AE128+Geometria!$P$1429*AE105</f>
        <v>621.7798114153002</v>
      </c>
      <c r="AJ105" s="373">
        <f ca="1">(IF(Z105="Sim",IF(X105="Sim",IF(Y105&lt;Geometria!$L$1405/100,Geometria!$L$1435,Geometria!$L$1476),IF(Y105&lt;Geometria!$L$1409/100,Geometria!$L$1442,Geometria!$L$1460)),IF(X105="Sim",IF(Y105&lt;Geometria!$L$1405/100,Geometria!$L$1444,Geometria!$L$1462),Geometria!$L$298)))*AE128*(IF(Z105="Sim",IF(X105="Sim",IF(Y105&lt;Geometria!$L$1405/100,Geometria!$L$1436,Geometria!$L$1484),IF(Y105&lt;Geometria!$L$1409/100,Geometria!$L$1443,Geometria!$L$1461)),IF(X105="Sim",IF(Y105&lt;Geometria!$L$1405/100,Geometria!$L$1445,Geometria!$L$1463),Geometria!$L$299)))/100-Geometria!$P$1429*AE105*Geometria!$L$1438/100</f>
        <v>177.20724625336052</v>
      </c>
      <c r="AK105" s="365"/>
      <c r="AL105" s="371">
        <f ca="1">(IF(Z105="Sim",IF(X105="Sim",$AB$93,ER105),IF(X105="Sim",ET105,Geometria!$L$373)))</f>
        <v>621.7798114153002</v>
      </c>
      <c r="AM105" s="371">
        <f ca="1">(IF(Z105="Sim",IF(X105="Sim",$AB$94,ES105),IF(X105="Sim",EU105,Geometria!$L$374)))</f>
        <v>177.20724625336052</v>
      </c>
      <c r="AO105" s="4" t="s">
        <v>433</v>
      </c>
      <c r="AP105" s="202">
        <f t="shared" ca="1" si="13"/>
        <v>-3889.871088600675</v>
      </c>
      <c r="AQ105" s="38" t="s">
        <v>234</v>
      </c>
      <c r="AR105" s="203">
        <f t="shared" ca="1" si="4"/>
        <v>-3.889871088600675</v>
      </c>
      <c r="AS105" s="38" t="s">
        <v>160</v>
      </c>
      <c r="AT105" s="399">
        <f t="shared" si="14"/>
        <v>0.0</v>
      </c>
      <c r="AU105" s="376" t="str">
        <f>IF(OR(AND(AV105&lt;Geometria!$L$1405/100,Geometria!$K$1405&gt;0),AND((Geometria!$L$29/100-AV105)&lt;Geometria!$R$1405/100,Geometria!$Q$1405&gt;0)),"Sim","Não")</f>
        <v>Sim</v>
      </c>
      <c r="AV105" s="395">
        <f>Geometria!$O$415</f>
        <v>1.5699999999999998</v>
      </c>
      <c r="AW105" s="376" t="str">
        <f>IF(OR(AND(AV105&lt;Geometria!$L$1409/100,OR(Geometria!$K$1409&gt;0,Geometria!$K$1407&gt;0)),AND((Geometria!$L$29/100-AV105)&lt;Geometria!$R$1409/100,OR(Geometria!$Q$1409&gt;0,Geometria!$Q$1407&gt;0))),"Sim","Não")</f>
        <v>Não</v>
      </c>
      <c r="AX105" s="122" t="s">
        <v>433</v>
      </c>
      <c r="AY105" s="198" t="str">
        <f ca="1">IF(Geometria!$O$437&lt;Geometria!$N$1307/100,"Reduzir","OK")</f>
        <v>OK</v>
      </c>
      <c r="AZ105" s="401">
        <f t="shared" ca="1" si="5"/>
        <v>-3889.864670285953</v>
      </c>
      <c r="BA105" s="403">
        <f ca="1">-(BF105/(Geometria!$L$48/100^2))+(BG105/(Geometria!$L$52/100^3))-((Geometria!$O$416)/(Geometria!$L$52/100^3))-((Geometria!$O$427)/(Geometria!$M$52))-((Geometria!$L$76*Geometria!$O$438)/(Geometria!$M$52))</f>
        <v>-3889.871088600675</v>
      </c>
      <c r="BB105" s="400">
        <f ca="1">((Geometria!$N$369*(Geometria!$O$897*100))/Geometria!$N$1307)</f>
        <v>165.5500323286782</v>
      </c>
      <c r="BC105" s="751">
        <f ca="1">-((Geometria!$L$373-(Geometria!$L$373-ER105)*(1-(MIN(MIN(1,MAX(0,(AV105-Geometria!$L$1409/100)/(Geometria!$N$1307/100))),MIN(1,MAX(0,((Geometria!$L$29/100-AV105)-Geometria!$R$1409/100)/(Geometria!$N$1307/100))))))*(IF(OR(Geometria!$K$1409&gt;0,Geometria!$K$1407&gt;0,Geometria!$Q$1409&gt;0,Geometria!$Q$1407&gt;0),1,0))-(Geometria!$L$373-ET105)*(1-(MIN(MIN(1,MAX(0,(AV105-Geometria!$L$1405/100)/(Geometria!$N$1307/100))),MIN(1,MAX(0,((Geometria!$L$29/100-AV105)-Geometria!$R$1405/100)/(Geometria!$N$1307/100))))))*(IF(OR(Geometria!$K$1405&gt;0,Geometria!$K$1403&gt;0,Geometria!$Q$1405&gt;0,Geometria!$Q$1403&gt;0),1,0))))/(Geometria!$L$48/100^2)+((Geometria!$L$374-(Geometria!$L$374-ES105)*(1-(MIN(MIN(1,MAX(0,(AV105-Geometria!$L$1409/100)/(Geometria!$N$1307/100))),MIN(1,MAX(0,((Geometria!$L$29/100-AV105)-Geometria!$R$1409/100)/(Geometria!$N$1307/100))))))*(IF(OR(Geometria!$K$1409&gt;0,Geometria!$K$1407&gt;0,Geometria!$Q$1409&gt;0,Geometria!$Q$1407&gt;0),1,0))-(Geometria!$L$374-EU105)*(1-(MIN(MIN(1,MAX(0,(AV105-Geometria!$L$1405/100)/(Geometria!$N$1307/100))),MIN(1,MAX(0,((Geometria!$L$29/100-AV105)-Geometria!$R$1405/100)/(Geometria!$N$1307/100))))))*(IF(OR(Geometria!$K$1405&gt;0,Geometria!$K$1403&gt;0,Geometria!$Q$1405&gt;0,Geometria!$Q$1403&gt;0),1,0))))/(Geometria!$L$52/100^3)-((Geometria!$O$416)/(Geometria!$L$52/100^3))-((Geometria!$O$427)/(Geometria!$M$52))</f>
        <v>-3889.864670285953</v>
      </c>
      <c r="BD105" s="751"/>
      <c r="BF105" s="373">
        <f ca="1">(Geometria!$L$298-(Geometria!$L$298-IF(AV105&lt;Geometria!$L$1409/100,Geometria!$L$1442,Geometria!$L$1460))*(1-(MIN(MIN(1,MAX(0,(AV105-Geometria!$L$1409/100)/(Geometria!$N$1307/100))),MIN(1,MAX(0,((Geometria!$L$29/100-AV105)-Geometria!$R$1409/100)/(Geometria!$N$1307/100))))))*(IF(OR(Geometria!$K$1409&gt;0,Geometria!$K$1407&gt;0,Geometria!$Q$1409&gt;0,Geometria!$Q$1407&gt;0),1,0))-(Geometria!$L$298-IF(AV105&lt;Geometria!$L$1405/100,Geometria!$L$1444,Geometria!$L$1462))*(1-(MIN(MIN(1,MAX(0,(AV105-Geometria!$L$1405/100)/(Geometria!$N$1307/100))),MIN(1,MAX(0,((Geometria!$L$29/100-AV105)-Geometria!$R$1405/100)/(Geometria!$N$1307/100))))))*(IF(OR(Geometria!$K$1405&gt;0,Geometria!$K$1403&gt;0,Geometria!$Q$1405&gt;0,Geometria!$Q$1403&gt;0),1,0)))*BB128+Geometria!$P$1429*BB105</f>
        <v>621.7798114153002</v>
      </c>
      <c r="BG105" s="373">
        <f ca="1">(Geometria!$L$298-(Geometria!$L$298-IF(AV105&lt;Geometria!$L$1409/100,Geometria!$L$1442,Geometria!$L$1460))*(1-(MIN(MIN(1,MAX(0,(AV105-Geometria!$L$1409/100)/(Geometria!$N$1307/100))),MIN(1,MAX(0,((Geometria!$L$29/100-AV105)-Geometria!$R$1409/100)/(Geometria!$N$1307/100))))))*(IF(OR(Geometria!$K$1409&gt;0,Geometria!$K$1407&gt;0,Geometria!$Q$1409&gt;0,Geometria!$Q$1407&gt;0),1,0))-(Geometria!$L$298-IF(AV105&lt;Geometria!$L$1405/100,Geometria!$L$1444,Geometria!$L$1462))*(1-(MIN(MIN(1,MAX(0,(AV105-Geometria!$L$1405/100)/(Geometria!$N$1307/100))),MIN(1,MAX(0,((Geometria!$L$29/100-AV105)-Geometria!$R$1405/100)/(Geometria!$N$1307/100))))))*(IF(OR(Geometria!$K$1405&gt;0,Geometria!$K$1403&gt;0,Geometria!$Q$1405&gt;0,Geometria!$Q$1403&gt;0),1,0)))*BB128*(Geometria!$L$299-(Geometria!$L$299-IF(AV105&lt;Geometria!$L$1409/100,Geometria!$L$1443,Geometria!$L$1461))*(1-(MIN(MIN(1,MAX(0,(AV105-Geometria!$L$1409/100)/(Geometria!$N$1307/100))),MIN(1,MAX(0,((Geometria!$L$29/100-AV105)-Geometria!$R$1409/100)/(Geometria!$N$1307/100))))))*(IF(OR(Geometria!$K$1409&gt;0,Geometria!$K$1407&gt;0,Geometria!$Q$1409&gt;0,Geometria!$Q$1407&gt;0),1,0))-(Geometria!$L$299-IF(AV105&lt;Geometria!$L$1405/100,Geometria!$L$1445,Geometria!$L$1463))*(1-(MIN(MIN(1,MAX(0,(AV105-Geometria!$L$1405/100)/(Geometria!$N$1307/100))),MIN(1,MAX(0,((Geometria!$L$29/100-AV105)-Geometria!$R$1405/100)/(Geometria!$N$1307/100))))))*(IF(OR(Geometria!$K$1405&gt;0,Geometria!$K$1403&gt;0,Geometria!$Q$1405&gt;0,Geometria!$Q$1403&gt;0),1,0)))/100-Geometria!$P$1429*BB105*Geometria!$L$1438/100</f>
        <v>177.20724625336052</v>
      </c>
      <c r="BH105" s="365"/>
      <c r="BI105" s="371">
        <f ca="1">(IF(AW105="Sim",IF(AU105="Sim",$AB$93,ER105),IF(AU105="Sim",ET105,Geometria!$L$373)))</f>
        <v>621.7798114153002</v>
      </c>
      <c r="BJ105" s="371">
        <f ca="1">(IF(AW105="Sim",IF(AU105="Sim",$AB$94,ES105),IF(AU105="Sim",EU105,Geometria!$L$374)))</f>
        <v>177.20724625336052</v>
      </c>
      <c r="BL105" s="4" t="s">
        <v>433</v>
      </c>
      <c r="BM105" s="202">
        <f t="shared" ca="1" si="15"/>
        <v>-3889.864670285953</v>
      </c>
      <c r="BN105" s="38" t="s">
        <v>234</v>
      </c>
      <c r="BO105" s="203">
        <f t="shared" ca="1" si="6"/>
        <v>-3.8898646702859527</v>
      </c>
      <c r="BP105" s="38" t="s">
        <v>160</v>
      </c>
      <c r="BQ105" s="399">
        <f t="shared" si="16"/>
        <v>0.0</v>
      </c>
      <c r="BR105" s="376" t="str">
        <f>IF(OR(AND(BS105&lt;Geometria!$L$1405/100,Geometria!$K$1405&gt;0),AND((Geometria!$L$29/100-BS105)&lt;Geometria!$R$1405/100,Geometria!$Q$1405&gt;0)),"Sim","Não")</f>
        <v>Sim</v>
      </c>
      <c r="BS105" s="395">
        <f>Geometria!$O$415</f>
        <v>1.5699999999999998</v>
      </c>
      <c r="BT105" s="376" t="str">
        <f>IF(OR(AND(BS105&lt;Geometria!$L$1409/100,OR(Geometria!$K$1409&gt;0,Geometria!$K$1407&gt;0)),AND((Geometria!$L$29/100-BS105)&lt;Geometria!$R$1409/100,OR(Geometria!$Q$1409&gt;0,Geometria!$Q$1407&gt;0))),"Sim","Não")</f>
        <v>Não</v>
      </c>
      <c r="BU105" s="122" t="s">
        <v>433</v>
      </c>
      <c r="BV105" s="198" t="str">
        <f ca="1">IF(Geometria!$O$437&lt;Geometria!$N$1307/100,"Reduzir","OK")</f>
        <v>OK</v>
      </c>
      <c r="BW105" s="401">
        <f t="shared" ca="1" si="7"/>
        <v>-3889.8689491624345</v>
      </c>
      <c r="BX105" s="403">
        <f ca="1">-(CC105/(Geometria!$L$48/100^2))+(CD105/(Geometria!$L$52/100^3))-((Geometria!$O$416)/(Geometria!$L$52/100^3))-((Geometria!$O$427)/(Geometria!$M$52))-((Geometria!$L$76*Geometria!$O$438)/(Geometria!$M$52))</f>
        <v>-3889.871088600675</v>
      </c>
      <c r="BY105" s="400">
        <f ca="1">((Geometria!$N$369*(Geometria!$O$897*100))/Geometria!$N$1307)</f>
        <v>165.5500323286782</v>
      </c>
      <c r="BZ105" s="751">
        <f ca="1">-((Geometria!$L$373-(Geometria!$L$373-ER105)*(1-(MIN(MIN(1,MAX(0,(BS105-Geometria!$L$1409/100)/(Geometria!$N$1307/100))),MIN(1,MAX(0,((Geometria!$L$29/100-BS105)-Geometria!$R$1409/100)/(Geometria!$N$1307/100))))))*(IF(OR(Geometria!$K$1409&gt;0,Geometria!$K$1407&gt;0,Geometria!$Q$1409&gt;0,Geometria!$Q$1407&gt;0),1,0))-(Geometria!$L$373-ET105)*(1-(MIN(MIN(1,MAX(0,(BS105-Geometria!$L$1405/100)/(Geometria!$N$1307/100))),MIN(1,MAX(0,((Geometria!$L$29/100-BS105)-Geometria!$R$1405/100)/(Geometria!$N$1307/100))))))*(IF(OR(Geometria!$K$1405&gt;0,Geometria!$K$1403&gt;0,Geometria!$Q$1405&gt;0,Geometria!$Q$1403&gt;0),1,0))))/(Geometria!$L$48/100^2)+((Geometria!$L$374-(Geometria!$L$374-ES105)*(1-(MIN(MIN(1,MAX(0,(BS105-Geometria!$L$1409/100)/(Geometria!$N$1307/100))),MIN(1,MAX(0,((Geometria!$L$29/100-BS105)-Geometria!$R$1409/100)/(Geometria!$N$1307/100))))))*(IF(OR(Geometria!$K$1409&gt;0,Geometria!$K$1407&gt;0,Geometria!$Q$1409&gt;0,Geometria!$Q$1407&gt;0),1,0))-(Geometria!$L$374-EU105)*(1-(MIN(MIN(1,MAX(0,(BS105-Geometria!$L$1405/100)/(Geometria!$N$1307/100))),MIN(1,MAX(0,((Geometria!$L$29/100-BS105)-Geometria!$R$1405/100)/(Geometria!$N$1307/100))))))*(IF(OR(Geometria!$K$1405&gt;0,Geometria!$K$1403&gt;0,Geometria!$Q$1405&gt;0,Geometria!$Q$1403&gt;0),1,0))))/(Geometria!$L$52/100^3)-((Geometria!$O$673)/(Geometria!$L$52/100^3))-((Geometria!$O$684)/(Geometria!$M$52))-((Geometria!$L$77*Geometria!$O$695)/(Geometria!$M$52))</f>
        <v>-3889.8689491624345</v>
      </c>
      <c r="CA105" s="751"/>
      <c r="CC105" s="373">
        <f ca="1">(Geometria!$L$298-(Geometria!$L$298-IF(BS105&lt;Geometria!$L$1409/100,Geometria!$L$1442,Geometria!$L$1460))*(1-(MIN(MIN(1,MAX(0,(BS105-Geometria!$L$1409/100)/(Geometria!$N$1307/100))),MIN(1,MAX(0,((Geometria!$L$29/100-BS105)-Geometria!$R$1409/100)/(Geometria!$N$1307/100))))))*(IF(OR(Geometria!$K$1409&gt;0,Geometria!$K$1407&gt;0,Geometria!$Q$1409&gt;0,Geometria!$Q$1407&gt;0),1,0))-(Geometria!$L$298-IF(BS105&lt;Geometria!$L$1405/100,Geometria!$L$1444,Geometria!$L$1462))*(1-(MIN(MIN(1,MAX(0,(BS105-Geometria!$L$1405/100)/(Geometria!$N$1307/100))),MIN(1,MAX(0,((Geometria!$L$29/100-BS105)-Geometria!$R$1405/100)/(Geometria!$N$1307/100))))))*(IF(OR(Geometria!$K$1405&gt;0,Geometria!$K$1403&gt;0,Geometria!$Q$1405&gt;0,Geometria!$Q$1403&gt;0),1,0)))*BY128+Geometria!$P$1429*BY105</f>
        <v>621.7798114153002</v>
      </c>
      <c r="CD105" s="373">
        <f ca="1">(Geometria!$L$298-(Geometria!$L$298-IF(BS105&lt;Geometria!$L$1409/100,Geometria!$L$1442,Geometria!$L$1460))*(1-(MIN(MIN(1,MAX(0,(BS105-Geometria!$L$1409/100)/(Geometria!$N$1307/100))),MIN(1,MAX(0,((Geometria!$L$29/100-BS105)-Geometria!$R$1409/100)/(Geometria!$N$1307/100))))))*(IF(OR(Geometria!$K$1409&gt;0,Geometria!$K$1407&gt;0,Geometria!$Q$1409&gt;0,Geometria!$Q$1407&gt;0),1,0))-(Geometria!$L$298-IF(BS105&lt;Geometria!$L$1405/100,Geometria!$L$1444,Geometria!$L$1462))*(1-(MIN(MIN(1,MAX(0,(BS105-Geometria!$L$1405/100)/(Geometria!$N$1307/100))),MIN(1,MAX(0,((Geometria!$L$29/100-BS105)-Geometria!$R$1405/100)/(Geometria!$N$1307/100))))))*(IF(OR(Geometria!$K$1405&gt;0,Geometria!$K$1403&gt;0,Geometria!$Q$1405&gt;0,Geometria!$Q$1403&gt;0),1,0)))*BY128*(Geometria!$L$299-(Geometria!$L$299-IF(BS105&lt;Geometria!$L$1409/100,Geometria!$L$1443,Geometria!$L$1461))*(1-(MIN(MIN(1,MAX(0,(BS105-Geometria!$L$1409/100)/(Geometria!$N$1307/100))),MIN(1,MAX(0,((Geometria!$L$29/100-BS105)-Geometria!$R$1409/100)/(Geometria!$N$1307/100))))))*(IF(OR(Geometria!$K$1409&gt;0,Geometria!$K$1407&gt;0,Geometria!$Q$1409&gt;0,Geometria!$Q$1407&gt;0),1,0))-(Geometria!$L$299-IF(BS105&lt;Geometria!$L$1405/100,Geometria!$L$1445,Geometria!$L$1463))*(1-(MIN(MIN(1,MAX(0,(BS105-Geometria!$L$1405/100)/(Geometria!$N$1307/100))),MIN(1,MAX(0,((Geometria!$L$29/100-BS105)-Geometria!$R$1405/100)/(Geometria!$N$1307/100))))))*(IF(OR(Geometria!$K$1405&gt;0,Geometria!$K$1403&gt;0,Geometria!$Q$1405&gt;0,Geometria!$Q$1403&gt;0),1,0)))/100-Geometria!$P$1429*BY105*Geometria!$L$1438/100</f>
        <v>177.20724625336052</v>
      </c>
      <c r="CE105" s="365"/>
      <c r="CF105" s="371">
        <f ca="1">(IF(BT105="Sim",IF(BR105="Sim",$AB$93,ER105),IF(BR105="Sim",ET105,Geometria!$L$373)))</f>
        <v>621.7798114153002</v>
      </c>
      <c r="CG105" s="371">
        <f ca="1">(IF(BT105="Sim",IF(BR105="Sim",$AB$94,ES105),IF(BR105="Sim",EU105,Geometria!$L$374)))</f>
        <v>177.20724625336052</v>
      </c>
      <c r="CI105" s="4" t="s">
        <v>433</v>
      </c>
      <c r="CJ105" s="202">
        <f t="shared" ca="1" si="17"/>
        <v>-3889.8689491624345</v>
      </c>
      <c r="CK105" s="38" t="s">
        <v>234</v>
      </c>
      <c r="CL105" s="203">
        <f t="shared" ca="1" si="8"/>
        <v>-3.8898689491624348</v>
      </c>
      <c r="CM105" s="38" t="s">
        <v>160</v>
      </c>
      <c r="CN105" s="399">
        <f t="shared" si="18"/>
        <v>0.0</v>
      </c>
      <c r="CO105" s="376" t="str">
        <f>IF(OR(AND(CP105&lt;Geometria!$L$1405/100,Geometria!$K$1405&gt;0),AND((Geometria!$L$29/100-CP105)&lt;Geometria!$R$1405/100,Geometria!$Q$1405&gt;0)),"Sim","Não")</f>
        <v>Sim</v>
      </c>
      <c r="CP105" s="395">
        <f>Geometria!$O$415</f>
        <v>1.5699999999999998</v>
      </c>
      <c r="CQ105" s="376" t="str">
        <f>IF(OR(AND(CP105&lt;Geometria!$L$1409/100,OR(Geometria!$K$1409&gt;0,Geometria!$K$1407&gt;0)),AND((Geometria!$L$29/100-CP105)&lt;Geometria!$R$1409/100,OR(Geometria!$Q$1409&gt;0,Geometria!$Q$1407&gt;0))),"Sim","Não")</f>
        <v>Não</v>
      </c>
      <c r="CR105" s="122" t="s">
        <v>433</v>
      </c>
      <c r="CS105" s="198" t="str">
        <f ca="1">IF(Geometria!$O$437&lt;Geometria!$N$1307/100,"Reduzir","OK")</f>
        <v>OK</v>
      </c>
      <c r="CT105" s="401">
        <f t="shared" ca="1" si="9"/>
        <v>-3889.864670285953</v>
      </c>
      <c r="CU105" s="403">
        <f ca="1">-(CZ105/(Geometria!$L$48/100^2))+(DA105/(Geometria!$L$52/100^3))-((Geometria!$O$416)/(Geometria!$L$52/100^3))-((Geometria!$O$427)/(Geometria!$M$52))-((Geometria!$L$76*Geometria!$O$438)/(Geometria!$M$52))</f>
        <v>-3889.871088600675</v>
      </c>
      <c r="CV105" s="400">
        <f ca="1">((Geometria!$N$369*(Geometria!$O$897*100))/Geometria!$N$1307)</f>
        <v>165.5500323286782</v>
      </c>
      <c r="CW105" s="751">
        <f ca="1">-((Geometria!$L$373-(Geometria!$L$373-ER105)*(1-(MIN(MIN(1,MAX(0,(CP105-Geometria!$L$1409/100)/(Geometria!$N$1307/100))),MIN(1,MAX(0,((Geometria!$L$29/100-CP105)-Geometria!$R$1409/100)/(Geometria!$N$1307/100))))))*(IF(OR(Geometria!$K$1409&gt;0,Geometria!$K$1407&gt;0,Geometria!$Q$1409&gt;0,Geometria!$Q$1407&gt;0),1,0))-(Geometria!$L$373-ET105)*(1-(MIN(MIN(1,MAX(0,(CP105-Geometria!$L$1405/100)/(Geometria!$N$1307/100))),MIN(1,MAX(0,((Geometria!$L$29/100-CP105)-Geometria!$R$1405/100)/(Geometria!$N$1307/100))))))*(IF(OR(Geometria!$K$1405&gt;0,Geometria!$K$1403&gt;0,Geometria!$Q$1405&gt;0,Geometria!$Q$1403&gt;0),1,0))))/(Geometria!$L$48/100^2)+((Geometria!$L$374-(Geometria!$L$374-ES105)*(1-(MIN(MIN(1,MAX(0,(CP105-Geometria!$L$1409/100)/(Geometria!$N$1307/100))),MIN(1,MAX(0,((Geometria!$L$29/100-CP105)-Geometria!$R$1409/100)/(Geometria!$N$1307/100))))))*(IF(OR(Geometria!$K$1409&gt;0,Geometria!$K$1407&gt;0,Geometria!$Q$1409&gt;0,Geometria!$Q$1407&gt;0),1,0))-(Geometria!$L$374-EU105)*(1-(MIN(MIN(1,MAX(0,(CP105-Geometria!$L$1405/100)/(Geometria!$N$1307/100))),MIN(1,MAX(0,((Geometria!$L$29/100-CP105)-Geometria!$R$1405/100)/(Geometria!$N$1307/100))))))*(IF(OR(Geometria!$K$1405&gt;0,Geometria!$K$1403&gt;0,Geometria!$Q$1405&gt;0,Geometria!$Q$1403&gt;0),1,0))))/(Geometria!$L$52/100^3)-((Geometria!$O$673)/(Geometria!$L$52/100^3))-((Geometria!$O$684)/(Geometria!$M$52))</f>
        <v>-3889.864670285953</v>
      </c>
      <c r="CX105" s="751"/>
      <c r="CZ105" s="373">
        <f ca="1">(IF(CQ105="Sim",IF(CO105="Sim",IF(CP105&lt;Geometria!$L$1405/100,Geometria!$L$1435,Geometria!$L$1476),IF(CP105&lt;Geometria!$L$1409/100,Geometria!$L$1442,Geometria!$L$1460)),IF(CO105="Sim",IF(CP105&lt;Geometria!$L$1405/100,Geometria!$L$1444,Geometria!$L$1462),Geometria!$L$298)))*CV128+Geometria!$P$1429*CV105</f>
        <v>621.7798114153002</v>
      </c>
      <c r="DA105" s="373">
        <f ca="1">(IF(CQ105="Sim",IF(CO105="Sim",IF(CP105&lt;Geometria!$L$1405/100,Geometria!$L$1435,Geometria!$L$1476),IF(CP105&lt;Geometria!$L$1409/100,Geometria!$L$1442,Geometria!$L$1460)),IF(CO105="Sim",IF(CP105&lt;Geometria!$L$1405/100,Geometria!$L$1444,Geometria!$L$1462),Geometria!$L$298)))*CV128*(IF(CQ105="Sim",IF(CO105="Sim",IF(CP105&lt;Geometria!$L$1405/100,Geometria!$L$1436,Geometria!$L$1484),IF(CP105&lt;Geometria!$L$1409/100,Geometria!$L$1443,Geometria!$L$1461)),IF(CO105="Sim",IF(CP105&lt;Geometria!$L$1405/100,Geometria!$L$1445,Geometria!$L$1463),Geometria!$L$299)))/100-Geometria!$P$1429*CV105*Geometria!$L$1438/100</f>
        <v>177.20724625336052</v>
      </c>
      <c r="DB105" s="365"/>
      <c r="DC105" s="371">
        <f ca="1">(IF(CQ105="Sim",IF(CO105="Sim",$AB$93,ER105),IF(CO105="Sim",ET105,Geometria!$L$373)))</f>
        <v>621.7798114153002</v>
      </c>
      <c r="DD105" s="371">
        <f ca="1">(IF(CQ105="Sim",IF(CO105="Sim",$AB$94,ES105),IF(CO105="Sim",EU105,Geometria!$L$374)))</f>
        <v>177.20724625336052</v>
      </c>
      <c r="DF105" s="4" t="s">
        <v>433</v>
      </c>
      <c r="DG105" s="202">
        <f t="shared" ca="1" si="19"/>
        <v>-3889.864670285953</v>
      </c>
      <c r="DH105" s="38" t="s">
        <v>234</v>
      </c>
      <c r="DI105" s="203">
        <f t="shared" ca="1" si="10"/>
        <v>-3.8898646702859527</v>
      </c>
      <c r="DJ105" s="38" t="s">
        <v>160</v>
      </c>
      <c r="DK105" s="399">
        <f t="shared" si="20"/>
        <v>0.0</v>
      </c>
      <c r="EA105">
        <f ca="1">-L105/('Aberturas na Alma'!$M$112/100^2)+M105/('Aberturas na Alma'!$M$119/100^3)-Geometria!$L$898/('Aberturas na Alma'!$M$119/100^3)</f>
        <v>7898.664808138879</v>
      </c>
      <c r="EB105">
        <f ca="1">-(IF(C105="Sim",IF(A105="Sim",$E$93,EX105),IF(A105="Sim",EZ105,Geometria!$L$906)))/('Aberturas na Alma'!$M$112/100^2)+(IF(C105="Sim",IF(A105="Sim",$E$94,EY105),IF(A105="Sim",FA105,Geometria!$L$907)))/('Aberturas na Alma'!$M$119/100^3)-Geometria!$O$898/('Aberturas na Alma'!$M$119/100^3)</f>
        <v>5309.7176448760265</v>
      </c>
      <c r="EC105">
        <f ca="1">IF(AND('Aberturas na Alma'!$M$18="NÃO DISPENSADO — furo deve ser verificado (cálculo abaixo)",OR(AND(B105&gt;=('Aberturas na Alma'!$M$4-'Aberturas na Alma'!$M$7/2)/100,B105&lt;=('Aberturas na Alma'!$M$4+'Aberturas na Alma'!$M$7/2)/100),ABS(B105-'Aberturas na Alma'!$M$4/100)&lt;=Geometria!$L$29/4000)),IF(E105="Reduzir",EA105,EB105),F105)</f>
        <v>6248.9351686354885</v>
      </c>
      <c r="ED105">
        <f ca="1">-(AI105/('Aberturas na Alma'!$M$112/100^2))+(AJ105/('Aberturas na Alma'!$M$119/100^3))-((Geometria!$O$416)/('Aberturas na Alma'!$M$119/100^3))-((Geometria!$O$427)/('Aberturas na Alma'!$M$119/100^3))-((Geometria!$L$76*Geometria!$O$438)/('Aberturas na Alma'!$M$119/100^3))</f>
        <v>-31744.27439132083</v>
      </c>
      <c r="EE105">
        <f ca="1">-((IF(Z105="Sim",IF(X105="Sim",$AB$93,ER105),IF(X105="Sim",ET105,Geometria!$L$373)))/('Aberturas na Alma'!$M$112/100^2))+((IF(Z105="Sim",IF(X105="Sim",$AB$94,ES105),IF(X105="Sim",EU105,Geometria!$L$374)))/('Aberturas na Alma'!$M$119/100^3))-((Geometria!$O$416)/('Aberturas na Alma'!$M$119/100^3))-((Geometria!$O$427)/('Aberturas na Alma'!$M$119/100^3))-((Geometria!$L$76*Geometria!$O$438)/('Aberturas na Alma'!$M$119/100^3))</f>
        <v>-31744.27439132083</v>
      </c>
      <c r="EF105" s="371">
        <f ca="1">IF(AND('Aberturas na Alma'!$M$18="NÃO DISPENSADO — furo deve ser verificado (cálculo abaixo)",OR(AND(B105&gt;=('Aberturas na Alma'!$M$4-'Aberturas na Alma'!$M$7/2)/100,B105&lt;=('Aberturas na Alma'!$M$4+'Aberturas na Alma'!$M$7/2)/100),ABS(B105-'Aberturas na Alma'!$M$4/100)&lt;=Geometria!$L$29/4000)),IF(AB105="Reduzir",ED105,EE105),AC105)</f>
        <v>-3889.871088600675</v>
      </c>
      <c r="EG105">
        <f ca="1">-(BF105/('Aberturas na Alma'!$M$112/100^2))+(BG105/('Aberturas na Alma'!$M$119/100^3))-((Geometria!$O$416)/('Aberturas na Alma'!$M$119/100^3))-((Geometria!$O$427)/('Aberturas na Alma'!$M$119/100^3))-((Geometria!$L$76*Geometria!$O$438)/('Aberturas na Alma'!$M$119/100^3))</f>
        <v>-31744.27439132083</v>
      </c>
      <c r="EH105">
        <f ca="1">-((IF(AW105="Sim",IF(AU105="Sim",$AB$93,ER105),IF(AU105="Sim",ET105,Geometria!$L$373)))/('Aberturas na Alma'!$M$112/100^2))+((IF(AW105="Sim",IF(AU105="Sim",$AB$94,ES105),IF(AU105="Sim",EU105,Geometria!$L$374)))/('Aberturas na Alma'!$M$119/100^3))-((Geometria!$O$416)/('Aberturas na Alma'!$M$119/100^3))-((Geometria!$O$427)/('Aberturas na Alma'!$M$119/100^3))</f>
        <v>-6727.865537707803</v>
      </c>
      <c r="EI105" s="371">
        <f ca="1">IF(AND('Aberturas na Alma'!$M$18="NÃO DISPENSADO — furo deve ser verificado (cálculo abaixo)",OR(AND(B105&gt;=('Aberturas na Alma'!$M$4-'Aberturas na Alma'!$M$7/2)/100,B105&lt;=('Aberturas na Alma'!$M$4+'Aberturas na Alma'!$M$7/2)/100),ABS(B105-'Aberturas na Alma'!$M$4/100)&lt;=Geometria!$L$29/4000)),IF(AY105="Reduzir",EG105,EH105),AZ105)</f>
        <v>-3889.864670285953</v>
      </c>
      <c r="EJ105">
        <f ca="1">-(CC105/('Aberturas na Alma'!$M$112/100^2))+(CD105/('Aberturas na Alma'!$M$119/100^3))-((Geometria!$O$416)/('Aberturas na Alma'!$M$119/100^3))-((Geometria!$O$427)/('Aberturas na Alma'!$M$119/100^3))-((Geometria!$L$76*Geometria!$O$438)/('Aberturas na Alma'!$M$119/100^3))</f>
        <v>-31744.27439132083</v>
      </c>
      <c r="EK105">
        <f ca="1">-((IF(BT105="Sim",IF(BR105="Sim",$AB$93,ER105),IF(BR105="Sim",ET105,Geometria!$L$373)))/('Aberturas na Alma'!$M$112/100^2))+((IF(BT105="Sim",IF(BR105="Sim",$AB$94,ES105),IF(BR105="Sim",EU105,Geometria!$L$374)))/('Aberturas na Alma'!$M$119/100^3))-((Geometria!$O$673)/('Aberturas na Alma'!$M$119/100^3))-((Geometria!$O$684)/('Aberturas na Alma'!$M$119/100^3))-((Geometria!$L$77*Geometria!$O$695)/('Aberturas na Alma'!$M$119/100^3))</f>
        <v>-23405.47144011649</v>
      </c>
      <c r="EL105" s="371">
        <f ca="1">IF(AND('Aberturas na Alma'!$M$18="NÃO DISPENSADO — furo deve ser verificado (cálculo abaixo)",OR(AND(B105&gt;=('Aberturas na Alma'!$M$4-'Aberturas na Alma'!$M$7/2)/100,B105&lt;=('Aberturas na Alma'!$M$4+'Aberturas na Alma'!$M$7/2)/100),ABS(B105-'Aberturas na Alma'!$M$4/100)&lt;=Geometria!$L$29/4000)),IF(BV105="Reduzir",EJ105,EK105),BW105)</f>
        <v>-3889.8689491624345</v>
      </c>
      <c r="EM105">
        <f ca="1">-(CZ105/('Aberturas na Alma'!$M$112/100^2))+(DA105/('Aberturas na Alma'!$M$119/100^3))-((Geometria!$O$416)/('Aberturas na Alma'!$M$119/100^3))-((Geometria!$O$427)/('Aberturas na Alma'!$M$119/100^3))-((Geometria!$L$76*Geometria!$O$438)/('Aberturas na Alma'!$M$119/100^3))</f>
        <v>-31744.27439132083</v>
      </c>
      <c r="EN105">
        <f ca="1">-((IF(CQ105="Sim",IF(CO105="Sim",$AB$93,ER105),IF(CO105="Sim",ET105,Geometria!$L$373)))/('Aberturas na Alma'!$M$112/100^2))+((IF(CQ105="Sim",IF(CO105="Sim",$AB$94,ES105),IF(CO105="Sim",EU105,Geometria!$L$374)))/('Aberturas na Alma'!$M$119/100^3))-((Geometria!$O$673)/('Aberturas na Alma'!$M$119/100^3))-((Geometria!$O$684)/('Aberturas na Alma'!$M$119/100^3))</f>
        <v>-6727.865537707803</v>
      </c>
      <c r="EO105" s="371">
        <f ca="1">IF(AND('Aberturas na Alma'!$M$18="NÃO DISPENSADO — furo deve ser verificado (cálculo abaixo)",OR(AND(B105&gt;=('Aberturas na Alma'!$M$4-'Aberturas na Alma'!$M$7/2)/100,B105&lt;=('Aberturas na Alma'!$M$4+'Aberturas na Alma'!$M$7/2)/100),ABS(B105-'Aberturas na Alma'!$M$4/100)&lt;=Geometria!$L$29/4000)),IF(CS105="Reduzir",EM105,EN105),CT105)</f>
        <v>-3889.864670285953</v>
      </c>
      <c r="EP105" t="str">
        <f>IF(AND(Y105&lt;Geometria!$L$1409/100,OR(Geometria!$K$1409&gt;0,Geometria!$K$1407&gt;0)),"ESQ",IF(AND((Geometria!$L$29/100-Y105)&lt;Geometria!$R$1409/100,OR(Geometria!$Q$1409&gt;0,Geometria!$Q$1407&gt;0)),"DIR","N/A"))</f>
        <v>N/A</v>
      </c>
      <c r="EQ105" t="str">
        <f>IF(AND(Y105&lt;Geometria!$L$1405/100,Geometria!$K$1405&gt;0),"ESQ",IF(AND((Geometria!$L$29/100-Y105)&lt;Geometria!$R$1405/100,Geometria!$Q$1405&gt;0),"DIR","N/A"))</f>
        <v>ESQ</v>
      </c>
      <c r="ER105">
        <f ca="1">IF(EP105="DIR",Geometria!$L$1470,Geometria!$L$1452)</f>
        <v>1243.5596228306003</v>
      </c>
      <c r="ES105">
        <f ca="1">IF(EP105="DIR",Geometria!$L$1471,Geometria!$L$1453)</f>
        <v>233.16742928073757</v>
      </c>
      <c r="ET105">
        <f ca="1">IF(EQ105="DIR",Geometria!$L$1472,Geometria!$L$1454)</f>
        <v>621.7798114153002</v>
      </c>
      <c r="EU105">
        <f ca="1">IF(EQ105="DIR",Geometria!$L$1473,Geometria!$L$1455)</f>
        <v>177.20724625336052</v>
      </c>
      <c r="EV105" t="str">
        <f>IF(AND(B105&lt;Geometria!$L$1409/100,OR(Geometria!$K$1409&gt;0,Geometria!$K$1407&gt;0)),"ESQ",IF(AND((Geometria!$L$29/100-B105)&lt;Geometria!$R$1409/100,OR(Geometria!$Q$1409&gt;0,Geometria!$Q$1407&gt;0)),"DIR","N/A"))</f>
        <v>N/A</v>
      </c>
      <c r="EW105" t="str">
        <f>IF(AND(B105&lt;Geometria!$L$1405/100,Geometria!$K$1405&gt;0),"ESQ",IF(AND((Geometria!$L$29/100-B105)&lt;Geometria!$R$1405/100,Geometria!$Q$1405&gt;0),"DIR","N/A"))</f>
        <v>ESQ</v>
      </c>
      <c r="EX105">
        <f ca="1">IF(EV105="DIR",Geometria!$L$1465,Geometria!$L$1447)</f>
        <v>1499.8056003831216</v>
      </c>
      <c r="EY105">
        <f ca="1">IF(EV105="DIR",Geometria!$L$1466,Geometria!$L$1448)</f>
        <v>281.2135500718353</v>
      </c>
      <c r="EZ105">
        <f ca="1">IF(EW105="DIR",Geometria!$L$1467,Geometria!$L$1449)</f>
        <v>749.9028001915608</v>
      </c>
      <c r="FA105">
        <f ca="1">IF(EW105="DIR",Geometria!$L$1468,Geometria!$L$1450)</f>
        <v>213.72229805459483</v>
      </c>
    </row>
    <row r="106" spans="1:157" x14ac:dyDescent="0.25">
      <c r="A106" s="376" t="str">
        <f>IF(OR(AND(B106&lt;Geometria!$L$1405/100,Geometria!$K$1405&gt;0),AND((Geometria!$L$29/100-B106)&lt;Geometria!$R$1405/100,Geometria!$Q$1405&gt;0)),"Sim","Não")</f>
        <v>Não</v>
      </c>
      <c r="B106" s="395">
        <f>Tensões!$G$63</f>
        <v>1.9625</v>
      </c>
      <c r="C106" s="376" t="str">
        <f>IF(OR(AND(B106&lt;Geometria!$L$1409/100,OR(Geometria!$K$1409&gt;0,Geometria!$K$1407&gt;0)),AND((Geometria!$L$29/100-B106)&lt;Geometria!$R$1409/100,OR(Geometria!$Q$1409&gt;0,Geometria!$Q$1407&gt;0))),"Sim","Não")</f>
        <v>Não</v>
      </c>
      <c r="D106" s="122" t="s">
        <v>434</v>
      </c>
      <c r="E106" s="198" t="str">
        <f ca="1">IF(Geometria!$P$437&lt;Geometria!$N$1307/100,"Reduzir","OK")</f>
        <v>OK</v>
      </c>
      <c r="F106" s="396">
        <f t="shared" ca="1" si="1"/>
        <v>5832.234683139494</v>
      </c>
      <c r="G106" s="397">
        <f ca="1">-L106/(Geometria!$L$48/100^2)+M106/(Geometria!$L$52/100^3)-Geometria!$L$898/(Geometria!$L$52/100^3)</f>
        <v>12474.57686969402</v>
      </c>
      <c r="H106" s="400">
        <f ca="1">((Geometria!$L$326*(Geometria!$P$897*100))/Geometria!$N$1307)</f>
        <v>244.89594223345082</v>
      </c>
      <c r="I106" s="743">
        <f ca="1">-(Geometria!$L$906-(Geometria!$L$906-EX106)*(1-(MIN(MIN(1,MAX(0,(B106-Geometria!$L$1409/100)/(Geometria!$N$1307/100))),MIN(1,MAX(0,((Geometria!$L$29/100-B106)-Geometria!$R$1409/100)/(Geometria!$N$1307/100))))))*(IF(OR(Geometria!$K$1409&gt;0,Geometria!$K$1407&gt;0,Geometria!$Q$1409&gt;0,Geometria!$Q$1407&gt;0),1,0))-(Geometria!$L$906-EZ106)*(1-(MIN(MIN(1,MAX(0,(B106-Geometria!$L$1405/100)/(Geometria!$N$1307/100))),MIN(1,MAX(0,((Geometria!$L$29/100-B106)-Geometria!$R$1405/100)/(Geometria!$N$1307/100))))))*(IF(OR(Geometria!$K$1405&gt;0,Geometria!$K$1403&gt;0,Geometria!$Q$1405&gt;0,Geometria!$Q$1403&gt;0),1,0)))/(Geometria!$L$48/100^2)+(Geometria!$L$907-(Geometria!$L$907-EY106)*(1-(MIN(MIN(1,MAX(0,(B106-Geometria!$L$1409/100)/(Geometria!$N$1307/100))),MIN(1,MAX(0,((Geometria!$L$29/100-B106)-Geometria!$R$1409/100)/(Geometria!$N$1307/100))))))*(IF(OR(Geometria!$K$1409&gt;0,Geometria!$K$1407&gt;0,Geometria!$Q$1409&gt;0,Geometria!$Q$1407&gt;0),1,0))-(Geometria!$L$907-FA106)*(1-(MIN(MIN(1,MAX(0,(B106-Geometria!$L$1405/100)/(Geometria!$N$1307/100))),MIN(1,MAX(0,((Geometria!$L$29/100-B106)-Geometria!$R$1405/100)/(Geometria!$N$1307/100))))))*(IF(OR(Geometria!$K$1405&gt;0,Geometria!$K$1403&gt;0,Geometria!$Q$1405&gt;0,Geometria!$Q$1403&gt;0),1,0)))/(Geometria!$L$52/100^3)-Geometria!$P$898/(Geometria!$L$52/100^3)</f>
        <v>5832.234683139494</v>
      </c>
      <c r="J106" s="743"/>
      <c r="L106" s="373">
        <f ca="1">(Geometria!$L$298-(Geometria!$L$298-IF(B106&lt;Geometria!$L$1409/100,Geometria!$L$1442,Geometria!$L$1460))*(1-(MIN(MIN(1,MAX(0,(B106-Geometria!$L$1409/100)/(Geometria!$N$1307/100))),MIN(1,MAX(0,((Geometria!$L$29/100-B106)-Geometria!$R$1409/100)/(Geometria!$N$1307/100))))))*(IF(OR(Geometria!$K$1409&gt;0,Geometria!$K$1407&gt;0,Geometria!$Q$1409&gt;0,Geometria!$Q$1407&gt;0),1,0))-(Geometria!$L$298-IF(B106&lt;Geometria!$L$1405/100,Geometria!$L$1444,Geometria!$L$1462))*(1-(MIN(MIN(1,MAX(0,(B106-Geometria!$L$1405/100)/(Geometria!$N$1307/100))),MIN(1,MAX(0,((Geometria!$L$29/100-B106)-Geometria!$R$1405/100)/(Geometria!$N$1307/100))))))*(IF(OR(Geometria!$K$1405&gt;0,Geometria!$K$1403&gt;0,Geometria!$Q$1405&gt;0,Geometria!$Q$1403&gt;0),1,0)))*H129+Geometria!$P$1429*H106</f>
        <v>1501.3493950470825</v>
      </c>
      <c r="M106" s="373">
        <f ca="1">(Geometria!$L$298-(Geometria!$L$298-IF(B106&lt;Geometria!$L$1409/100,Geometria!$L$1442,Geometria!$L$1460))*(1-(MIN(MIN(1,MAX(0,(B106-Geometria!$L$1409/100)/(Geometria!$N$1307/100))),MIN(1,MAX(0,((Geometria!$L$29/100-B106)-Geometria!$R$1409/100)/(Geometria!$N$1307/100))))))*(IF(OR(Geometria!$K$1409&gt;0,Geometria!$K$1407&gt;0,Geometria!$Q$1409&gt;0,Geometria!$Q$1407&gt;0),1,0))-(Geometria!$L$298-IF(B106&lt;Geometria!$L$1405/100,Geometria!$L$1444,Geometria!$L$1462))*(1-(MIN(MIN(1,MAX(0,(B106-Geometria!$L$1405/100)/(Geometria!$N$1307/100))),MIN(1,MAX(0,((Geometria!$L$29/100-B106)-Geometria!$R$1405/100)/(Geometria!$N$1307/100))))))*(IF(OR(Geometria!$K$1405&gt;0,Geometria!$K$1403&gt;0,Geometria!$Q$1405&gt;0,Geometria!$Q$1403&gt;0),1,0)))*H129*(Geometria!$L$299-(Geometria!$L$299-IF(B106&lt;Geometria!$L$1409/100,Geometria!$L$1443,Geometria!$L$1461))*(1-(MIN(MIN(1,MAX(0,(B106-Geometria!$L$1409/100)/(Geometria!$N$1307/100))),MIN(1,MAX(0,((Geometria!$L$29/100-B106)-Geometria!$R$1409/100)/(Geometria!$N$1307/100))))))*(IF(OR(Geometria!$K$1409&gt;0,Geometria!$K$1407&gt;0,Geometria!$Q$1409&gt;0,Geometria!$Q$1407&gt;0),1,0))-(Geometria!$L$299-IF(B106&lt;Geometria!$L$1405/100,Geometria!$L$1445,Geometria!$L$1463))*(1-(MIN(MIN(1,MAX(0,(B106-Geometria!$L$1405/100)/(Geometria!$N$1307/100))),MIN(1,MAX(0,((Geometria!$L$29/100-B106)-Geometria!$R$1405/100)/(Geometria!$N$1307/100))))))*(IF(OR(Geometria!$K$1405&gt;0,Geometria!$K$1403&gt;0,Geometria!$Q$1405&gt;0,Geometria!$Q$1403&gt;0),1,0)))/100-Geometria!$P$1429*H106*Geometria!$L$1438/100</f>
        <v>382.4706437060756</v>
      </c>
      <c r="N106" s="365"/>
      <c r="O106" s="371">
        <f ca="1">(IF(C106="Sim",IF(A106="Sim",$E$93,EX106),IF(A106="Sim",EZ106,Geometria!$L$906)))</f>
        <v>1475.413282676191</v>
      </c>
      <c r="P106" s="371">
        <f ca="1">(IF(C106="Sim",IF(A106="Sim",$E$94,EY106),IF(A106="Sim",FA106,Geometria!$L$907)))</f>
        <v>276.63999050178586</v>
      </c>
      <c r="R106" s="4" t="s">
        <v>434</v>
      </c>
      <c r="S106" s="202">
        <f t="shared" ca="1" si="11"/>
        <v>5832.234683139494</v>
      </c>
      <c r="T106" s="38" t="s">
        <v>234</v>
      </c>
      <c r="U106" s="203">
        <f t="shared" ca="1" si="2"/>
        <v>5.832234683139494</v>
      </c>
      <c r="V106" s="38" t="s">
        <v>160</v>
      </c>
      <c r="W106" s="399">
        <f t="shared" si="12"/>
        <v>0.0</v>
      </c>
      <c r="X106" s="376" t="str">
        <f>IF(OR(AND(Y106&lt;Geometria!$L$1405/100,Geometria!$K$1405&gt;0),AND((Geometria!$L$29/100-Y106)&lt;Geometria!$R$1405/100,Geometria!$Q$1405&gt;0)),"Sim","Não")</f>
        <v>Não</v>
      </c>
      <c r="Y106" s="395">
        <f>Geometria!$P$415</f>
        <v>1.9625</v>
      </c>
      <c r="Z106" s="376" t="str">
        <f>IF(OR(AND(Y106&lt;Geometria!$L$1409/100,OR(Geometria!$K$1409&gt;0,Geometria!$K$1407&gt;0)),AND((Geometria!$L$29/100-Y106)&lt;Geometria!$R$1409/100,OR(Geometria!$Q$1409&gt;0,Geometria!$Q$1407&gt;0))),"Sim","Não")</f>
        <v>Não</v>
      </c>
      <c r="AA106" s="122" t="s">
        <v>434</v>
      </c>
      <c r="AB106" s="198" t="str">
        <f ca="1">IF(Geometria!$P$437&lt;Geometria!$N$1307/100,"Reduzir","OK")</f>
        <v>OK</v>
      </c>
      <c r="AC106" s="401">
        <f t="shared" ca="1" si="3"/>
        <v>-5763.980825382361</v>
      </c>
      <c r="AD106" s="403">
        <f ca="1">-(AI106/(Geometria!$L$48/100^2))+(AJ106/(Geometria!$L$52/100^3))-((Geometria!$P$416)/(Geometria!$L$52/100^3))-((Geometria!$P$427)/(Geometria!$M$52))-((Geometria!$L$76*Geometria!$P$438)/(Geometria!$M$52))</f>
        <v>-6002.245629467745</v>
      </c>
      <c r="AE106" s="400">
        <f ca="1">((Geometria!$N$369*(Geometria!$P$897*100))/Geometria!$N$1307)</f>
        <v>206.93754041084782</v>
      </c>
      <c r="AF106" s="751">
        <f ca="1">-((Geometria!$L$373-(Geometria!$L$373-ER106)*(1-(MIN(MIN(1,MAX(0,(Y106-Geometria!$L$1409/100)/(Geometria!$N$1307/100))),MIN(1,MAX(0,((Geometria!$L$29/100-Y106)-Geometria!$R$1409/100)/(Geometria!$N$1307/100))))))*(IF(OR(Geometria!$K$1409&gt;0,Geometria!$K$1407&gt;0,Geometria!$Q$1409&gt;0,Geometria!$Q$1407&gt;0),1,0))-(Geometria!$L$373-ET106)*(1-(MIN(MIN(1,MAX(0,(Y106-Geometria!$L$1405/100)/(Geometria!$N$1307/100))),MIN(1,MAX(0,((Geometria!$L$29/100-Y106)-Geometria!$R$1405/100)/(Geometria!$N$1307/100))))))*(IF(OR(Geometria!$K$1405&gt;0,Geometria!$K$1403&gt;0,Geometria!$Q$1405&gt;0,Geometria!$Q$1403&gt;0),1,0))))/(Geometria!$L$48/100^2)+((Geometria!$L$374-(Geometria!$L$374-ES106)*(1-(MIN(MIN(1,MAX(0,(Y106-Geometria!$L$1409/100)/(Geometria!$N$1307/100))),MIN(1,MAX(0,((Geometria!$L$29/100-Y106)-Geometria!$R$1409/100)/(Geometria!$N$1307/100))))))*(IF(OR(Geometria!$K$1409&gt;0,Geometria!$K$1407&gt;0,Geometria!$Q$1409&gt;0,Geometria!$Q$1407&gt;0),1,0))-(Geometria!$L$374-EU106)*(1-(MIN(MIN(1,MAX(0,(Y106-Geometria!$L$1405/100)/(Geometria!$N$1307/100))),MIN(1,MAX(0,((Geometria!$L$29/100-Y106)-Geometria!$R$1405/100)/(Geometria!$N$1307/100))))))*(IF(OR(Geometria!$K$1405&gt;0,Geometria!$K$1403&gt;0,Geometria!$Q$1405&gt;0,Geometria!$Q$1403&gt;0),1,0))))/(Geometria!$L$52/100^3)-((Geometria!$P$416)/(Geometria!$L$52/100^3))-((Geometria!$P$427)/(Geometria!$M$52))-((Geometria!$L$76*Geometria!$P$438)/(Geometria!$M$52))</f>
        <v>-5763.980825382361</v>
      </c>
      <c r="AG106" s="751"/>
      <c r="AI106" s="373">
        <f ca="1">(IF(Z106="Sim",IF(X106="Sim",IF(Y106&lt;Geometria!$L$1405/100,Geometria!$L$1435,Geometria!$L$1476),IF(Y106&lt;Geometria!$L$1409/100,Geometria!$L$1442,Geometria!$L$1460)),IF(X106="Sim",IF(Y106&lt;Geometria!$L$1405/100,Geometria!$L$1444,Geometria!$L$1462),Geometria!$L$298)))*AE129+Geometria!$P$1429*AE106</f>
        <v>1243.5596228306003</v>
      </c>
      <c r="AJ106" s="373">
        <f ca="1">(IF(Z106="Sim",IF(X106="Sim",IF(Y106&lt;Geometria!$L$1405/100,Geometria!$L$1435,Geometria!$L$1476),IF(Y106&lt;Geometria!$L$1409/100,Geometria!$L$1442,Geometria!$L$1460)),IF(X106="Sim",IF(Y106&lt;Geometria!$L$1405/100,Geometria!$L$1444,Geometria!$L$1462),Geometria!$L$298)))*AE129*(IF(Z106="Sim",IF(X106="Sim",IF(Y106&lt;Geometria!$L$1405/100,Geometria!$L$1436,Geometria!$L$1484),IF(Y106&lt;Geometria!$L$1409/100,Geometria!$L$1443,Geometria!$L$1461)),IF(X106="Sim",IF(Y106&lt;Geometria!$L$1405/100,Geometria!$L$1445,Geometria!$L$1463),Geometria!$L$299)))/100-Geometria!$P$1429*AE106*Geometria!$L$1438/100</f>
        <v>233.16742928073757</v>
      </c>
      <c r="AK106" s="365"/>
      <c r="AL106" s="371">
        <f ca="1">(IF(Z106="Sim",IF(X106="Sim",$AB$93,ER106),IF(X106="Sim",ET106,Geometria!$L$373)))</f>
        <v>1243.5596228306003</v>
      </c>
      <c r="AM106" s="371">
        <f ca="1">(IF(Z106="Sim",IF(X106="Sim",$AB$94,ES106),IF(X106="Sim",EU106,Geometria!$L$374)))</f>
        <v>233.16742928073757</v>
      </c>
      <c r="AO106" s="4" t="s">
        <v>434</v>
      </c>
      <c r="AP106" s="202">
        <f t="shared" ca="1" si="13"/>
        <v>-5763.980825382361</v>
      </c>
      <c r="AQ106" s="38" t="s">
        <v>234</v>
      </c>
      <c r="AR106" s="203">
        <f t="shared" ca="1" si="4"/>
        <v>-5.763980825382361</v>
      </c>
      <c r="AS106" s="38" t="s">
        <v>160</v>
      </c>
      <c r="AT106" s="399">
        <f t="shared" si="14"/>
        <v>0.0</v>
      </c>
      <c r="AU106" s="376" t="str">
        <f>IF(OR(AND(AV106&lt;Geometria!$L$1405/100,Geometria!$K$1405&gt;0),AND((Geometria!$L$29/100-AV106)&lt;Geometria!$R$1405/100,Geometria!$Q$1405&gt;0)),"Sim","Não")</f>
        <v>Não</v>
      </c>
      <c r="AV106" s="395">
        <f>Geometria!$P$415</f>
        <v>1.9625</v>
      </c>
      <c r="AW106" s="376" t="str">
        <f>IF(OR(AND(AV106&lt;Geometria!$L$1409/100,OR(Geometria!$K$1409&gt;0,Geometria!$K$1407&gt;0)),AND((Geometria!$L$29/100-AV106)&lt;Geometria!$R$1409/100,OR(Geometria!$Q$1409&gt;0,Geometria!$Q$1407&gt;0))),"Sim","Não")</f>
        <v>Não</v>
      </c>
      <c r="AX106" s="122" t="s">
        <v>434</v>
      </c>
      <c r="AY106" s="198" t="str">
        <f ca="1">IF(Geometria!$P$437&lt;Geometria!$N$1307/100,"Reduzir","OK")</f>
        <v>OK</v>
      </c>
      <c r="AZ106" s="401">
        <f t="shared" ca="1" si="5"/>
        <v>-5763.973303919795</v>
      </c>
      <c r="BA106" s="403">
        <f ca="1">-(BF106/(Geometria!$L$48/100^2))+(BG106/(Geometria!$L$52/100^3))-((Geometria!$P$416)/(Geometria!$L$52/100^3))-((Geometria!$P$427)/(Geometria!$M$52))-((Geometria!$L$76*Geometria!$P$438)/(Geometria!$M$52))</f>
        <v>-5043.259713100318</v>
      </c>
      <c r="BB106" s="400">
        <f ca="1">((Geometria!$N$369*(Geometria!$P$897*100))/Geometria!$N$1307)</f>
        <v>206.93754041084782</v>
      </c>
      <c r="BC106" s="751">
        <f ca="1">-((Geometria!$L$373-(Geometria!$L$373-ER106)*(1-(MIN(MIN(1,MAX(0,(AV106-Geometria!$L$1409/100)/(Geometria!$N$1307/100))),MIN(1,MAX(0,((Geometria!$L$29/100-AV106)-Geometria!$R$1409/100)/(Geometria!$N$1307/100))))))*(IF(OR(Geometria!$K$1409&gt;0,Geometria!$K$1407&gt;0,Geometria!$Q$1409&gt;0,Geometria!$Q$1407&gt;0),1,0))-(Geometria!$L$373-ET106)*(1-(MIN(MIN(1,MAX(0,(AV106-Geometria!$L$1405/100)/(Geometria!$N$1307/100))),MIN(1,MAX(0,((Geometria!$L$29/100-AV106)-Geometria!$R$1405/100)/(Geometria!$N$1307/100))))))*(IF(OR(Geometria!$K$1405&gt;0,Geometria!$K$1403&gt;0,Geometria!$Q$1405&gt;0,Geometria!$Q$1403&gt;0),1,0))))/(Geometria!$L$48/100^2)+((Geometria!$L$374-(Geometria!$L$374-ES106)*(1-(MIN(MIN(1,MAX(0,(AV106-Geometria!$L$1409/100)/(Geometria!$N$1307/100))),MIN(1,MAX(0,((Geometria!$L$29/100-AV106)-Geometria!$R$1409/100)/(Geometria!$N$1307/100))))))*(IF(OR(Geometria!$K$1409&gt;0,Geometria!$K$1407&gt;0,Geometria!$Q$1409&gt;0,Geometria!$Q$1407&gt;0),1,0))-(Geometria!$L$374-EU106)*(1-(MIN(MIN(1,MAX(0,(AV106-Geometria!$L$1405/100)/(Geometria!$N$1307/100))),MIN(1,MAX(0,((Geometria!$L$29/100-AV106)-Geometria!$R$1405/100)/(Geometria!$N$1307/100))))))*(IF(OR(Geometria!$K$1405&gt;0,Geometria!$K$1403&gt;0,Geometria!$Q$1405&gt;0,Geometria!$Q$1403&gt;0),1,0))))/(Geometria!$L$52/100^3)-((Geometria!$P$416)/(Geometria!$L$52/100^3))-((Geometria!$P$427)/(Geometria!$M$52))</f>
        <v>-5763.973303919795</v>
      </c>
      <c r="BD106" s="751"/>
      <c r="BF106" s="373">
        <f ca="1">(Geometria!$L$298-(Geometria!$L$298-IF(AV106&lt;Geometria!$L$1409/100,Geometria!$L$1442,Geometria!$L$1460))*(1-(MIN(MIN(1,MAX(0,(AV106-Geometria!$L$1409/100)/(Geometria!$N$1307/100))),MIN(1,MAX(0,((Geometria!$L$29/100-AV106)-Geometria!$R$1409/100)/(Geometria!$N$1307/100))))))*(IF(OR(Geometria!$K$1409&gt;0,Geometria!$K$1407&gt;0,Geometria!$Q$1409&gt;0,Geometria!$Q$1407&gt;0),1,0))-(Geometria!$L$298-IF(AV106&lt;Geometria!$L$1405/100,Geometria!$L$1444,Geometria!$L$1462))*(1-(MIN(MIN(1,MAX(0,(AV106-Geometria!$L$1405/100)/(Geometria!$N$1307/100))),MIN(1,MAX(0,((Geometria!$L$29/100-AV106)-Geometria!$R$1405/100)/(Geometria!$N$1307/100))))))*(IF(OR(Geometria!$K$1405&gt;0,Geometria!$K$1403&gt;0,Geometria!$Q$1405&gt;0,Geometria!$Q$1403&gt;0),1,0)))*BB129+Geometria!$P$1429*BB106</f>
        <v>814.6829754769095</v>
      </c>
      <c r="BG106" s="373">
        <f ca="1">(Geometria!$L$298-(Geometria!$L$298-IF(AV106&lt;Geometria!$L$1409/100,Geometria!$L$1442,Geometria!$L$1460))*(1-(MIN(MIN(1,MAX(0,(AV106-Geometria!$L$1409/100)/(Geometria!$N$1307/100))),MIN(1,MAX(0,((Geometria!$L$29/100-AV106)-Geometria!$R$1409/100)/(Geometria!$N$1307/100))))))*(IF(OR(Geometria!$K$1409&gt;0,Geometria!$K$1407&gt;0,Geometria!$Q$1409&gt;0,Geometria!$Q$1407&gt;0),1,0))-(Geometria!$L$298-IF(AV106&lt;Geometria!$L$1405/100,Geometria!$L$1444,Geometria!$L$1462))*(1-(MIN(MIN(1,MAX(0,(AV106-Geometria!$L$1405/100)/(Geometria!$N$1307/100))),MIN(1,MAX(0,((Geometria!$L$29/100-AV106)-Geometria!$R$1405/100)/(Geometria!$N$1307/100))))))*(IF(OR(Geometria!$K$1405&gt;0,Geometria!$K$1403&gt;0,Geometria!$Q$1405&gt;0,Geometria!$Q$1403&gt;0),1,0)))*BB129*(Geometria!$L$299-(Geometria!$L$299-IF(AV106&lt;Geometria!$L$1409/100,Geometria!$L$1443,Geometria!$L$1461))*(1-(MIN(MIN(1,MAX(0,(AV106-Geometria!$L$1409/100)/(Geometria!$N$1307/100))),MIN(1,MAX(0,((Geometria!$L$29/100-AV106)-Geometria!$R$1409/100)/(Geometria!$N$1307/100))))))*(IF(OR(Geometria!$K$1409&gt;0,Geometria!$K$1407&gt;0,Geometria!$Q$1409&gt;0,Geometria!$Q$1407&gt;0),1,0))-(Geometria!$L$299-IF(AV106&lt;Geometria!$L$1405/100,Geometria!$L$1445,Geometria!$L$1463))*(1-(MIN(MIN(1,MAX(0,(AV106-Geometria!$L$1405/100)/(Geometria!$N$1307/100))),MIN(1,MAX(0,((Geometria!$L$29/100-AV106)-Geometria!$R$1405/100)/(Geometria!$N$1307/100))))))*(IF(OR(Geometria!$K$1405&gt;0,Geometria!$K$1403&gt;0,Geometria!$Q$1405&gt;0,Geometria!$Q$1403&gt;0),1,0)))/100-Geometria!$P$1429*BB106*Geometria!$L$1438/100</f>
        <v>207.54151103998214</v>
      </c>
      <c r="BH106" s="365"/>
      <c r="BI106" s="371">
        <f ca="1">(IF(AW106="Sim",IF(AU106="Sim",$AB$93,ER106),IF(AU106="Sim",ET106,Geometria!$L$373)))</f>
        <v>1243.5596228306003</v>
      </c>
      <c r="BJ106" s="371">
        <f ca="1">(IF(AW106="Sim",IF(AU106="Sim",$AB$94,ES106),IF(AU106="Sim",EU106,Geometria!$L$374)))</f>
        <v>233.16742928073757</v>
      </c>
      <c r="BL106" s="4" t="s">
        <v>434</v>
      </c>
      <c r="BM106" s="202">
        <f t="shared" ca="1" si="15"/>
        <v>-5763.973303919795</v>
      </c>
      <c r="BN106" s="38" t="s">
        <v>234</v>
      </c>
      <c r="BO106" s="203">
        <f t="shared" ca="1" si="6"/>
        <v>-5.763973303919795</v>
      </c>
      <c r="BP106" s="38" t="s">
        <v>160</v>
      </c>
      <c r="BQ106" s="399">
        <f t="shared" si="16"/>
        <v>0.0</v>
      </c>
      <c r="BR106" s="376" t="str">
        <f>IF(OR(AND(BS106&lt;Geometria!$L$1405/100,Geometria!$K$1405&gt;0),AND((Geometria!$L$29/100-BS106)&lt;Geometria!$R$1405/100,Geometria!$Q$1405&gt;0)),"Sim","Não")</f>
        <v>Não</v>
      </c>
      <c r="BS106" s="395">
        <f>Geometria!$P$415</f>
        <v>1.9625</v>
      </c>
      <c r="BT106" s="376" t="str">
        <f>IF(OR(AND(BS106&lt;Geometria!$L$1409/100,OR(Geometria!$K$1409&gt;0,Geometria!$K$1407&gt;0)),AND((Geometria!$L$29/100-BS106)&lt;Geometria!$R$1409/100,OR(Geometria!$Q$1409&gt;0,Geometria!$Q$1407&gt;0))),"Sim","Não")</f>
        <v>Não</v>
      </c>
      <c r="BU106" s="122" t="s">
        <v>434</v>
      </c>
      <c r="BV106" s="198" t="str">
        <f ca="1">IF(Geometria!$P$437&lt;Geometria!$N$1307/100,"Reduzir","OK")</f>
        <v>OK</v>
      </c>
      <c r="BW106" s="401">
        <f t="shared" ca="1" si="7"/>
        <v>-5763.978318228173</v>
      </c>
      <c r="BX106" s="403">
        <f ca="1">-(CC106/(Geometria!$L$48/100^2))+(CD106/(Geometria!$L$52/100^3))-((Geometria!$P$416)/(Geometria!$L$52/100^3))-((Geometria!$P$427)/(Geometria!$M$52))-((Geometria!$L$76*Geometria!$P$438)/(Geometria!$M$52))</f>
        <v>-5043.259713100318</v>
      </c>
      <c r="BY106" s="400">
        <f ca="1">((Geometria!$N$369*(Geometria!$P$897*100))/Geometria!$N$1307)</f>
        <v>206.93754041084782</v>
      </c>
      <c r="BZ106" s="751">
        <f ca="1">-((Geometria!$L$373-(Geometria!$L$373-ER106)*(1-(MIN(MIN(1,MAX(0,(BS106-Geometria!$L$1409/100)/(Geometria!$N$1307/100))),MIN(1,MAX(0,((Geometria!$L$29/100-BS106)-Geometria!$R$1409/100)/(Geometria!$N$1307/100))))))*(IF(OR(Geometria!$K$1409&gt;0,Geometria!$K$1407&gt;0,Geometria!$Q$1409&gt;0,Geometria!$Q$1407&gt;0),1,0))-(Geometria!$L$373-ET106)*(1-(MIN(MIN(1,MAX(0,(BS106-Geometria!$L$1405/100)/(Geometria!$N$1307/100))),MIN(1,MAX(0,((Geometria!$L$29/100-BS106)-Geometria!$R$1405/100)/(Geometria!$N$1307/100))))))*(IF(OR(Geometria!$K$1405&gt;0,Geometria!$K$1403&gt;0,Geometria!$Q$1405&gt;0,Geometria!$Q$1403&gt;0),1,0))))/(Geometria!$L$48/100^2)+((Geometria!$L$374-(Geometria!$L$374-ES106)*(1-(MIN(MIN(1,MAX(0,(BS106-Geometria!$L$1409/100)/(Geometria!$N$1307/100))),MIN(1,MAX(0,((Geometria!$L$29/100-BS106)-Geometria!$R$1409/100)/(Geometria!$N$1307/100))))))*(IF(OR(Geometria!$K$1409&gt;0,Geometria!$K$1407&gt;0,Geometria!$Q$1409&gt;0,Geometria!$Q$1407&gt;0),1,0))-(Geometria!$L$374-EU106)*(1-(MIN(MIN(1,MAX(0,(BS106-Geometria!$L$1405/100)/(Geometria!$N$1307/100))),MIN(1,MAX(0,((Geometria!$L$29/100-BS106)-Geometria!$R$1405/100)/(Geometria!$N$1307/100))))))*(IF(OR(Geometria!$K$1405&gt;0,Geometria!$K$1403&gt;0,Geometria!$Q$1405&gt;0,Geometria!$Q$1403&gt;0),1,0))))/(Geometria!$L$52/100^3)-((Geometria!$P$673)/(Geometria!$L$52/100^3))-((Geometria!$P$684)/(Geometria!$M$52))-((Geometria!$L$77*Geometria!$P$695)/(Geometria!$M$52))</f>
        <v>-5763.978318228173</v>
      </c>
      <c r="CA106" s="751"/>
      <c r="CC106" s="373">
        <f ca="1">(Geometria!$L$298-(Geometria!$L$298-IF(BS106&lt;Geometria!$L$1409/100,Geometria!$L$1442,Geometria!$L$1460))*(1-(MIN(MIN(1,MAX(0,(BS106-Geometria!$L$1409/100)/(Geometria!$N$1307/100))),MIN(1,MAX(0,((Geometria!$L$29/100-BS106)-Geometria!$R$1409/100)/(Geometria!$N$1307/100))))))*(IF(OR(Geometria!$K$1409&gt;0,Geometria!$K$1407&gt;0,Geometria!$Q$1409&gt;0,Geometria!$Q$1407&gt;0),1,0))-(Geometria!$L$298-IF(BS106&lt;Geometria!$L$1405/100,Geometria!$L$1444,Geometria!$L$1462))*(1-(MIN(MIN(1,MAX(0,(BS106-Geometria!$L$1405/100)/(Geometria!$N$1307/100))),MIN(1,MAX(0,((Geometria!$L$29/100-BS106)-Geometria!$R$1405/100)/(Geometria!$N$1307/100))))))*(IF(OR(Geometria!$K$1405&gt;0,Geometria!$K$1403&gt;0,Geometria!$Q$1405&gt;0,Geometria!$Q$1403&gt;0),1,0)))*BY129+Geometria!$P$1429*BY106</f>
        <v>814.6829754769095</v>
      </c>
      <c r="CD106" s="373">
        <f ca="1">(Geometria!$L$298-(Geometria!$L$298-IF(BS106&lt;Geometria!$L$1409/100,Geometria!$L$1442,Geometria!$L$1460))*(1-(MIN(MIN(1,MAX(0,(BS106-Geometria!$L$1409/100)/(Geometria!$N$1307/100))),MIN(1,MAX(0,((Geometria!$L$29/100-BS106)-Geometria!$R$1409/100)/(Geometria!$N$1307/100))))))*(IF(OR(Geometria!$K$1409&gt;0,Geometria!$K$1407&gt;0,Geometria!$Q$1409&gt;0,Geometria!$Q$1407&gt;0),1,0))-(Geometria!$L$298-IF(BS106&lt;Geometria!$L$1405/100,Geometria!$L$1444,Geometria!$L$1462))*(1-(MIN(MIN(1,MAX(0,(BS106-Geometria!$L$1405/100)/(Geometria!$N$1307/100))),MIN(1,MAX(0,((Geometria!$L$29/100-BS106)-Geometria!$R$1405/100)/(Geometria!$N$1307/100))))))*(IF(OR(Geometria!$K$1405&gt;0,Geometria!$K$1403&gt;0,Geometria!$Q$1405&gt;0,Geometria!$Q$1403&gt;0),1,0)))*BY129*(Geometria!$L$299-(Geometria!$L$299-IF(BS106&lt;Geometria!$L$1409/100,Geometria!$L$1443,Geometria!$L$1461))*(1-(MIN(MIN(1,MAX(0,(BS106-Geometria!$L$1409/100)/(Geometria!$N$1307/100))),MIN(1,MAX(0,((Geometria!$L$29/100-BS106)-Geometria!$R$1409/100)/(Geometria!$N$1307/100))))))*(IF(OR(Geometria!$K$1409&gt;0,Geometria!$K$1407&gt;0,Geometria!$Q$1409&gt;0,Geometria!$Q$1407&gt;0),1,0))-(Geometria!$L$299-IF(BS106&lt;Geometria!$L$1405/100,Geometria!$L$1445,Geometria!$L$1463))*(1-(MIN(MIN(1,MAX(0,(BS106-Geometria!$L$1405/100)/(Geometria!$N$1307/100))),MIN(1,MAX(0,((Geometria!$L$29/100-BS106)-Geometria!$R$1405/100)/(Geometria!$N$1307/100))))))*(IF(OR(Geometria!$K$1405&gt;0,Geometria!$K$1403&gt;0,Geometria!$Q$1405&gt;0,Geometria!$Q$1403&gt;0),1,0)))/100-Geometria!$P$1429*BY106*Geometria!$L$1438/100</f>
        <v>207.54151103998214</v>
      </c>
      <c r="CE106" s="365"/>
      <c r="CF106" s="371">
        <f ca="1">(IF(BT106="Sim",IF(BR106="Sim",$AB$93,ER106),IF(BR106="Sim",ET106,Geometria!$L$373)))</f>
        <v>1243.5596228306003</v>
      </c>
      <c r="CG106" s="371">
        <f ca="1">(IF(BT106="Sim",IF(BR106="Sim",$AB$94,ES106),IF(BR106="Sim",EU106,Geometria!$L$374)))</f>
        <v>233.16742928073757</v>
      </c>
      <c r="CI106" s="4" t="s">
        <v>434</v>
      </c>
      <c r="CJ106" s="202">
        <f t="shared" ca="1" si="17"/>
        <v>-5763.978318228173</v>
      </c>
      <c r="CK106" s="38" t="s">
        <v>234</v>
      </c>
      <c r="CL106" s="203">
        <f t="shared" ca="1" si="8"/>
        <v>-5.7639783182281725</v>
      </c>
      <c r="CM106" s="38" t="s">
        <v>160</v>
      </c>
      <c r="CN106" s="399">
        <f t="shared" si="18"/>
        <v>0.0</v>
      </c>
      <c r="CO106" s="376" t="str">
        <f>IF(OR(AND(CP106&lt;Geometria!$L$1405/100,Geometria!$K$1405&gt;0),AND((Geometria!$L$29/100-CP106)&lt;Geometria!$R$1405/100,Geometria!$Q$1405&gt;0)),"Sim","Não")</f>
        <v>Não</v>
      </c>
      <c r="CP106" s="395">
        <f>Geometria!$P$415</f>
        <v>1.9625</v>
      </c>
      <c r="CQ106" s="376" t="str">
        <f>IF(OR(AND(CP106&lt;Geometria!$L$1409/100,OR(Geometria!$K$1409&gt;0,Geometria!$K$1407&gt;0)),AND((Geometria!$L$29/100-CP106)&lt;Geometria!$R$1409/100,OR(Geometria!$Q$1409&gt;0,Geometria!$Q$1407&gt;0))),"Sim","Não")</f>
        <v>Não</v>
      </c>
      <c r="CR106" s="122" t="s">
        <v>434</v>
      </c>
      <c r="CS106" s="198" t="str">
        <f ca="1">IF(Geometria!$P$437&lt;Geometria!$N$1307/100,"Reduzir","OK")</f>
        <v>OK</v>
      </c>
      <c r="CT106" s="401">
        <f t="shared" ca="1" si="9"/>
        <v>-5763.973303919795</v>
      </c>
      <c r="CU106" s="403">
        <f ca="1">-(CZ106/(Geometria!$L$48/100^2))+(DA106/(Geometria!$L$52/100^3))-((Geometria!$P$416)/(Geometria!$L$52/100^3))-((Geometria!$P$427)/(Geometria!$M$52))-((Geometria!$L$76*Geometria!$P$438)/(Geometria!$M$52))</f>
        <v>-6002.245629467745</v>
      </c>
      <c r="CV106" s="400">
        <f ca="1">((Geometria!$N$369*(Geometria!$P$897*100))/Geometria!$N$1307)</f>
        <v>206.93754041084782</v>
      </c>
      <c r="CW106" s="751">
        <f ca="1">-((Geometria!$L$373-(Geometria!$L$373-ER106)*(1-(MIN(MIN(1,MAX(0,(CP106-Geometria!$L$1409/100)/(Geometria!$N$1307/100))),MIN(1,MAX(0,((Geometria!$L$29/100-CP106)-Geometria!$R$1409/100)/(Geometria!$N$1307/100))))))*(IF(OR(Geometria!$K$1409&gt;0,Geometria!$K$1407&gt;0,Geometria!$Q$1409&gt;0,Geometria!$Q$1407&gt;0),1,0))-(Geometria!$L$373-ET106)*(1-(MIN(MIN(1,MAX(0,(CP106-Geometria!$L$1405/100)/(Geometria!$N$1307/100))),MIN(1,MAX(0,((Geometria!$L$29/100-CP106)-Geometria!$R$1405/100)/(Geometria!$N$1307/100))))))*(IF(OR(Geometria!$K$1405&gt;0,Geometria!$K$1403&gt;0,Geometria!$Q$1405&gt;0,Geometria!$Q$1403&gt;0),1,0))))/(Geometria!$L$48/100^2)+((Geometria!$L$374-(Geometria!$L$374-ES106)*(1-(MIN(MIN(1,MAX(0,(CP106-Geometria!$L$1409/100)/(Geometria!$N$1307/100))),MIN(1,MAX(0,((Geometria!$L$29/100-CP106)-Geometria!$R$1409/100)/(Geometria!$N$1307/100))))))*(IF(OR(Geometria!$K$1409&gt;0,Geometria!$K$1407&gt;0,Geometria!$Q$1409&gt;0,Geometria!$Q$1407&gt;0),1,0))-(Geometria!$L$374-EU106)*(1-(MIN(MIN(1,MAX(0,(CP106-Geometria!$L$1405/100)/(Geometria!$N$1307/100))),MIN(1,MAX(0,((Geometria!$L$29/100-CP106)-Geometria!$R$1405/100)/(Geometria!$N$1307/100))))))*(IF(OR(Geometria!$K$1405&gt;0,Geometria!$K$1403&gt;0,Geometria!$Q$1405&gt;0,Geometria!$Q$1403&gt;0),1,0))))/(Geometria!$L$52/100^3)-((Geometria!$P$673)/(Geometria!$L$52/100^3))-((Geometria!$P$684)/(Geometria!$M$52))</f>
        <v>-5763.973303919795</v>
      </c>
      <c r="CX106" s="751"/>
      <c r="CZ106" s="373">
        <f ca="1">(IF(CQ106="Sim",IF(CO106="Sim",IF(CP106&lt;Geometria!$L$1405/100,Geometria!$L$1435,Geometria!$L$1476),IF(CP106&lt;Geometria!$L$1409/100,Geometria!$L$1442,Geometria!$L$1460)),IF(CO106="Sim",IF(CP106&lt;Geometria!$L$1405/100,Geometria!$L$1444,Geometria!$L$1462),Geometria!$L$298)))*CV129+Geometria!$P$1429*CV106</f>
        <v>1243.5596228306003</v>
      </c>
      <c r="DA106" s="373">
        <f ca="1">(IF(CQ106="Sim",IF(CO106="Sim",IF(CP106&lt;Geometria!$L$1405/100,Geometria!$L$1435,Geometria!$L$1476),IF(CP106&lt;Geometria!$L$1409/100,Geometria!$L$1442,Geometria!$L$1460)),IF(CO106="Sim",IF(CP106&lt;Geometria!$L$1405/100,Geometria!$L$1444,Geometria!$L$1462),Geometria!$L$298)))*CV129*(IF(CQ106="Sim",IF(CO106="Sim",IF(CP106&lt;Geometria!$L$1405/100,Geometria!$L$1436,Geometria!$L$1484),IF(CP106&lt;Geometria!$L$1409/100,Geometria!$L$1443,Geometria!$L$1461)),IF(CO106="Sim",IF(CP106&lt;Geometria!$L$1405/100,Geometria!$L$1445,Geometria!$L$1463),Geometria!$L$299)))/100-Geometria!$P$1429*CV106*Geometria!$L$1438/100</f>
        <v>233.16742928073757</v>
      </c>
      <c r="DB106" s="365"/>
      <c r="DC106" s="371">
        <f ca="1">(IF(CQ106="Sim",IF(CO106="Sim",$AB$93,ER106),IF(CO106="Sim",ET106,Geometria!$L$373)))</f>
        <v>1243.5596228306003</v>
      </c>
      <c r="DD106" s="371">
        <f ca="1">(IF(CQ106="Sim",IF(CO106="Sim",$AB$94,ES106),IF(CO106="Sim",EU106,Geometria!$L$374)))</f>
        <v>233.16742928073757</v>
      </c>
      <c r="DF106" s="4" t="s">
        <v>434</v>
      </c>
      <c r="DG106" s="202">
        <f t="shared" ca="1" si="19"/>
        <v>-5763.973303919795</v>
      </c>
      <c r="DH106" s="38" t="s">
        <v>234</v>
      </c>
      <c r="DI106" s="203">
        <f t="shared" ca="1" si="10"/>
        <v>-5.763973303919795</v>
      </c>
      <c r="DJ106" s="38" t="s">
        <v>160</v>
      </c>
      <c r="DK106" s="399">
        <f t="shared" si="20"/>
        <v>0.0</v>
      </c>
      <c r="EA106">
        <f ca="1">-L106/('Aberturas na Alma'!$M$112/100^2)+M106/('Aberturas na Alma'!$M$119/100^3)-Geometria!$L$898/('Aberturas na Alma'!$M$119/100^3)</f>
        <v>10592.64779684164</v>
      </c>
      <c r="EB106">
        <f ca="1">-(IF(C106="Sim",IF(A106="Sim",$E$93,EX106),IF(A106="Sim",EZ106,Geometria!$L$906)))/('Aberturas na Alma'!$M$112/100^2)+(IF(C106="Sim",IF(A106="Sim",$E$94,EY106),IF(A106="Sim",FA106,Geometria!$L$907)))/('Aberturas na Alma'!$M$119/100^3)-Geometria!$P$898/('Aberturas na Alma'!$M$119/100^3)</f>
        <v>3320.367908502393</v>
      </c>
      <c r="EC106">
        <f ca="1">IF(AND('Aberturas na Alma'!$M$18="NÃO DISPENSADO — furo deve ser verificado (cálculo abaixo)",OR(AND(B106&gt;=('Aberturas na Alma'!$M$4-'Aberturas na Alma'!$M$7/2)/100,B106&lt;=('Aberturas na Alma'!$M$4+'Aberturas na Alma'!$M$7/2)/100),ABS(B106-'Aberturas na Alma'!$M$4/100)&lt;=Geometria!$L$29/4000)),IF(E106="Reduzir",EA106,EB106),F106)</f>
        <v>5832.234683139494</v>
      </c>
      <c r="ED106">
        <f ca="1">-(AI106/('Aberturas na Alma'!$M$112/100^2))+(AJ106/('Aberturas na Alma'!$M$119/100^3))-((Geometria!$P$416)/('Aberturas na Alma'!$M$119/100^3))-((Geometria!$P$427)/('Aberturas na Alma'!$M$119/100^3))-((Geometria!$L$76*Geometria!$P$438)/('Aberturas na Alma'!$M$119/100^3))</f>
        <v>-39536.51745210451</v>
      </c>
      <c r="EE106">
        <f ca="1">-((IF(Z106="Sim",IF(X106="Sim",$AB$93,ER106),IF(X106="Sim",ET106,Geometria!$L$373)))/('Aberturas na Alma'!$M$112/100^2))+((IF(Z106="Sim",IF(X106="Sim",$AB$94,ES106),IF(X106="Sim",EU106,Geometria!$L$374)))/('Aberturas na Alma'!$M$119/100^3))-((Geometria!$P$416)/('Aberturas na Alma'!$M$119/100^3))-((Geometria!$P$427)/('Aberturas na Alma'!$M$119/100^3))-((Geometria!$L$76*Geometria!$P$438)/('Aberturas na Alma'!$M$119/100^3))</f>
        <v>-39536.51745210451</v>
      </c>
      <c r="EF106" s="371">
        <f ca="1">IF(AND('Aberturas na Alma'!$M$18="NÃO DISPENSADO — furo deve ser verificado (cálculo abaixo)",OR(AND(B106&gt;=('Aberturas na Alma'!$M$4-'Aberturas na Alma'!$M$7/2)/100,B106&lt;=('Aberturas na Alma'!$M$4+'Aberturas na Alma'!$M$7/2)/100),ABS(B106-'Aberturas na Alma'!$M$4/100)&lt;=Geometria!$L$29/4000)),IF(AB106="Reduzir",ED106,EE106),AC106)</f>
        <v>-5763.980825382361</v>
      </c>
      <c r="EG106">
        <f ca="1">-(BF106/('Aberturas na Alma'!$M$112/100^2))+(BG106/('Aberturas na Alma'!$M$119/100^3))-((Geometria!$P$416)/('Aberturas na Alma'!$M$119/100^3))-((Geometria!$P$427)/('Aberturas na Alma'!$M$119/100^3))-((Geometria!$L$76*Geometria!$P$438)/('Aberturas na Alma'!$M$119/100^3))</f>
        <v>-37844.75767602831</v>
      </c>
      <c r="EH106">
        <f ca="1">-((IF(AW106="Sim",IF(AU106="Sim",$AB$93,ER106),IF(AU106="Sim",ET106,Geometria!$L$373)))/('Aberturas na Alma'!$M$112/100^2))+((IF(AW106="Sim",IF(AU106="Sim",$AB$94,ES106),IF(AU106="Sim",EU106,Geometria!$L$374)))/('Aberturas na Alma'!$M$119/100^3))-((Geometria!$P$416)/('Aberturas na Alma'!$M$119/100^3))-((Geometria!$P$427)/('Aberturas na Alma'!$M$119/100^3))</f>
        <v>-10220.413326776747</v>
      </c>
      <c r="EI106" s="371">
        <f ca="1">IF(AND('Aberturas na Alma'!$M$18="NÃO DISPENSADO — furo deve ser verificado (cálculo abaixo)",OR(AND(B106&gt;=('Aberturas na Alma'!$M$4-'Aberturas na Alma'!$M$7/2)/100,B106&lt;=('Aberturas na Alma'!$M$4+'Aberturas na Alma'!$M$7/2)/100),ABS(B106-'Aberturas na Alma'!$M$4/100)&lt;=Geometria!$L$29/4000)),IF(AY106="Reduzir",EG106,EH106),AZ106)</f>
        <v>-5763.973303919795</v>
      </c>
      <c r="EJ106">
        <f ca="1">-(CC106/('Aberturas na Alma'!$M$112/100^2))+(CD106/('Aberturas na Alma'!$M$119/100^3))-((Geometria!$P$416)/('Aberturas na Alma'!$M$119/100^3))-((Geometria!$P$427)/('Aberturas na Alma'!$M$119/100^3))-((Geometria!$L$76*Geometria!$P$438)/('Aberturas na Alma'!$M$119/100^3))</f>
        <v>-37844.75767602831</v>
      </c>
      <c r="EK106">
        <f ca="1">-((IF(BT106="Sim",IF(BR106="Sim",$AB$93,ER106),IF(BR106="Sim",ET106,Geometria!$L$373)))/('Aberturas na Alma'!$M$112/100^2))+((IF(BT106="Sim",IF(BR106="Sim",$AB$94,ES106),IF(BR106="Sim",EU106,Geometria!$L$374)))/('Aberturas na Alma'!$M$119/100^3))-((Geometria!$P$673)/('Aberturas na Alma'!$M$119/100^3))-((Geometria!$P$684)/('Aberturas na Alma'!$M$119/100^3))-((Geometria!$L$77*Geometria!$P$695)/('Aberturas na Alma'!$M$119/100^3))</f>
        <v>-29764.482743661927</v>
      </c>
      <c r="EL106" s="371">
        <f ca="1">IF(AND('Aberturas na Alma'!$M$18="NÃO DISPENSADO — furo deve ser verificado (cálculo abaixo)",OR(AND(B106&gt;=('Aberturas na Alma'!$M$4-'Aberturas na Alma'!$M$7/2)/100,B106&lt;=('Aberturas na Alma'!$M$4+'Aberturas na Alma'!$M$7/2)/100),ABS(B106-'Aberturas na Alma'!$M$4/100)&lt;=Geometria!$L$29/4000)),IF(BV106="Reduzir",EJ106,EK106),BW106)</f>
        <v>-5763.978318228173</v>
      </c>
      <c r="EM106">
        <f ca="1">-(CZ106/('Aberturas na Alma'!$M$112/100^2))+(DA106/('Aberturas na Alma'!$M$119/100^3))-((Geometria!$P$416)/('Aberturas na Alma'!$M$119/100^3))-((Geometria!$P$427)/('Aberturas na Alma'!$M$119/100^3))-((Geometria!$L$76*Geometria!$P$438)/('Aberturas na Alma'!$M$119/100^3))</f>
        <v>-39536.51745210451</v>
      </c>
      <c r="EN106">
        <f ca="1">-((IF(CQ106="Sim",IF(CO106="Sim",$AB$93,ER106),IF(CO106="Sim",ET106,Geometria!$L$373)))/('Aberturas na Alma'!$M$112/100^2))+((IF(CQ106="Sim",IF(CO106="Sim",$AB$94,ES106),IF(CO106="Sim",EU106,Geometria!$L$374)))/('Aberturas na Alma'!$M$119/100^3))-((Geometria!$P$673)/('Aberturas na Alma'!$M$119/100^3))-((Geometria!$P$684)/('Aberturas na Alma'!$M$119/100^3))</f>
        <v>-10220.413326776747</v>
      </c>
      <c r="EO106" s="371">
        <f ca="1">IF(AND('Aberturas na Alma'!$M$18="NÃO DISPENSADO — furo deve ser verificado (cálculo abaixo)",OR(AND(B106&gt;=('Aberturas na Alma'!$M$4-'Aberturas na Alma'!$M$7/2)/100,B106&lt;=('Aberturas na Alma'!$M$4+'Aberturas na Alma'!$M$7/2)/100),ABS(B106-'Aberturas na Alma'!$M$4/100)&lt;=Geometria!$L$29/4000)),IF(CS106="Reduzir",EM106,EN106),CT106)</f>
        <v>-5763.973303919795</v>
      </c>
      <c r="EP106" t="str">
        <f>IF(AND(Y106&lt;Geometria!$L$1409/100,OR(Geometria!$K$1409&gt;0,Geometria!$K$1407&gt;0)),"ESQ",IF(AND((Geometria!$L$29/100-Y106)&lt;Geometria!$R$1409/100,OR(Geometria!$Q$1409&gt;0,Geometria!$Q$1407&gt;0)),"DIR","N/A"))</f>
        <v>N/A</v>
      </c>
      <c r="EQ106" t="str">
        <f>IF(AND(Y106&lt;Geometria!$L$1405/100,Geometria!$K$1405&gt;0),"ESQ",IF(AND((Geometria!$L$29/100-Y106)&lt;Geometria!$R$1405/100,Geometria!$Q$1405&gt;0),"DIR","N/A"))</f>
        <v>N/A</v>
      </c>
      <c r="ER106">
        <f ca="1">IF(EP106="DIR",Geometria!$L$1470,Geometria!$L$1452)</f>
        <v>1243.5596228306003</v>
      </c>
      <c r="ES106">
        <f ca="1">IF(EP106="DIR",Geometria!$L$1471,Geometria!$L$1453)</f>
        <v>233.16742928073757</v>
      </c>
      <c r="ET106">
        <f ca="1">IF(EQ106="DIR",Geometria!$L$1472,Geometria!$L$1454)</f>
        <v>621.7798114153002</v>
      </c>
      <c r="EU106">
        <f ca="1">IF(EQ106="DIR",Geometria!$L$1473,Geometria!$L$1455)</f>
        <v>177.20724625336052</v>
      </c>
      <c r="EV106" t="str">
        <f>IF(AND(B106&lt;Geometria!$L$1409/100,OR(Geometria!$K$1409&gt;0,Geometria!$K$1407&gt;0)),"ESQ",IF(AND((Geometria!$L$29/100-B106)&lt;Geometria!$R$1409/100,OR(Geometria!$Q$1409&gt;0,Geometria!$Q$1407&gt;0)),"DIR","N/A"))</f>
        <v>N/A</v>
      </c>
      <c r="EW106" t="str">
        <f>IF(AND(B106&lt;Geometria!$L$1405/100,Geometria!$K$1405&gt;0),"ESQ",IF(AND((Geometria!$L$29/100-B106)&lt;Geometria!$R$1405/100,Geometria!$Q$1405&gt;0),"DIR","N/A"))</f>
        <v>N/A</v>
      </c>
      <c r="EX106">
        <f ca="1">IF(EV106="DIR",Geometria!$L$1465,Geometria!$L$1447)</f>
        <v>1499.8056003831216</v>
      </c>
      <c r="EY106">
        <f ca="1">IF(EV106="DIR",Geometria!$L$1466,Geometria!$L$1448)</f>
        <v>281.2135500718353</v>
      </c>
      <c r="EZ106">
        <f ca="1">IF(EW106="DIR",Geometria!$L$1467,Geometria!$L$1449)</f>
        <v>749.9028001915608</v>
      </c>
      <c r="FA106">
        <f ca="1">IF(EW106="DIR",Geometria!$L$1468,Geometria!$L$1450)</f>
        <v>213.72229805459483</v>
      </c>
    </row>
    <row r="107" spans="1:157" x14ac:dyDescent="0.25">
      <c r="A107" s="376" t="str">
        <f>IF(OR(AND(B107&lt;Geometria!$L$1405/100,Geometria!$K$1405&gt;0),AND((Geometria!$L$29/100-B107)&lt;Geometria!$R$1405/100,Geometria!$Q$1405&gt;0)),"Sim","Não")</f>
        <v>Não</v>
      </c>
      <c r="B107" s="395">
        <f>Tensões!$H$63</f>
        <v>2.355</v>
      </c>
      <c r="C107" s="376" t="str">
        <f>IF(OR(AND(B107&lt;Geometria!$L$1409/100,OR(Geometria!$K$1409&gt;0,Geometria!$K$1407&gt;0)),AND((Geometria!$L$29/100-B107)&lt;Geometria!$R$1409/100,OR(Geometria!$Q$1409&gt;0,Geometria!$Q$1407&gt;0))),"Sim","Não")</f>
        <v>Não</v>
      </c>
      <c r="D107" s="122" t="s">
        <v>435</v>
      </c>
      <c r="E107" s="198" t="str">
        <f ca="1">IF(Geometria!$Q$437&lt;Geometria!$N$1307/100,"Reduzir","OK")</f>
        <v>OK</v>
      </c>
      <c r="F107" s="396">
        <f t="shared" ca="1" si="1"/>
        <v>5447.3680850866485</v>
      </c>
      <c r="G107" s="397">
        <f ca="1">-L107/(Geometria!$L$48/100^2)+M107/(Geometria!$L$52/100^3)-Geometria!$L$898/(Geometria!$L$52/100^3)</f>
        <v>14908.54503454353</v>
      </c>
      <c r="H107" s="400">
        <f ca="1">((Geometria!$L$326*(Geometria!$Q$897*100))/Geometria!$N$1307)</f>
        <v>293.87513068014107</v>
      </c>
      <c r="I107" s="743">
        <f ca="1">-(Geometria!$L$906-(Geometria!$L$906-EX107)*(1-(MIN(MIN(1,MAX(0,(B107-Geometria!$L$1409/100)/(Geometria!$N$1307/100))),MIN(1,MAX(0,((Geometria!$L$29/100-B107)-Geometria!$R$1409/100)/(Geometria!$N$1307/100))))))*(IF(OR(Geometria!$K$1409&gt;0,Geometria!$K$1407&gt;0,Geometria!$Q$1409&gt;0,Geometria!$Q$1407&gt;0),1,0))-(Geometria!$L$906-EZ107)*(1-(MIN(MIN(1,MAX(0,(B107-Geometria!$L$1405/100)/(Geometria!$N$1307/100))),MIN(1,MAX(0,((Geometria!$L$29/100-B107)-Geometria!$R$1405/100)/(Geometria!$N$1307/100))))))*(IF(OR(Geometria!$K$1405&gt;0,Geometria!$K$1403&gt;0,Geometria!$Q$1405&gt;0,Geometria!$Q$1403&gt;0),1,0)))/(Geometria!$L$48/100^2)+(Geometria!$L$907-(Geometria!$L$907-EY107)*(1-(MIN(MIN(1,MAX(0,(B107-Geometria!$L$1409/100)/(Geometria!$N$1307/100))),MIN(1,MAX(0,((Geometria!$L$29/100-B107)-Geometria!$R$1409/100)/(Geometria!$N$1307/100))))))*(IF(OR(Geometria!$K$1409&gt;0,Geometria!$K$1407&gt;0,Geometria!$Q$1409&gt;0,Geometria!$Q$1407&gt;0),1,0))-(Geometria!$L$907-FA107)*(1-(MIN(MIN(1,MAX(0,(B107-Geometria!$L$1405/100)/(Geometria!$N$1307/100))),MIN(1,MAX(0,((Geometria!$L$29/100-B107)-Geometria!$R$1405/100)/(Geometria!$N$1307/100))))))*(IF(OR(Geometria!$K$1405&gt;0,Geometria!$K$1403&gt;0,Geometria!$Q$1405&gt;0,Geometria!$Q$1403&gt;0),1,0)))/(Geometria!$L$52/100^3)-Geometria!$Q$898/(Geometria!$L$52/100^3)</f>
        <v>5447.3680850866485</v>
      </c>
      <c r="J107" s="743"/>
      <c r="L107" s="373">
        <f ca="1">(Geometria!$L$298-(Geometria!$L$298-IF(B107&lt;Geometria!$L$1409/100,Geometria!$L$1442,Geometria!$L$1460))*(1-(MIN(MIN(1,MAX(0,(B107-Geometria!$L$1409/100)/(Geometria!$N$1307/100))),MIN(1,MAX(0,((Geometria!$L$29/100-B107)-Geometria!$R$1409/100)/(Geometria!$N$1307/100))))))*(IF(OR(Geometria!$K$1409&gt;0,Geometria!$K$1407&gt;0,Geometria!$Q$1409&gt;0,Geometria!$Q$1407&gt;0),1,0))-(Geometria!$L$298-IF(B107&lt;Geometria!$L$1405/100,Geometria!$L$1444,Geometria!$L$1462))*(1-(MIN(MIN(1,MAX(0,(B107-Geometria!$L$1405/100)/(Geometria!$N$1307/100))),MIN(1,MAX(0,((Geometria!$L$29/100-B107)-Geometria!$R$1405/100)/(Geometria!$N$1307/100))))))*(IF(OR(Geometria!$K$1405&gt;0,Geometria!$K$1403&gt;0,Geometria!$Q$1405&gt;0,Geometria!$Q$1403&gt;0),1,0)))*H130+Geometria!$P$1429*H107</f>
        <v>2263.5165274389333</v>
      </c>
      <c r="M107" s="373">
        <f ca="1">(Geometria!$L$298-(Geometria!$L$298-IF(B107&lt;Geometria!$L$1409/100,Geometria!$L$1442,Geometria!$L$1460))*(1-(MIN(MIN(1,MAX(0,(B107-Geometria!$L$1409/100)/(Geometria!$N$1307/100))),MIN(1,MAX(0,((Geometria!$L$29/100-B107)-Geometria!$R$1409/100)/(Geometria!$N$1307/100))))))*(IF(OR(Geometria!$K$1409&gt;0,Geometria!$K$1407&gt;0,Geometria!$Q$1409&gt;0,Geometria!$Q$1407&gt;0),1,0))-(Geometria!$L$298-IF(B107&lt;Geometria!$L$1405/100,Geometria!$L$1444,Geometria!$L$1462))*(1-(MIN(MIN(1,MAX(0,(B107-Geometria!$L$1405/100)/(Geometria!$N$1307/100))),MIN(1,MAX(0,((Geometria!$L$29/100-B107)-Geometria!$R$1405/100)/(Geometria!$N$1307/100))))))*(IF(OR(Geometria!$K$1405&gt;0,Geometria!$K$1403&gt;0,Geometria!$Q$1405&gt;0,Geometria!$Q$1403&gt;0),1,0)))*H130*(Geometria!$L$299-(Geometria!$L$299-IF(B107&lt;Geometria!$L$1409/100,Geometria!$L$1443,Geometria!$L$1461))*(1-(MIN(MIN(1,MAX(0,(B107-Geometria!$L$1409/100)/(Geometria!$N$1307/100))),MIN(1,MAX(0,((Geometria!$L$29/100-B107)-Geometria!$R$1409/100)/(Geometria!$N$1307/100))))))*(IF(OR(Geometria!$K$1409&gt;0,Geometria!$K$1407&gt;0,Geometria!$Q$1409&gt;0,Geometria!$Q$1407&gt;0),1,0))-(Geometria!$L$299-IF(B107&lt;Geometria!$L$1405/100,Geometria!$L$1445,Geometria!$L$1463))*(1-(MIN(MIN(1,MAX(0,(B107-Geometria!$L$1405/100)/(Geometria!$N$1307/100))),MIN(1,MAX(0,((Geometria!$L$29/100-B107)-Geometria!$R$1405/100)/(Geometria!$N$1307/100))))))*(IF(OR(Geometria!$K$1405&gt;0,Geometria!$K$1403&gt;0,Geometria!$Q$1405&gt;0,Geometria!$Q$1403&gt;0),1,0)))/100-Geometria!$P$1429*H107*Geometria!$L$1438/100</f>
        <v>502.4987839125518</v>
      </c>
      <c r="N107" s="365"/>
      <c r="O107" s="371">
        <f ca="1">(IF(C107="Sim",IF(A107="Sim",$E$93,EX107),IF(A107="Sim",EZ107,Geometria!$L$906)))</f>
        <v>1475.413282676191</v>
      </c>
      <c r="P107" s="371">
        <f ca="1">(IF(C107="Sim",IF(A107="Sim",$E$94,EY107),IF(A107="Sim",FA107,Geometria!$L$907)))</f>
        <v>276.63999050178586</v>
      </c>
      <c r="R107" s="4" t="s">
        <v>435</v>
      </c>
      <c r="S107" s="202">
        <f t="shared" ca="1" si="11"/>
        <v>5447.3680850866485</v>
      </c>
      <c r="T107" s="38" t="s">
        <v>234</v>
      </c>
      <c r="U107" s="203">
        <f t="shared" ca="1" si="2"/>
        <v>5.447368085086649</v>
      </c>
      <c r="V107" s="38" t="s">
        <v>160</v>
      </c>
      <c r="W107" s="399">
        <f t="shared" si="12"/>
        <v>0.0</v>
      </c>
      <c r="X107" s="376" t="str">
        <f>IF(OR(AND(Y107&lt;Geometria!$L$1405/100,Geometria!$K$1405&gt;0),AND((Geometria!$L$29/100-Y107)&lt;Geometria!$R$1405/100,Geometria!$Q$1405&gt;0)),"Sim","Não")</f>
        <v>Não</v>
      </c>
      <c r="Y107" s="395">
        <f>Geometria!$Q$415</f>
        <v>2.355</v>
      </c>
      <c r="Z107" s="376" t="str">
        <f>IF(OR(AND(Y107&lt;Geometria!$L$1409/100,OR(Geometria!$K$1409&gt;0,Geometria!$K$1407&gt;0)),AND((Geometria!$L$29/100-Y107)&lt;Geometria!$R$1409/100,OR(Geometria!$Q$1409&gt;0,Geometria!$Q$1407&gt;0))),"Sim","Não")</f>
        <v>Não</v>
      </c>
      <c r="AA107" s="122" t="s">
        <v>435</v>
      </c>
      <c r="AB107" s="198" t="str">
        <f ca="1">IF(Geometria!$Q$437&lt;Geometria!$N$1307/100,"Reduzir","OK")</f>
        <v>OK</v>
      </c>
      <c r="AC107" s="401">
        <f t="shared" ca="1" si="3"/>
        <v>-7325.697616373014</v>
      </c>
      <c r="AD107" s="403">
        <f ca="1">-(AI107/(Geometria!$L$48/100^2))+(AJ107/(Geometria!$L$52/100^3))-((Geometria!$Q$416)/(Geometria!$L$52/100^3))-((Geometria!$Q$427)/(Geometria!$M$52))-((Geometria!$L$76*Geometria!$Q$438)/(Geometria!$M$52))</f>
        <v>-7447.924884988389</v>
      </c>
      <c r="AE107" s="400">
        <f ca="1">((Geometria!$N$369*(Geometria!$Q$897*100))/Geometria!$N$1307)</f>
        <v>248.32504849301736</v>
      </c>
      <c r="AF107" s="751">
        <f ca="1">-((Geometria!$L$373-(Geometria!$L$373-ER107)*(1-(MIN(MIN(1,MAX(0,(Y107-Geometria!$L$1409/100)/(Geometria!$N$1307/100))),MIN(1,MAX(0,((Geometria!$L$29/100-Y107)-Geometria!$R$1409/100)/(Geometria!$N$1307/100))))))*(IF(OR(Geometria!$K$1409&gt;0,Geometria!$K$1407&gt;0,Geometria!$Q$1409&gt;0,Geometria!$Q$1407&gt;0),1,0))-(Geometria!$L$373-ET107)*(1-(MIN(MIN(1,MAX(0,(Y107-Geometria!$L$1405/100)/(Geometria!$N$1307/100))),MIN(1,MAX(0,((Geometria!$L$29/100-Y107)-Geometria!$R$1405/100)/(Geometria!$N$1307/100))))))*(IF(OR(Geometria!$K$1405&gt;0,Geometria!$K$1403&gt;0,Geometria!$Q$1405&gt;0,Geometria!$Q$1403&gt;0),1,0))))/(Geometria!$L$48/100^2)+((Geometria!$L$374-(Geometria!$L$374-ES107)*(1-(MIN(MIN(1,MAX(0,(Y107-Geometria!$L$1409/100)/(Geometria!$N$1307/100))),MIN(1,MAX(0,((Geometria!$L$29/100-Y107)-Geometria!$R$1409/100)/(Geometria!$N$1307/100))))))*(IF(OR(Geometria!$K$1409&gt;0,Geometria!$K$1407&gt;0,Geometria!$Q$1409&gt;0,Geometria!$Q$1407&gt;0),1,0))-(Geometria!$L$374-EU107)*(1-(MIN(MIN(1,MAX(0,(Y107-Geometria!$L$1405/100)/(Geometria!$N$1307/100))),MIN(1,MAX(0,((Geometria!$L$29/100-Y107)-Geometria!$R$1405/100)/(Geometria!$N$1307/100))))))*(IF(OR(Geometria!$K$1405&gt;0,Geometria!$K$1403&gt;0,Geometria!$Q$1405&gt;0,Geometria!$Q$1403&gt;0),1,0))))/(Geometria!$L$52/100^3)-((Geometria!$Q$416)/(Geometria!$L$52/100^3))-((Geometria!$Q$427)/(Geometria!$M$52))-((Geometria!$L$76*Geometria!$Q$438)/(Geometria!$M$52))</f>
        <v>-7325.697616373014</v>
      </c>
      <c r="AG107" s="751"/>
      <c r="AI107" s="373">
        <f ca="1">(IF(Z107="Sim",IF(X107="Sim",IF(Y107&lt;Geometria!$L$1405/100,Geometria!$L$1435,Geometria!$L$1476),IF(Y107&lt;Geometria!$L$1409/100,Geometria!$L$1442,Geometria!$L$1460)),IF(X107="Sim",IF(Y107&lt;Geometria!$L$1405/100,Geometria!$L$1444,Geometria!$L$1462),Geometria!$L$298)))*AE130+Geometria!$P$1429*AE107</f>
        <v>1243.5596228306003</v>
      </c>
      <c r="AJ107" s="373">
        <f ca="1">(IF(Z107="Sim",IF(X107="Sim",IF(Y107&lt;Geometria!$L$1405/100,Geometria!$L$1435,Geometria!$L$1476),IF(Y107&lt;Geometria!$L$1409/100,Geometria!$L$1442,Geometria!$L$1460)),IF(X107="Sim",IF(Y107&lt;Geometria!$L$1405/100,Geometria!$L$1444,Geometria!$L$1462),Geometria!$L$298)))*AE130*(IF(Z107="Sim",IF(X107="Sim",IF(Y107&lt;Geometria!$L$1405/100,Geometria!$L$1436,Geometria!$L$1484),IF(Y107&lt;Geometria!$L$1409/100,Geometria!$L$1443,Geometria!$L$1461)),IF(X107="Sim",IF(Y107&lt;Geometria!$L$1405/100,Geometria!$L$1445,Geometria!$L$1463),Geometria!$L$299)))/100-Geometria!$P$1429*AE107*Geometria!$L$1438/100</f>
        <v>233.16742928073757</v>
      </c>
      <c r="AK107" s="365"/>
      <c r="AL107" s="371">
        <f ca="1">(IF(Z107="Sim",IF(X107="Sim",$AB$93,ER107),IF(X107="Sim",ET107,Geometria!$L$373)))</f>
        <v>1243.5596228306003</v>
      </c>
      <c r="AM107" s="371">
        <f ca="1">(IF(Z107="Sim",IF(X107="Sim",$AB$94,ES107),IF(X107="Sim",EU107,Geometria!$L$374)))</f>
        <v>233.16742928073757</v>
      </c>
      <c r="AO107" s="4" t="s">
        <v>435</v>
      </c>
      <c r="AP107" s="202">
        <f t="shared" ca="1" si="13"/>
        <v>-7325.697616373014</v>
      </c>
      <c r="AQ107" s="38" t="s">
        <v>234</v>
      </c>
      <c r="AR107" s="203">
        <f t="shared" ca="1" si="4"/>
        <v>-7.325697616373014</v>
      </c>
      <c r="AS107" s="38" t="s">
        <v>160</v>
      </c>
      <c r="AT107" s="399">
        <f t="shared" si="14"/>
        <v>0.0</v>
      </c>
      <c r="AU107" s="376" t="str">
        <f>IF(OR(AND(AV107&lt;Geometria!$L$1405/100,Geometria!$K$1405&gt;0),AND((Geometria!$L$29/100-AV107)&lt;Geometria!$R$1405/100,Geometria!$Q$1405&gt;0)),"Sim","Não")</f>
        <v>Não</v>
      </c>
      <c r="AV107" s="395">
        <f>Geometria!$Q$415</f>
        <v>2.355</v>
      </c>
      <c r="AW107" s="376" t="str">
        <f>IF(OR(AND(AV107&lt;Geometria!$L$1409/100,OR(Geometria!$K$1409&gt;0,Geometria!$K$1407&gt;0)),AND((Geometria!$L$29/100-AV107)&lt;Geometria!$R$1409/100,OR(Geometria!$Q$1409&gt;0,Geometria!$Q$1407&gt;0))),"Sim","Não")</f>
        <v>Não</v>
      </c>
      <c r="AX107" s="122" t="s">
        <v>435</v>
      </c>
      <c r="AY107" s="198" t="str">
        <f ca="1">IF(Geometria!$Q$437&lt;Geometria!$N$1307/100,"Reduzir","OK")</f>
        <v>OK</v>
      </c>
      <c r="AZ107" s="401">
        <f t="shared" ca="1" si="5"/>
        <v>-7325.689192334941</v>
      </c>
      <c r="BA107" s="403">
        <f ca="1">-(BF107/(Geometria!$L$48/100^2))+(BG107/(Geometria!$L$52/100^3))-((Geometria!$Q$416)/(Geometria!$L$52/100^3))-((Geometria!$Q$427)/(Geometria!$M$52))-((Geometria!$L$76*Geometria!$Q$438)/(Geometria!$M$52))</f>
        <v>-6555.655644348681</v>
      </c>
      <c r="BB107" s="400">
        <f ca="1">((Geometria!$N$369*(Geometria!$Q$897*100))/Geometria!$N$1307)</f>
        <v>248.32504849301736</v>
      </c>
      <c r="BC107" s="751">
        <f ca="1">-((Geometria!$L$373-(Geometria!$L$373-ER107)*(1-(MIN(MIN(1,MAX(0,(AV107-Geometria!$L$1409/100)/(Geometria!$N$1307/100))),MIN(1,MAX(0,((Geometria!$L$29/100-AV107)-Geometria!$R$1409/100)/(Geometria!$N$1307/100))))))*(IF(OR(Geometria!$K$1409&gt;0,Geometria!$K$1407&gt;0,Geometria!$Q$1409&gt;0,Geometria!$Q$1407&gt;0),1,0))-(Geometria!$L$373-ET107)*(1-(MIN(MIN(1,MAX(0,(AV107-Geometria!$L$1405/100)/(Geometria!$N$1307/100))),MIN(1,MAX(0,((Geometria!$L$29/100-AV107)-Geometria!$R$1405/100)/(Geometria!$N$1307/100))))))*(IF(OR(Geometria!$K$1405&gt;0,Geometria!$K$1403&gt;0,Geometria!$Q$1405&gt;0,Geometria!$Q$1403&gt;0),1,0))))/(Geometria!$L$48/100^2)+((Geometria!$L$374-(Geometria!$L$374-ES107)*(1-(MIN(MIN(1,MAX(0,(AV107-Geometria!$L$1409/100)/(Geometria!$N$1307/100))),MIN(1,MAX(0,((Geometria!$L$29/100-AV107)-Geometria!$R$1409/100)/(Geometria!$N$1307/100))))))*(IF(OR(Geometria!$K$1409&gt;0,Geometria!$K$1407&gt;0,Geometria!$Q$1409&gt;0,Geometria!$Q$1407&gt;0),1,0))-(Geometria!$L$374-EU107)*(1-(MIN(MIN(1,MAX(0,(AV107-Geometria!$L$1405/100)/(Geometria!$N$1307/100))),MIN(1,MAX(0,((Geometria!$L$29/100-AV107)-Geometria!$R$1405/100)/(Geometria!$N$1307/100))))))*(IF(OR(Geometria!$K$1405&gt;0,Geometria!$K$1403&gt;0,Geometria!$Q$1405&gt;0,Geometria!$Q$1403&gt;0),1,0))))/(Geometria!$L$52/100^3)-((Geometria!$Q$416)/(Geometria!$L$52/100^3))-((Geometria!$Q$427)/(Geometria!$M$52))</f>
        <v>-7325.689192334941</v>
      </c>
      <c r="BD107" s="751"/>
      <c r="BF107" s="373">
        <f ca="1">(Geometria!$L$298-(Geometria!$L$298-IF(AV107&lt;Geometria!$L$1409/100,Geometria!$L$1442,Geometria!$L$1460))*(1-(MIN(MIN(1,MAX(0,(AV107-Geometria!$L$1409/100)/(Geometria!$N$1307/100))),MIN(1,MAX(0,((Geometria!$L$29/100-AV107)-Geometria!$R$1409/100)/(Geometria!$N$1307/100))))))*(IF(OR(Geometria!$K$1409&gt;0,Geometria!$K$1407&gt;0,Geometria!$Q$1409&gt;0,Geometria!$Q$1407&gt;0),1,0))-(Geometria!$L$298-IF(AV107&lt;Geometria!$L$1405/100,Geometria!$L$1444,Geometria!$L$1462))*(1-(MIN(MIN(1,MAX(0,(AV107-Geometria!$L$1405/100)/(Geometria!$N$1307/100))),MIN(1,MAX(0,((Geometria!$L$29/100-AV107)-Geometria!$R$1405/100)/(Geometria!$N$1307/100))))))*(IF(OR(Geometria!$K$1405&gt;0,Geometria!$K$1403&gt;0,Geometria!$Q$1405&gt;0,Geometria!$Q$1403&gt;0),1,0)))*BB130+Geometria!$P$1429*BB107</f>
        <v>1023.5505393229281</v>
      </c>
      <c r="BG107" s="373">
        <f ca="1">(Geometria!$L$298-(Geometria!$L$298-IF(AV107&lt;Geometria!$L$1409/100,Geometria!$L$1442,Geometria!$L$1460))*(1-(MIN(MIN(1,MAX(0,(AV107-Geometria!$L$1409/100)/(Geometria!$N$1307/100))),MIN(1,MAX(0,((Geometria!$L$29/100-AV107)-Geometria!$R$1409/100)/(Geometria!$N$1307/100))))))*(IF(OR(Geometria!$K$1409&gt;0,Geometria!$K$1407&gt;0,Geometria!$Q$1409&gt;0,Geometria!$Q$1407&gt;0),1,0))-(Geometria!$L$298-IF(AV107&lt;Geometria!$L$1405/100,Geometria!$L$1444,Geometria!$L$1462))*(1-(MIN(MIN(1,MAX(0,(AV107-Geometria!$L$1405/100)/(Geometria!$N$1307/100))),MIN(1,MAX(0,((Geometria!$L$29/100-AV107)-Geometria!$R$1405/100)/(Geometria!$N$1307/100))))))*(IF(OR(Geometria!$K$1405&gt;0,Geometria!$K$1403&gt;0,Geometria!$Q$1405&gt;0,Geometria!$Q$1403&gt;0),1,0)))*BB130*(Geometria!$L$299-(Geometria!$L$299-IF(AV107&lt;Geometria!$L$1409/100,Geometria!$L$1443,Geometria!$L$1461))*(1-(MIN(MIN(1,MAX(0,(AV107-Geometria!$L$1409/100)/(Geometria!$N$1307/100))),MIN(1,MAX(0,((Geometria!$L$29/100-AV107)-Geometria!$R$1409/100)/(Geometria!$N$1307/100))))))*(IF(OR(Geometria!$K$1409&gt;0,Geometria!$K$1407&gt;0,Geometria!$Q$1409&gt;0,Geometria!$Q$1407&gt;0),1,0))-(Geometria!$L$299-IF(AV107&lt;Geometria!$L$1405/100,Geometria!$L$1445,Geometria!$L$1463))*(1-(MIN(MIN(1,MAX(0,(AV107-Geometria!$L$1405/100)/(Geometria!$N$1307/100))),MIN(1,MAX(0,((Geometria!$L$29/100-AV107)-Geometria!$R$1405/100)/(Geometria!$N$1307/100))))))*(IF(OR(Geometria!$K$1405&gt;0,Geometria!$K$1403&gt;0,Geometria!$Q$1405&gt;0,Geometria!$Q$1403&gt;0),1,0)))/100-Geometria!$P$1429*BB107*Geometria!$L$1438/100</f>
        <v>227.22736726148509</v>
      </c>
      <c r="BH107" s="365"/>
      <c r="BI107" s="371">
        <f ca="1">(IF(AW107="Sim",IF(AU107="Sim",$AB$93,ER107),IF(AU107="Sim",ET107,Geometria!$L$373)))</f>
        <v>1243.5596228306003</v>
      </c>
      <c r="BJ107" s="371">
        <f ca="1">(IF(AW107="Sim",IF(AU107="Sim",$AB$94,ES107),IF(AU107="Sim",EU107,Geometria!$L$374)))</f>
        <v>233.16742928073757</v>
      </c>
      <c r="BL107" s="4" t="s">
        <v>435</v>
      </c>
      <c r="BM107" s="202">
        <f t="shared" ca="1" si="15"/>
        <v>-7325.689192334941</v>
      </c>
      <c r="BN107" s="38" t="s">
        <v>234</v>
      </c>
      <c r="BO107" s="203">
        <f t="shared" ca="1" si="6"/>
        <v>-7.325689192334941</v>
      </c>
      <c r="BP107" s="38" t="s">
        <v>160</v>
      </c>
      <c r="BQ107" s="399">
        <f t="shared" si="16"/>
        <v>0.0</v>
      </c>
      <c r="BR107" s="376" t="str">
        <f>IF(OR(AND(BS107&lt;Geometria!$L$1405/100,Geometria!$K$1405&gt;0),AND((Geometria!$L$29/100-BS107)&lt;Geometria!$R$1405/100,Geometria!$Q$1405&gt;0)),"Sim","Não")</f>
        <v>Não</v>
      </c>
      <c r="BS107" s="395">
        <f>Geometria!$Q$415</f>
        <v>2.355</v>
      </c>
      <c r="BT107" s="376" t="str">
        <f>IF(OR(AND(BS107&lt;Geometria!$L$1409/100,OR(Geometria!$K$1409&gt;0,Geometria!$K$1407&gt;0)),AND((Geometria!$L$29/100-BS107)&lt;Geometria!$R$1409/100,OR(Geometria!$Q$1409&gt;0,Geometria!$Q$1407&gt;0))),"Sim","Não")</f>
        <v>Não</v>
      </c>
      <c r="BU107" s="122" t="s">
        <v>435</v>
      </c>
      <c r="BV107" s="198" t="str">
        <f ca="1">IF(Geometria!$Q$437&lt;Geometria!$N$1307/100,"Reduzir","OK")</f>
        <v>OK</v>
      </c>
      <c r="BW107" s="401">
        <f t="shared" ca="1" si="7"/>
        <v>-7325.694808360324</v>
      </c>
      <c r="BX107" s="403">
        <f ca="1">-(CC107/(Geometria!$L$48/100^2))+(CD107/(Geometria!$L$52/100^3))-((Geometria!$Q$416)/(Geometria!$L$52/100^3))-((Geometria!$Q$427)/(Geometria!$M$52))-((Geometria!$L$76*Geometria!$Q$438)/(Geometria!$M$52))</f>
        <v>-6555.655644348681</v>
      </c>
      <c r="BY107" s="400">
        <f ca="1">((Geometria!$N$369*(Geometria!$Q$897*100))/Geometria!$N$1307)</f>
        <v>248.32504849301736</v>
      </c>
      <c r="BZ107" s="751">
        <f ca="1">-((Geometria!$L$373-(Geometria!$L$373-ER107)*(1-(MIN(MIN(1,MAX(0,(BS107-Geometria!$L$1409/100)/(Geometria!$N$1307/100))),MIN(1,MAX(0,((Geometria!$L$29/100-BS107)-Geometria!$R$1409/100)/(Geometria!$N$1307/100))))))*(IF(OR(Geometria!$K$1409&gt;0,Geometria!$K$1407&gt;0,Geometria!$Q$1409&gt;0,Geometria!$Q$1407&gt;0),1,0))-(Geometria!$L$373-ET107)*(1-(MIN(MIN(1,MAX(0,(BS107-Geometria!$L$1405/100)/(Geometria!$N$1307/100))),MIN(1,MAX(0,((Geometria!$L$29/100-BS107)-Geometria!$R$1405/100)/(Geometria!$N$1307/100))))))*(IF(OR(Geometria!$K$1405&gt;0,Geometria!$K$1403&gt;0,Geometria!$Q$1405&gt;0,Geometria!$Q$1403&gt;0),1,0))))/(Geometria!$L$48/100^2)+((Geometria!$L$374-(Geometria!$L$374-ES107)*(1-(MIN(MIN(1,MAX(0,(BS107-Geometria!$L$1409/100)/(Geometria!$N$1307/100))),MIN(1,MAX(0,((Geometria!$L$29/100-BS107)-Geometria!$R$1409/100)/(Geometria!$N$1307/100))))))*(IF(OR(Geometria!$K$1409&gt;0,Geometria!$K$1407&gt;0,Geometria!$Q$1409&gt;0,Geometria!$Q$1407&gt;0),1,0))-(Geometria!$L$374-EU107)*(1-(MIN(MIN(1,MAX(0,(BS107-Geometria!$L$1405/100)/(Geometria!$N$1307/100))),MIN(1,MAX(0,((Geometria!$L$29/100-BS107)-Geometria!$R$1405/100)/(Geometria!$N$1307/100))))))*(IF(OR(Geometria!$K$1405&gt;0,Geometria!$K$1403&gt;0,Geometria!$Q$1405&gt;0,Geometria!$Q$1403&gt;0),1,0))))/(Geometria!$L$52/100^3)-((Geometria!$Q$673)/(Geometria!$L$52/100^3))-((Geometria!$Q$684)/(Geometria!$M$52))-((Geometria!$L$77*Geometria!$Q$695)/(Geometria!$M$52))</f>
        <v>-7325.694808360324</v>
      </c>
      <c r="CA107" s="751"/>
      <c r="CC107" s="373">
        <f ca="1">(Geometria!$L$298-(Geometria!$L$298-IF(BS107&lt;Geometria!$L$1409/100,Geometria!$L$1442,Geometria!$L$1460))*(1-(MIN(MIN(1,MAX(0,(BS107-Geometria!$L$1409/100)/(Geometria!$N$1307/100))),MIN(1,MAX(0,((Geometria!$L$29/100-BS107)-Geometria!$R$1409/100)/(Geometria!$N$1307/100))))))*(IF(OR(Geometria!$K$1409&gt;0,Geometria!$K$1407&gt;0,Geometria!$Q$1409&gt;0,Geometria!$Q$1407&gt;0),1,0))-(Geometria!$L$298-IF(BS107&lt;Geometria!$L$1405/100,Geometria!$L$1444,Geometria!$L$1462))*(1-(MIN(MIN(1,MAX(0,(BS107-Geometria!$L$1405/100)/(Geometria!$N$1307/100))),MIN(1,MAX(0,((Geometria!$L$29/100-BS107)-Geometria!$R$1405/100)/(Geometria!$N$1307/100))))))*(IF(OR(Geometria!$K$1405&gt;0,Geometria!$K$1403&gt;0,Geometria!$Q$1405&gt;0,Geometria!$Q$1403&gt;0),1,0)))*BY130+Geometria!$P$1429*BY107</f>
        <v>1023.5505393229281</v>
      </c>
      <c r="CD107" s="373">
        <f ca="1">(Geometria!$L$298-(Geometria!$L$298-IF(BS107&lt;Geometria!$L$1409/100,Geometria!$L$1442,Geometria!$L$1460))*(1-(MIN(MIN(1,MAX(0,(BS107-Geometria!$L$1409/100)/(Geometria!$N$1307/100))),MIN(1,MAX(0,((Geometria!$L$29/100-BS107)-Geometria!$R$1409/100)/(Geometria!$N$1307/100))))))*(IF(OR(Geometria!$K$1409&gt;0,Geometria!$K$1407&gt;0,Geometria!$Q$1409&gt;0,Geometria!$Q$1407&gt;0),1,0))-(Geometria!$L$298-IF(BS107&lt;Geometria!$L$1405/100,Geometria!$L$1444,Geometria!$L$1462))*(1-(MIN(MIN(1,MAX(0,(BS107-Geometria!$L$1405/100)/(Geometria!$N$1307/100))),MIN(1,MAX(0,((Geometria!$L$29/100-BS107)-Geometria!$R$1405/100)/(Geometria!$N$1307/100))))))*(IF(OR(Geometria!$K$1405&gt;0,Geometria!$K$1403&gt;0,Geometria!$Q$1405&gt;0,Geometria!$Q$1403&gt;0),1,0)))*BY130*(Geometria!$L$299-(Geometria!$L$299-IF(BS107&lt;Geometria!$L$1409/100,Geometria!$L$1443,Geometria!$L$1461))*(1-(MIN(MIN(1,MAX(0,(BS107-Geometria!$L$1409/100)/(Geometria!$N$1307/100))),MIN(1,MAX(0,((Geometria!$L$29/100-BS107)-Geometria!$R$1409/100)/(Geometria!$N$1307/100))))))*(IF(OR(Geometria!$K$1409&gt;0,Geometria!$K$1407&gt;0,Geometria!$Q$1409&gt;0,Geometria!$Q$1407&gt;0),1,0))-(Geometria!$L$299-IF(BS107&lt;Geometria!$L$1405/100,Geometria!$L$1445,Geometria!$L$1463))*(1-(MIN(MIN(1,MAX(0,(BS107-Geometria!$L$1405/100)/(Geometria!$N$1307/100))),MIN(1,MAX(0,((Geometria!$L$29/100-BS107)-Geometria!$R$1405/100)/(Geometria!$N$1307/100))))))*(IF(OR(Geometria!$K$1405&gt;0,Geometria!$K$1403&gt;0,Geometria!$Q$1405&gt;0,Geometria!$Q$1403&gt;0),1,0)))/100-Geometria!$P$1429*BY107*Geometria!$L$1438/100</f>
        <v>227.22736726148509</v>
      </c>
      <c r="CE107" s="365"/>
      <c r="CF107" s="371">
        <f ca="1">(IF(BT107="Sim",IF(BR107="Sim",$AB$93,ER107),IF(BR107="Sim",ET107,Geometria!$L$373)))</f>
        <v>1243.5596228306003</v>
      </c>
      <c r="CG107" s="371">
        <f ca="1">(IF(BT107="Sim",IF(BR107="Sim",$AB$94,ES107),IF(BR107="Sim",EU107,Geometria!$L$374)))</f>
        <v>233.16742928073757</v>
      </c>
      <c r="CI107" s="4" t="s">
        <v>435</v>
      </c>
      <c r="CJ107" s="202">
        <f t="shared" ca="1" si="17"/>
        <v>-7325.694808360324</v>
      </c>
      <c r="CK107" s="38" t="s">
        <v>234</v>
      </c>
      <c r="CL107" s="203">
        <f t="shared" ca="1" si="8"/>
        <v>-7.325694808360324</v>
      </c>
      <c r="CM107" s="38" t="s">
        <v>160</v>
      </c>
      <c r="CN107" s="399">
        <f t="shared" si="18"/>
        <v>0.0</v>
      </c>
      <c r="CO107" s="376" t="str">
        <f>IF(OR(AND(CP107&lt;Geometria!$L$1405/100,Geometria!$K$1405&gt;0),AND((Geometria!$L$29/100-CP107)&lt;Geometria!$R$1405/100,Geometria!$Q$1405&gt;0)),"Sim","Não")</f>
        <v>Não</v>
      </c>
      <c r="CP107" s="395">
        <f>Geometria!$Q$415</f>
        <v>2.355</v>
      </c>
      <c r="CQ107" s="376" t="str">
        <f>IF(OR(AND(CP107&lt;Geometria!$L$1409/100,OR(Geometria!$K$1409&gt;0,Geometria!$K$1407&gt;0)),AND((Geometria!$L$29/100-CP107)&lt;Geometria!$R$1409/100,OR(Geometria!$Q$1409&gt;0,Geometria!$Q$1407&gt;0))),"Sim","Não")</f>
        <v>Não</v>
      </c>
      <c r="CR107" s="122" t="s">
        <v>435</v>
      </c>
      <c r="CS107" s="198" t="str">
        <f ca="1">IF(Geometria!$Q$437&lt;Geometria!$N$1307/100,"Reduzir","OK")</f>
        <v>OK</v>
      </c>
      <c r="CT107" s="401">
        <f t="shared" ca="1" si="9"/>
        <v>-7325.689192334941</v>
      </c>
      <c r="CU107" s="403">
        <f ca="1">-(CZ107/(Geometria!$L$48/100^2))+(DA107/(Geometria!$L$52/100^3))-((Geometria!$Q$416)/(Geometria!$L$52/100^3))-((Geometria!$Q$427)/(Geometria!$M$52))-((Geometria!$L$76*Geometria!$Q$438)/(Geometria!$M$52))</f>
        <v>-7447.924884988389</v>
      </c>
      <c r="CV107" s="400">
        <f ca="1">((Geometria!$N$369*(Geometria!$Q$897*100))/Geometria!$N$1307)</f>
        <v>248.32504849301736</v>
      </c>
      <c r="CW107" s="751">
        <f ca="1">-((Geometria!$L$373-(Geometria!$L$373-ER107)*(1-(MIN(MIN(1,MAX(0,(CP107-Geometria!$L$1409/100)/(Geometria!$N$1307/100))),MIN(1,MAX(0,((Geometria!$L$29/100-CP107)-Geometria!$R$1409/100)/(Geometria!$N$1307/100))))))*(IF(OR(Geometria!$K$1409&gt;0,Geometria!$K$1407&gt;0,Geometria!$Q$1409&gt;0,Geometria!$Q$1407&gt;0),1,0))-(Geometria!$L$373-ET107)*(1-(MIN(MIN(1,MAX(0,(CP107-Geometria!$L$1405/100)/(Geometria!$N$1307/100))),MIN(1,MAX(0,((Geometria!$L$29/100-CP107)-Geometria!$R$1405/100)/(Geometria!$N$1307/100))))))*(IF(OR(Geometria!$K$1405&gt;0,Geometria!$K$1403&gt;0,Geometria!$Q$1405&gt;0,Geometria!$Q$1403&gt;0),1,0))))/(Geometria!$L$48/100^2)+((Geometria!$L$374-(Geometria!$L$374-ES107)*(1-(MIN(MIN(1,MAX(0,(CP107-Geometria!$L$1409/100)/(Geometria!$N$1307/100))),MIN(1,MAX(0,((Geometria!$L$29/100-CP107)-Geometria!$R$1409/100)/(Geometria!$N$1307/100))))))*(IF(OR(Geometria!$K$1409&gt;0,Geometria!$K$1407&gt;0,Geometria!$Q$1409&gt;0,Geometria!$Q$1407&gt;0),1,0))-(Geometria!$L$374-EU107)*(1-(MIN(MIN(1,MAX(0,(CP107-Geometria!$L$1405/100)/(Geometria!$N$1307/100))),MIN(1,MAX(0,((Geometria!$L$29/100-CP107)-Geometria!$R$1405/100)/(Geometria!$N$1307/100))))))*(IF(OR(Geometria!$K$1405&gt;0,Geometria!$K$1403&gt;0,Geometria!$Q$1405&gt;0,Geometria!$Q$1403&gt;0),1,0))))/(Geometria!$L$52/100^3)-((Geometria!$Q$673)/(Geometria!$L$52/100^3))-((Geometria!$Q$684)/(Geometria!$M$52))</f>
        <v>-7325.689192334941</v>
      </c>
      <c r="CX107" s="751"/>
      <c r="CZ107" s="373">
        <f ca="1">(IF(CQ107="Sim",IF(CO107="Sim",IF(CP107&lt;Geometria!$L$1405/100,Geometria!$L$1435,Geometria!$L$1476),IF(CP107&lt;Geometria!$L$1409/100,Geometria!$L$1442,Geometria!$L$1460)),IF(CO107="Sim",IF(CP107&lt;Geometria!$L$1405/100,Geometria!$L$1444,Geometria!$L$1462),Geometria!$L$298)))*CV130+Geometria!$P$1429*CV107</f>
        <v>1243.5596228306003</v>
      </c>
      <c r="DA107" s="373">
        <f ca="1">(IF(CQ107="Sim",IF(CO107="Sim",IF(CP107&lt;Geometria!$L$1405/100,Geometria!$L$1435,Geometria!$L$1476),IF(CP107&lt;Geometria!$L$1409/100,Geometria!$L$1442,Geometria!$L$1460)),IF(CO107="Sim",IF(CP107&lt;Geometria!$L$1405/100,Geometria!$L$1444,Geometria!$L$1462),Geometria!$L$298)))*CV130*(IF(CQ107="Sim",IF(CO107="Sim",IF(CP107&lt;Geometria!$L$1405/100,Geometria!$L$1436,Geometria!$L$1484),IF(CP107&lt;Geometria!$L$1409/100,Geometria!$L$1443,Geometria!$L$1461)),IF(CO107="Sim",IF(CP107&lt;Geometria!$L$1405/100,Geometria!$L$1445,Geometria!$L$1463),Geometria!$L$299)))/100-Geometria!$P$1429*CV107*Geometria!$L$1438/100</f>
        <v>233.16742928073757</v>
      </c>
      <c r="DB107" s="365"/>
      <c r="DC107" s="371">
        <f ca="1">(IF(CQ107="Sim",IF(CO107="Sim",$AB$93,ER107),IF(CO107="Sim",ET107,Geometria!$L$373)))</f>
        <v>1243.5596228306003</v>
      </c>
      <c r="DD107" s="371">
        <f ca="1">(IF(CQ107="Sim",IF(CO107="Sim",$AB$94,ES107),IF(CO107="Sim",EU107,Geometria!$L$374)))</f>
        <v>233.16742928073757</v>
      </c>
      <c r="DF107" s="4" t="s">
        <v>435</v>
      </c>
      <c r="DG107" s="202">
        <f t="shared" ca="1" si="19"/>
        <v>-7325.689192334941</v>
      </c>
      <c r="DH107" s="38" t="s">
        <v>234</v>
      </c>
      <c r="DI107" s="203">
        <f t="shared" ca="1" si="10"/>
        <v>-7.325689192334941</v>
      </c>
      <c r="DJ107" s="38" t="s">
        <v>160</v>
      </c>
      <c r="DK107" s="399">
        <f t="shared" si="20"/>
        <v>0.0</v>
      </c>
      <c r="EA107">
        <f ca="1">-L107/('Aberturas na Alma'!$M$112/100^2)+M107/('Aberturas na Alma'!$M$119/100^3)-Geometria!$L$898/('Aberturas na Alma'!$M$119/100^3)</f>
        <v>11902.98161764</v>
      </c>
      <c r="EB107">
        <f ca="1">-(IF(C107="Sim",IF(A107="Sim",$E$93,EX107),IF(A107="Sim",EZ107,Geometria!$L$906)))/('Aberturas na Alma'!$M$112/100^2)+(IF(C107="Sim",IF(A107="Sim",$E$94,EY107),IF(A107="Sim",FA107,Geometria!$L$907)))/('Aberturas na Alma'!$M$119/100^3)-Geometria!$Q$898/('Aberturas na Alma'!$M$119/100^3)</f>
        <v>3106.4294013094236</v>
      </c>
      <c r="EC107">
        <f ca="1">IF(AND('Aberturas na Alma'!$M$18="NÃO DISPENSADO — furo deve ser verificado (cálculo abaixo)",OR(AND(B107&gt;=('Aberturas na Alma'!$M$4-'Aberturas na Alma'!$M$7/2)/100,B107&lt;=('Aberturas na Alma'!$M$4+'Aberturas na Alma'!$M$7/2)/100),ABS(B107-'Aberturas na Alma'!$M$4/100)&lt;=Geometria!$L$29/4000)),IF(E107="Reduzir",EA107,EB107),F107)</f>
        <v>5447.3680850866485</v>
      </c>
      <c r="ED107">
        <f ca="1">-(AI107/('Aberturas na Alma'!$M$112/100^2))+(AJ107/('Aberturas na Alma'!$M$119/100^3))-((Geometria!$Q$416)/('Aberturas na Alma'!$M$119/100^3))-((Geometria!$Q$427)/('Aberturas na Alma'!$M$119/100^3))-((Geometria!$L$76*Geometria!$Q$438)/('Aberturas na Alma'!$M$119/100^3))</f>
        <v>-44797.04939666018</v>
      </c>
      <c r="EE107">
        <f ca="1">-((IF(Z107="Sim",IF(X107="Sim",$AB$93,ER107),IF(X107="Sim",ET107,Geometria!$L$373)))/('Aberturas na Alma'!$M$112/100^2))+((IF(Z107="Sim",IF(X107="Sim",$AB$94,ES107),IF(X107="Sim",EU107,Geometria!$L$374)))/('Aberturas na Alma'!$M$119/100^3))-((Geometria!$Q$416)/('Aberturas na Alma'!$M$119/100^3))-((Geometria!$Q$427)/('Aberturas na Alma'!$M$119/100^3))-((Geometria!$L$76*Geometria!$Q$438)/('Aberturas na Alma'!$M$119/100^3))</f>
        <v>-44797.04939666018</v>
      </c>
      <c r="EF107" s="371">
        <f ca="1">IF(AND('Aberturas na Alma'!$M$18="NÃO DISPENSADO — furo deve ser verificado (cálculo abaixo)",OR(AND(B107&gt;=('Aberturas na Alma'!$M$4-'Aberturas na Alma'!$M$7/2)/100,B107&lt;=('Aberturas na Alma'!$M$4+'Aberturas na Alma'!$M$7/2)/100),ABS(B107-'Aberturas na Alma'!$M$4/100)&lt;=Geometria!$L$29/4000)),IF(AB107="Reduzir",ED107,EE107),AC107)</f>
        <v>-7325.697616373014</v>
      </c>
      <c r="EG107">
        <f ca="1">-(BF107/('Aberturas na Alma'!$M$112/100^2))+(BG107/('Aberturas na Alma'!$M$119/100^3))-((Geometria!$Q$416)/('Aberturas na Alma'!$M$119/100^3))-((Geometria!$Q$427)/('Aberturas na Alma'!$M$119/100^3))-((Geometria!$L$76*Geometria!$Q$438)/('Aberturas na Alma'!$M$119/100^3))</f>
        <v>-43511.59815664974</v>
      </c>
      <c r="EH107">
        <f ca="1">-((IF(AW107="Sim",IF(AU107="Sim",$AB$93,ER107),IF(AU107="Sim",ET107,Geometria!$L$373)))/('Aberturas na Alma'!$M$112/100^2))+((IF(AW107="Sim",IF(AU107="Sim",$AB$94,ES107),IF(AU107="Sim",EU107,Geometria!$L$374)))/('Aberturas na Alma'!$M$119/100^3))-((Geometria!$Q$416)/('Aberturas na Alma'!$M$119/100^3))-((Geometria!$Q$427)/('Aberturas na Alma'!$M$119/100^3))</f>
        <v>-11963.01277629308</v>
      </c>
      <c r="EI107" s="371">
        <f ca="1">IF(AND('Aberturas na Alma'!$M$18="NÃO DISPENSADO — furo deve ser verificado (cálculo abaixo)",OR(AND(B107&gt;=('Aberturas na Alma'!$M$4-'Aberturas na Alma'!$M$7/2)/100,B107&lt;=('Aberturas na Alma'!$M$4+'Aberturas na Alma'!$M$7/2)/100),ABS(B107-'Aberturas na Alma'!$M$4/100)&lt;=Geometria!$L$29/4000)),IF(AY107="Reduzir",EG107,EH107),AZ107)</f>
        <v>-7325.689192334941</v>
      </c>
      <c r="EJ107">
        <f ca="1">-(CC107/('Aberturas na Alma'!$M$112/100^2))+(CD107/('Aberturas na Alma'!$M$119/100^3))-((Geometria!$Q$416)/('Aberturas na Alma'!$M$119/100^3))-((Geometria!$Q$427)/('Aberturas na Alma'!$M$119/100^3))-((Geometria!$L$76*Geometria!$Q$438)/('Aberturas na Alma'!$M$119/100^3))</f>
        <v>-43511.59815664974</v>
      </c>
      <c r="EK107">
        <f ca="1">-((IF(BT107="Sim",IF(BR107="Sim",$AB$93,ER107),IF(BR107="Sim",ET107,Geometria!$L$373)))/('Aberturas na Alma'!$M$112/100^2))+((IF(BT107="Sim",IF(BR107="Sim",$AB$94,ES107),IF(BR107="Sim",EU107,Geometria!$L$374)))/('Aberturas na Alma'!$M$119/100^3))-((Geometria!$Q$673)/('Aberturas na Alma'!$M$119/100^3))-((Geometria!$Q$684)/('Aberturas na Alma'!$M$119/100^3))-((Geometria!$L$77*Geometria!$Q$695)/('Aberturas na Alma'!$M$119/100^3))</f>
        <v>-33852.37052320448</v>
      </c>
      <c r="EL107" s="371">
        <f ca="1">IF(AND('Aberturas na Alma'!$M$18="NÃO DISPENSADO — furo deve ser verificado (cálculo abaixo)",OR(AND(B107&gt;=('Aberturas na Alma'!$M$4-'Aberturas na Alma'!$M$7/2)/100,B107&lt;=('Aberturas na Alma'!$M$4+'Aberturas na Alma'!$M$7/2)/100),ABS(B107-'Aberturas na Alma'!$M$4/100)&lt;=Geometria!$L$29/4000)),IF(BV107="Reduzir",EJ107,EK107),BW107)</f>
        <v>-7325.694808360324</v>
      </c>
      <c r="EM107">
        <f ca="1">-(CZ107/('Aberturas na Alma'!$M$112/100^2))+(DA107/('Aberturas na Alma'!$M$119/100^3))-((Geometria!$Q$416)/('Aberturas na Alma'!$M$119/100^3))-((Geometria!$Q$427)/('Aberturas na Alma'!$M$119/100^3))-((Geometria!$L$76*Geometria!$Q$438)/('Aberturas na Alma'!$M$119/100^3))</f>
        <v>-44797.04939666018</v>
      </c>
      <c r="EN107">
        <f ca="1">-((IF(CQ107="Sim",IF(CO107="Sim",$AB$93,ER107),IF(CO107="Sim",ET107,Geometria!$L$373)))/('Aberturas na Alma'!$M$112/100^2))+((IF(CQ107="Sim",IF(CO107="Sim",$AB$94,ES107),IF(CO107="Sim",EU107,Geometria!$L$374)))/('Aberturas na Alma'!$M$119/100^3))-((Geometria!$Q$673)/('Aberturas na Alma'!$M$119/100^3))-((Geometria!$Q$684)/('Aberturas na Alma'!$M$119/100^3))</f>
        <v>-11963.01277629308</v>
      </c>
      <c r="EO107" s="371">
        <f ca="1">IF(AND('Aberturas na Alma'!$M$18="NÃO DISPENSADO — furo deve ser verificado (cálculo abaixo)",OR(AND(B107&gt;=('Aberturas na Alma'!$M$4-'Aberturas na Alma'!$M$7/2)/100,B107&lt;=('Aberturas na Alma'!$M$4+'Aberturas na Alma'!$M$7/2)/100),ABS(B107-'Aberturas na Alma'!$M$4/100)&lt;=Geometria!$L$29/4000)),IF(CS107="Reduzir",EM107,EN107),CT107)</f>
        <v>-7325.689192334941</v>
      </c>
      <c r="EP107" t="str">
        <f>IF(AND(Y107&lt;Geometria!$L$1409/100,OR(Geometria!$K$1409&gt;0,Geometria!$K$1407&gt;0)),"ESQ",IF(AND((Geometria!$L$29/100-Y107)&lt;Geometria!$R$1409/100,OR(Geometria!$Q$1409&gt;0,Geometria!$Q$1407&gt;0)),"DIR","N/A"))</f>
        <v>N/A</v>
      </c>
      <c r="EQ107" t="str">
        <f>IF(AND(Y107&lt;Geometria!$L$1405/100,Geometria!$K$1405&gt;0),"ESQ",IF(AND((Geometria!$L$29/100-Y107)&lt;Geometria!$R$1405/100,Geometria!$Q$1405&gt;0),"DIR","N/A"))</f>
        <v>N/A</v>
      </c>
      <c r="ER107">
        <f ca="1">IF(EP107="DIR",Geometria!$L$1470,Geometria!$L$1452)</f>
        <v>1243.5596228306003</v>
      </c>
      <c r="ES107">
        <f ca="1">IF(EP107="DIR",Geometria!$L$1471,Geometria!$L$1453)</f>
        <v>233.16742928073757</v>
      </c>
      <c r="ET107">
        <f ca="1">IF(EQ107="DIR",Geometria!$L$1472,Geometria!$L$1454)</f>
        <v>621.7798114153002</v>
      </c>
      <c r="EU107">
        <f ca="1">IF(EQ107="DIR",Geometria!$L$1473,Geometria!$L$1455)</f>
        <v>177.20724625336052</v>
      </c>
      <c r="EV107" t="str">
        <f>IF(AND(B107&lt;Geometria!$L$1409/100,OR(Geometria!$K$1409&gt;0,Geometria!$K$1407&gt;0)),"ESQ",IF(AND((Geometria!$L$29/100-B107)&lt;Geometria!$R$1409/100,OR(Geometria!$Q$1409&gt;0,Geometria!$Q$1407&gt;0)),"DIR","N/A"))</f>
        <v>N/A</v>
      </c>
      <c r="EW107" t="str">
        <f>IF(AND(B107&lt;Geometria!$L$1405/100,Geometria!$K$1405&gt;0),"ESQ",IF(AND((Geometria!$L$29/100-B107)&lt;Geometria!$R$1405/100,Geometria!$Q$1405&gt;0),"DIR","N/A"))</f>
        <v>N/A</v>
      </c>
      <c r="EX107">
        <f ca="1">IF(EV107="DIR",Geometria!$L$1465,Geometria!$L$1447)</f>
        <v>1499.8056003831216</v>
      </c>
      <c r="EY107">
        <f ca="1">IF(EV107="DIR",Geometria!$L$1466,Geometria!$L$1448)</f>
        <v>281.2135500718353</v>
      </c>
      <c r="EZ107">
        <f ca="1">IF(EW107="DIR",Geometria!$L$1467,Geometria!$L$1449)</f>
        <v>749.9028001915608</v>
      </c>
      <c r="FA107">
        <f ca="1">IF(EW107="DIR",Geometria!$L$1468,Geometria!$L$1450)</f>
        <v>213.72229805459483</v>
      </c>
    </row>
    <row r="108" spans="1:157" x14ac:dyDescent="0.25">
      <c r="A108" s="376" t="str">
        <f>IF(OR(AND(B108&lt;Geometria!$L$1405/100,Geometria!$K$1405&gt;0),AND((Geometria!$L$29/100-B108)&lt;Geometria!$R$1405/100,Geometria!$Q$1405&gt;0)),"Sim","Não")</f>
        <v>Não</v>
      </c>
      <c r="B108" s="395">
        <f>Tensões!$I$63</f>
        <v>2.7475</v>
      </c>
      <c r="C108" s="376" t="str">
        <f>IF(OR(AND(B108&lt;Geometria!$L$1409/100,OR(Geometria!$K$1409&gt;0,Geometria!$K$1407&gt;0)),AND((Geometria!$L$29/100-B108)&lt;Geometria!$R$1409/100,OR(Geometria!$Q$1409&gt;0,Geometria!$Q$1407&gt;0))),"Sim","Não")</f>
        <v>Não</v>
      </c>
      <c r="D108" s="122" t="s">
        <v>436</v>
      </c>
      <c r="E108" s="198" t="str">
        <f ca="1">IF(Geometria!$R$437&lt;Geometria!$N$1307/100,"Reduzir","OK")</f>
        <v>OK</v>
      </c>
      <c r="F108" s="396">
        <f t="shared" ca="1" si="1"/>
        <v>5108.076460992135</v>
      </c>
      <c r="G108" s="397">
        <f ca="1">-L108/(Geometria!$L$48/100^2)+M108/(Geometria!$L$52/100^3)-Geometria!$L$898/(Geometria!$L$52/100^3)</f>
        <v>15332.283342900419</v>
      </c>
      <c r="H108" s="400">
        <f ca="1">((Geometria!$L$326*(Geometria!$R$897*100))/Geometria!$N$1307)</f>
        <v>342.8543191268312</v>
      </c>
      <c r="I108" s="743">
        <f ca="1">-(Geometria!$L$906-(Geometria!$L$906-EX108)*(1-(MIN(MIN(1,MAX(0,(B108-Geometria!$L$1409/100)/(Geometria!$N$1307/100))),MIN(1,MAX(0,((Geometria!$L$29/100-B108)-Geometria!$R$1409/100)/(Geometria!$N$1307/100))))))*(IF(OR(Geometria!$K$1409&gt;0,Geometria!$K$1407&gt;0,Geometria!$Q$1409&gt;0,Geometria!$Q$1407&gt;0),1,0))-(Geometria!$L$906-EZ108)*(1-(MIN(MIN(1,MAX(0,(B108-Geometria!$L$1405/100)/(Geometria!$N$1307/100))),MIN(1,MAX(0,((Geometria!$L$29/100-B108)-Geometria!$R$1405/100)/(Geometria!$N$1307/100))))))*(IF(OR(Geometria!$K$1405&gt;0,Geometria!$K$1403&gt;0,Geometria!$Q$1405&gt;0,Geometria!$Q$1403&gt;0),1,0)))/(Geometria!$L$48/100^2)+(Geometria!$L$907-(Geometria!$L$907-EY108)*(1-(MIN(MIN(1,MAX(0,(B108-Geometria!$L$1409/100)/(Geometria!$N$1307/100))),MIN(1,MAX(0,((Geometria!$L$29/100-B108)-Geometria!$R$1409/100)/(Geometria!$N$1307/100))))))*(IF(OR(Geometria!$K$1409&gt;0,Geometria!$K$1407&gt;0,Geometria!$Q$1409&gt;0,Geometria!$Q$1407&gt;0),1,0))-(Geometria!$L$907-FA108)*(1-(MIN(MIN(1,MAX(0,(B108-Geometria!$L$1405/100)/(Geometria!$N$1307/100))),MIN(1,MAX(0,((Geometria!$L$29/100-B108)-Geometria!$R$1405/100)/(Geometria!$N$1307/100))))))*(IF(OR(Geometria!$K$1405&gt;0,Geometria!$K$1403&gt;0,Geometria!$Q$1405&gt;0,Geometria!$Q$1403&gt;0),1,0)))/(Geometria!$L$52/100^3)-Geometria!$R$898/(Geometria!$L$52/100^3)</f>
        <v>5108.076460992135</v>
      </c>
      <c r="J108" s="743"/>
      <c r="L108" s="373">
        <f ca="1">(Geometria!$L$298-(Geometria!$L$298-IF(B108&lt;Geometria!$L$1409/100,Geometria!$L$1442,Geometria!$L$1460))*(1-(MIN(MIN(1,MAX(0,(B108-Geometria!$L$1409/100)/(Geometria!$N$1307/100))),MIN(1,MAX(0,((Geometria!$L$29/100-B108)-Geometria!$R$1409/100)/(Geometria!$N$1307/100))))))*(IF(OR(Geometria!$K$1409&gt;0,Geometria!$K$1407&gt;0,Geometria!$Q$1409&gt;0,Geometria!$Q$1407&gt;0),1,0))-(Geometria!$L$298-IF(B108&lt;Geometria!$L$1405/100,Geometria!$L$1444,Geometria!$L$1462))*(1-(MIN(MIN(1,MAX(0,(B108-Geometria!$L$1405/100)/(Geometria!$N$1307/100))),MIN(1,MAX(0,((Geometria!$L$29/100-B108)-Geometria!$R$1405/100)/(Geometria!$N$1307/100))))))*(IF(OR(Geometria!$K$1405&gt;0,Geometria!$K$1403&gt;0,Geometria!$Q$1405&gt;0,Geometria!$Q$1403&gt;0),1,0)))*H131+Geometria!$P$1429*H108</f>
        <v>3179.649410958262</v>
      </c>
      <c r="M108" s="373">
        <f ca="1">(Geometria!$L$298-(Geometria!$L$298-IF(B108&lt;Geometria!$L$1409/100,Geometria!$L$1442,Geometria!$L$1460))*(1-(MIN(MIN(1,MAX(0,(B108-Geometria!$L$1409/100)/(Geometria!$N$1307/100))),MIN(1,MAX(0,((Geometria!$L$29/100-B108)-Geometria!$R$1409/100)/(Geometria!$N$1307/100))))))*(IF(OR(Geometria!$K$1409&gt;0,Geometria!$K$1407&gt;0,Geometria!$Q$1409&gt;0,Geometria!$Q$1407&gt;0),1,0))-(Geometria!$L$298-IF(B108&lt;Geometria!$L$1405/100,Geometria!$L$1444,Geometria!$L$1462))*(1-(MIN(MIN(1,MAX(0,(B108-Geometria!$L$1405/100)/(Geometria!$N$1307/100))),MIN(1,MAX(0,((Geometria!$L$29/100-B108)-Geometria!$R$1405/100)/(Geometria!$N$1307/100))))))*(IF(OR(Geometria!$K$1405&gt;0,Geometria!$K$1403&gt;0,Geometria!$Q$1405&gt;0,Geometria!$Q$1403&gt;0),1,0)))*H131*(Geometria!$L$299-(Geometria!$L$299-IF(B108&lt;Geometria!$L$1409/100,Geometria!$L$1443,Geometria!$L$1461))*(1-(MIN(MIN(1,MAX(0,(B108-Geometria!$L$1409/100)/(Geometria!$N$1307/100))),MIN(1,MAX(0,((Geometria!$L$29/100-B108)-Geometria!$R$1409/100)/(Geometria!$N$1307/100))))))*(IF(OR(Geometria!$K$1409&gt;0,Geometria!$K$1407&gt;0,Geometria!$Q$1409&gt;0,Geometria!$Q$1407&gt;0),1,0))-(Geometria!$L$299-IF(B108&lt;Geometria!$L$1405/100,Geometria!$L$1445,Geometria!$L$1463))*(1-(MIN(MIN(1,MAX(0,(B108-Geometria!$L$1405/100)/(Geometria!$N$1307/100))),MIN(1,MAX(0,((Geometria!$L$29/100-B108)-Geometria!$R$1405/100)/(Geometria!$N$1307/100))))))*(IF(OR(Geometria!$K$1405&gt;0,Geometria!$K$1403&gt;0,Geometria!$Q$1405&gt;0,Geometria!$Q$1403&gt;0),1,0)))/100-Geometria!$P$1429*H108*Geometria!$L$1438/100</f>
        <v>601.7393618149086</v>
      </c>
      <c r="N108" s="365"/>
      <c r="O108" s="371">
        <f ca="1">(IF(C108="Sim",IF(A108="Sim",$E$93,EX108),IF(A108="Sim",EZ108,Geometria!$L$906)))</f>
        <v>1475.413282676191</v>
      </c>
      <c r="P108" s="371">
        <f ca="1">(IF(C108="Sim",IF(A108="Sim",$E$94,EY108),IF(A108="Sim",FA108,Geometria!$L$907)))</f>
        <v>276.63999050178586</v>
      </c>
      <c r="R108" s="4" t="s">
        <v>436</v>
      </c>
      <c r="S108" s="202">
        <f t="shared" ca="1" si="11"/>
        <v>5108.076460992135</v>
      </c>
      <c r="T108" s="38" t="s">
        <v>234</v>
      </c>
      <c r="U108" s="203">
        <f t="shared" ca="1" si="2"/>
        <v>5.108076460992136</v>
      </c>
      <c r="V108" s="38" t="s">
        <v>160</v>
      </c>
      <c r="W108" s="399">
        <f t="shared" si="12"/>
        <v>0.0</v>
      </c>
      <c r="X108" s="376" t="str">
        <f>IF(OR(AND(Y108&lt;Geometria!$L$1405/100,Geometria!$K$1405&gt;0),AND((Geometria!$L$29/100-Y108)&lt;Geometria!$R$1405/100,Geometria!$Q$1405&gt;0)),"Sim","Não")</f>
        <v>Não</v>
      </c>
      <c r="Y108" s="395">
        <f>Geometria!$R$415</f>
        <v>2.7475</v>
      </c>
      <c r="Z108" s="376" t="str">
        <f>IF(OR(AND(Y108&lt;Geometria!$L$1409/100,OR(Geometria!$K$1409&gt;0,Geometria!$K$1407&gt;0)),AND((Geometria!$L$29/100-Y108)&lt;Geometria!$R$1409/100,OR(Geometria!$Q$1409&gt;0,Geometria!$Q$1407&gt;0))),"Sim","Não")</f>
        <v>Não</v>
      </c>
      <c r="AA108" s="122" t="s">
        <v>436</v>
      </c>
      <c r="AB108" s="198" t="str">
        <f ca="1">IF(Geometria!$R$437&lt;Geometria!$N$1307/100,"Reduzir","OK")</f>
        <v>OK</v>
      </c>
      <c r="AC108" s="401">
        <f t="shared" ca="1" si="3"/>
        <v>-8566.152350581306</v>
      </c>
      <c r="AD108" s="403">
        <f ca="1">-(AI108/(Geometria!$L$48/100^2))+(AJ108/(Geometria!$L$52/100^3))-((Geometria!$R$416)/(Geometria!$L$52/100^3))-((Geometria!$R$427)/(Geometria!$M$52))-((Geometria!$L$76*Geometria!$R$438)/(Geometria!$M$52))</f>
        <v>-8572.34208372667</v>
      </c>
      <c r="AE108" s="400">
        <f ca="1">((Geometria!$N$369*(Geometria!$R$897*100))/Geometria!$N$1307)</f>
        <v>289.7125565751869</v>
      </c>
      <c r="AF108" s="751">
        <f ca="1">-((Geometria!$L$373-(Geometria!$L$373-ER108)*(1-(MIN(MIN(1,MAX(0,(Y108-Geometria!$L$1409/100)/(Geometria!$N$1307/100))),MIN(1,MAX(0,((Geometria!$L$29/100-Y108)-Geometria!$R$1409/100)/(Geometria!$N$1307/100))))))*(IF(OR(Geometria!$K$1409&gt;0,Geometria!$K$1407&gt;0,Geometria!$Q$1409&gt;0,Geometria!$Q$1407&gt;0),1,0))-(Geometria!$L$373-ET108)*(1-(MIN(MIN(1,MAX(0,(Y108-Geometria!$L$1405/100)/(Geometria!$N$1307/100))),MIN(1,MAX(0,((Geometria!$L$29/100-Y108)-Geometria!$R$1405/100)/(Geometria!$N$1307/100))))))*(IF(OR(Geometria!$K$1405&gt;0,Geometria!$K$1403&gt;0,Geometria!$Q$1405&gt;0,Geometria!$Q$1403&gt;0),1,0))))/(Geometria!$L$48/100^2)+((Geometria!$L$374-(Geometria!$L$374-ES108)*(1-(MIN(MIN(1,MAX(0,(Y108-Geometria!$L$1409/100)/(Geometria!$N$1307/100))),MIN(1,MAX(0,((Geometria!$L$29/100-Y108)-Geometria!$R$1409/100)/(Geometria!$N$1307/100))))))*(IF(OR(Geometria!$K$1409&gt;0,Geometria!$K$1407&gt;0,Geometria!$Q$1409&gt;0,Geometria!$Q$1407&gt;0),1,0))-(Geometria!$L$374-EU108)*(1-(MIN(MIN(1,MAX(0,(Y108-Geometria!$L$1405/100)/(Geometria!$N$1307/100))),MIN(1,MAX(0,((Geometria!$L$29/100-Y108)-Geometria!$R$1405/100)/(Geometria!$N$1307/100))))))*(IF(OR(Geometria!$K$1405&gt;0,Geometria!$K$1403&gt;0,Geometria!$Q$1405&gt;0,Geometria!$Q$1403&gt;0),1,0))))/(Geometria!$L$52/100^3)-((Geometria!$R$416)/(Geometria!$L$52/100^3))-((Geometria!$R$427)/(Geometria!$M$52))-((Geometria!$L$76*Geometria!$R$438)/(Geometria!$M$52))</f>
        <v>-8566.152350581306</v>
      </c>
      <c r="AG108" s="751"/>
      <c r="AI108" s="373">
        <f ca="1">(IF(Z108="Sim",IF(X108="Sim",IF(Y108&lt;Geometria!$L$1405/100,Geometria!$L$1435,Geometria!$L$1476),IF(Y108&lt;Geometria!$L$1409/100,Geometria!$L$1442,Geometria!$L$1460)),IF(X108="Sim",IF(Y108&lt;Geometria!$L$1405/100,Geometria!$L$1444,Geometria!$L$1462),Geometria!$L$298)))*AE131+Geometria!$P$1429*AE108</f>
        <v>1243.5596228306003</v>
      </c>
      <c r="AJ108" s="373">
        <f ca="1">(IF(Z108="Sim",IF(X108="Sim",IF(Y108&lt;Geometria!$L$1405/100,Geometria!$L$1435,Geometria!$L$1476),IF(Y108&lt;Geometria!$L$1409/100,Geometria!$L$1442,Geometria!$L$1460)),IF(X108="Sim",IF(Y108&lt;Geometria!$L$1405/100,Geometria!$L$1444,Geometria!$L$1462),Geometria!$L$298)))*AE131*(IF(Z108="Sim",IF(X108="Sim",IF(Y108&lt;Geometria!$L$1405/100,Geometria!$L$1436,Geometria!$L$1484),IF(Y108&lt;Geometria!$L$1409/100,Geometria!$L$1443,Geometria!$L$1461)),IF(X108="Sim",IF(Y108&lt;Geometria!$L$1405/100,Geometria!$L$1445,Geometria!$L$1463),Geometria!$L$299)))/100-Geometria!$P$1429*AE108*Geometria!$L$1438/100</f>
        <v>233.16742928073757</v>
      </c>
      <c r="AK108" s="365"/>
      <c r="AL108" s="371">
        <f ca="1">(IF(Z108="Sim",IF(X108="Sim",$AB$93,ER108),IF(X108="Sim",ET108,Geometria!$L$373)))</f>
        <v>1243.5596228306003</v>
      </c>
      <c r="AM108" s="371">
        <f ca="1">(IF(Z108="Sim",IF(X108="Sim",$AB$94,ES108),IF(X108="Sim",EU108,Geometria!$L$374)))</f>
        <v>233.16742928073757</v>
      </c>
      <c r="AO108" s="4" t="s">
        <v>436</v>
      </c>
      <c r="AP108" s="202">
        <f t="shared" ca="1" si="13"/>
        <v>-8566.152350581306</v>
      </c>
      <c r="AQ108" s="38" t="s">
        <v>234</v>
      </c>
      <c r="AR108" s="203">
        <f t="shared" ca="1" si="4"/>
        <v>-8.566152350581305</v>
      </c>
      <c r="AS108" s="38" t="s">
        <v>160</v>
      </c>
      <c r="AT108" s="399">
        <f t="shared" si="14"/>
        <v>0.0</v>
      </c>
      <c r="AU108" s="376" t="str">
        <f>IF(OR(AND(AV108&lt;Geometria!$L$1405/100,Geometria!$K$1405&gt;0),AND((Geometria!$L$29/100-AV108)&lt;Geometria!$R$1405/100,Geometria!$Q$1405&gt;0)),"Sim","Não")</f>
        <v>Não</v>
      </c>
      <c r="AV108" s="395">
        <f>Geometria!$R$415</f>
        <v>2.7475</v>
      </c>
      <c r="AW108" s="376" t="str">
        <f>IF(OR(AND(AV108&lt;Geometria!$L$1409/100,OR(Geometria!$K$1409&gt;0,Geometria!$K$1407&gt;0)),AND((Geometria!$L$29/100-AV108)&lt;Geometria!$R$1409/100,OR(Geometria!$Q$1409&gt;0,Geometria!$Q$1407&gt;0))),"Sim","Não")</f>
        <v>Não</v>
      </c>
      <c r="AX108" s="122" t="s">
        <v>436</v>
      </c>
      <c r="AY108" s="198" t="str">
        <f ca="1">IF(Geometria!$R$437&lt;Geometria!$N$1307/100,"Reduzir","OK")</f>
        <v>OK</v>
      </c>
      <c r="AZ108" s="401">
        <f t="shared" ca="1" si="5"/>
        <v>-8566.14322454006</v>
      </c>
      <c r="BA108" s="403">
        <f ca="1">-(BF108/(Geometria!$L$48/100^2))+(BG108/(Geometria!$L$52/100^3))-((Geometria!$R$416)/(Geometria!$L$52/100^3))-((Geometria!$R$427)/(Geometria!$M$52))-((Geometria!$L$76*Geometria!$R$438)/(Geometria!$M$52))</f>
        <v>-8506.883847410547</v>
      </c>
      <c r="BB108" s="400">
        <f ca="1">((Geometria!$N$369*(Geometria!$R$897*100))/Geometria!$N$1307)</f>
        <v>289.7125565751869</v>
      </c>
      <c r="BC108" s="751">
        <f ca="1">-((Geometria!$L$373-(Geometria!$L$373-ER108)*(1-(MIN(MIN(1,MAX(0,(AV108-Geometria!$L$1409/100)/(Geometria!$N$1307/100))),MIN(1,MAX(0,((Geometria!$L$29/100-AV108)-Geometria!$R$1409/100)/(Geometria!$N$1307/100))))))*(IF(OR(Geometria!$K$1409&gt;0,Geometria!$K$1407&gt;0,Geometria!$Q$1409&gt;0,Geometria!$Q$1407&gt;0),1,0))-(Geometria!$L$373-ET108)*(1-(MIN(MIN(1,MAX(0,(AV108-Geometria!$L$1405/100)/(Geometria!$N$1307/100))),MIN(1,MAX(0,((Geometria!$L$29/100-AV108)-Geometria!$R$1405/100)/(Geometria!$N$1307/100))))))*(IF(OR(Geometria!$K$1405&gt;0,Geometria!$K$1403&gt;0,Geometria!$Q$1405&gt;0,Geometria!$Q$1403&gt;0),1,0))))/(Geometria!$L$48/100^2)+((Geometria!$L$374-(Geometria!$L$374-ES108)*(1-(MIN(MIN(1,MAX(0,(AV108-Geometria!$L$1409/100)/(Geometria!$N$1307/100))),MIN(1,MAX(0,((Geometria!$L$29/100-AV108)-Geometria!$R$1409/100)/(Geometria!$N$1307/100))))))*(IF(OR(Geometria!$K$1409&gt;0,Geometria!$K$1407&gt;0,Geometria!$Q$1409&gt;0,Geometria!$Q$1407&gt;0),1,0))-(Geometria!$L$374-EU108)*(1-(MIN(MIN(1,MAX(0,(AV108-Geometria!$L$1405/100)/(Geometria!$N$1307/100))),MIN(1,MAX(0,((Geometria!$L$29/100-AV108)-Geometria!$R$1405/100)/(Geometria!$N$1307/100))))))*(IF(OR(Geometria!$K$1405&gt;0,Geometria!$K$1403&gt;0,Geometria!$Q$1405&gt;0,Geometria!$Q$1403&gt;0),1,0))))/(Geometria!$L$52/100^3)-((Geometria!$R$416)/(Geometria!$L$52/100^3))-((Geometria!$R$427)/(Geometria!$M$52))</f>
        <v>-8566.14322454006</v>
      </c>
      <c r="BD108" s="751"/>
      <c r="BF108" s="373">
        <f ca="1">(Geometria!$L$298-(Geometria!$L$298-IF(AV108&lt;Geometria!$L$1409/100,Geometria!$L$1442,Geometria!$L$1460))*(1-(MIN(MIN(1,MAX(0,(AV108-Geometria!$L$1409/100)/(Geometria!$N$1307/100))),MIN(1,MAX(0,((Geometria!$L$29/100-AV108)-Geometria!$R$1409/100)/(Geometria!$N$1307/100))))))*(IF(OR(Geometria!$K$1409&gt;0,Geometria!$K$1407&gt;0,Geometria!$Q$1409&gt;0,Geometria!$Q$1407&gt;0),1,0))-(Geometria!$L$298-IF(AV108&lt;Geometria!$L$1405/100,Geometria!$L$1444,Geometria!$L$1462))*(1-(MIN(MIN(1,MAX(0,(AV108-Geometria!$L$1405/100)/(Geometria!$N$1307/100))),MIN(1,MAX(0,((Geometria!$L$29/100-AV108)-Geometria!$R$1405/100)/(Geometria!$N$1307/100))))))*(IF(OR(Geometria!$K$1405&gt;0,Geometria!$K$1403&gt;0,Geometria!$Q$1405&gt;0,Geometria!$Q$1403&gt;0),1,0)))*BB131+Geometria!$P$1429*BB108</f>
        <v>1232.4181031689468</v>
      </c>
      <c r="BG108" s="373">
        <f ca="1">(Geometria!$L$298-(Geometria!$L$298-IF(AV108&lt;Geometria!$L$1409/100,Geometria!$L$1442,Geometria!$L$1460))*(1-(MIN(MIN(1,MAX(0,(AV108-Geometria!$L$1409/100)/(Geometria!$N$1307/100))),MIN(1,MAX(0,((Geometria!$L$29/100-AV108)-Geometria!$R$1409/100)/(Geometria!$N$1307/100))))))*(IF(OR(Geometria!$K$1409&gt;0,Geometria!$K$1407&gt;0,Geometria!$Q$1409&gt;0,Geometria!$Q$1407&gt;0),1,0))-(Geometria!$L$298-IF(AV108&lt;Geometria!$L$1405/100,Geometria!$L$1444,Geometria!$L$1462))*(1-(MIN(MIN(1,MAX(0,(AV108-Geometria!$L$1405/100)/(Geometria!$N$1307/100))),MIN(1,MAX(0,((Geometria!$L$29/100-AV108)-Geometria!$R$1405/100)/(Geometria!$N$1307/100))))))*(IF(OR(Geometria!$K$1405&gt;0,Geometria!$K$1403&gt;0,Geometria!$Q$1405&gt;0,Geometria!$Q$1403&gt;0),1,0)))*BB131*(Geometria!$L$299-(Geometria!$L$299-IF(AV108&lt;Geometria!$L$1409/100,Geometria!$L$1443,Geometria!$L$1461))*(1-(MIN(MIN(1,MAX(0,(AV108-Geometria!$L$1409/100)/(Geometria!$N$1307/100))),MIN(1,MAX(0,((Geometria!$L$29/100-AV108)-Geometria!$R$1409/100)/(Geometria!$N$1307/100))))))*(IF(OR(Geometria!$K$1409&gt;0,Geometria!$K$1407&gt;0,Geometria!$Q$1409&gt;0,Geometria!$Q$1407&gt;0),1,0))-(Geometria!$L$299-IF(AV108&lt;Geometria!$L$1405/100,Geometria!$L$1445,Geometria!$L$1463))*(1-(MIN(MIN(1,MAX(0,(AV108-Geometria!$L$1405/100)/(Geometria!$N$1307/100))),MIN(1,MAX(0,((Geometria!$L$29/100-AV108)-Geometria!$R$1405/100)/(Geometria!$N$1307/100))))))*(IF(OR(Geometria!$K$1405&gt;0,Geometria!$K$1403&gt;0,Geometria!$Q$1405&gt;0,Geometria!$Q$1403&gt;0),1,0)))/100-Geometria!$P$1429*BB108*Geometria!$L$1438/100</f>
        <v>233.2315255682624</v>
      </c>
      <c r="BH108" s="365"/>
      <c r="BI108" s="371">
        <f ca="1">(IF(AW108="Sim",IF(AU108="Sim",$AB$93,ER108),IF(AU108="Sim",ET108,Geometria!$L$373)))</f>
        <v>1243.5596228306003</v>
      </c>
      <c r="BJ108" s="371">
        <f ca="1">(IF(AW108="Sim",IF(AU108="Sim",$AB$94,ES108),IF(AU108="Sim",EU108,Geometria!$L$374)))</f>
        <v>233.16742928073757</v>
      </c>
      <c r="BL108" s="4" t="s">
        <v>436</v>
      </c>
      <c r="BM108" s="202">
        <f t="shared" ca="1" si="15"/>
        <v>-8566.14322454006</v>
      </c>
      <c r="BN108" s="38" t="s">
        <v>234</v>
      </c>
      <c r="BO108" s="203">
        <f t="shared" ca="1" si="6"/>
        <v>-8.56614322454006</v>
      </c>
      <c r="BP108" s="38" t="s">
        <v>160</v>
      </c>
      <c r="BQ108" s="399">
        <f t="shared" si="16"/>
        <v>0.0</v>
      </c>
      <c r="BR108" s="376" t="str">
        <f>IF(OR(AND(BS108&lt;Geometria!$L$1405/100,Geometria!$K$1405&gt;0),AND((Geometria!$L$29/100-BS108)&lt;Geometria!$R$1405/100,Geometria!$Q$1405&gt;0)),"Sim","Não")</f>
        <v>Não</v>
      </c>
      <c r="BS108" s="395">
        <f>Geometria!$R$415</f>
        <v>2.7475</v>
      </c>
      <c r="BT108" s="376" t="str">
        <f>IF(OR(AND(BS108&lt;Geometria!$L$1409/100,OR(Geometria!$K$1409&gt;0,Geometria!$K$1407&gt;0)),AND((Geometria!$L$29/100-BS108)&lt;Geometria!$R$1409/100,OR(Geometria!$Q$1409&gt;0,Geometria!$Q$1407&gt;0))),"Sim","Não")</f>
        <v>Não</v>
      </c>
      <c r="BU108" s="122" t="s">
        <v>436</v>
      </c>
      <c r="BV108" s="198" t="str">
        <f ca="1">IF(Geometria!$R$437&lt;Geometria!$N$1307/100,"Reduzir","OK")</f>
        <v>OK</v>
      </c>
      <c r="BW108" s="401">
        <f t="shared" ca="1" si="7"/>
        <v>-8566.149308567557</v>
      </c>
      <c r="BX108" s="403">
        <f ca="1">-(CC108/(Geometria!$L$48/100^2))+(CD108/(Geometria!$L$52/100^3))-((Geometria!$R$416)/(Geometria!$L$52/100^3))-((Geometria!$R$427)/(Geometria!$M$52))-((Geometria!$L$76*Geometria!$R$438)/(Geometria!$M$52))</f>
        <v>-8506.883847410547</v>
      </c>
      <c r="BY108" s="400">
        <f ca="1">((Geometria!$N$369*(Geometria!$R$897*100))/Geometria!$N$1307)</f>
        <v>289.7125565751869</v>
      </c>
      <c r="BZ108" s="751">
        <f ca="1">-((Geometria!$L$373-(Geometria!$L$373-ER108)*(1-(MIN(MIN(1,MAX(0,(BS108-Geometria!$L$1409/100)/(Geometria!$N$1307/100))),MIN(1,MAX(0,((Geometria!$L$29/100-BS108)-Geometria!$R$1409/100)/(Geometria!$N$1307/100))))))*(IF(OR(Geometria!$K$1409&gt;0,Geometria!$K$1407&gt;0,Geometria!$Q$1409&gt;0,Geometria!$Q$1407&gt;0),1,0))-(Geometria!$L$373-ET108)*(1-(MIN(MIN(1,MAX(0,(BS108-Geometria!$L$1405/100)/(Geometria!$N$1307/100))),MIN(1,MAX(0,((Geometria!$L$29/100-BS108)-Geometria!$R$1405/100)/(Geometria!$N$1307/100))))))*(IF(OR(Geometria!$K$1405&gt;0,Geometria!$K$1403&gt;0,Geometria!$Q$1405&gt;0,Geometria!$Q$1403&gt;0),1,0))))/(Geometria!$L$48/100^2)+((Geometria!$L$374-(Geometria!$L$374-ES108)*(1-(MIN(MIN(1,MAX(0,(BS108-Geometria!$L$1409/100)/(Geometria!$N$1307/100))),MIN(1,MAX(0,((Geometria!$L$29/100-BS108)-Geometria!$R$1409/100)/(Geometria!$N$1307/100))))))*(IF(OR(Geometria!$K$1409&gt;0,Geometria!$K$1407&gt;0,Geometria!$Q$1409&gt;0,Geometria!$Q$1407&gt;0),1,0))-(Geometria!$L$374-EU108)*(1-(MIN(MIN(1,MAX(0,(BS108-Geometria!$L$1405/100)/(Geometria!$N$1307/100))),MIN(1,MAX(0,((Geometria!$L$29/100-BS108)-Geometria!$R$1405/100)/(Geometria!$N$1307/100))))))*(IF(OR(Geometria!$K$1405&gt;0,Geometria!$K$1403&gt;0,Geometria!$Q$1405&gt;0,Geometria!$Q$1403&gt;0),1,0))))/(Geometria!$L$52/100^3)-((Geometria!$R$673)/(Geometria!$L$52/100^3))-((Geometria!$R$684)/(Geometria!$M$52))-((Geometria!$L$77*Geometria!$R$695)/(Geometria!$M$52))</f>
        <v>-8566.149308567557</v>
      </c>
      <c r="CA108" s="751"/>
      <c r="CC108" s="373">
        <f ca="1">(Geometria!$L$298-(Geometria!$L$298-IF(BS108&lt;Geometria!$L$1409/100,Geometria!$L$1442,Geometria!$L$1460))*(1-(MIN(MIN(1,MAX(0,(BS108-Geometria!$L$1409/100)/(Geometria!$N$1307/100))),MIN(1,MAX(0,((Geometria!$L$29/100-BS108)-Geometria!$R$1409/100)/(Geometria!$N$1307/100))))))*(IF(OR(Geometria!$K$1409&gt;0,Geometria!$K$1407&gt;0,Geometria!$Q$1409&gt;0,Geometria!$Q$1407&gt;0),1,0))-(Geometria!$L$298-IF(BS108&lt;Geometria!$L$1405/100,Geometria!$L$1444,Geometria!$L$1462))*(1-(MIN(MIN(1,MAX(0,(BS108-Geometria!$L$1405/100)/(Geometria!$N$1307/100))),MIN(1,MAX(0,((Geometria!$L$29/100-BS108)-Geometria!$R$1405/100)/(Geometria!$N$1307/100))))))*(IF(OR(Geometria!$K$1405&gt;0,Geometria!$K$1403&gt;0,Geometria!$Q$1405&gt;0,Geometria!$Q$1403&gt;0),1,0)))*BY131+Geometria!$P$1429*BY108</f>
        <v>1232.4181031689468</v>
      </c>
      <c r="CD108" s="373">
        <f ca="1">(Geometria!$L$298-(Geometria!$L$298-IF(BS108&lt;Geometria!$L$1409/100,Geometria!$L$1442,Geometria!$L$1460))*(1-(MIN(MIN(1,MAX(0,(BS108-Geometria!$L$1409/100)/(Geometria!$N$1307/100))),MIN(1,MAX(0,((Geometria!$L$29/100-BS108)-Geometria!$R$1409/100)/(Geometria!$N$1307/100))))))*(IF(OR(Geometria!$K$1409&gt;0,Geometria!$K$1407&gt;0,Geometria!$Q$1409&gt;0,Geometria!$Q$1407&gt;0),1,0))-(Geometria!$L$298-IF(BS108&lt;Geometria!$L$1405/100,Geometria!$L$1444,Geometria!$L$1462))*(1-(MIN(MIN(1,MAX(0,(BS108-Geometria!$L$1405/100)/(Geometria!$N$1307/100))),MIN(1,MAX(0,((Geometria!$L$29/100-BS108)-Geometria!$R$1405/100)/(Geometria!$N$1307/100))))))*(IF(OR(Geometria!$K$1405&gt;0,Geometria!$K$1403&gt;0,Geometria!$Q$1405&gt;0,Geometria!$Q$1403&gt;0),1,0)))*BY131*(Geometria!$L$299-(Geometria!$L$299-IF(BS108&lt;Geometria!$L$1409/100,Geometria!$L$1443,Geometria!$L$1461))*(1-(MIN(MIN(1,MAX(0,(BS108-Geometria!$L$1409/100)/(Geometria!$N$1307/100))),MIN(1,MAX(0,((Geometria!$L$29/100-BS108)-Geometria!$R$1409/100)/(Geometria!$N$1307/100))))))*(IF(OR(Geometria!$K$1409&gt;0,Geometria!$K$1407&gt;0,Geometria!$Q$1409&gt;0,Geometria!$Q$1407&gt;0),1,0))-(Geometria!$L$299-IF(BS108&lt;Geometria!$L$1405/100,Geometria!$L$1445,Geometria!$L$1463))*(1-(MIN(MIN(1,MAX(0,(BS108-Geometria!$L$1405/100)/(Geometria!$N$1307/100))),MIN(1,MAX(0,((Geometria!$L$29/100-BS108)-Geometria!$R$1405/100)/(Geometria!$N$1307/100))))))*(IF(OR(Geometria!$K$1405&gt;0,Geometria!$K$1403&gt;0,Geometria!$Q$1405&gt;0,Geometria!$Q$1403&gt;0),1,0)))/100-Geometria!$P$1429*BY108*Geometria!$L$1438/100</f>
        <v>233.2315255682624</v>
      </c>
      <c r="CE108" s="365"/>
      <c r="CF108" s="371">
        <f ca="1">(IF(BT108="Sim",IF(BR108="Sim",$AB$93,ER108),IF(BR108="Sim",ET108,Geometria!$L$373)))</f>
        <v>1243.5596228306003</v>
      </c>
      <c r="CG108" s="371">
        <f ca="1">(IF(BT108="Sim",IF(BR108="Sim",$AB$94,ES108),IF(BR108="Sim",EU108,Geometria!$L$374)))</f>
        <v>233.16742928073757</v>
      </c>
      <c r="CI108" s="4" t="s">
        <v>436</v>
      </c>
      <c r="CJ108" s="202">
        <f t="shared" ca="1" si="17"/>
        <v>-8566.149308567557</v>
      </c>
      <c r="CK108" s="38" t="s">
        <v>234</v>
      </c>
      <c r="CL108" s="203">
        <f t="shared" ca="1" si="8"/>
        <v>-8.566149308567557</v>
      </c>
      <c r="CM108" s="38" t="s">
        <v>160</v>
      </c>
      <c r="CN108" s="399">
        <f t="shared" si="18"/>
        <v>0.0</v>
      </c>
      <c r="CO108" s="376" t="str">
        <f>IF(OR(AND(CP108&lt;Geometria!$L$1405/100,Geometria!$K$1405&gt;0),AND((Geometria!$L$29/100-CP108)&lt;Geometria!$R$1405/100,Geometria!$Q$1405&gt;0)),"Sim","Não")</f>
        <v>Não</v>
      </c>
      <c r="CP108" s="395">
        <f>Geometria!$R$415</f>
        <v>2.7475</v>
      </c>
      <c r="CQ108" s="376" t="str">
        <f>IF(OR(AND(CP108&lt;Geometria!$L$1409/100,OR(Geometria!$K$1409&gt;0,Geometria!$K$1407&gt;0)),AND((Geometria!$L$29/100-CP108)&lt;Geometria!$R$1409/100,OR(Geometria!$Q$1409&gt;0,Geometria!$Q$1407&gt;0))),"Sim","Não")</f>
        <v>Não</v>
      </c>
      <c r="CR108" s="122" t="s">
        <v>436</v>
      </c>
      <c r="CS108" s="198" t="str">
        <f ca="1">IF(Geometria!$R$437&lt;Geometria!$N$1307/100,"Reduzir","OK")</f>
        <v>OK</v>
      </c>
      <c r="CT108" s="401">
        <f t="shared" ca="1" si="9"/>
        <v>-8566.14322454006</v>
      </c>
      <c r="CU108" s="403">
        <f ca="1">-(CZ108/(Geometria!$L$48/100^2))+(DA108/(Geometria!$L$52/100^3))-((Geometria!$R$416)/(Geometria!$L$52/100^3))-((Geometria!$R$427)/(Geometria!$M$52))-((Geometria!$L$76*Geometria!$R$438)/(Geometria!$M$52))</f>
        <v>-8572.34208372667</v>
      </c>
      <c r="CV108" s="400">
        <f ca="1">((Geometria!$N$369*(Geometria!$R$897*100))/Geometria!$N$1307)</f>
        <v>289.7125565751869</v>
      </c>
      <c r="CW108" s="751">
        <f ca="1">-((Geometria!$L$373-(Geometria!$L$373-ER108)*(1-(MIN(MIN(1,MAX(0,(CP108-Geometria!$L$1409/100)/(Geometria!$N$1307/100))),MIN(1,MAX(0,((Geometria!$L$29/100-CP108)-Geometria!$R$1409/100)/(Geometria!$N$1307/100))))))*(IF(OR(Geometria!$K$1409&gt;0,Geometria!$K$1407&gt;0,Geometria!$Q$1409&gt;0,Geometria!$Q$1407&gt;0),1,0))-(Geometria!$L$373-ET108)*(1-(MIN(MIN(1,MAX(0,(CP108-Geometria!$L$1405/100)/(Geometria!$N$1307/100))),MIN(1,MAX(0,((Geometria!$L$29/100-CP108)-Geometria!$R$1405/100)/(Geometria!$N$1307/100))))))*(IF(OR(Geometria!$K$1405&gt;0,Geometria!$K$1403&gt;0,Geometria!$Q$1405&gt;0,Geometria!$Q$1403&gt;0),1,0))))/(Geometria!$L$48/100^2)+((Geometria!$L$374-(Geometria!$L$374-ES108)*(1-(MIN(MIN(1,MAX(0,(CP108-Geometria!$L$1409/100)/(Geometria!$N$1307/100))),MIN(1,MAX(0,((Geometria!$L$29/100-CP108)-Geometria!$R$1409/100)/(Geometria!$N$1307/100))))))*(IF(OR(Geometria!$K$1409&gt;0,Geometria!$K$1407&gt;0,Geometria!$Q$1409&gt;0,Geometria!$Q$1407&gt;0),1,0))-(Geometria!$L$374-EU108)*(1-(MIN(MIN(1,MAX(0,(CP108-Geometria!$L$1405/100)/(Geometria!$N$1307/100))),MIN(1,MAX(0,((Geometria!$L$29/100-CP108)-Geometria!$R$1405/100)/(Geometria!$N$1307/100))))))*(IF(OR(Geometria!$K$1405&gt;0,Geometria!$K$1403&gt;0,Geometria!$Q$1405&gt;0,Geometria!$Q$1403&gt;0),1,0))))/(Geometria!$L$52/100^3)-((Geometria!$R$673)/(Geometria!$L$52/100^3))-((Geometria!$R$684)/(Geometria!$M$52))</f>
        <v>-8566.14322454006</v>
      </c>
      <c r="CX108" s="751"/>
      <c r="CZ108" s="373">
        <f ca="1">(IF(CQ108="Sim",IF(CO108="Sim",IF(CP108&lt;Geometria!$L$1405/100,Geometria!$L$1435,Geometria!$L$1476),IF(CP108&lt;Geometria!$L$1409/100,Geometria!$L$1442,Geometria!$L$1460)),IF(CO108="Sim",IF(CP108&lt;Geometria!$L$1405/100,Geometria!$L$1444,Geometria!$L$1462),Geometria!$L$298)))*CV131+Geometria!$P$1429*CV108</f>
        <v>1243.5596228306003</v>
      </c>
      <c r="DA108" s="373">
        <f ca="1">(IF(CQ108="Sim",IF(CO108="Sim",IF(CP108&lt;Geometria!$L$1405/100,Geometria!$L$1435,Geometria!$L$1476),IF(CP108&lt;Geometria!$L$1409/100,Geometria!$L$1442,Geometria!$L$1460)),IF(CO108="Sim",IF(CP108&lt;Geometria!$L$1405/100,Geometria!$L$1444,Geometria!$L$1462),Geometria!$L$298)))*CV131*(IF(CQ108="Sim",IF(CO108="Sim",IF(CP108&lt;Geometria!$L$1405/100,Geometria!$L$1436,Geometria!$L$1484),IF(CP108&lt;Geometria!$L$1409/100,Geometria!$L$1443,Geometria!$L$1461)),IF(CO108="Sim",IF(CP108&lt;Geometria!$L$1405/100,Geometria!$L$1445,Geometria!$L$1463),Geometria!$L$299)))/100-Geometria!$P$1429*CV108*Geometria!$L$1438/100</f>
        <v>233.16742928073757</v>
      </c>
      <c r="DB108" s="365"/>
      <c r="DC108" s="371">
        <f ca="1">(IF(CQ108="Sim",IF(CO108="Sim",$AB$93,ER108),IF(CO108="Sim",ET108,Geometria!$L$373)))</f>
        <v>1243.5596228306003</v>
      </c>
      <c r="DD108" s="371">
        <f ca="1">(IF(CQ108="Sim",IF(CO108="Sim",$AB$94,ES108),IF(CO108="Sim",EU108,Geometria!$L$374)))</f>
        <v>233.16742928073757</v>
      </c>
      <c r="DF108" s="4" t="s">
        <v>436</v>
      </c>
      <c r="DG108" s="202">
        <f t="shared" ca="1" si="19"/>
        <v>-8566.14322454006</v>
      </c>
      <c r="DH108" s="38" t="s">
        <v>234</v>
      </c>
      <c r="DI108" s="203">
        <f t="shared" ca="1" si="10"/>
        <v>-8.56614322454006</v>
      </c>
      <c r="DJ108" s="38" t="s">
        <v>160</v>
      </c>
      <c r="DK108" s="399">
        <f t="shared" si="20"/>
        <v>0.0</v>
      </c>
      <c r="EA108">
        <f ca="1">-L108/('Aberturas na Alma'!$M$112/100^2)+M108/('Aberturas na Alma'!$M$119/100^3)-Geometria!$L$898/('Aberturas na Alma'!$M$119/100^3)</f>
        <v>10868.1223830943</v>
      </c>
      <c r="EB108">
        <f ca="1">-(IF(C108="Sim",IF(A108="Sim",$E$93,EX108),IF(A108="Sim",EZ108,Geometria!$L$906)))/('Aberturas na Alma'!$M$112/100^2)+(IF(C108="Sim",IF(A108="Sim",$E$94,EY108),IF(A108="Sim",FA108,Geometria!$L$907)))/('Aberturas na Alma'!$M$119/100^3)-Geometria!$R$898/('Aberturas na Alma'!$M$119/100^3)</f>
        <v>2940.032784603781</v>
      </c>
      <c r="EC108">
        <f ca="1">IF(AND('Aberturas na Alma'!$M$18="NÃO DISPENSADO — furo deve ser verificado (cálculo abaixo)",OR(AND(B108&gt;=('Aberturas na Alma'!$M$4-'Aberturas na Alma'!$M$7/2)/100,B108&lt;=('Aberturas na Alma'!$M$4+'Aberturas na Alma'!$M$7/2)/100),ABS(B108-'Aberturas na Alma'!$M$4/100)&lt;=Geometria!$L$29/4000)),IF(E108="Reduzir",EA108,EB108),F108)</f>
        <v>5108.076460992135</v>
      </c>
      <c r="ED108">
        <f ca="1">-(AI108/('Aberturas na Alma'!$M$112/100^2))+(AJ108/('Aberturas na Alma'!$M$119/100^3))-((Geometria!$R$416)/('Aberturas na Alma'!$M$119/100^3))-((Geometria!$R$427)/('Aberturas na Alma'!$M$119/100^3))-((Geometria!$L$76*Geometria!$R$438)/('Aberturas na Alma'!$M$119/100^3))</f>
        <v>-48888.574242425704</v>
      </c>
      <c r="EE108">
        <f ca="1">-((IF(Z108="Sim",IF(X108="Sim",$AB$93,ER108),IF(X108="Sim",ET108,Geometria!$L$373)))/('Aberturas na Alma'!$M$112/100^2))+((IF(Z108="Sim",IF(X108="Sim",$AB$94,ES108),IF(X108="Sim",EU108,Geometria!$L$374)))/('Aberturas na Alma'!$M$119/100^3))-((Geometria!$R$416)/('Aberturas na Alma'!$M$119/100^3))-((Geometria!$R$427)/('Aberturas na Alma'!$M$119/100^3))-((Geometria!$L$76*Geometria!$R$438)/('Aberturas na Alma'!$M$119/100^3))</f>
        <v>-48888.574242425704</v>
      </c>
      <c r="EF108" s="371">
        <f ca="1">IF(AND('Aberturas na Alma'!$M$18="NÃO DISPENSADO — furo deve ser verificado (cálculo abaixo)",OR(AND(B108&gt;=('Aberturas na Alma'!$M$4-'Aberturas na Alma'!$M$7/2)/100,B108&lt;=('Aberturas na Alma'!$M$4+'Aberturas na Alma'!$M$7/2)/100),ABS(B108-'Aberturas na Alma'!$M$4/100)&lt;=Geometria!$L$29/4000)),IF(AB108="Reduzir",ED108,EE108),AC108)</f>
        <v>-8566.152350581306</v>
      </c>
      <c r="EG108">
        <f ca="1">-(BF108/('Aberturas na Alma'!$M$112/100^2))+(BG108/('Aberturas na Alma'!$M$119/100^3))-((Geometria!$R$416)/('Aberturas na Alma'!$M$119/100^3))-((Geometria!$R$427)/('Aberturas na Alma'!$M$119/100^3))-((Geometria!$L$76*Geometria!$R$438)/('Aberturas na Alma'!$M$119/100^3))</f>
        <v>-48802.32988140011</v>
      </c>
      <c r="EH108">
        <f ca="1">-((IF(AW108="Sim",IF(AU108="Sim",$AB$93,ER108),IF(AU108="Sim",ET108,Geometria!$L$373)))/('Aberturas na Alma'!$M$112/100^2))+((IF(AW108="Sim",IF(AU108="Sim",$AB$94,ES108),IF(AU108="Sim",EU108,Geometria!$L$374)))/('Aberturas na Alma'!$M$119/100^3))-((Geometria!$R$416)/('Aberturas na Alma'!$M$119/100^3))-((Geometria!$R$427)/('Aberturas na Alma'!$M$119/100^3))</f>
        <v>-13318.367903694674</v>
      </c>
      <c r="EI108" s="371">
        <f ca="1">IF(AND('Aberturas na Alma'!$M$18="NÃO DISPENSADO — furo deve ser verificado (cálculo abaixo)",OR(AND(B108&gt;=('Aberturas na Alma'!$M$4-'Aberturas na Alma'!$M$7/2)/100,B108&lt;=('Aberturas na Alma'!$M$4+'Aberturas na Alma'!$M$7/2)/100),ABS(B108-'Aberturas na Alma'!$M$4/100)&lt;=Geometria!$L$29/4000)),IF(AY108="Reduzir",EG108,EH108),AZ108)</f>
        <v>-8566.14322454006</v>
      </c>
      <c r="EJ108">
        <f ca="1">-(CC108/('Aberturas na Alma'!$M$112/100^2))+(CD108/('Aberturas na Alma'!$M$119/100^3))-((Geometria!$R$416)/('Aberturas na Alma'!$M$119/100^3))-((Geometria!$R$427)/('Aberturas na Alma'!$M$119/100^3))-((Geometria!$L$76*Geometria!$R$438)/('Aberturas na Alma'!$M$119/100^3))</f>
        <v>-48802.32988140011</v>
      </c>
      <c r="EK108">
        <f ca="1">-((IF(BT108="Sim",IF(BR108="Sim",$AB$93,ER108),IF(BR108="Sim",ET108,Geometria!$L$373)))/('Aberturas na Alma'!$M$112/100^2))+((IF(BT108="Sim",IF(BR108="Sim",$AB$94,ES108),IF(BR108="Sim",EU108,Geometria!$L$374)))/('Aberturas na Alma'!$M$119/100^3))-((Geometria!$R$673)/('Aberturas na Alma'!$M$119/100^3))-((Geometria!$R$684)/('Aberturas na Alma'!$M$119/100^3))-((Geometria!$L$77*Geometria!$R$695)/('Aberturas na Alma'!$M$119/100^3))</f>
        <v>-37031.838796182026</v>
      </c>
      <c r="EL108" s="371">
        <f ca="1">IF(AND('Aberturas na Alma'!$M$18="NÃO DISPENSADO — furo deve ser verificado (cálculo abaixo)",OR(AND(B108&gt;=('Aberturas na Alma'!$M$4-'Aberturas na Alma'!$M$7/2)/100,B108&lt;=('Aberturas na Alma'!$M$4+'Aberturas na Alma'!$M$7/2)/100),ABS(B108-'Aberturas na Alma'!$M$4/100)&lt;=Geometria!$L$29/4000)),IF(BV108="Reduzir",EJ108,EK108),BW108)</f>
        <v>-8566.149308567557</v>
      </c>
      <c r="EM108">
        <f ca="1">-(CZ108/('Aberturas na Alma'!$M$112/100^2))+(DA108/('Aberturas na Alma'!$M$119/100^3))-((Geometria!$R$416)/('Aberturas na Alma'!$M$119/100^3))-((Geometria!$R$427)/('Aberturas na Alma'!$M$119/100^3))-((Geometria!$L$76*Geometria!$R$438)/('Aberturas na Alma'!$M$119/100^3))</f>
        <v>-48888.574242425704</v>
      </c>
      <c r="EN108">
        <f ca="1">-((IF(CQ108="Sim",IF(CO108="Sim",$AB$93,ER108),IF(CO108="Sim",ET108,Geometria!$L$373)))/('Aberturas na Alma'!$M$112/100^2))+((IF(CQ108="Sim",IF(CO108="Sim",$AB$94,ES108),IF(CO108="Sim",EU108,Geometria!$L$374)))/('Aberturas na Alma'!$M$119/100^3))-((Geometria!$R$673)/('Aberturas na Alma'!$M$119/100^3))-((Geometria!$R$684)/('Aberturas na Alma'!$M$119/100^3))</f>
        <v>-13318.367903694674</v>
      </c>
      <c r="EO108" s="371">
        <f ca="1">IF(AND('Aberturas na Alma'!$M$18="NÃO DISPENSADO — furo deve ser verificado (cálculo abaixo)",OR(AND(B108&gt;=('Aberturas na Alma'!$M$4-'Aberturas na Alma'!$M$7/2)/100,B108&lt;=('Aberturas na Alma'!$M$4+'Aberturas na Alma'!$M$7/2)/100),ABS(B108-'Aberturas na Alma'!$M$4/100)&lt;=Geometria!$L$29/4000)),IF(CS108="Reduzir",EM108,EN108),CT108)</f>
        <v>-8566.14322454006</v>
      </c>
      <c r="EP108" t="str">
        <f>IF(AND(Y108&lt;Geometria!$L$1409/100,OR(Geometria!$K$1409&gt;0,Geometria!$K$1407&gt;0)),"ESQ",IF(AND((Geometria!$L$29/100-Y108)&lt;Geometria!$R$1409/100,OR(Geometria!$Q$1409&gt;0,Geometria!$Q$1407&gt;0)),"DIR","N/A"))</f>
        <v>N/A</v>
      </c>
      <c r="EQ108" t="str">
        <f>IF(AND(Y108&lt;Geometria!$L$1405/100,Geometria!$K$1405&gt;0),"ESQ",IF(AND((Geometria!$L$29/100-Y108)&lt;Geometria!$R$1405/100,Geometria!$Q$1405&gt;0),"DIR","N/A"))</f>
        <v>N/A</v>
      </c>
      <c r="ER108">
        <f ca="1">IF(EP108="DIR",Geometria!$L$1470,Geometria!$L$1452)</f>
        <v>1243.5596228306003</v>
      </c>
      <c r="ES108">
        <f ca="1">IF(EP108="DIR",Geometria!$L$1471,Geometria!$L$1453)</f>
        <v>233.16742928073757</v>
      </c>
      <c r="ET108">
        <f ca="1">IF(EQ108="DIR",Geometria!$L$1472,Geometria!$L$1454)</f>
        <v>621.7798114153002</v>
      </c>
      <c r="EU108">
        <f ca="1">IF(EQ108="DIR",Geometria!$L$1473,Geometria!$L$1455)</f>
        <v>177.20724625336052</v>
      </c>
      <c r="EV108" t="str">
        <f>IF(AND(B108&lt;Geometria!$L$1409/100,OR(Geometria!$K$1409&gt;0,Geometria!$K$1407&gt;0)),"ESQ",IF(AND((Geometria!$L$29/100-B108)&lt;Geometria!$R$1409/100,OR(Geometria!$Q$1409&gt;0,Geometria!$Q$1407&gt;0)),"DIR","N/A"))</f>
        <v>N/A</v>
      </c>
      <c r="EW108" t="str">
        <f>IF(AND(B108&lt;Geometria!$L$1405/100,Geometria!$K$1405&gt;0),"ESQ",IF(AND((Geometria!$L$29/100-B108)&lt;Geometria!$R$1405/100,Geometria!$Q$1405&gt;0),"DIR","N/A"))</f>
        <v>N/A</v>
      </c>
      <c r="EX108">
        <f ca="1">IF(EV108="DIR",Geometria!$L$1465,Geometria!$L$1447)</f>
        <v>1499.8056003831216</v>
      </c>
      <c r="EY108">
        <f ca="1">IF(EV108="DIR",Geometria!$L$1466,Geometria!$L$1448)</f>
        <v>281.2135500718353</v>
      </c>
      <c r="EZ108">
        <f ca="1">IF(EW108="DIR",Geometria!$L$1467,Geometria!$L$1449)</f>
        <v>749.9028001915608</v>
      </c>
      <c r="FA108">
        <f ca="1">IF(EW108="DIR",Geometria!$L$1468,Geometria!$L$1450)</f>
        <v>213.72229805459483</v>
      </c>
    </row>
    <row r="109" spans="1:157" x14ac:dyDescent="0.25">
      <c r="A109" s="376" t="str">
        <f>IF(OR(AND(B109&lt;Geometria!$L$1405/100,Geometria!$K$1405&gt;0),AND((Geometria!$L$29/100-B109)&lt;Geometria!$R$1405/100,Geometria!$Q$1405&gt;0)),"Sim","Não")</f>
        <v>Não</v>
      </c>
      <c r="B109" s="395">
        <f>Tensões!$B$66</f>
        <v>3.14</v>
      </c>
      <c r="C109" s="376" t="str">
        <f>IF(OR(AND(B109&lt;Geometria!$L$1409/100,OR(Geometria!$K$1409&gt;0,Geometria!$K$1407&gt;0)),AND((Geometria!$L$29/100-B109)&lt;Geometria!$R$1409/100,OR(Geometria!$Q$1409&gt;0,Geometria!$Q$1407&gt;0))),"Sim","Não")</f>
        <v>Não</v>
      </c>
      <c r="D109" s="122" t="s">
        <v>437</v>
      </c>
      <c r="E109" s="198" t="str">
        <f ca="1">IF(Geometria!$K$440&lt;Geometria!$N$1307/100,"Reduzir","OK")</f>
        <v>OK</v>
      </c>
      <c r="F109" s="396">
        <f t="shared" ca="1" si="1"/>
        <v>4984.549151898154</v>
      </c>
      <c r="G109" s="397">
        <f ca="1">-L109/(Geometria!$L$48/100^2)+M109/(Geometria!$L$52/100^3)-Geometria!$L$898/(Geometria!$L$52/100^3)</f>
        <v>17391.45234995449</v>
      </c>
      <c r="H109" s="400">
        <f ca="1">((Geometria!$L$326*(Geometria!$K$900*100))/Geometria!$N$1307)</f>
        <v>391.83350757352133</v>
      </c>
      <c r="I109" s="743">
        <f ca="1">-(Geometria!$L$906-(Geometria!$L$906-EX109)*(1-(MIN(MIN(1,MAX(0,(B109-Geometria!$L$1409/100)/(Geometria!$N$1307/100))),MIN(1,MAX(0,((Geometria!$L$29/100-B109)-Geometria!$R$1409/100)/(Geometria!$N$1307/100))))))*(IF(OR(Geometria!$K$1409&gt;0,Geometria!$K$1407&gt;0,Geometria!$Q$1409&gt;0,Geometria!$Q$1407&gt;0),1,0))-(Geometria!$L$906-EZ109)*(1-(MIN(MIN(1,MAX(0,(B109-Geometria!$L$1405/100)/(Geometria!$N$1307/100))),MIN(1,MAX(0,((Geometria!$L$29/100-B109)-Geometria!$R$1405/100)/(Geometria!$N$1307/100))))))*(IF(OR(Geometria!$K$1405&gt;0,Geometria!$K$1403&gt;0,Geometria!$Q$1405&gt;0,Geometria!$Q$1403&gt;0),1,0)))/(Geometria!$L$48/100^2)+(Geometria!$L$907-(Geometria!$L$907-EY109)*(1-(MIN(MIN(1,MAX(0,(B109-Geometria!$L$1409/100)/(Geometria!$N$1307/100))),MIN(1,MAX(0,((Geometria!$L$29/100-B109)-Geometria!$R$1409/100)/(Geometria!$N$1307/100))))))*(IF(OR(Geometria!$K$1409&gt;0,Geometria!$K$1407&gt;0,Geometria!$Q$1409&gt;0,Geometria!$Q$1407&gt;0),1,0))-(Geometria!$L$907-FA109)*(1-(MIN(MIN(1,MAX(0,(B109-Geometria!$L$1405/100)/(Geometria!$N$1307/100))),MIN(1,MAX(0,((Geometria!$L$29/100-B109)-Geometria!$R$1405/100)/(Geometria!$N$1307/100))))))*(IF(OR(Geometria!$K$1405&gt;0,Geometria!$K$1403&gt;0,Geometria!$Q$1405&gt;0,Geometria!$Q$1403&gt;0),1,0)))/(Geometria!$L$52/100^3)-Geometria!$K$901/(Geometria!$L$52/100^3)</f>
        <v>4984.549151898154</v>
      </c>
      <c r="J109" s="743"/>
      <c r="L109" s="373">
        <f ca="1">(Geometria!$L$298-(Geometria!$L$298-IF(B109&lt;Geometria!$L$1409/100,Geometria!$L$1442,Geometria!$L$1460))*(1-(MIN(MIN(1,MAX(0,(B109-Geometria!$L$1409/100)/(Geometria!$N$1307/100))),MIN(1,MAX(0,((Geometria!$L$29/100-B109)-Geometria!$R$1409/100)/(Geometria!$N$1307/100))))))*(IF(OR(Geometria!$K$1409&gt;0,Geometria!$K$1407&gt;0,Geometria!$Q$1409&gt;0,Geometria!$Q$1407&gt;0),1,0))-(Geometria!$L$298-IF(B109&lt;Geometria!$L$1405/100,Geometria!$L$1444,Geometria!$L$1462))*(1-(MIN(MIN(1,MAX(0,(B109-Geometria!$L$1405/100)/(Geometria!$N$1307/100))),MIN(1,MAX(0,((Geometria!$L$29/100-B109)-Geometria!$R$1405/100)/(Geometria!$N$1307/100))))))*(IF(OR(Geometria!$K$1405&gt;0,Geometria!$K$1403&gt;0,Geometria!$Q$1405&gt;0,Geometria!$Q$1403&gt;0),1,0)))*H132+Geometria!$P$1429*H109</f>
        <v>3666.736718240637</v>
      </c>
      <c r="M109" s="373">
        <f ca="1">(Geometria!$L$298-(Geometria!$L$298-IF(B109&lt;Geometria!$L$1409/100,Geometria!$L$1442,Geometria!$L$1460))*(1-(MIN(MIN(1,MAX(0,(B109-Geometria!$L$1409/100)/(Geometria!$N$1307/100))),MIN(1,MAX(0,((Geometria!$L$29/100-B109)-Geometria!$R$1409/100)/(Geometria!$N$1307/100))))))*(IF(OR(Geometria!$K$1409&gt;0,Geometria!$K$1407&gt;0,Geometria!$Q$1409&gt;0,Geometria!$Q$1407&gt;0),1,0))-(Geometria!$L$298-IF(B109&lt;Geometria!$L$1405/100,Geometria!$L$1444,Geometria!$L$1462))*(1-(MIN(MIN(1,MAX(0,(B109-Geometria!$L$1405/100)/(Geometria!$N$1307/100))),MIN(1,MAX(0,((Geometria!$L$29/100-B109)-Geometria!$R$1405/100)/(Geometria!$N$1307/100))))))*(IF(OR(Geometria!$K$1405&gt;0,Geometria!$K$1403&gt;0,Geometria!$Q$1405&gt;0,Geometria!$Q$1403&gt;0),1,0)))*H132*(Geometria!$L$299-(Geometria!$L$299-IF(B109&lt;Geometria!$L$1409/100,Geometria!$L$1443,Geometria!$L$1461))*(1-(MIN(MIN(1,MAX(0,(B109-Geometria!$L$1409/100)/(Geometria!$N$1307/100))),MIN(1,MAX(0,((Geometria!$L$29/100-B109)-Geometria!$R$1409/100)/(Geometria!$N$1307/100))))))*(IF(OR(Geometria!$K$1409&gt;0,Geometria!$K$1407&gt;0,Geometria!$Q$1409&gt;0,Geometria!$Q$1407&gt;0),1,0))-(Geometria!$L$299-IF(B109&lt;Geometria!$L$1405/100,Geometria!$L$1445,Geometria!$L$1463))*(1-(MIN(MIN(1,MAX(0,(B109-Geometria!$L$1405/100)/(Geometria!$N$1307/100))),MIN(1,MAX(0,((Geometria!$L$29/100-B109)-Geometria!$R$1405/100)/(Geometria!$N$1307/100))))))*(IF(OR(Geometria!$K$1405&gt;0,Geometria!$K$1403&gt;0,Geometria!$Q$1405&gt;0,Geometria!$Q$1403&gt;0),1,0)))/100-Geometria!$P$1429*H109*Geometria!$L$1438/100</f>
        <v>687.5131346701195</v>
      </c>
      <c r="N109" s="365"/>
      <c r="O109" s="371">
        <f ca="1">(IF(C109="Sim",IF(A109="Sim",$E$93,EX109),IF(A109="Sim",EZ109,Geometria!$L$906)))</f>
        <v>1475.413282676191</v>
      </c>
      <c r="P109" s="371">
        <f ca="1">(IF(C109="Sim",IF(A109="Sim",$E$94,EY109),IF(A109="Sim",FA109,Geometria!$L$907)))</f>
        <v>276.63999050178586</v>
      </c>
      <c r="R109" s="4" t="s">
        <v>437</v>
      </c>
      <c r="S109" s="202">
        <f t="shared" ca="1" si="11"/>
        <v>4984.549151898154</v>
      </c>
      <c r="T109" s="38" t="s">
        <v>234</v>
      </c>
      <c r="U109" s="203">
        <f t="shared" ca="1" si="2"/>
        <v>4.984549151898154</v>
      </c>
      <c r="V109" s="38" t="s">
        <v>160</v>
      </c>
      <c r="W109" s="399">
        <f t="shared" si="12"/>
        <v>0.0</v>
      </c>
      <c r="X109" s="376" t="str">
        <f>IF(OR(AND(Y109&lt;Geometria!$L$1405/100,Geometria!$K$1405&gt;0),AND((Geometria!$L$29/100-Y109)&lt;Geometria!$R$1405/100,Geometria!$Q$1405&gt;0)),"Sim","Não")</f>
        <v>Não</v>
      </c>
      <c r="Y109" s="395">
        <f>Geometria!$K$418</f>
        <v>3.14</v>
      </c>
      <c r="Z109" s="376" t="str">
        <f>IF(OR(AND(Y109&lt;Geometria!$L$1409/100,OR(Geometria!$K$1409&gt;0,Geometria!$K$1407&gt;0)),AND((Geometria!$L$29/100-Y109)&lt;Geometria!$R$1409/100,OR(Geometria!$Q$1409&gt;0,Geometria!$Q$1407&gt;0))),"Sim","Não")</f>
        <v>Não</v>
      </c>
      <c r="AA109" s="122" t="s">
        <v>437</v>
      </c>
      <c r="AB109" s="198" t="str">
        <f ca="1">IF(Geometria!$K$440&lt;Geometria!$N$1307/100,"Reduzir","OK")</f>
        <v>OK</v>
      </c>
      <c r="AC109" s="401">
        <f t="shared" ca="1" si="3"/>
        <v>-9375.497225682582</v>
      </c>
      <c r="AD109" s="403">
        <f ca="1">-(AI109/(Geometria!$L$48/100^2))+(AJ109/(Geometria!$L$52/100^3))-((Geometria!$K$419)/(Geometria!$L$52/100^3))-((Geometria!$K$430)/(Geometria!$M$52))-((Geometria!$L$76*Geometria!$K$441)/(Geometria!$M$52))</f>
        <v>-9375.497225682582</v>
      </c>
      <c r="AE109" s="400">
        <f ca="1">((Geometria!$N$369*(Geometria!$K$900*100))/Geometria!$N$1307)</f>
        <v>331.1000646573565</v>
      </c>
      <c r="AF109" s="751">
        <f ca="1">-((Geometria!$L$373-(Geometria!$L$373-ER109)*(1-(MIN(MIN(1,MAX(0,(Y109-Geometria!$L$1409/100)/(Geometria!$N$1307/100))),MIN(1,MAX(0,((Geometria!$L$29/100-Y109)-Geometria!$R$1409/100)/(Geometria!$N$1307/100))))))*(IF(OR(Geometria!$K$1409&gt;0,Geometria!$K$1407&gt;0,Geometria!$Q$1409&gt;0,Geometria!$Q$1407&gt;0),1,0))-(Geometria!$L$373-ET109)*(1-(MIN(MIN(1,MAX(0,(Y109-Geometria!$L$1405/100)/(Geometria!$N$1307/100))),MIN(1,MAX(0,((Geometria!$L$29/100-Y109)-Geometria!$R$1405/100)/(Geometria!$N$1307/100))))))*(IF(OR(Geometria!$K$1405&gt;0,Geometria!$K$1403&gt;0,Geometria!$Q$1405&gt;0,Geometria!$Q$1403&gt;0),1,0))))/(Geometria!$L$48/100^2)+((Geometria!$L$374-(Geometria!$L$374-ES109)*(1-(MIN(MIN(1,MAX(0,(Y109-Geometria!$L$1409/100)/(Geometria!$N$1307/100))),MIN(1,MAX(0,((Geometria!$L$29/100-Y109)-Geometria!$R$1409/100)/(Geometria!$N$1307/100))))))*(IF(OR(Geometria!$K$1409&gt;0,Geometria!$K$1407&gt;0,Geometria!$Q$1409&gt;0,Geometria!$Q$1407&gt;0),1,0))-(Geometria!$L$374-EU109)*(1-(MIN(MIN(1,MAX(0,(Y109-Geometria!$L$1405/100)/(Geometria!$N$1307/100))),MIN(1,MAX(0,((Geometria!$L$29/100-Y109)-Geometria!$R$1405/100)/(Geometria!$N$1307/100))))))*(IF(OR(Geometria!$K$1405&gt;0,Geometria!$K$1403&gt;0,Geometria!$Q$1405&gt;0,Geometria!$Q$1403&gt;0),1,0))))/(Geometria!$L$52/100^3)-((Geometria!$K$419)/(Geometria!$L$52/100^3))-((Geometria!$K$430)/(Geometria!$M$52))-((Geometria!$L$76*Geometria!$K$441)/(Geometria!$M$52))</f>
        <v>-9375.497225682582</v>
      </c>
      <c r="AG109" s="751"/>
      <c r="AI109" s="373">
        <f ca="1">(IF(Z109="Sim",IF(X109="Sim",IF(Y109&lt;Geometria!$L$1405/100,Geometria!$L$1435,Geometria!$L$1476),IF(Y109&lt;Geometria!$L$1409/100,Geometria!$L$1442,Geometria!$L$1460)),IF(X109="Sim",IF(Y109&lt;Geometria!$L$1405/100,Geometria!$L$1444,Geometria!$L$1462),Geometria!$L$298)))*AE132+Geometria!$P$1429*AE109</f>
        <v>1243.5596228306003</v>
      </c>
      <c r="AJ109" s="373">
        <f ca="1">(IF(Z109="Sim",IF(X109="Sim",IF(Y109&lt;Geometria!$L$1405/100,Geometria!$L$1435,Geometria!$L$1476),IF(Y109&lt;Geometria!$L$1409/100,Geometria!$L$1442,Geometria!$L$1460)),IF(X109="Sim",IF(Y109&lt;Geometria!$L$1405/100,Geometria!$L$1444,Geometria!$L$1462),Geometria!$L$298)))*AE132*(IF(Z109="Sim",IF(X109="Sim",IF(Y109&lt;Geometria!$L$1405/100,Geometria!$L$1436,Geometria!$L$1484),IF(Y109&lt;Geometria!$L$1409/100,Geometria!$L$1443,Geometria!$L$1461)),IF(X109="Sim",IF(Y109&lt;Geometria!$L$1405/100,Geometria!$L$1445,Geometria!$L$1463),Geometria!$L$299)))/100-Geometria!$P$1429*AE109*Geometria!$L$1438/100</f>
        <v>233.16742928073757</v>
      </c>
      <c r="AK109" s="365"/>
      <c r="AL109" s="371">
        <f ca="1">(IF(Z109="Sim",IF(X109="Sim",$AB$93,ER109),IF(X109="Sim",ET109,Geometria!$L$373)))</f>
        <v>1243.5596228306003</v>
      </c>
      <c r="AM109" s="371">
        <f ca="1">(IF(Z109="Sim",IF(X109="Sim",$AB$94,ES109),IF(X109="Sim",EU109,Geometria!$L$374)))</f>
        <v>233.16742928073757</v>
      </c>
      <c r="AO109" s="4" t="s">
        <v>437</v>
      </c>
      <c r="AP109" s="202">
        <f t="shared" ca="1" si="13"/>
        <v>-9375.497225682582</v>
      </c>
      <c r="AQ109" s="38" t="s">
        <v>234</v>
      </c>
      <c r="AR109" s="203">
        <f t="shared" ca="1" si="4"/>
        <v>-9.375497225682583</v>
      </c>
      <c r="AS109" s="38" t="s">
        <v>160</v>
      </c>
      <c r="AT109" s="399">
        <f t="shared" si="14"/>
        <v>0.0</v>
      </c>
      <c r="AU109" s="376" t="str">
        <f>IF(OR(AND(AV109&lt;Geometria!$L$1405/100,Geometria!$K$1405&gt;0),AND((Geometria!$L$29/100-AV109)&lt;Geometria!$R$1405/100,Geometria!$Q$1405&gt;0)),"Sim","Não")</f>
        <v>Não</v>
      </c>
      <c r="AV109" s="395">
        <f>Geometria!$K$418</f>
        <v>3.14</v>
      </c>
      <c r="AW109" s="376" t="str">
        <f>IF(OR(AND(AV109&lt;Geometria!$L$1409/100,OR(Geometria!$K$1409&gt;0,Geometria!$K$1407&gt;0)),AND((Geometria!$L$29/100-AV109)&lt;Geometria!$R$1409/100,OR(Geometria!$Q$1409&gt;0,Geometria!$Q$1407&gt;0))),"Sim","Não")</f>
        <v>Não</v>
      </c>
      <c r="AX109" s="122" t="s">
        <v>437</v>
      </c>
      <c r="AY109" s="198" t="str">
        <f ca="1">IF(Geometria!$K$440&lt;Geometria!$N$1307/100,"Reduzir","OK")</f>
        <v>OK</v>
      </c>
      <c r="AZ109" s="401">
        <f t="shared" ca="1" si="5"/>
        <v>-9375.487598210499</v>
      </c>
      <c r="BA109" s="403">
        <f ca="1">-(BF109/(Geometria!$L$48/100^2))+(BG109/(Geometria!$L$52/100^3))-((Geometria!$K$419)/(Geometria!$L$52/100^3))-((Geometria!$K$430)/(Geometria!$M$52))-((Geometria!$L$76*Geometria!$K$441)/(Geometria!$M$52))</f>
        <v>-9375.497225682582</v>
      </c>
      <c r="BB109" s="400">
        <f ca="1">((Geometria!$N$369*(Geometria!$K$900*100))/Geometria!$N$1307)</f>
        <v>331.1000646573565</v>
      </c>
      <c r="BC109" s="751">
        <f ca="1">-((Geometria!$L$373-(Geometria!$L$373-ER109)*(1-(MIN(MIN(1,MAX(0,(AV109-Geometria!$L$1409/100)/(Geometria!$N$1307/100))),MIN(1,MAX(0,((Geometria!$L$29/100-AV109)-Geometria!$R$1409/100)/(Geometria!$N$1307/100))))))*(IF(OR(Geometria!$K$1409&gt;0,Geometria!$K$1407&gt;0,Geometria!$Q$1409&gt;0,Geometria!$Q$1407&gt;0),1,0))-(Geometria!$L$373-ET109)*(1-(MIN(MIN(1,MAX(0,(AV109-Geometria!$L$1405/100)/(Geometria!$N$1307/100))),MIN(1,MAX(0,((Geometria!$L$29/100-AV109)-Geometria!$R$1405/100)/(Geometria!$N$1307/100))))))*(IF(OR(Geometria!$K$1405&gt;0,Geometria!$K$1403&gt;0,Geometria!$Q$1405&gt;0,Geometria!$Q$1403&gt;0),1,0))))/(Geometria!$L$48/100^2)+((Geometria!$L$374-(Geometria!$L$374-ES109)*(1-(MIN(MIN(1,MAX(0,(AV109-Geometria!$L$1409/100)/(Geometria!$N$1307/100))),MIN(1,MAX(0,((Geometria!$L$29/100-AV109)-Geometria!$R$1409/100)/(Geometria!$N$1307/100))))))*(IF(OR(Geometria!$K$1409&gt;0,Geometria!$K$1407&gt;0,Geometria!$Q$1409&gt;0,Geometria!$Q$1407&gt;0),1,0))-(Geometria!$L$374-EU109)*(1-(MIN(MIN(1,MAX(0,(AV109-Geometria!$L$1405/100)/(Geometria!$N$1307/100))),MIN(1,MAX(0,((Geometria!$L$29/100-AV109)-Geometria!$R$1405/100)/(Geometria!$N$1307/100))))))*(IF(OR(Geometria!$K$1405&gt;0,Geometria!$K$1403&gt;0,Geometria!$Q$1405&gt;0,Geometria!$Q$1403&gt;0),1,0))))/(Geometria!$L$52/100^3)-((Geometria!$K$419)/(Geometria!$L$52/100^3))-((Geometria!$K$430)/(Geometria!$M$52))</f>
        <v>-9375.487598210499</v>
      </c>
      <c r="BD109" s="751"/>
      <c r="BF109" s="373">
        <f ca="1">(Geometria!$L$298-(Geometria!$L$298-IF(AV109&lt;Geometria!$L$1409/100,Geometria!$L$1442,Geometria!$L$1460))*(1-(MIN(MIN(1,MAX(0,(AV109-Geometria!$L$1409/100)/(Geometria!$N$1307/100))),MIN(1,MAX(0,((Geometria!$L$29/100-AV109)-Geometria!$R$1409/100)/(Geometria!$N$1307/100))))))*(IF(OR(Geometria!$K$1409&gt;0,Geometria!$K$1407&gt;0,Geometria!$Q$1409&gt;0,Geometria!$Q$1407&gt;0),1,0))-(Geometria!$L$298-IF(AV109&lt;Geometria!$L$1405/100,Geometria!$L$1444,Geometria!$L$1462))*(1-(MIN(MIN(1,MAX(0,(AV109-Geometria!$L$1405/100)/(Geometria!$N$1307/100))),MIN(1,MAX(0,((Geometria!$L$29/100-AV109)-Geometria!$R$1405/100)/(Geometria!$N$1307/100))))))*(IF(OR(Geometria!$K$1405&gt;0,Geometria!$K$1403&gt;0,Geometria!$Q$1405&gt;0,Geometria!$Q$1403&gt;0),1,0)))*BB132+Geometria!$P$1429*BB109</f>
        <v>1243.5596228306003</v>
      </c>
      <c r="BG109" s="373">
        <f ca="1">(Geometria!$L$298-(Geometria!$L$298-IF(AV109&lt;Geometria!$L$1409/100,Geometria!$L$1442,Geometria!$L$1460))*(1-(MIN(MIN(1,MAX(0,(AV109-Geometria!$L$1409/100)/(Geometria!$N$1307/100))),MIN(1,MAX(0,((Geometria!$L$29/100-AV109)-Geometria!$R$1409/100)/(Geometria!$N$1307/100))))))*(IF(OR(Geometria!$K$1409&gt;0,Geometria!$K$1407&gt;0,Geometria!$Q$1409&gt;0,Geometria!$Q$1407&gt;0),1,0))-(Geometria!$L$298-IF(AV109&lt;Geometria!$L$1405/100,Geometria!$L$1444,Geometria!$L$1462))*(1-(MIN(MIN(1,MAX(0,(AV109-Geometria!$L$1405/100)/(Geometria!$N$1307/100))),MIN(1,MAX(0,((Geometria!$L$29/100-AV109)-Geometria!$R$1405/100)/(Geometria!$N$1307/100))))))*(IF(OR(Geometria!$K$1405&gt;0,Geometria!$K$1403&gt;0,Geometria!$Q$1405&gt;0,Geometria!$Q$1403&gt;0),1,0)))*BB132*(Geometria!$L$299-(Geometria!$L$299-IF(AV109&lt;Geometria!$L$1409/100,Geometria!$L$1443,Geometria!$L$1461))*(1-(MIN(MIN(1,MAX(0,(AV109-Geometria!$L$1409/100)/(Geometria!$N$1307/100))),MIN(1,MAX(0,((Geometria!$L$29/100-AV109)-Geometria!$R$1409/100)/(Geometria!$N$1307/100))))))*(IF(OR(Geometria!$K$1409&gt;0,Geometria!$K$1407&gt;0,Geometria!$Q$1409&gt;0,Geometria!$Q$1407&gt;0),1,0))-(Geometria!$L$299-IF(AV109&lt;Geometria!$L$1405/100,Geometria!$L$1445,Geometria!$L$1463))*(1-(MIN(MIN(1,MAX(0,(AV109-Geometria!$L$1405/100)/(Geometria!$N$1307/100))),MIN(1,MAX(0,((Geometria!$L$29/100-AV109)-Geometria!$R$1405/100)/(Geometria!$N$1307/100))))))*(IF(OR(Geometria!$K$1405&gt;0,Geometria!$K$1403&gt;0,Geometria!$Q$1405&gt;0,Geometria!$Q$1403&gt;0),1,0)))/100-Geometria!$P$1429*BB109*Geometria!$L$1438/100</f>
        <v>233.16742928073757</v>
      </c>
      <c r="BH109" s="365"/>
      <c r="BI109" s="371">
        <f ca="1">(IF(AW109="Sim",IF(AU109="Sim",$AB$93,ER109),IF(AU109="Sim",ET109,Geometria!$L$373)))</f>
        <v>1243.5596228306003</v>
      </c>
      <c r="BJ109" s="371">
        <f ca="1">(IF(AW109="Sim",IF(AU109="Sim",$AB$94,ES109),IF(AU109="Sim",EU109,Geometria!$L$374)))</f>
        <v>233.16742928073757</v>
      </c>
      <c r="BL109" s="4" t="s">
        <v>437</v>
      </c>
      <c r="BM109" s="202">
        <f t="shared" ca="1" si="15"/>
        <v>-9375.487598210499</v>
      </c>
      <c r="BN109" s="38" t="s">
        <v>234</v>
      </c>
      <c r="BO109" s="203">
        <f t="shared" ca="1" si="6"/>
        <v>-9.3754875982105</v>
      </c>
      <c r="BP109" s="38" t="s">
        <v>160</v>
      </c>
      <c r="BQ109" s="399">
        <f t="shared" si="16"/>
        <v>0.0</v>
      </c>
      <c r="BR109" s="376" t="str">
        <f>IF(OR(AND(BS109&lt;Geometria!$L$1405/100,Geometria!$K$1405&gt;0),AND((Geometria!$L$29/100-BS109)&lt;Geometria!$R$1405/100,Geometria!$Q$1405&gt;0)),"Sim","Não")</f>
        <v>Não</v>
      </c>
      <c r="BS109" s="395">
        <f>Geometria!$K$418</f>
        <v>3.14</v>
      </c>
      <c r="BT109" s="376" t="str">
        <f>IF(OR(AND(BS109&lt;Geometria!$L$1409/100,OR(Geometria!$K$1409&gt;0,Geometria!$K$1407&gt;0)),AND((Geometria!$L$29/100-BS109)&lt;Geometria!$R$1409/100,OR(Geometria!$Q$1409&gt;0,Geometria!$Q$1407&gt;0))),"Sim","Não")</f>
        <v>Não</v>
      </c>
      <c r="BU109" s="122" t="s">
        <v>437</v>
      </c>
      <c r="BV109" s="198" t="str">
        <f ca="1">IF(Geometria!$K$440&lt;Geometria!$N$1307/100,"Reduzir","OK")</f>
        <v>OK</v>
      </c>
      <c r="BW109" s="401">
        <f t="shared" ca="1" si="7"/>
        <v>-9375.494016525221</v>
      </c>
      <c r="BX109" s="403">
        <f ca="1">-(CC109/(Geometria!$L$48/100^2))+(CD109/(Geometria!$L$52/100^3))-((Geometria!$K$419)/(Geometria!$L$52/100^3))-((Geometria!$K$430)/(Geometria!$M$52))-((Geometria!$L$76*Geometria!$K$441)/(Geometria!$M$52))</f>
        <v>-9375.497225682582</v>
      </c>
      <c r="BY109" s="400">
        <f ca="1">((Geometria!$N$369*(Geometria!$K$900*100))/Geometria!$N$1307)</f>
        <v>331.1000646573565</v>
      </c>
      <c r="BZ109" s="751">
        <f ca="1">-((Geometria!$L$373-(Geometria!$L$373-ER109)*(1-(MIN(MIN(1,MAX(0,(BS109-Geometria!$L$1409/100)/(Geometria!$N$1307/100))),MIN(1,MAX(0,((Geometria!$L$29/100-BS109)-Geometria!$R$1409/100)/(Geometria!$N$1307/100))))))*(IF(OR(Geometria!$K$1409&gt;0,Geometria!$K$1407&gt;0,Geometria!$Q$1409&gt;0,Geometria!$Q$1407&gt;0),1,0))-(Geometria!$L$373-ET109)*(1-(MIN(MIN(1,MAX(0,(BS109-Geometria!$L$1405/100)/(Geometria!$N$1307/100))),MIN(1,MAX(0,((Geometria!$L$29/100-BS109)-Geometria!$R$1405/100)/(Geometria!$N$1307/100))))))*(IF(OR(Geometria!$K$1405&gt;0,Geometria!$K$1403&gt;0,Geometria!$Q$1405&gt;0,Geometria!$Q$1403&gt;0),1,0))))/(Geometria!$L$48/100^2)+((Geometria!$L$374-(Geometria!$L$374-ES109)*(1-(MIN(MIN(1,MAX(0,(BS109-Geometria!$L$1409/100)/(Geometria!$N$1307/100))),MIN(1,MAX(0,((Geometria!$L$29/100-BS109)-Geometria!$R$1409/100)/(Geometria!$N$1307/100))))))*(IF(OR(Geometria!$K$1409&gt;0,Geometria!$K$1407&gt;0,Geometria!$Q$1409&gt;0,Geometria!$Q$1407&gt;0),1,0))-(Geometria!$L$374-EU109)*(1-(MIN(MIN(1,MAX(0,(BS109-Geometria!$L$1405/100)/(Geometria!$N$1307/100))),MIN(1,MAX(0,((Geometria!$L$29/100-BS109)-Geometria!$R$1405/100)/(Geometria!$N$1307/100))))))*(IF(OR(Geometria!$K$1405&gt;0,Geometria!$K$1403&gt;0,Geometria!$Q$1405&gt;0,Geometria!$Q$1403&gt;0),1,0))))/(Geometria!$L$52/100^3)-((Geometria!$K$676)/(Geometria!$L$52/100^3))-((Geometria!$K$687)/(Geometria!$M$52))-((Geometria!$L$77*Geometria!$K$698)/(Geometria!$M$52))</f>
        <v>-9375.494016525221</v>
      </c>
      <c r="CA109" s="751"/>
      <c r="CC109" s="373">
        <f ca="1">(Geometria!$L$298-(Geometria!$L$298-IF(BS109&lt;Geometria!$L$1409/100,Geometria!$L$1442,Geometria!$L$1460))*(1-(MIN(MIN(1,MAX(0,(BS109-Geometria!$L$1409/100)/(Geometria!$N$1307/100))),MIN(1,MAX(0,((Geometria!$L$29/100-BS109)-Geometria!$R$1409/100)/(Geometria!$N$1307/100))))))*(IF(OR(Geometria!$K$1409&gt;0,Geometria!$K$1407&gt;0,Geometria!$Q$1409&gt;0,Geometria!$Q$1407&gt;0),1,0))-(Geometria!$L$298-IF(BS109&lt;Geometria!$L$1405/100,Geometria!$L$1444,Geometria!$L$1462))*(1-(MIN(MIN(1,MAX(0,(BS109-Geometria!$L$1405/100)/(Geometria!$N$1307/100))),MIN(1,MAX(0,((Geometria!$L$29/100-BS109)-Geometria!$R$1405/100)/(Geometria!$N$1307/100))))))*(IF(OR(Geometria!$K$1405&gt;0,Geometria!$K$1403&gt;0,Geometria!$Q$1405&gt;0,Geometria!$Q$1403&gt;0),1,0)))*BY132+Geometria!$P$1429*BY109</f>
        <v>1243.5596228306003</v>
      </c>
      <c r="CD109" s="373">
        <f ca="1">(Geometria!$L$298-(Geometria!$L$298-IF(BS109&lt;Geometria!$L$1409/100,Geometria!$L$1442,Geometria!$L$1460))*(1-(MIN(MIN(1,MAX(0,(BS109-Geometria!$L$1409/100)/(Geometria!$N$1307/100))),MIN(1,MAX(0,((Geometria!$L$29/100-BS109)-Geometria!$R$1409/100)/(Geometria!$N$1307/100))))))*(IF(OR(Geometria!$K$1409&gt;0,Geometria!$K$1407&gt;0,Geometria!$Q$1409&gt;0,Geometria!$Q$1407&gt;0),1,0))-(Geometria!$L$298-IF(BS109&lt;Geometria!$L$1405/100,Geometria!$L$1444,Geometria!$L$1462))*(1-(MIN(MIN(1,MAX(0,(BS109-Geometria!$L$1405/100)/(Geometria!$N$1307/100))),MIN(1,MAX(0,((Geometria!$L$29/100-BS109)-Geometria!$R$1405/100)/(Geometria!$N$1307/100))))))*(IF(OR(Geometria!$K$1405&gt;0,Geometria!$K$1403&gt;0,Geometria!$Q$1405&gt;0,Geometria!$Q$1403&gt;0),1,0)))*BY132*(Geometria!$L$299-(Geometria!$L$299-IF(BS109&lt;Geometria!$L$1409/100,Geometria!$L$1443,Geometria!$L$1461))*(1-(MIN(MIN(1,MAX(0,(BS109-Geometria!$L$1409/100)/(Geometria!$N$1307/100))),MIN(1,MAX(0,((Geometria!$L$29/100-BS109)-Geometria!$R$1409/100)/(Geometria!$N$1307/100))))))*(IF(OR(Geometria!$K$1409&gt;0,Geometria!$K$1407&gt;0,Geometria!$Q$1409&gt;0,Geometria!$Q$1407&gt;0),1,0))-(Geometria!$L$299-IF(BS109&lt;Geometria!$L$1405/100,Geometria!$L$1445,Geometria!$L$1463))*(1-(MIN(MIN(1,MAX(0,(BS109-Geometria!$L$1405/100)/(Geometria!$N$1307/100))),MIN(1,MAX(0,((Geometria!$L$29/100-BS109)-Geometria!$R$1405/100)/(Geometria!$N$1307/100))))))*(IF(OR(Geometria!$K$1405&gt;0,Geometria!$K$1403&gt;0,Geometria!$Q$1405&gt;0,Geometria!$Q$1403&gt;0),1,0)))/100-Geometria!$P$1429*BY109*Geometria!$L$1438/100</f>
        <v>233.16742928073757</v>
      </c>
      <c r="CE109" s="365"/>
      <c r="CF109" s="371">
        <f ca="1">(IF(BT109="Sim",IF(BR109="Sim",$AB$93,ER109),IF(BR109="Sim",ET109,Geometria!$L$373)))</f>
        <v>1243.5596228306003</v>
      </c>
      <c r="CG109" s="371">
        <f ca="1">(IF(BT109="Sim",IF(BR109="Sim",$AB$94,ES109),IF(BR109="Sim",EU109,Geometria!$L$374)))</f>
        <v>233.16742928073757</v>
      </c>
      <c r="CI109" s="4" t="s">
        <v>437</v>
      </c>
      <c r="CJ109" s="202">
        <f t="shared" ca="1" si="17"/>
        <v>-9375.494016525221</v>
      </c>
      <c r="CK109" s="38" t="s">
        <v>234</v>
      </c>
      <c r="CL109" s="203">
        <f t="shared" ca="1" si="8"/>
        <v>-9.375494016525222</v>
      </c>
      <c r="CM109" s="38" t="s">
        <v>160</v>
      </c>
      <c r="CN109" s="399">
        <f t="shared" si="18"/>
        <v>0.0</v>
      </c>
      <c r="CO109" s="376" t="str">
        <f>IF(OR(AND(CP109&lt;Geometria!$L$1405/100,Geometria!$K$1405&gt;0),AND((Geometria!$L$29/100-CP109)&lt;Geometria!$R$1405/100,Geometria!$Q$1405&gt;0)),"Sim","Não")</f>
        <v>Não</v>
      </c>
      <c r="CP109" s="395">
        <f>Geometria!$K$418</f>
        <v>3.14</v>
      </c>
      <c r="CQ109" s="376" t="str">
        <f>IF(OR(AND(CP109&lt;Geometria!$L$1409/100,OR(Geometria!$K$1409&gt;0,Geometria!$K$1407&gt;0)),AND((Geometria!$L$29/100-CP109)&lt;Geometria!$R$1409/100,OR(Geometria!$Q$1409&gt;0,Geometria!$Q$1407&gt;0))),"Sim","Não")</f>
        <v>Não</v>
      </c>
      <c r="CR109" s="122" t="s">
        <v>437</v>
      </c>
      <c r="CS109" s="198" t="str">
        <f ca="1">IF(Geometria!$K$440&lt;Geometria!$N$1307/100,"Reduzir","OK")</f>
        <v>OK</v>
      </c>
      <c r="CT109" s="401">
        <f t="shared" ca="1" si="9"/>
        <v>-9375.487598210499</v>
      </c>
      <c r="CU109" s="403">
        <f ca="1">-(CZ109/(Geometria!$L$48/100^2))+(DA109/(Geometria!$L$52/100^3))-((Geometria!$K$419)/(Geometria!$L$52/100^3))-((Geometria!$K$430)/(Geometria!$M$52))-((Geometria!$L$76*Geometria!$K$441)/(Geometria!$M$52))</f>
        <v>-9375.497225682582</v>
      </c>
      <c r="CV109" s="400">
        <f ca="1">((Geometria!$N$369*(Geometria!$K$900*100))/Geometria!$N$1307)</f>
        <v>331.1000646573565</v>
      </c>
      <c r="CW109" s="751">
        <f ca="1">-((Geometria!$L$373-(Geometria!$L$373-ER109)*(1-(MIN(MIN(1,MAX(0,(CP109-Geometria!$L$1409/100)/(Geometria!$N$1307/100))),MIN(1,MAX(0,((Geometria!$L$29/100-CP109)-Geometria!$R$1409/100)/(Geometria!$N$1307/100))))))*(IF(OR(Geometria!$K$1409&gt;0,Geometria!$K$1407&gt;0,Geometria!$Q$1409&gt;0,Geometria!$Q$1407&gt;0),1,0))-(Geometria!$L$373-ET109)*(1-(MIN(MIN(1,MAX(0,(CP109-Geometria!$L$1405/100)/(Geometria!$N$1307/100))),MIN(1,MAX(0,((Geometria!$L$29/100-CP109)-Geometria!$R$1405/100)/(Geometria!$N$1307/100))))))*(IF(OR(Geometria!$K$1405&gt;0,Geometria!$K$1403&gt;0,Geometria!$Q$1405&gt;0,Geometria!$Q$1403&gt;0),1,0))))/(Geometria!$L$48/100^2)+((Geometria!$L$374-(Geometria!$L$374-ES109)*(1-(MIN(MIN(1,MAX(0,(CP109-Geometria!$L$1409/100)/(Geometria!$N$1307/100))),MIN(1,MAX(0,((Geometria!$L$29/100-CP109)-Geometria!$R$1409/100)/(Geometria!$N$1307/100))))))*(IF(OR(Geometria!$K$1409&gt;0,Geometria!$K$1407&gt;0,Geometria!$Q$1409&gt;0,Geometria!$Q$1407&gt;0),1,0))-(Geometria!$L$374-EU109)*(1-(MIN(MIN(1,MAX(0,(CP109-Geometria!$L$1405/100)/(Geometria!$N$1307/100))),MIN(1,MAX(0,((Geometria!$L$29/100-CP109)-Geometria!$R$1405/100)/(Geometria!$N$1307/100))))))*(IF(OR(Geometria!$K$1405&gt;0,Geometria!$K$1403&gt;0,Geometria!$Q$1405&gt;0,Geometria!$Q$1403&gt;0),1,0))))/(Geometria!$L$52/100^3)-((Geometria!$K$676)/(Geometria!$L$52/100^3))-((Geometria!$K$687)/(Geometria!$M$52))</f>
        <v>-9375.487598210499</v>
      </c>
      <c r="CX109" s="751"/>
      <c r="CZ109" s="373">
        <f ca="1">(IF(CQ109="Sim",IF(CO109="Sim",IF(CP109&lt;Geometria!$L$1405/100,Geometria!$L$1435,Geometria!$L$1476),IF(CP109&lt;Geometria!$L$1409/100,Geometria!$L$1442,Geometria!$L$1460)),IF(CO109="Sim",IF(CP109&lt;Geometria!$L$1405/100,Geometria!$L$1444,Geometria!$L$1462),Geometria!$L$298)))*CV132+Geometria!$P$1429*CV109</f>
        <v>1243.5596228306003</v>
      </c>
      <c r="DA109" s="373">
        <f ca="1">(IF(CQ109="Sim",IF(CO109="Sim",IF(CP109&lt;Geometria!$L$1405/100,Geometria!$L$1435,Geometria!$L$1476),IF(CP109&lt;Geometria!$L$1409/100,Geometria!$L$1442,Geometria!$L$1460)),IF(CO109="Sim",IF(CP109&lt;Geometria!$L$1405/100,Geometria!$L$1444,Geometria!$L$1462),Geometria!$L$298)))*CV132*(IF(CQ109="Sim",IF(CO109="Sim",IF(CP109&lt;Geometria!$L$1405/100,Geometria!$L$1436,Geometria!$L$1484),IF(CP109&lt;Geometria!$L$1409/100,Geometria!$L$1443,Geometria!$L$1461)),IF(CO109="Sim",IF(CP109&lt;Geometria!$L$1405/100,Geometria!$L$1445,Geometria!$L$1463),Geometria!$L$299)))/100-Geometria!$P$1429*CV109*Geometria!$L$1438/100</f>
        <v>233.16742928073757</v>
      </c>
      <c r="DB109" s="365"/>
      <c r="DC109" s="371">
        <f ca="1">(IF(CQ109="Sim",IF(CO109="Sim",$AB$93,ER109),IF(CO109="Sim",ET109,Geometria!$L$373)))</f>
        <v>1243.5596228306003</v>
      </c>
      <c r="DD109" s="371">
        <f ca="1">(IF(CQ109="Sim",IF(CO109="Sim",$AB$94,ES109),IF(CO109="Sim",EU109,Geometria!$L$374)))</f>
        <v>233.16742928073757</v>
      </c>
      <c r="DF109" s="4" t="s">
        <v>437</v>
      </c>
      <c r="DG109" s="202">
        <f t="shared" ca="1" si="19"/>
        <v>-9375.487598210499</v>
      </c>
      <c r="DH109" s="38" t="s">
        <v>234</v>
      </c>
      <c r="DI109" s="203">
        <f t="shared" ca="1" si="10"/>
        <v>-9.3754875982105</v>
      </c>
      <c r="DJ109" s="38" t="s">
        <v>160</v>
      </c>
      <c r="DK109" s="399">
        <f t="shared" si="20"/>
        <v>0.0</v>
      </c>
      <c r="EA109">
        <f ca="1">-L109/('Aberturas na Alma'!$M$112/100^2)+M109/('Aberturas na Alma'!$M$119/100^3)-Geometria!$L$898/('Aberturas na Alma'!$M$119/100^3)</f>
        <v>12230.933917124055</v>
      </c>
      <c r="EB109">
        <f ca="1">-(IF(C109="Sim",IF(A109="Sim",$E$93,EX109),IF(A109="Sim",EZ109,Geometria!$L$906)))/('Aberturas na Alma'!$M$112/100^2)+(IF(C109="Sim",IF(A109="Sim",$E$94,EY109),IF(A109="Sim",FA109,Geometria!$L$907)))/('Aberturas na Alma'!$M$119/100^3)-Geometria!$K$901/('Aberturas na Alma'!$M$119/100^3)</f>
        <v>2821.178058385464</v>
      </c>
      <c r="EC109">
        <f ca="1">IF(AND('Aberturas na Alma'!$M$18="NÃO DISPENSADO — furo deve ser verificado (cálculo abaixo)",OR(AND(B109&gt;=('Aberturas na Alma'!$M$4-'Aberturas na Alma'!$M$7/2)/100,B109&lt;=('Aberturas na Alma'!$M$4+'Aberturas na Alma'!$M$7/2)/100),ABS(B109-'Aberturas na Alma'!$M$4/100)&lt;=Geometria!$L$29/4000)),IF(E109="Reduzir",EA109,EB109),F109)</f>
        <v>2821.178058385464</v>
      </c>
      <c r="ED109">
        <f ca="1">-(AI109/('Aberturas na Alma'!$M$112/100^2))+(AJ109/('Aberturas na Alma'!$M$119/100^3))-((Geometria!$K$419)/('Aberturas na Alma'!$M$119/100^3))-((Geometria!$K$430)/('Aberturas na Alma'!$M$119/100^3))-((Geometria!$L$76*Geometria!$K$441)/('Aberturas na Alma'!$M$119/100^3))</f>
        <v>-51811.09198940107</v>
      </c>
      <c r="EE109">
        <f ca="1">-((IF(Z109="Sim",IF(X109="Sim",$AB$93,ER109),IF(X109="Sim",ET109,Geometria!$L$373)))/('Aberturas na Alma'!$M$112/100^2))+((IF(Z109="Sim",IF(X109="Sim",$AB$94,ES109),IF(X109="Sim",EU109,Geometria!$L$374)))/('Aberturas na Alma'!$M$119/100^3))-((Geometria!$K$419)/('Aberturas na Alma'!$M$119/100^3))-((Geometria!$K$430)/('Aberturas na Alma'!$M$119/100^3))-((Geometria!$L$76*Geometria!$K$441)/('Aberturas na Alma'!$M$119/100^3))</f>
        <v>-51811.09198940107</v>
      </c>
      <c r="EF109">
        <f ca="1">IF(AND('Aberturas na Alma'!$M$18="NÃO DISPENSADO — furo deve ser verificado (cálculo abaixo)",OR(AND(B109&gt;=('Aberturas na Alma'!$M$4-'Aberturas na Alma'!$M$7/2)/100,B109&lt;=('Aberturas na Alma'!$M$4+'Aberturas na Alma'!$M$7/2)/100),ABS(B109-'Aberturas na Alma'!$M$4/100)&lt;=Geometria!$L$29/4000)),IF(AB109="Reduzir",ED109,EE109),AC109)</f>
        <v>-51811.09198940107</v>
      </c>
      <c r="EG109">
        <f ca="1">-(BF109/('Aberturas na Alma'!$M$112/100^2))+(BG109/('Aberturas na Alma'!$M$119/100^3))-((Geometria!$K$419)/('Aberturas na Alma'!$M$119/100^3))-((Geometria!$K$430)/('Aberturas na Alma'!$M$119/100^3))-((Geometria!$L$76*Geometria!$K$441)/('Aberturas na Alma'!$M$119/100^3))</f>
        <v>-51811.09198940107</v>
      </c>
      <c r="EH109">
        <f ca="1">-((IF(AW109="Sim",IF(AU109="Sim",$AB$93,ER109),IF(AU109="Sim",ET109,Geometria!$L$373)))/('Aberturas na Alma'!$M$112/100^2))+((IF(AW109="Sim",IF(AU109="Sim",$AB$94,ES109),IF(AU109="Sim",EU109,Geometria!$L$374)))/('Aberturas na Alma'!$M$119/100^3))-((Geometria!$K$419)/('Aberturas na Alma'!$M$119/100^3))-((Geometria!$K$430)/('Aberturas na Alma'!$M$119/100^3))</f>
        <v>-14286.478708981525</v>
      </c>
      <c r="EI109">
        <f ca="1">IF(AND('Aberturas na Alma'!$M$18="NÃO DISPENSADO — furo deve ser verificado (cálculo abaixo)",OR(AND(B109&gt;=('Aberturas na Alma'!$M$4-'Aberturas na Alma'!$M$7/2)/100,B109&lt;=('Aberturas na Alma'!$M$4+'Aberturas na Alma'!$M$7/2)/100),ABS(B109-'Aberturas na Alma'!$M$4/100)&lt;=Geometria!$L$29/4000)),IF(AY109="Reduzir",EG109,EH109),AZ109)</f>
        <v>-14286.478708981525</v>
      </c>
      <c r="EJ109">
        <f ca="1">-(CC109/('Aberturas na Alma'!$M$112/100^2))+(CD109/('Aberturas na Alma'!$M$119/100^3))-((Geometria!$K$419)/('Aberturas na Alma'!$M$119/100^3))-((Geometria!$K$430)/('Aberturas na Alma'!$M$119/100^3))-((Geometria!$L$76*Geometria!$K$441)/('Aberturas na Alma'!$M$119/100^3))</f>
        <v>-51811.09198940107</v>
      </c>
      <c r="EK109">
        <f ca="1">-((IF(BT109="Sim",IF(BR109="Sim",$AB$93,ER109),IF(BR109="Sim",ET109,Geometria!$L$373)))/('Aberturas na Alma'!$M$112/100^2))+((IF(BT109="Sim",IF(BR109="Sim",$AB$94,ES109),IF(BR109="Sim",EU109,Geometria!$L$374)))/('Aberturas na Alma'!$M$119/100^3))-((Geometria!$K$676)/('Aberturas na Alma'!$M$119/100^3))-((Geometria!$K$687)/('Aberturas na Alma'!$M$119/100^3))-((Geometria!$L$77*Geometria!$K$698)/('Aberturas na Alma'!$M$119/100^3))</f>
        <v>-39302.88756259456</v>
      </c>
      <c r="EL109">
        <f ca="1">IF(AND('Aberturas na Alma'!$M$18="NÃO DISPENSADO — furo deve ser verificado (cálculo abaixo)",OR(AND(B109&gt;=('Aberturas na Alma'!$M$4-'Aberturas na Alma'!$M$7/2)/100,B109&lt;=('Aberturas na Alma'!$M$4+'Aberturas na Alma'!$M$7/2)/100),ABS(B109-'Aberturas na Alma'!$M$4/100)&lt;=Geometria!$L$29/4000)),IF(BV109="Reduzir",EJ109,EK109),BW109)</f>
        <v>-39302.88756259456</v>
      </c>
      <c r="EM109">
        <f ca="1">-(CZ109/('Aberturas na Alma'!$M$112/100^2))+(DA109/('Aberturas na Alma'!$M$119/100^3))-((Geometria!$K$419)/('Aberturas na Alma'!$M$119/100^3))-((Geometria!$K$430)/('Aberturas na Alma'!$M$119/100^3))-((Geometria!$L$76*Geometria!$K$441)/('Aberturas na Alma'!$M$119/100^3))</f>
        <v>-51811.09198940107</v>
      </c>
      <c r="EN109">
        <f ca="1">-((IF(CQ109="Sim",IF(CO109="Sim",$AB$93,ER109),IF(CO109="Sim",ET109,Geometria!$L$373)))/('Aberturas na Alma'!$M$112/100^2))+((IF(CQ109="Sim",IF(CO109="Sim",$AB$94,ES109),IF(CO109="Sim",EU109,Geometria!$L$374)))/('Aberturas na Alma'!$M$119/100^3))-((Geometria!$K$676)/('Aberturas na Alma'!$M$119/100^3))-((Geometria!$K$687)/('Aberturas na Alma'!$M$119/100^3))</f>
        <v>-14286.478708981525</v>
      </c>
      <c r="EO109">
        <f ca="1">IF(AND('Aberturas na Alma'!$M$18="NÃO DISPENSADO — furo deve ser verificado (cálculo abaixo)",OR(AND(B109&gt;=('Aberturas na Alma'!$M$4-'Aberturas na Alma'!$M$7/2)/100,B109&lt;=('Aberturas na Alma'!$M$4+'Aberturas na Alma'!$M$7/2)/100),ABS(B109-'Aberturas na Alma'!$M$4/100)&lt;=Geometria!$L$29/4000)),IF(CS109="Reduzir",EM109,EN109),CT109)</f>
        <v>-14286.478708981525</v>
      </c>
      <c r="EP109" t="str">
        <f>IF(AND(Y109&lt;Geometria!$L$1409/100,OR(Geometria!$K$1409&gt;0,Geometria!$K$1407&gt;0)),"ESQ",IF(AND((Geometria!$L$29/100-Y109)&lt;Geometria!$R$1409/100,OR(Geometria!$Q$1409&gt;0,Geometria!$Q$1407&gt;0)),"DIR","N/A"))</f>
        <v>N/A</v>
      </c>
      <c r="EQ109" t="str">
        <f>IF(AND(Y109&lt;Geometria!$L$1405/100,Geometria!$K$1405&gt;0),"ESQ",IF(AND((Geometria!$L$29/100-Y109)&lt;Geometria!$R$1405/100,Geometria!$Q$1405&gt;0),"DIR","N/A"))</f>
        <v>N/A</v>
      </c>
      <c r="ER109">
        <f ca="1">IF(EP109="DIR",Geometria!$L$1470,Geometria!$L$1452)</f>
        <v>1243.5596228306003</v>
      </c>
      <c r="ES109">
        <f ca="1">IF(EP109="DIR",Geometria!$L$1471,Geometria!$L$1453)</f>
        <v>233.16742928073757</v>
      </c>
      <c r="ET109">
        <f ca="1">IF(EQ109="DIR",Geometria!$L$1472,Geometria!$L$1454)</f>
        <v>621.7798114153002</v>
      </c>
      <c r="EU109">
        <f ca="1">IF(EQ109="DIR",Geometria!$L$1473,Geometria!$L$1455)</f>
        <v>177.20724625336052</v>
      </c>
      <c r="EV109" t="str">
        <f>IF(AND(B109&lt;Geometria!$L$1409/100,OR(Geometria!$K$1409&gt;0,Geometria!$K$1407&gt;0)),"ESQ",IF(AND((Geometria!$L$29/100-B109)&lt;Geometria!$R$1409/100,OR(Geometria!$Q$1409&gt;0,Geometria!$Q$1407&gt;0)),"DIR","N/A"))</f>
        <v>N/A</v>
      </c>
      <c r="EW109" t="str">
        <f>IF(AND(B109&lt;Geometria!$L$1405/100,Geometria!$K$1405&gt;0),"ESQ",IF(AND((Geometria!$L$29/100-B109)&lt;Geometria!$R$1405/100,Geometria!$Q$1405&gt;0),"DIR","N/A"))</f>
        <v>N/A</v>
      </c>
      <c r="EX109">
        <f ca="1">IF(EV109="DIR",Geometria!$L$1465,Geometria!$L$1447)</f>
        <v>1499.8056003831216</v>
      </c>
      <c r="EY109">
        <f ca="1">IF(EV109="DIR",Geometria!$L$1466,Geometria!$L$1448)</f>
        <v>281.2135500718353</v>
      </c>
      <c r="EZ109">
        <f ca="1">IF(EW109="DIR",Geometria!$L$1467,Geometria!$L$1449)</f>
        <v>749.9028001915608</v>
      </c>
      <c r="FA109">
        <f ca="1">IF(EW109="DIR",Geometria!$L$1468,Geometria!$L$1450)</f>
        <v>213.72229805459483</v>
      </c>
    </row>
    <row r="110" spans="1:157" x14ac:dyDescent="0.25">
      <c r="A110" s="376" t="str">
        <f>IF(OR(AND(B110&lt;Geometria!$L$1405/100,Geometria!$K$1405&gt;0),AND((Geometria!$L$29/100-B110)&lt;Geometria!$R$1405/100,Geometria!$Q$1405&gt;0)),"Sim","Não")</f>
        <v>Não</v>
      </c>
      <c r="B110" s="395">
        <f>Tensões!$C$66</f>
        <v>3.5325</v>
      </c>
      <c r="C110" s="376" t="str">
        <f>IF(OR(AND(B110&lt;Geometria!$L$1409/100,OR(Geometria!$K$1409&gt;0,Geometria!$K$1407&gt;0)),AND((Geometria!$L$29/100-B110)&lt;Geometria!$R$1409/100,OR(Geometria!$Q$1409&gt;0,Geometria!$Q$1407&gt;0))),"Sim","Não")</f>
        <v>Não</v>
      </c>
      <c r="D110" s="122" t="s">
        <v>438</v>
      </c>
      <c r="E110" s="198" t="str">
        <f ca="1">IF(Geometria!$L$440&lt;Geometria!$N$1307/100,"Reduzir","OK")</f>
        <v>OK</v>
      </c>
      <c r="F110" s="396">
        <f t="shared" ca="1" si="1"/>
        <v>4916.186690960654</v>
      </c>
      <c r="G110" s="397">
        <f ca="1">-L110/(Geometria!$L$48/100^2)+M110/(Geometria!$L$52/100^3)-Geometria!$L$898/(Geometria!$L$52/100^3)</f>
        <v>19619.50417527431</v>
      </c>
      <c r="H110" s="400">
        <f ca="1">((Geometria!$L$326*(Geometria!$L$900*100))/Geometria!$N$1307)</f>
        <v>440.81269602021155</v>
      </c>
      <c r="I110" s="743">
        <f ca="1">-(Geometria!$L$906-(Geometria!$L$906-EX110)*(1-(MIN(MIN(1,MAX(0,(B110-Geometria!$L$1409/100)/(Geometria!$N$1307/100))),MIN(1,MAX(0,((Geometria!$L$29/100-B110)-Geometria!$R$1409/100)/(Geometria!$N$1307/100))))))*(IF(OR(Geometria!$K$1409&gt;0,Geometria!$K$1407&gt;0,Geometria!$Q$1409&gt;0,Geometria!$Q$1407&gt;0),1,0))-(Geometria!$L$906-EZ110)*(1-(MIN(MIN(1,MAX(0,(B110-Geometria!$L$1405/100)/(Geometria!$N$1307/100))),MIN(1,MAX(0,((Geometria!$L$29/100-B110)-Geometria!$R$1405/100)/(Geometria!$N$1307/100))))))*(IF(OR(Geometria!$K$1405&gt;0,Geometria!$K$1403&gt;0,Geometria!$Q$1405&gt;0,Geometria!$Q$1403&gt;0),1,0)))/(Geometria!$L$48/100^2)+(Geometria!$L$907-(Geometria!$L$907-EY110)*(1-(MIN(MIN(1,MAX(0,(B110-Geometria!$L$1409/100)/(Geometria!$N$1307/100))),MIN(1,MAX(0,((Geometria!$L$29/100-B110)-Geometria!$R$1409/100)/(Geometria!$N$1307/100))))))*(IF(OR(Geometria!$K$1409&gt;0,Geometria!$K$1407&gt;0,Geometria!$Q$1409&gt;0,Geometria!$Q$1407&gt;0),1,0))-(Geometria!$L$907-FA110)*(1-(MIN(MIN(1,MAX(0,(B110-Geometria!$L$1405/100)/(Geometria!$N$1307/100))),MIN(1,MAX(0,((Geometria!$L$29/100-B110)-Geometria!$R$1405/100)/(Geometria!$N$1307/100))))))*(IF(OR(Geometria!$K$1405&gt;0,Geometria!$K$1403&gt;0,Geometria!$Q$1405&gt;0,Geometria!$Q$1403&gt;0),1,0)))/(Geometria!$L$52/100^3)-Geometria!$L$901/(Geometria!$L$52/100^3)</f>
        <v>4916.186690960654</v>
      </c>
      <c r="J110" s="743"/>
      <c r="L110" s="373">
        <f ca="1">(Geometria!$L$298-(Geometria!$L$298-IF(B110&lt;Geometria!$L$1409/100,Geometria!$L$1442,Geometria!$L$1460))*(1-(MIN(MIN(1,MAX(0,(B110-Geometria!$L$1409/100)/(Geometria!$N$1307/100))),MIN(1,MAX(0,((Geometria!$L$29/100-B110)-Geometria!$R$1409/100)/(Geometria!$N$1307/100))))))*(IF(OR(Geometria!$K$1409&gt;0,Geometria!$K$1407&gt;0,Geometria!$Q$1409&gt;0,Geometria!$Q$1407&gt;0),1,0))-(Geometria!$L$298-IF(B110&lt;Geometria!$L$1405/100,Geometria!$L$1444,Geometria!$L$1462))*(1-(MIN(MIN(1,MAX(0,(B110-Geometria!$L$1405/100)/(Geometria!$N$1307/100))),MIN(1,MAX(0,((Geometria!$L$29/100-B110)-Geometria!$R$1405/100)/(Geometria!$N$1307/100))))))*(IF(OR(Geometria!$K$1405&gt;0,Geometria!$K$1403&gt;0,Geometria!$Q$1405&gt;0,Geometria!$Q$1403&gt;0),1,0)))*H133+Geometria!$P$1429*H110</f>
        <v>4125.078808020716</v>
      </c>
      <c r="M110" s="373">
        <f ca="1">(Geometria!$L$298-(Geometria!$L$298-IF(B110&lt;Geometria!$L$1409/100,Geometria!$L$1442,Geometria!$L$1460))*(1-(MIN(MIN(1,MAX(0,(B110-Geometria!$L$1409/100)/(Geometria!$N$1307/100))),MIN(1,MAX(0,((Geometria!$L$29/100-B110)-Geometria!$R$1409/100)/(Geometria!$N$1307/100))))))*(IF(OR(Geometria!$K$1409&gt;0,Geometria!$K$1407&gt;0,Geometria!$Q$1409&gt;0,Geometria!$Q$1407&gt;0),1,0))-(Geometria!$L$298-IF(B110&lt;Geometria!$L$1405/100,Geometria!$L$1444,Geometria!$L$1462))*(1-(MIN(MIN(1,MAX(0,(B110-Geometria!$L$1405/100)/(Geometria!$N$1307/100))),MIN(1,MAX(0,((Geometria!$L$29/100-B110)-Geometria!$R$1405/100)/(Geometria!$N$1307/100))))))*(IF(OR(Geometria!$K$1405&gt;0,Geometria!$K$1403&gt;0,Geometria!$Q$1405&gt;0,Geometria!$Q$1403&gt;0),1,0)))*H133*(Geometria!$L$299-(Geometria!$L$299-IF(B110&lt;Geometria!$L$1409/100,Geometria!$L$1443,Geometria!$L$1461))*(1-(MIN(MIN(1,MAX(0,(B110-Geometria!$L$1409/100)/(Geometria!$N$1307/100))),MIN(1,MAX(0,((Geometria!$L$29/100-B110)-Geometria!$R$1409/100)/(Geometria!$N$1307/100))))))*(IF(OR(Geometria!$K$1409&gt;0,Geometria!$K$1407&gt;0,Geometria!$Q$1409&gt;0,Geometria!$Q$1407&gt;0),1,0))-(Geometria!$L$299-IF(B110&lt;Geometria!$L$1405/100,Geometria!$L$1445,Geometria!$L$1463))*(1-(MIN(MIN(1,MAX(0,(B110-Geometria!$L$1405/100)/(Geometria!$N$1307/100))),MIN(1,MAX(0,((Geometria!$L$29/100-B110)-Geometria!$R$1405/100)/(Geometria!$N$1307/100))))))*(IF(OR(Geometria!$K$1405&gt;0,Geometria!$K$1403&gt;0,Geometria!$Q$1405&gt;0,Geometria!$Q$1403&gt;0),1,0)))/100-Geometria!$P$1429*H110*Geometria!$L$1438/100</f>
        <v>773.4522765038841</v>
      </c>
      <c r="N110" s="365"/>
      <c r="O110" s="371">
        <f ca="1">(IF(C110="Sim",IF(A110="Sim",$E$93,EX110),IF(A110="Sim",EZ110,Geometria!$L$906)))</f>
        <v>1475.413282676191</v>
      </c>
      <c r="P110" s="371">
        <f ca="1">(IF(C110="Sim",IF(A110="Sim",$E$94,EY110),IF(A110="Sim",FA110,Geometria!$L$907)))</f>
        <v>276.63999050178586</v>
      </c>
      <c r="R110" s="4" t="s">
        <v>438</v>
      </c>
      <c r="S110" s="202">
        <f t="shared" ca="1" si="11"/>
        <v>4916.186690960654</v>
      </c>
      <c r="T110" s="38" t="s">
        <v>234</v>
      </c>
      <c r="U110" s="203">
        <f t="shared" ca="1" si="2"/>
        <v>4.916186690960655</v>
      </c>
      <c r="V110" s="38" t="s">
        <v>160</v>
      </c>
      <c r="W110" s="399">
        <f t="shared" si="12"/>
        <v>0.0</v>
      </c>
      <c r="X110" s="376" t="str">
        <f>IF(OR(AND(Y110&lt;Geometria!$L$1405/100,Geometria!$K$1405&gt;0),AND((Geometria!$L$29/100-Y110)&lt;Geometria!$R$1405/100,Geometria!$Q$1405&gt;0)),"Sim","Não")</f>
        <v>Não</v>
      </c>
      <c r="Y110" s="395">
        <f>Geometria!$L$418</f>
        <v>3.5325</v>
      </c>
      <c r="Z110" s="376" t="str">
        <f>IF(OR(AND(Y110&lt;Geometria!$L$1409/100,OR(Geometria!$K$1409&gt;0,Geometria!$K$1407&gt;0)),AND((Geometria!$L$29/100-Y110)&lt;Geometria!$R$1409/100,OR(Geometria!$Q$1409&gt;0,Geometria!$Q$1407&gt;0))),"Sim","Não")</f>
        <v>Não</v>
      </c>
      <c r="AA110" s="122" t="s">
        <v>438</v>
      </c>
      <c r="AB110" s="198" t="str">
        <f ca="1">IF(Geometria!$L$440&lt;Geometria!$N$1307/100,"Reduzir","OK")</f>
        <v>OK</v>
      </c>
      <c r="AC110" s="401">
        <f t="shared" ca="1" si="3"/>
        <v>-9857.390310856132</v>
      </c>
      <c r="AD110" s="403">
        <f ca="1">-(AI110/(Geometria!$L$48/100^2))+(AJ110/(Geometria!$L$52/100^3))-((Geometria!$L$419)/(Geometria!$L$52/100^3))-((Geometria!$L$430)/(Geometria!$M$52))-((Geometria!$L$76*Geometria!$L$441)/(Geometria!$M$52))</f>
        <v>-9857.390310856132</v>
      </c>
      <c r="AE110" s="400">
        <f ca="1">((Geometria!$N$369*(Geometria!$L$900*100))/Geometria!$N$1307)</f>
        <v>372.48757273952606</v>
      </c>
      <c r="AF110" s="751">
        <f ca="1">-((Geometria!$L$373-(Geometria!$L$373-ER110)*(1-(MIN(MIN(1,MAX(0,(Y110-Geometria!$L$1409/100)/(Geometria!$N$1307/100))),MIN(1,MAX(0,((Geometria!$L$29/100-Y110)-Geometria!$R$1409/100)/(Geometria!$N$1307/100))))))*(IF(OR(Geometria!$K$1409&gt;0,Geometria!$K$1407&gt;0,Geometria!$Q$1409&gt;0,Geometria!$Q$1407&gt;0),1,0))-(Geometria!$L$373-ET110)*(1-(MIN(MIN(1,MAX(0,(Y110-Geometria!$L$1405/100)/(Geometria!$N$1307/100))),MIN(1,MAX(0,((Geometria!$L$29/100-Y110)-Geometria!$R$1405/100)/(Geometria!$N$1307/100))))))*(IF(OR(Geometria!$K$1405&gt;0,Geometria!$K$1403&gt;0,Geometria!$Q$1405&gt;0,Geometria!$Q$1403&gt;0),1,0))))/(Geometria!$L$48/100^2)+((Geometria!$L$374-(Geometria!$L$374-ES110)*(1-(MIN(MIN(1,MAX(0,(Y110-Geometria!$L$1409/100)/(Geometria!$N$1307/100))),MIN(1,MAX(0,((Geometria!$L$29/100-Y110)-Geometria!$R$1409/100)/(Geometria!$N$1307/100))))))*(IF(OR(Geometria!$K$1409&gt;0,Geometria!$K$1407&gt;0,Geometria!$Q$1409&gt;0,Geometria!$Q$1407&gt;0),1,0))-(Geometria!$L$374-EU110)*(1-(MIN(MIN(1,MAX(0,(Y110-Geometria!$L$1405/100)/(Geometria!$N$1307/100))),MIN(1,MAX(0,((Geometria!$L$29/100-Y110)-Geometria!$R$1405/100)/(Geometria!$N$1307/100))))))*(IF(OR(Geometria!$K$1405&gt;0,Geometria!$K$1403&gt;0,Geometria!$Q$1405&gt;0,Geometria!$Q$1403&gt;0),1,0))))/(Geometria!$L$52/100^3)-((Geometria!$L$419)/(Geometria!$L$52/100^3))-((Geometria!$L$430)/(Geometria!$M$52))-((Geometria!$L$76*Geometria!$L$441)/(Geometria!$M$52))</f>
        <v>-9857.390310856132</v>
      </c>
      <c r="AG110" s="751"/>
      <c r="AI110" s="373">
        <f ca="1">(IF(Z110="Sim",IF(X110="Sim",IF(Y110&lt;Geometria!$L$1405/100,Geometria!$L$1435,Geometria!$L$1476),IF(Y110&lt;Geometria!$L$1409/100,Geometria!$L$1442,Geometria!$L$1460)),IF(X110="Sim",IF(Y110&lt;Geometria!$L$1405/100,Geometria!$L$1444,Geometria!$L$1462),Geometria!$L$298)))*AE133+Geometria!$P$1429*AE110</f>
        <v>1243.5596228306003</v>
      </c>
      <c r="AJ110" s="373">
        <f ca="1">(IF(Z110="Sim",IF(X110="Sim",IF(Y110&lt;Geometria!$L$1405/100,Geometria!$L$1435,Geometria!$L$1476),IF(Y110&lt;Geometria!$L$1409/100,Geometria!$L$1442,Geometria!$L$1460)),IF(X110="Sim",IF(Y110&lt;Geometria!$L$1405/100,Geometria!$L$1444,Geometria!$L$1462),Geometria!$L$298)))*AE133*(IF(Z110="Sim",IF(X110="Sim",IF(Y110&lt;Geometria!$L$1405/100,Geometria!$L$1436,Geometria!$L$1484),IF(Y110&lt;Geometria!$L$1409/100,Geometria!$L$1443,Geometria!$L$1461)),IF(X110="Sim",IF(Y110&lt;Geometria!$L$1405/100,Geometria!$L$1445,Geometria!$L$1463),Geometria!$L$299)))/100-Geometria!$P$1429*AE110*Geometria!$L$1438/100</f>
        <v>233.16742928073757</v>
      </c>
      <c r="AK110" s="365"/>
      <c r="AL110" s="371">
        <f ca="1">(IF(Z110="Sim",IF(X110="Sim",$AB$93,ER110),IF(X110="Sim",ET110,Geometria!$L$373)))</f>
        <v>1243.5596228306003</v>
      </c>
      <c r="AM110" s="371">
        <f ca="1">(IF(Z110="Sim",IF(X110="Sim",$AB$94,ES110),IF(X110="Sim",EU110,Geometria!$L$374)))</f>
        <v>233.16742928073757</v>
      </c>
      <c r="AO110" s="4" t="s">
        <v>438</v>
      </c>
      <c r="AP110" s="202">
        <f t="shared" ca="1" si="13"/>
        <v>-9857.390310856132</v>
      </c>
      <c r="AQ110" s="38" t="s">
        <v>234</v>
      </c>
      <c r="AR110" s="203">
        <f t="shared" ca="1" si="4"/>
        <v>-9.857390310856132</v>
      </c>
      <c r="AS110" s="38" t="s">
        <v>160</v>
      </c>
      <c r="AT110" s="399">
        <f t="shared" si="14"/>
        <v>0.0</v>
      </c>
      <c r="AU110" s="376" t="str">
        <f>IF(OR(AND(AV110&lt;Geometria!$L$1405/100,Geometria!$K$1405&gt;0),AND((Geometria!$L$29/100-AV110)&lt;Geometria!$R$1405/100,Geometria!$Q$1405&gt;0)),"Sim","Não")</f>
        <v>Não</v>
      </c>
      <c r="AV110" s="395">
        <f>Geometria!$L$418</f>
        <v>3.5325</v>
      </c>
      <c r="AW110" s="376" t="str">
        <f>IF(OR(AND(AV110&lt;Geometria!$L$1409/100,OR(Geometria!$K$1409&gt;0,Geometria!$K$1407&gt;0)),AND((Geometria!$L$29/100-AV110)&lt;Geometria!$R$1409/100,OR(Geometria!$Q$1409&gt;0,Geometria!$Q$1407&gt;0))),"Sim","Não")</f>
        <v>Não</v>
      </c>
      <c r="AX110" s="122" t="s">
        <v>438</v>
      </c>
      <c r="AY110" s="198" t="str">
        <f ca="1">IF(Geometria!$L$440&lt;Geometria!$N$1307/100,"Reduzir","OK")</f>
        <v>OK</v>
      </c>
      <c r="AZ110" s="401">
        <f t="shared" ca="1" si="5"/>
        <v>-9857.380382525545</v>
      </c>
      <c r="BA110" s="403">
        <f ca="1">-(BF110/(Geometria!$L$48/100^2))+(BG110/(Geometria!$L$52/100^3))-((Geometria!$L$419)/(Geometria!$L$52/100^3))-((Geometria!$L$430)/(Geometria!$M$52))-((Geometria!$L$76*Geometria!$L$441)/(Geometria!$M$52))</f>
        <v>-9857.390310856132</v>
      </c>
      <c r="BB110" s="400">
        <f ca="1">((Geometria!$N$369*(Geometria!$L$900*100))/Geometria!$N$1307)</f>
        <v>372.48757273952606</v>
      </c>
      <c r="BC110" s="751">
        <f ca="1">-((Geometria!$L$373-(Geometria!$L$373-ER110)*(1-(MIN(MIN(1,MAX(0,(AV110-Geometria!$L$1409/100)/(Geometria!$N$1307/100))),MIN(1,MAX(0,((Geometria!$L$29/100-AV110)-Geometria!$R$1409/100)/(Geometria!$N$1307/100))))))*(IF(OR(Geometria!$K$1409&gt;0,Geometria!$K$1407&gt;0,Geometria!$Q$1409&gt;0,Geometria!$Q$1407&gt;0),1,0))-(Geometria!$L$373-ET110)*(1-(MIN(MIN(1,MAX(0,(AV110-Geometria!$L$1405/100)/(Geometria!$N$1307/100))),MIN(1,MAX(0,((Geometria!$L$29/100-AV110)-Geometria!$R$1405/100)/(Geometria!$N$1307/100))))))*(IF(OR(Geometria!$K$1405&gt;0,Geometria!$K$1403&gt;0,Geometria!$Q$1405&gt;0,Geometria!$Q$1403&gt;0),1,0))))/(Geometria!$L$48/100^2)+((Geometria!$L$374-(Geometria!$L$374-ES110)*(1-(MIN(MIN(1,MAX(0,(AV110-Geometria!$L$1409/100)/(Geometria!$N$1307/100))),MIN(1,MAX(0,((Geometria!$L$29/100-AV110)-Geometria!$R$1409/100)/(Geometria!$N$1307/100))))))*(IF(OR(Geometria!$K$1409&gt;0,Geometria!$K$1407&gt;0,Geometria!$Q$1409&gt;0,Geometria!$Q$1407&gt;0),1,0))-(Geometria!$L$374-EU110)*(1-(MIN(MIN(1,MAX(0,(AV110-Geometria!$L$1405/100)/(Geometria!$N$1307/100))),MIN(1,MAX(0,((Geometria!$L$29/100-AV110)-Geometria!$R$1405/100)/(Geometria!$N$1307/100))))))*(IF(OR(Geometria!$K$1405&gt;0,Geometria!$K$1403&gt;0,Geometria!$Q$1405&gt;0,Geometria!$Q$1403&gt;0),1,0))))/(Geometria!$L$52/100^3)-((Geometria!$L$419)/(Geometria!$L$52/100^3))-((Geometria!$L$430)/(Geometria!$M$52))</f>
        <v>-9857.380382525545</v>
      </c>
      <c r="BD110" s="751"/>
      <c r="BF110" s="373">
        <f ca="1">(Geometria!$L$298-(Geometria!$L$298-IF(AV110&lt;Geometria!$L$1409/100,Geometria!$L$1442,Geometria!$L$1460))*(1-(MIN(MIN(1,MAX(0,(AV110-Geometria!$L$1409/100)/(Geometria!$N$1307/100))),MIN(1,MAX(0,((Geometria!$L$29/100-AV110)-Geometria!$R$1409/100)/(Geometria!$N$1307/100))))))*(IF(OR(Geometria!$K$1409&gt;0,Geometria!$K$1407&gt;0,Geometria!$Q$1409&gt;0,Geometria!$Q$1407&gt;0),1,0))-(Geometria!$L$298-IF(AV110&lt;Geometria!$L$1405/100,Geometria!$L$1444,Geometria!$L$1462))*(1-(MIN(MIN(1,MAX(0,(AV110-Geometria!$L$1405/100)/(Geometria!$N$1307/100))),MIN(1,MAX(0,((Geometria!$L$29/100-AV110)-Geometria!$R$1405/100)/(Geometria!$N$1307/100))))))*(IF(OR(Geometria!$K$1405&gt;0,Geometria!$K$1403&gt;0,Geometria!$Q$1405&gt;0,Geometria!$Q$1403&gt;0),1,0)))*BB133+Geometria!$P$1429*BB110</f>
        <v>1243.5596228306003</v>
      </c>
      <c r="BG110" s="373">
        <f ca="1">(Geometria!$L$298-(Geometria!$L$298-IF(AV110&lt;Geometria!$L$1409/100,Geometria!$L$1442,Geometria!$L$1460))*(1-(MIN(MIN(1,MAX(0,(AV110-Geometria!$L$1409/100)/(Geometria!$N$1307/100))),MIN(1,MAX(0,((Geometria!$L$29/100-AV110)-Geometria!$R$1409/100)/(Geometria!$N$1307/100))))))*(IF(OR(Geometria!$K$1409&gt;0,Geometria!$K$1407&gt;0,Geometria!$Q$1409&gt;0,Geometria!$Q$1407&gt;0),1,0))-(Geometria!$L$298-IF(AV110&lt;Geometria!$L$1405/100,Geometria!$L$1444,Geometria!$L$1462))*(1-(MIN(MIN(1,MAX(0,(AV110-Geometria!$L$1405/100)/(Geometria!$N$1307/100))),MIN(1,MAX(0,((Geometria!$L$29/100-AV110)-Geometria!$R$1405/100)/(Geometria!$N$1307/100))))))*(IF(OR(Geometria!$K$1405&gt;0,Geometria!$K$1403&gt;0,Geometria!$Q$1405&gt;0,Geometria!$Q$1403&gt;0),1,0)))*BB133*(Geometria!$L$299-(Geometria!$L$299-IF(AV110&lt;Geometria!$L$1409/100,Geometria!$L$1443,Geometria!$L$1461))*(1-(MIN(MIN(1,MAX(0,(AV110-Geometria!$L$1409/100)/(Geometria!$N$1307/100))),MIN(1,MAX(0,((Geometria!$L$29/100-AV110)-Geometria!$R$1409/100)/(Geometria!$N$1307/100))))))*(IF(OR(Geometria!$K$1409&gt;0,Geometria!$K$1407&gt;0,Geometria!$Q$1409&gt;0,Geometria!$Q$1407&gt;0),1,0))-(Geometria!$L$299-IF(AV110&lt;Geometria!$L$1405/100,Geometria!$L$1445,Geometria!$L$1463))*(1-(MIN(MIN(1,MAX(0,(AV110-Geometria!$L$1405/100)/(Geometria!$N$1307/100))),MIN(1,MAX(0,((Geometria!$L$29/100-AV110)-Geometria!$R$1405/100)/(Geometria!$N$1307/100))))))*(IF(OR(Geometria!$K$1405&gt;0,Geometria!$K$1403&gt;0,Geometria!$Q$1405&gt;0,Geometria!$Q$1403&gt;0),1,0)))/100-Geometria!$P$1429*BB110*Geometria!$L$1438/100</f>
        <v>233.16742928073757</v>
      </c>
      <c r="BH110" s="365"/>
      <c r="BI110" s="371">
        <f ca="1">(IF(AW110="Sim",IF(AU110="Sim",$AB$93,ER110),IF(AU110="Sim",ET110,Geometria!$L$373)))</f>
        <v>1243.5596228306003</v>
      </c>
      <c r="BJ110" s="371">
        <f ca="1">(IF(AW110="Sim",IF(AU110="Sim",$AB$94,ES110),IF(AU110="Sim",EU110,Geometria!$L$374)))</f>
        <v>233.16742928073757</v>
      </c>
      <c r="BL110" s="4" t="s">
        <v>438</v>
      </c>
      <c r="BM110" s="202">
        <f t="shared" ca="1" si="15"/>
        <v>-9857.380382525545</v>
      </c>
      <c r="BN110" s="38" t="s">
        <v>234</v>
      </c>
      <c r="BO110" s="203">
        <f t="shared" ca="1" si="6"/>
        <v>-9.857380382525545</v>
      </c>
      <c r="BP110" s="38" t="s">
        <v>160</v>
      </c>
      <c r="BQ110" s="399">
        <f t="shared" si="16"/>
        <v>0.0</v>
      </c>
      <c r="BR110" s="376" t="str">
        <f>IF(OR(AND(BS110&lt;Geometria!$L$1405/100,Geometria!$K$1405&gt;0),AND((Geometria!$L$29/100-BS110)&lt;Geometria!$R$1405/100,Geometria!$Q$1405&gt;0)),"Sim","Não")</f>
        <v>Não</v>
      </c>
      <c r="BS110" s="395">
        <f>Geometria!$L$418</f>
        <v>3.5325</v>
      </c>
      <c r="BT110" s="376" t="str">
        <f>IF(OR(AND(BS110&lt;Geometria!$L$1409/100,OR(Geometria!$K$1409&gt;0,Geometria!$K$1407&gt;0)),AND((Geometria!$L$29/100-BS110)&lt;Geometria!$R$1409/100,OR(Geometria!$Q$1409&gt;0,Geometria!$Q$1407&gt;0))),"Sim","Não")</f>
        <v>Não</v>
      </c>
      <c r="BU110" s="122" t="s">
        <v>438</v>
      </c>
      <c r="BV110" s="198" t="str">
        <f ca="1">IF(Geometria!$L$440&lt;Geometria!$N$1307/100,"Reduzir","OK")</f>
        <v>OK</v>
      </c>
      <c r="BW110" s="401">
        <f t="shared" ca="1" si="7"/>
        <v>-9857.387001412602</v>
      </c>
      <c r="BX110" s="403">
        <f ca="1">-(CC110/(Geometria!$L$48/100^2))+(CD110/(Geometria!$L$52/100^3))-((Geometria!$L$419)/(Geometria!$L$52/100^3))-((Geometria!$L$430)/(Geometria!$M$52))-((Geometria!$L$76*Geometria!$L$441)/(Geometria!$M$52))</f>
        <v>-9857.390310856132</v>
      </c>
      <c r="BY110" s="400">
        <f ca="1">((Geometria!$N$369*(Geometria!$L$900*100))/Geometria!$N$1307)</f>
        <v>372.48757273952606</v>
      </c>
      <c r="BZ110" s="751">
        <f ca="1">-((Geometria!$L$373-(Geometria!$L$373-ER110)*(1-(MIN(MIN(1,MAX(0,(BS110-Geometria!$L$1409/100)/(Geometria!$N$1307/100))),MIN(1,MAX(0,((Geometria!$L$29/100-BS110)-Geometria!$R$1409/100)/(Geometria!$N$1307/100))))))*(IF(OR(Geometria!$K$1409&gt;0,Geometria!$K$1407&gt;0,Geometria!$Q$1409&gt;0,Geometria!$Q$1407&gt;0),1,0))-(Geometria!$L$373-ET110)*(1-(MIN(MIN(1,MAX(0,(BS110-Geometria!$L$1405/100)/(Geometria!$N$1307/100))),MIN(1,MAX(0,((Geometria!$L$29/100-BS110)-Geometria!$R$1405/100)/(Geometria!$N$1307/100))))))*(IF(OR(Geometria!$K$1405&gt;0,Geometria!$K$1403&gt;0,Geometria!$Q$1405&gt;0,Geometria!$Q$1403&gt;0),1,0))))/(Geometria!$L$48/100^2)+((Geometria!$L$374-(Geometria!$L$374-ES110)*(1-(MIN(MIN(1,MAX(0,(BS110-Geometria!$L$1409/100)/(Geometria!$N$1307/100))),MIN(1,MAX(0,((Geometria!$L$29/100-BS110)-Geometria!$R$1409/100)/(Geometria!$N$1307/100))))))*(IF(OR(Geometria!$K$1409&gt;0,Geometria!$K$1407&gt;0,Geometria!$Q$1409&gt;0,Geometria!$Q$1407&gt;0),1,0))-(Geometria!$L$374-EU110)*(1-(MIN(MIN(1,MAX(0,(BS110-Geometria!$L$1405/100)/(Geometria!$N$1307/100))),MIN(1,MAX(0,((Geometria!$L$29/100-BS110)-Geometria!$R$1405/100)/(Geometria!$N$1307/100))))))*(IF(OR(Geometria!$K$1405&gt;0,Geometria!$K$1403&gt;0,Geometria!$Q$1405&gt;0,Geometria!$Q$1403&gt;0),1,0))))/(Geometria!$L$52/100^3)-((Geometria!$L$676)/(Geometria!$L$52/100^3))-((Geometria!$L$687)/(Geometria!$M$52))-((Geometria!$L$77*Geometria!$L$698)/(Geometria!$M$52))</f>
        <v>-9857.387001412602</v>
      </c>
      <c r="CA110" s="751"/>
      <c r="CC110" s="373">
        <f ca="1">(Geometria!$L$298-(Geometria!$L$298-IF(BS110&lt;Geometria!$L$1409/100,Geometria!$L$1442,Geometria!$L$1460))*(1-(MIN(MIN(1,MAX(0,(BS110-Geometria!$L$1409/100)/(Geometria!$N$1307/100))),MIN(1,MAX(0,((Geometria!$L$29/100-BS110)-Geometria!$R$1409/100)/(Geometria!$N$1307/100))))))*(IF(OR(Geometria!$K$1409&gt;0,Geometria!$K$1407&gt;0,Geometria!$Q$1409&gt;0,Geometria!$Q$1407&gt;0),1,0))-(Geometria!$L$298-IF(BS110&lt;Geometria!$L$1405/100,Geometria!$L$1444,Geometria!$L$1462))*(1-(MIN(MIN(1,MAX(0,(BS110-Geometria!$L$1405/100)/(Geometria!$N$1307/100))),MIN(1,MAX(0,((Geometria!$L$29/100-BS110)-Geometria!$R$1405/100)/(Geometria!$N$1307/100))))))*(IF(OR(Geometria!$K$1405&gt;0,Geometria!$K$1403&gt;0,Geometria!$Q$1405&gt;0,Geometria!$Q$1403&gt;0),1,0)))*BY133+Geometria!$P$1429*BY110</f>
        <v>1243.5596228306003</v>
      </c>
      <c r="CD110" s="373">
        <f ca="1">(Geometria!$L$298-(Geometria!$L$298-IF(BS110&lt;Geometria!$L$1409/100,Geometria!$L$1442,Geometria!$L$1460))*(1-(MIN(MIN(1,MAX(0,(BS110-Geometria!$L$1409/100)/(Geometria!$N$1307/100))),MIN(1,MAX(0,((Geometria!$L$29/100-BS110)-Geometria!$R$1409/100)/(Geometria!$N$1307/100))))))*(IF(OR(Geometria!$K$1409&gt;0,Geometria!$K$1407&gt;0,Geometria!$Q$1409&gt;0,Geometria!$Q$1407&gt;0),1,0))-(Geometria!$L$298-IF(BS110&lt;Geometria!$L$1405/100,Geometria!$L$1444,Geometria!$L$1462))*(1-(MIN(MIN(1,MAX(0,(BS110-Geometria!$L$1405/100)/(Geometria!$N$1307/100))),MIN(1,MAX(0,((Geometria!$L$29/100-BS110)-Geometria!$R$1405/100)/(Geometria!$N$1307/100))))))*(IF(OR(Geometria!$K$1405&gt;0,Geometria!$K$1403&gt;0,Geometria!$Q$1405&gt;0,Geometria!$Q$1403&gt;0),1,0)))*BY133*(Geometria!$L$299-(Geometria!$L$299-IF(BS110&lt;Geometria!$L$1409/100,Geometria!$L$1443,Geometria!$L$1461))*(1-(MIN(MIN(1,MAX(0,(BS110-Geometria!$L$1409/100)/(Geometria!$N$1307/100))),MIN(1,MAX(0,((Geometria!$L$29/100-BS110)-Geometria!$R$1409/100)/(Geometria!$N$1307/100))))))*(IF(OR(Geometria!$K$1409&gt;0,Geometria!$K$1407&gt;0,Geometria!$Q$1409&gt;0,Geometria!$Q$1407&gt;0),1,0))-(Geometria!$L$299-IF(BS110&lt;Geometria!$L$1405/100,Geometria!$L$1445,Geometria!$L$1463))*(1-(MIN(MIN(1,MAX(0,(BS110-Geometria!$L$1405/100)/(Geometria!$N$1307/100))),MIN(1,MAX(0,((Geometria!$L$29/100-BS110)-Geometria!$R$1405/100)/(Geometria!$N$1307/100))))))*(IF(OR(Geometria!$K$1405&gt;0,Geometria!$K$1403&gt;0,Geometria!$Q$1405&gt;0,Geometria!$Q$1403&gt;0),1,0)))/100-Geometria!$P$1429*BY110*Geometria!$L$1438/100</f>
        <v>233.16742928073757</v>
      </c>
      <c r="CE110" s="365"/>
      <c r="CF110" s="371">
        <f ca="1">(IF(BT110="Sim",IF(BR110="Sim",$AB$93,ER110),IF(BR110="Sim",ET110,Geometria!$L$373)))</f>
        <v>1243.5596228306003</v>
      </c>
      <c r="CG110" s="371">
        <f ca="1">(IF(BT110="Sim",IF(BR110="Sim",$AB$94,ES110),IF(BR110="Sim",EU110,Geometria!$L$374)))</f>
        <v>233.16742928073757</v>
      </c>
      <c r="CI110" s="4" t="s">
        <v>438</v>
      </c>
      <c r="CJ110" s="202">
        <f t="shared" ca="1" si="17"/>
        <v>-9857.387001412602</v>
      </c>
      <c r="CK110" s="38" t="s">
        <v>234</v>
      </c>
      <c r="CL110" s="203">
        <f t="shared" ca="1" si="8"/>
        <v>-9.857387001412603</v>
      </c>
      <c r="CM110" s="38" t="s">
        <v>160</v>
      </c>
      <c r="CN110" s="399">
        <f t="shared" si="18"/>
        <v>0.0</v>
      </c>
      <c r="CO110" s="376" t="str">
        <f>IF(OR(AND(CP110&lt;Geometria!$L$1405/100,Geometria!$K$1405&gt;0),AND((Geometria!$L$29/100-CP110)&lt;Geometria!$R$1405/100,Geometria!$Q$1405&gt;0)),"Sim","Não")</f>
        <v>Não</v>
      </c>
      <c r="CP110" s="395">
        <f>Geometria!$L$418</f>
        <v>3.5325</v>
      </c>
      <c r="CQ110" s="376" t="str">
        <f>IF(OR(AND(CP110&lt;Geometria!$L$1409/100,OR(Geometria!$K$1409&gt;0,Geometria!$K$1407&gt;0)),AND((Geometria!$L$29/100-CP110)&lt;Geometria!$R$1409/100,OR(Geometria!$Q$1409&gt;0,Geometria!$Q$1407&gt;0))),"Sim","Não")</f>
        <v>Não</v>
      </c>
      <c r="CR110" s="122" t="s">
        <v>438</v>
      </c>
      <c r="CS110" s="198" t="str">
        <f ca="1">IF(Geometria!$L$440&lt;Geometria!$N$1307/100,"Reduzir","OK")</f>
        <v>OK</v>
      </c>
      <c r="CT110" s="401">
        <f t="shared" ca="1" si="9"/>
        <v>-9857.380382525545</v>
      </c>
      <c r="CU110" s="403">
        <f ca="1">-(CZ110/(Geometria!$L$48/100^2))+(DA110/(Geometria!$L$52/100^3))-((Geometria!$L$419)/(Geometria!$L$52/100^3))-((Geometria!$L$430)/(Geometria!$M$52))-((Geometria!$L$76*Geometria!$L$441)/(Geometria!$M$52))</f>
        <v>-9857.390310856132</v>
      </c>
      <c r="CV110" s="400">
        <f ca="1">((Geometria!$N$369*(Geometria!$L$900*100))/Geometria!$N$1307)</f>
        <v>372.48757273952606</v>
      </c>
      <c r="CW110" s="751">
        <f ca="1">-((Geometria!$L$373-(Geometria!$L$373-ER110)*(1-(MIN(MIN(1,MAX(0,(CP110-Geometria!$L$1409/100)/(Geometria!$N$1307/100))),MIN(1,MAX(0,((Geometria!$L$29/100-CP110)-Geometria!$R$1409/100)/(Geometria!$N$1307/100))))))*(IF(OR(Geometria!$K$1409&gt;0,Geometria!$K$1407&gt;0,Geometria!$Q$1409&gt;0,Geometria!$Q$1407&gt;0),1,0))-(Geometria!$L$373-ET110)*(1-(MIN(MIN(1,MAX(0,(CP110-Geometria!$L$1405/100)/(Geometria!$N$1307/100))),MIN(1,MAX(0,((Geometria!$L$29/100-CP110)-Geometria!$R$1405/100)/(Geometria!$N$1307/100))))))*(IF(OR(Geometria!$K$1405&gt;0,Geometria!$K$1403&gt;0,Geometria!$Q$1405&gt;0,Geometria!$Q$1403&gt;0),1,0))))/(Geometria!$L$48/100^2)+((Geometria!$L$374-(Geometria!$L$374-ES110)*(1-(MIN(MIN(1,MAX(0,(CP110-Geometria!$L$1409/100)/(Geometria!$N$1307/100))),MIN(1,MAX(0,((Geometria!$L$29/100-CP110)-Geometria!$R$1409/100)/(Geometria!$N$1307/100))))))*(IF(OR(Geometria!$K$1409&gt;0,Geometria!$K$1407&gt;0,Geometria!$Q$1409&gt;0,Geometria!$Q$1407&gt;0),1,0))-(Geometria!$L$374-EU110)*(1-(MIN(MIN(1,MAX(0,(CP110-Geometria!$L$1405/100)/(Geometria!$N$1307/100))),MIN(1,MAX(0,((Geometria!$L$29/100-CP110)-Geometria!$R$1405/100)/(Geometria!$N$1307/100))))))*(IF(OR(Geometria!$K$1405&gt;0,Geometria!$K$1403&gt;0,Geometria!$Q$1405&gt;0,Geometria!$Q$1403&gt;0),1,0))))/(Geometria!$L$52/100^3)-((Geometria!$L$676)/(Geometria!$L$52/100^3))-((Geometria!$L$687)/(Geometria!$M$52))</f>
        <v>-9857.380382525545</v>
      </c>
      <c r="CX110" s="751"/>
      <c r="CZ110" s="373">
        <f ca="1">(IF(CQ110="Sim",IF(CO110="Sim",IF(CP110&lt;Geometria!$L$1405/100,Geometria!$L$1435,Geometria!$L$1476),IF(CP110&lt;Geometria!$L$1409/100,Geometria!$L$1442,Geometria!$L$1460)),IF(CO110="Sim",IF(CP110&lt;Geometria!$L$1405/100,Geometria!$L$1444,Geometria!$L$1462),Geometria!$L$298)))*CV133+Geometria!$P$1429*CV110</f>
        <v>1243.5596228306003</v>
      </c>
      <c r="DA110" s="373">
        <f ca="1">(IF(CQ110="Sim",IF(CO110="Sim",IF(CP110&lt;Geometria!$L$1405/100,Geometria!$L$1435,Geometria!$L$1476),IF(CP110&lt;Geometria!$L$1409/100,Geometria!$L$1442,Geometria!$L$1460)),IF(CO110="Sim",IF(CP110&lt;Geometria!$L$1405/100,Geometria!$L$1444,Geometria!$L$1462),Geometria!$L$298)))*CV133*(IF(CQ110="Sim",IF(CO110="Sim",IF(CP110&lt;Geometria!$L$1405/100,Geometria!$L$1436,Geometria!$L$1484),IF(CP110&lt;Geometria!$L$1409/100,Geometria!$L$1443,Geometria!$L$1461)),IF(CO110="Sim",IF(CP110&lt;Geometria!$L$1405/100,Geometria!$L$1445,Geometria!$L$1463),Geometria!$L$299)))/100-Geometria!$P$1429*CV110*Geometria!$L$1438/100</f>
        <v>233.16742928073757</v>
      </c>
      <c r="DB110" s="365"/>
      <c r="DC110" s="371">
        <f ca="1">(IF(CQ110="Sim",IF(CO110="Sim",$AB$93,ER110),IF(CO110="Sim",ET110,Geometria!$L$373)))</f>
        <v>1243.5596228306003</v>
      </c>
      <c r="DD110" s="371">
        <f ca="1">(IF(CQ110="Sim",IF(CO110="Sim",$AB$94,ES110),IF(CO110="Sim",EU110,Geometria!$L$374)))</f>
        <v>233.16742928073757</v>
      </c>
      <c r="DF110" s="4" t="s">
        <v>438</v>
      </c>
      <c r="DG110" s="202">
        <f t="shared" ca="1" si="19"/>
        <v>-9857.380382525545</v>
      </c>
      <c r="DH110" s="38" t="s">
        <v>234</v>
      </c>
      <c r="DI110" s="203">
        <f t="shared" ca="1" si="10"/>
        <v>-9.857380382525545</v>
      </c>
      <c r="DJ110" s="38" t="s">
        <v>160</v>
      </c>
      <c r="DK110" s="399">
        <f t="shared" si="20"/>
        <v>0.0</v>
      </c>
      <c r="EA110">
        <f ca="1">-L110/('Aberturas na Alma'!$M$112/100^2)+M110/('Aberturas na Alma'!$M$119/100^3)-Geometria!$L$898/('Aberturas na Alma'!$M$119/100^3)</f>
        <v>13816.256651718259</v>
      </c>
      <c r="EB110">
        <f ca="1">-(IF(C110="Sim",IF(A110="Sim",$E$93,EX110),IF(A110="Sim",EZ110,Geometria!$L$906)))/('Aberturas na Alma'!$M$112/100^2)+(IF(C110="Sim",IF(A110="Sim",$E$94,EY110),IF(A110="Sim",FA110,Geometria!$L$907)))/('Aberturas na Alma'!$M$119/100^3)-Geometria!$L$901/('Aberturas na Alma'!$M$119/100^3)</f>
        <v>2749.865222654474</v>
      </c>
      <c r="EC110">
        <f ca="1">IF(AND('Aberturas na Alma'!$M$18="NÃO DISPENSADO — furo deve ser verificado (cálculo abaixo)",OR(AND(B110&gt;=('Aberturas na Alma'!$M$4-'Aberturas na Alma'!$M$7/2)/100,B110&lt;=('Aberturas na Alma'!$M$4+'Aberturas na Alma'!$M$7/2)/100),ABS(B110-'Aberturas na Alma'!$M$4/100)&lt;=Geometria!$L$29/4000)),IF(E110="Reduzir",EA110,EB110),F110)</f>
        <v>4916.186690960654</v>
      </c>
      <c r="ED110">
        <f ca="1">-(AI110/('Aberturas na Alma'!$M$112/100^2))+(AJ110/('Aberturas na Alma'!$M$119/100^3))-((Geometria!$L$419)/('Aberturas na Alma'!$M$119/100^3))-((Geometria!$L$430)/('Aberturas na Alma'!$M$119/100^3))-((Geometria!$L$76*Geometria!$L$441)/('Aberturas na Alma'!$M$119/100^3))</f>
        <v>-53564.60263758629</v>
      </c>
      <c r="EE110">
        <f ca="1">-((IF(Z110="Sim",IF(X110="Sim",$AB$93,ER110),IF(X110="Sim",ET110,Geometria!$L$373)))/('Aberturas na Alma'!$M$112/100^2))+((IF(Z110="Sim",IF(X110="Sim",$AB$94,ES110),IF(X110="Sim",EU110,Geometria!$L$374)))/('Aberturas na Alma'!$M$119/100^3))-((Geometria!$L$419)/('Aberturas na Alma'!$M$119/100^3))-((Geometria!$L$430)/('Aberturas na Alma'!$M$119/100^3))-((Geometria!$L$76*Geometria!$L$441)/('Aberturas na Alma'!$M$119/100^3))</f>
        <v>-53564.60263758629</v>
      </c>
      <c r="EF110" s="371">
        <f ca="1">IF(AND('Aberturas na Alma'!$M$18="NÃO DISPENSADO — furo deve ser verificado (cálculo abaixo)",OR(AND(B110&gt;=('Aberturas na Alma'!$M$4-'Aberturas na Alma'!$M$7/2)/100,B110&lt;=('Aberturas na Alma'!$M$4+'Aberturas na Alma'!$M$7/2)/100),ABS(B110-'Aberturas na Alma'!$M$4/100)&lt;=Geometria!$L$29/4000)),IF(AB110="Reduzir",ED110,EE110),AC110)</f>
        <v>-9857.390310856132</v>
      </c>
      <c r="EG110">
        <f ca="1">-(BF110/('Aberturas na Alma'!$M$112/100^2))+(BG110/('Aberturas na Alma'!$M$119/100^3))-((Geometria!$L$419)/('Aberturas na Alma'!$M$119/100^3))-((Geometria!$L$430)/('Aberturas na Alma'!$M$119/100^3))-((Geometria!$L$76*Geometria!$L$441)/('Aberturas na Alma'!$M$119/100^3))</f>
        <v>-53564.60263758629</v>
      </c>
      <c r="EH110">
        <f ca="1">-((IF(AW110="Sim",IF(AU110="Sim",$AB$93,ER110),IF(AU110="Sim",ET110,Geometria!$L$373)))/('Aberturas na Alma'!$M$112/100^2))+((IF(AW110="Sim",IF(AU110="Sim",$AB$94,ES110),IF(AU110="Sim",EU110,Geometria!$L$374)))/('Aberturas na Alma'!$M$119/100^3))-((Geometria!$L$419)/('Aberturas na Alma'!$M$119/100^3))-((Geometria!$L$430)/('Aberturas na Alma'!$M$119/100^3))</f>
        <v>-14867.34519215364</v>
      </c>
      <c r="EI110" s="371">
        <f ca="1">IF(AND('Aberturas na Alma'!$M$18="NÃO DISPENSADO — furo deve ser verificado (cálculo abaixo)",OR(AND(B110&gt;=('Aberturas na Alma'!$M$4-'Aberturas na Alma'!$M$7/2)/100,B110&lt;=('Aberturas na Alma'!$M$4+'Aberturas na Alma'!$M$7/2)/100),ABS(B110-'Aberturas na Alma'!$M$4/100)&lt;=Geometria!$L$29/4000)),IF(AY110="Reduzir",EG110,EH110),AZ110)</f>
        <v>-9857.380382525545</v>
      </c>
      <c r="EJ110">
        <f ca="1">-(CC110/('Aberturas na Alma'!$M$112/100^2))+(CD110/('Aberturas na Alma'!$M$119/100^3))-((Geometria!$L$419)/('Aberturas na Alma'!$M$119/100^3))-((Geometria!$L$430)/('Aberturas na Alma'!$M$119/100^3))-((Geometria!$L$76*Geometria!$L$441)/('Aberturas na Alma'!$M$119/100^3))</f>
        <v>-53564.60263758629</v>
      </c>
      <c r="EK110">
        <f ca="1">-((IF(BT110="Sim",IF(BR110="Sim",$AB$93,ER110),IF(BR110="Sim",ET110,Geometria!$L$373)))/('Aberturas na Alma'!$M$112/100^2))+((IF(BT110="Sim",IF(BR110="Sim",$AB$94,ES110),IF(BR110="Sim",EU110,Geometria!$L$374)))/('Aberturas na Alma'!$M$119/100^3))-((Geometria!$L$676)/('Aberturas na Alma'!$M$119/100^3))-((Geometria!$L$687)/('Aberturas na Alma'!$M$119/100^3))-((Geometria!$L$77*Geometria!$L$698)/('Aberturas na Alma'!$M$119/100^3))</f>
        <v>-40665.51682244208</v>
      </c>
      <c r="EL110" s="371">
        <f ca="1">IF(AND('Aberturas na Alma'!$M$18="NÃO DISPENSADO — furo deve ser verificado (cálculo abaixo)",OR(AND(B110&gt;=('Aberturas na Alma'!$M$4-'Aberturas na Alma'!$M$7/2)/100,B110&lt;=('Aberturas na Alma'!$M$4+'Aberturas na Alma'!$M$7/2)/100),ABS(B110-'Aberturas na Alma'!$M$4/100)&lt;=Geometria!$L$29/4000)),IF(BV110="Reduzir",EJ110,EK110),BW110)</f>
        <v>-9857.387001412602</v>
      </c>
      <c r="EM110">
        <f ca="1">-(CZ110/('Aberturas na Alma'!$M$112/100^2))+(DA110/('Aberturas na Alma'!$M$119/100^3))-((Geometria!$L$419)/('Aberturas na Alma'!$M$119/100^3))-((Geometria!$L$430)/('Aberturas na Alma'!$M$119/100^3))-((Geometria!$L$76*Geometria!$L$441)/('Aberturas na Alma'!$M$119/100^3))</f>
        <v>-53564.60263758629</v>
      </c>
      <c r="EN110">
        <f ca="1">-((IF(CQ110="Sim",IF(CO110="Sim",$AB$93,ER110),IF(CO110="Sim",ET110,Geometria!$L$373)))/('Aberturas na Alma'!$M$112/100^2))+((IF(CQ110="Sim",IF(CO110="Sim",$AB$94,ES110),IF(CO110="Sim",EU110,Geometria!$L$374)))/('Aberturas na Alma'!$M$119/100^3))-((Geometria!$L$676)/('Aberturas na Alma'!$M$119/100^3))-((Geometria!$L$687)/('Aberturas na Alma'!$M$119/100^3))</f>
        <v>-14867.34519215364</v>
      </c>
      <c r="EO110" s="371">
        <f ca="1">IF(AND('Aberturas na Alma'!$M$18="NÃO DISPENSADO — furo deve ser verificado (cálculo abaixo)",OR(AND(B110&gt;=('Aberturas na Alma'!$M$4-'Aberturas na Alma'!$M$7/2)/100,B110&lt;=('Aberturas na Alma'!$M$4+'Aberturas na Alma'!$M$7/2)/100),ABS(B110-'Aberturas na Alma'!$M$4/100)&lt;=Geometria!$L$29/4000)),IF(CS110="Reduzir",EM110,EN110),CT110)</f>
        <v>-9857.380382525545</v>
      </c>
      <c r="EP110" t="str">
        <f>IF(AND(Y110&lt;Geometria!$L$1409/100,OR(Geometria!$K$1409&gt;0,Geometria!$K$1407&gt;0)),"ESQ",IF(AND((Geometria!$L$29/100-Y110)&lt;Geometria!$R$1409/100,OR(Geometria!$Q$1409&gt;0,Geometria!$Q$1407&gt;0)),"DIR","N/A"))</f>
        <v>N/A</v>
      </c>
      <c r="EQ110" t="str">
        <f>IF(AND(Y110&lt;Geometria!$L$1405/100,Geometria!$K$1405&gt;0),"ESQ",IF(AND((Geometria!$L$29/100-Y110)&lt;Geometria!$R$1405/100,Geometria!$Q$1405&gt;0),"DIR","N/A"))</f>
        <v>N/A</v>
      </c>
      <c r="ER110">
        <f ca="1">IF(EP110="DIR",Geometria!$L$1470,Geometria!$L$1452)</f>
        <v>1243.5596228306003</v>
      </c>
      <c r="ES110">
        <f ca="1">IF(EP110="DIR",Geometria!$L$1471,Geometria!$L$1453)</f>
        <v>233.16742928073757</v>
      </c>
      <c r="ET110">
        <f ca="1">IF(EQ110="DIR",Geometria!$L$1472,Geometria!$L$1454)</f>
        <v>621.7798114153002</v>
      </c>
      <c r="EU110">
        <f ca="1">IF(EQ110="DIR",Geometria!$L$1473,Geometria!$L$1455)</f>
        <v>177.20724625336052</v>
      </c>
      <c r="EV110" t="str">
        <f>IF(AND(B110&lt;Geometria!$L$1409/100,OR(Geometria!$K$1409&gt;0,Geometria!$K$1407&gt;0)),"ESQ",IF(AND((Geometria!$L$29/100-B110)&lt;Geometria!$R$1409/100,OR(Geometria!$Q$1409&gt;0,Geometria!$Q$1407&gt;0)),"DIR","N/A"))</f>
        <v>N/A</v>
      </c>
      <c r="EW110" t="str">
        <f>IF(AND(B110&lt;Geometria!$L$1405/100,Geometria!$K$1405&gt;0),"ESQ",IF(AND((Geometria!$L$29/100-B110)&lt;Geometria!$R$1405/100,Geometria!$Q$1405&gt;0),"DIR","N/A"))</f>
        <v>N/A</v>
      </c>
      <c r="EX110">
        <f ca="1">IF(EV110="DIR",Geometria!$L$1465,Geometria!$L$1447)</f>
        <v>1499.8056003831216</v>
      </c>
      <c r="EY110">
        <f ca="1">IF(EV110="DIR",Geometria!$L$1466,Geometria!$L$1448)</f>
        <v>281.2135500718353</v>
      </c>
      <c r="EZ110">
        <f ca="1">IF(EW110="DIR",Geometria!$L$1467,Geometria!$L$1449)</f>
        <v>749.9028001915608</v>
      </c>
      <c r="FA110">
        <f ca="1">IF(EW110="DIR",Geometria!$L$1468,Geometria!$L$1450)</f>
        <v>213.72229805459483</v>
      </c>
    </row>
    <row r="111" spans="1:157" x14ac:dyDescent="0.25">
      <c r="A111" s="376" t="str">
        <f>IF(OR(AND(B111&lt;Geometria!$L$1405/100,Geometria!$K$1405&gt;0),AND((Geometria!$L$29/100-B111)&lt;Geometria!$R$1405/100,Geometria!$Q$1405&gt;0)),"Sim","Não")</f>
        <v>Não</v>
      </c>
      <c r="B111" s="395">
        <f>Tensões!$D$66</f>
        <v>3.9250000000000003</v>
      </c>
      <c r="C111" s="376" t="str">
        <f>IF(OR(AND(B111&lt;Geometria!$L$1409/100,OR(Geometria!$K$1409&gt;0,Geometria!$K$1407&gt;0)),AND((Geometria!$L$29/100-B111)&lt;Geometria!$R$1409/100,OR(Geometria!$Q$1409&gt;0,Geometria!$Q$1407&gt;0))),"Sim","Não")</f>
        <v>Não</v>
      </c>
      <c r="D111" s="122" t="s">
        <v>439</v>
      </c>
      <c r="E111" s="198" t="str">
        <f ca="1">IF(Geometria!$M$440&lt;Geometria!$N$1307/100,"Reduzir","OK")</f>
        <v>OK</v>
      </c>
      <c r="F111" s="396">
        <f t="shared" ca="1" si="1"/>
        <v>4893.3992039814875</v>
      </c>
      <c r="G111" s="397">
        <f ca="1">-L111/(Geometria!$L$48/100^2)+M111/(Geometria!$L$52/100^3)-Geometria!$L$898/(Geometria!$L$52/100^3)</f>
        <v>21847.556000594137</v>
      </c>
      <c r="H111" s="400">
        <f ca="1">((Geometria!$L$326*(Geometria!$M$900*100))/Geometria!$N$1307)</f>
        <v>489.79188446690165</v>
      </c>
      <c r="I111" s="743">
        <f ca="1">-(Geometria!$L$906-(Geometria!$L$906-EX111)*(1-(MIN(MIN(1,MAX(0,(B111-Geometria!$L$1409/100)/(Geometria!$N$1307/100))),MIN(1,MAX(0,((Geometria!$L$29/100-B111)-Geometria!$R$1409/100)/(Geometria!$N$1307/100))))))*(IF(OR(Geometria!$K$1409&gt;0,Geometria!$K$1407&gt;0,Geometria!$Q$1409&gt;0,Geometria!$Q$1407&gt;0),1,0))-(Geometria!$L$906-EZ111)*(1-(MIN(MIN(1,MAX(0,(B111-Geometria!$L$1405/100)/(Geometria!$N$1307/100))),MIN(1,MAX(0,((Geometria!$L$29/100-B111)-Geometria!$R$1405/100)/(Geometria!$N$1307/100))))))*(IF(OR(Geometria!$K$1405&gt;0,Geometria!$K$1403&gt;0,Geometria!$Q$1405&gt;0,Geometria!$Q$1403&gt;0),1,0)))/(Geometria!$L$48/100^2)+(Geometria!$L$907-(Geometria!$L$907-EY111)*(1-(MIN(MIN(1,MAX(0,(B111-Geometria!$L$1409/100)/(Geometria!$N$1307/100))),MIN(1,MAX(0,((Geometria!$L$29/100-B111)-Geometria!$R$1409/100)/(Geometria!$N$1307/100))))))*(IF(OR(Geometria!$K$1409&gt;0,Geometria!$K$1407&gt;0,Geometria!$Q$1409&gt;0,Geometria!$Q$1407&gt;0),1,0))-(Geometria!$L$907-FA111)*(1-(MIN(MIN(1,MAX(0,(B111-Geometria!$L$1405/100)/(Geometria!$N$1307/100))),MIN(1,MAX(0,((Geometria!$L$29/100-B111)-Geometria!$R$1405/100)/(Geometria!$N$1307/100))))))*(IF(OR(Geometria!$K$1405&gt;0,Geometria!$K$1403&gt;0,Geometria!$Q$1405&gt;0,Geometria!$Q$1403&gt;0),1,0)))/(Geometria!$L$52/100^3)-Geometria!$M$901/(Geometria!$L$52/100^3)</f>
        <v>4893.3992039814875</v>
      </c>
      <c r="J111" s="743"/>
      <c r="L111" s="373">
        <f ca="1">(Geometria!$L$298-(Geometria!$L$298-IF(B111&lt;Geometria!$L$1409/100,Geometria!$L$1442,Geometria!$L$1460))*(1-(MIN(MIN(1,MAX(0,(B111-Geometria!$L$1409/100)/(Geometria!$N$1307/100))),MIN(1,MAX(0,((Geometria!$L$29/100-B111)-Geometria!$R$1409/100)/(Geometria!$N$1307/100))))))*(IF(OR(Geometria!$K$1409&gt;0,Geometria!$K$1407&gt;0,Geometria!$Q$1409&gt;0,Geometria!$Q$1407&gt;0),1,0))-(Geometria!$L$298-IF(B111&lt;Geometria!$L$1405/100,Geometria!$L$1444,Geometria!$L$1462))*(1-(MIN(MIN(1,MAX(0,(B111-Geometria!$L$1405/100)/(Geometria!$N$1307/100))),MIN(1,MAX(0,((Geometria!$L$29/100-B111)-Geometria!$R$1405/100)/(Geometria!$N$1307/100))))))*(IF(OR(Geometria!$K$1405&gt;0,Geometria!$K$1403&gt;0,Geometria!$Q$1405&gt;0,Geometria!$Q$1403&gt;0),1,0)))*H134+Geometria!$P$1429*H111</f>
        <v>4583.4208978007955</v>
      </c>
      <c r="M111" s="373">
        <f ca="1">(Geometria!$L$298-(Geometria!$L$298-IF(B111&lt;Geometria!$L$1409/100,Geometria!$L$1442,Geometria!$L$1460))*(1-(MIN(MIN(1,MAX(0,(B111-Geometria!$L$1409/100)/(Geometria!$N$1307/100))),MIN(1,MAX(0,((Geometria!$L$29/100-B111)-Geometria!$R$1409/100)/(Geometria!$N$1307/100))))))*(IF(OR(Geometria!$K$1409&gt;0,Geometria!$K$1407&gt;0,Geometria!$Q$1409&gt;0,Geometria!$Q$1407&gt;0),1,0))-(Geometria!$L$298-IF(B111&lt;Geometria!$L$1405/100,Geometria!$L$1444,Geometria!$L$1462))*(1-(MIN(MIN(1,MAX(0,(B111-Geometria!$L$1405/100)/(Geometria!$N$1307/100))),MIN(1,MAX(0,((Geometria!$L$29/100-B111)-Geometria!$R$1405/100)/(Geometria!$N$1307/100))))))*(IF(OR(Geometria!$K$1405&gt;0,Geometria!$K$1403&gt;0,Geometria!$Q$1405&gt;0,Geometria!$Q$1403&gt;0),1,0)))*H134*(Geometria!$L$299-(Geometria!$L$299-IF(B111&lt;Geometria!$L$1409/100,Geometria!$L$1443,Geometria!$L$1461))*(1-(MIN(MIN(1,MAX(0,(B111-Geometria!$L$1409/100)/(Geometria!$N$1307/100))),MIN(1,MAX(0,((Geometria!$L$29/100-B111)-Geometria!$R$1409/100)/(Geometria!$N$1307/100))))))*(IF(OR(Geometria!$K$1409&gt;0,Geometria!$K$1407&gt;0,Geometria!$Q$1409&gt;0,Geometria!$Q$1407&gt;0),1,0))-(Geometria!$L$299-IF(B111&lt;Geometria!$L$1405/100,Geometria!$L$1445,Geometria!$L$1463))*(1-(MIN(MIN(1,MAX(0,(B111-Geometria!$L$1405/100)/(Geometria!$N$1307/100))),MIN(1,MAX(0,((Geometria!$L$29/100-B111)-Geometria!$R$1405/100)/(Geometria!$N$1307/100))))))*(IF(OR(Geometria!$K$1405&gt;0,Geometria!$K$1403&gt;0,Geometria!$Q$1405&gt;0,Geometria!$Q$1403&gt;0),1,0)))/100-Geometria!$P$1429*H111*Geometria!$L$1438/100</f>
        <v>859.391418337649</v>
      </c>
      <c r="N111" s="365"/>
      <c r="O111" s="371">
        <f ca="1">(IF(C111="Sim",IF(A111="Sim",$E$93,EX111),IF(A111="Sim",EZ111,Geometria!$L$906)))</f>
        <v>1475.413282676191</v>
      </c>
      <c r="P111" s="371">
        <f ca="1">(IF(C111="Sim",IF(A111="Sim",$E$94,EY111),IF(A111="Sim",FA111,Geometria!$L$907)))</f>
        <v>276.63999050178586</v>
      </c>
      <c r="R111" s="4" t="s">
        <v>439</v>
      </c>
      <c r="S111" s="202">
        <f t="shared" ca="1" si="11"/>
        <v>4893.3992039814875</v>
      </c>
      <c r="T111" s="38" t="s">
        <v>234</v>
      </c>
      <c r="U111" s="203">
        <f t="shared" ca="1" si="2"/>
        <v>4.893399203981487</v>
      </c>
      <c r="V111" s="38" t="s">
        <v>160</v>
      </c>
      <c r="W111" s="399">
        <f t="shared" si="12"/>
        <v>0.0</v>
      </c>
      <c r="X111" s="376" t="str">
        <f>IF(OR(AND(Y111&lt;Geometria!$L$1405/100,Geometria!$K$1405&gt;0),AND((Geometria!$L$29/100-Y111)&lt;Geometria!$R$1405/100,Geometria!$Q$1405&gt;0)),"Sim","Não")</f>
        <v>Não</v>
      </c>
      <c r="Y111" s="395">
        <f>Geometria!$M$418</f>
        <v>3.9250000000000003</v>
      </c>
      <c r="Z111" s="376" t="str">
        <f>IF(OR(AND(Y111&lt;Geometria!$L$1409/100,OR(Geometria!$K$1409&gt;0,Geometria!$K$1407&gt;0)),AND((Geometria!$L$29/100-Y111)&lt;Geometria!$R$1409/100,OR(Geometria!$Q$1409&gt;0,Geometria!$Q$1407&gt;0))),"Sim","Não")</f>
        <v>Não</v>
      </c>
      <c r="AA111" s="122" t="s">
        <v>439</v>
      </c>
      <c r="AB111" s="198" t="str">
        <f ca="1">IF(Geometria!$M$440&lt;Geometria!$N$1307/100,"Reduzir","OK")</f>
        <v>OK</v>
      </c>
      <c r="AC111" s="401">
        <f t="shared" ca="1" si="3"/>
        <v>-10018.021339247314</v>
      </c>
      <c r="AD111" s="403">
        <f ca="1">-(AI111/(Geometria!$L$48/100^2))+(AJ111/(Geometria!$L$52/100^3))-((Geometria!$M$419)/(Geometria!$L$52/100^3))-((Geometria!$M$430)/(Geometria!$M$52))-((Geometria!$L$76*Geometria!$M$441)/(Geometria!$M$52))</f>
        <v>-10018.021339247314</v>
      </c>
      <c r="AE111" s="400">
        <f ca="1">((Geometria!$N$369*(Geometria!$M$900*100))/Geometria!$N$1307)</f>
        <v>413.87508082169563</v>
      </c>
      <c r="AF111" s="751">
        <f ca="1">-((Geometria!$L$373-(Geometria!$L$373-ER111)*(1-(MIN(MIN(1,MAX(0,(Y111-Geometria!$L$1409/100)/(Geometria!$N$1307/100))),MIN(1,MAX(0,((Geometria!$L$29/100-Y111)-Geometria!$R$1409/100)/(Geometria!$N$1307/100))))))*(IF(OR(Geometria!$K$1409&gt;0,Geometria!$K$1407&gt;0,Geometria!$Q$1409&gt;0,Geometria!$Q$1407&gt;0),1,0))-(Geometria!$L$373-ET111)*(1-(MIN(MIN(1,MAX(0,(Y111-Geometria!$L$1405/100)/(Geometria!$N$1307/100))),MIN(1,MAX(0,((Geometria!$L$29/100-Y111)-Geometria!$R$1405/100)/(Geometria!$N$1307/100))))))*(IF(OR(Geometria!$K$1405&gt;0,Geometria!$K$1403&gt;0,Geometria!$Q$1405&gt;0,Geometria!$Q$1403&gt;0),1,0))))/(Geometria!$L$48/100^2)+((Geometria!$L$374-(Geometria!$L$374-ES111)*(1-(MIN(MIN(1,MAX(0,(Y111-Geometria!$L$1409/100)/(Geometria!$N$1307/100))),MIN(1,MAX(0,((Geometria!$L$29/100-Y111)-Geometria!$R$1409/100)/(Geometria!$N$1307/100))))))*(IF(OR(Geometria!$K$1409&gt;0,Geometria!$K$1407&gt;0,Geometria!$Q$1409&gt;0,Geometria!$Q$1407&gt;0),1,0))-(Geometria!$L$374-EU111)*(1-(MIN(MIN(1,MAX(0,(Y111-Geometria!$L$1405/100)/(Geometria!$N$1307/100))),MIN(1,MAX(0,((Geometria!$L$29/100-Y111)-Geometria!$R$1405/100)/(Geometria!$N$1307/100))))))*(IF(OR(Geometria!$K$1405&gt;0,Geometria!$K$1403&gt;0,Geometria!$Q$1405&gt;0,Geometria!$Q$1403&gt;0),1,0))))/(Geometria!$L$52/100^3)-((Geometria!$M$419)/(Geometria!$L$52/100^3))-((Geometria!$M$430)/(Geometria!$M$52))-((Geometria!$L$76*Geometria!$M$441)/(Geometria!$M$52))</f>
        <v>-10018.021339247314</v>
      </c>
      <c r="AG111" s="751"/>
      <c r="AI111" s="373">
        <f ca="1">(IF(Z111="Sim",IF(X111="Sim",IF(Y111&lt;Geometria!$L$1405/100,Geometria!$L$1435,Geometria!$L$1476),IF(Y111&lt;Geometria!$L$1409/100,Geometria!$L$1442,Geometria!$L$1460)),IF(X111="Sim",IF(Y111&lt;Geometria!$L$1405/100,Geometria!$L$1444,Geometria!$L$1462),Geometria!$L$298)))*AE134+Geometria!$P$1429*AE111</f>
        <v>1243.5596228306003</v>
      </c>
      <c r="AJ111" s="373">
        <f ca="1">(IF(Z111="Sim",IF(X111="Sim",IF(Y111&lt;Geometria!$L$1405/100,Geometria!$L$1435,Geometria!$L$1476),IF(Y111&lt;Geometria!$L$1409/100,Geometria!$L$1442,Geometria!$L$1460)),IF(X111="Sim",IF(Y111&lt;Geometria!$L$1405/100,Geometria!$L$1444,Geometria!$L$1462),Geometria!$L$298)))*AE134*(IF(Z111="Sim",IF(X111="Sim",IF(Y111&lt;Geometria!$L$1405/100,Geometria!$L$1436,Geometria!$L$1484),IF(Y111&lt;Geometria!$L$1409/100,Geometria!$L$1443,Geometria!$L$1461)),IF(X111="Sim",IF(Y111&lt;Geometria!$L$1405/100,Geometria!$L$1445,Geometria!$L$1463),Geometria!$L$299)))/100-Geometria!$P$1429*AE111*Geometria!$L$1438/100</f>
        <v>233.16742928073757</v>
      </c>
      <c r="AK111" s="365"/>
      <c r="AL111" s="371">
        <f ca="1">(IF(Z111="Sim",IF(X111="Sim",$AB$93,ER111),IF(X111="Sim",ET111,Geometria!$L$373)))</f>
        <v>1243.5596228306003</v>
      </c>
      <c r="AM111" s="371">
        <f ca="1">(IF(Z111="Sim",IF(X111="Sim",$AB$94,ES111),IF(X111="Sim",EU111,Geometria!$L$374)))</f>
        <v>233.16742928073757</v>
      </c>
      <c r="AO111" s="4" t="s">
        <v>439</v>
      </c>
      <c r="AP111" s="202">
        <f t="shared" ca="1" si="13"/>
        <v>-10018.021339247314</v>
      </c>
      <c r="AQ111" s="38" t="s">
        <v>234</v>
      </c>
      <c r="AR111" s="203">
        <f t="shared" ca="1" si="4"/>
        <v>-10.018021339247314</v>
      </c>
      <c r="AS111" s="38" t="s">
        <v>160</v>
      </c>
      <c r="AT111" s="399">
        <f t="shared" si="14"/>
        <v>0.0</v>
      </c>
      <c r="AU111" s="376" t="str">
        <f>IF(OR(AND(AV111&lt;Geometria!$L$1405/100,Geometria!$K$1405&gt;0),AND((Geometria!$L$29/100-AV111)&lt;Geometria!$R$1405/100,Geometria!$Q$1405&gt;0)),"Sim","Não")</f>
        <v>Não</v>
      </c>
      <c r="AV111" s="395">
        <f>Geometria!$M$418</f>
        <v>3.9250000000000003</v>
      </c>
      <c r="AW111" s="376" t="str">
        <f>IF(OR(AND(AV111&lt;Geometria!$L$1409/100,OR(Geometria!$K$1409&gt;0,Geometria!$K$1407&gt;0)),AND((Geometria!$L$29/100-AV111)&lt;Geometria!$R$1409/100,OR(Geometria!$Q$1409&gt;0,Geometria!$Q$1407&gt;0))),"Sim","Não")</f>
        <v>Não</v>
      </c>
      <c r="AX111" s="122" t="s">
        <v>439</v>
      </c>
      <c r="AY111" s="198" t="str">
        <f ca="1">IF(Geometria!$M$440&lt;Geometria!$N$1307/100,"Reduzir","OK")</f>
        <v>OK</v>
      </c>
      <c r="AZ111" s="401">
        <f t="shared" ca="1" si="5"/>
        <v>-10018.01131063056</v>
      </c>
      <c r="BA111" s="403">
        <f ca="1">-(BF111/(Geometria!$L$48/100^2))+(BG111/(Geometria!$L$52/100^3))-((Geometria!$M$419)/(Geometria!$L$52/100^3))-((Geometria!$M$430)/(Geometria!$M$52))-((Geometria!$L$76*Geometria!$M$441)/(Geometria!$M$52))</f>
        <v>-10018.021339247314</v>
      </c>
      <c r="BB111" s="400">
        <f ca="1">((Geometria!$N$369*(Geometria!$M$900*100))/Geometria!$N$1307)</f>
        <v>413.87508082169563</v>
      </c>
      <c r="BC111" s="751">
        <f ca="1">-((Geometria!$L$373-(Geometria!$L$373-ER111)*(1-(MIN(MIN(1,MAX(0,(AV111-Geometria!$L$1409/100)/(Geometria!$N$1307/100))),MIN(1,MAX(0,((Geometria!$L$29/100-AV111)-Geometria!$R$1409/100)/(Geometria!$N$1307/100))))))*(IF(OR(Geometria!$K$1409&gt;0,Geometria!$K$1407&gt;0,Geometria!$Q$1409&gt;0,Geometria!$Q$1407&gt;0),1,0))-(Geometria!$L$373-ET111)*(1-(MIN(MIN(1,MAX(0,(AV111-Geometria!$L$1405/100)/(Geometria!$N$1307/100))),MIN(1,MAX(0,((Geometria!$L$29/100-AV111)-Geometria!$R$1405/100)/(Geometria!$N$1307/100))))))*(IF(OR(Geometria!$K$1405&gt;0,Geometria!$K$1403&gt;0,Geometria!$Q$1405&gt;0,Geometria!$Q$1403&gt;0),1,0))))/(Geometria!$L$48/100^2)+((Geometria!$L$374-(Geometria!$L$374-ES111)*(1-(MIN(MIN(1,MAX(0,(AV111-Geometria!$L$1409/100)/(Geometria!$N$1307/100))),MIN(1,MAX(0,((Geometria!$L$29/100-AV111)-Geometria!$R$1409/100)/(Geometria!$N$1307/100))))))*(IF(OR(Geometria!$K$1409&gt;0,Geometria!$K$1407&gt;0,Geometria!$Q$1409&gt;0,Geometria!$Q$1407&gt;0),1,0))-(Geometria!$L$374-EU111)*(1-(MIN(MIN(1,MAX(0,(AV111-Geometria!$L$1405/100)/(Geometria!$N$1307/100))),MIN(1,MAX(0,((Geometria!$L$29/100-AV111)-Geometria!$R$1405/100)/(Geometria!$N$1307/100))))))*(IF(OR(Geometria!$K$1405&gt;0,Geometria!$K$1403&gt;0,Geometria!$Q$1405&gt;0,Geometria!$Q$1403&gt;0),1,0))))/(Geometria!$L$52/100^3)-((Geometria!$M$419)/(Geometria!$L$52/100^3))-((Geometria!$M$430)/(Geometria!$M$52))</f>
        <v>-10018.01131063056</v>
      </c>
      <c r="BD111" s="751"/>
      <c r="BF111" s="373">
        <f ca="1">(Geometria!$L$298-(Geometria!$L$298-IF(AV111&lt;Geometria!$L$1409/100,Geometria!$L$1442,Geometria!$L$1460))*(1-(MIN(MIN(1,MAX(0,(AV111-Geometria!$L$1409/100)/(Geometria!$N$1307/100))),MIN(1,MAX(0,((Geometria!$L$29/100-AV111)-Geometria!$R$1409/100)/(Geometria!$N$1307/100))))))*(IF(OR(Geometria!$K$1409&gt;0,Geometria!$K$1407&gt;0,Geometria!$Q$1409&gt;0,Geometria!$Q$1407&gt;0),1,0))-(Geometria!$L$298-IF(AV111&lt;Geometria!$L$1405/100,Geometria!$L$1444,Geometria!$L$1462))*(1-(MIN(MIN(1,MAX(0,(AV111-Geometria!$L$1405/100)/(Geometria!$N$1307/100))),MIN(1,MAX(0,((Geometria!$L$29/100-AV111)-Geometria!$R$1405/100)/(Geometria!$N$1307/100))))))*(IF(OR(Geometria!$K$1405&gt;0,Geometria!$K$1403&gt;0,Geometria!$Q$1405&gt;0,Geometria!$Q$1403&gt;0),1,0)))*BB134+Geometria!$P$1429*BB111</f>
        <v>1243.5596228306003</v>
      </c>
      <c r="BG111" s="373">
        <f ca="1">(Geometria!$L$298-(Geometria!$L$298-IF(AV111&lt;Geometria!$L$1409/100,Geometria!$L$1442,Geometria!$L$1460))*(1-(MIN(MIN(1,MAX(0,(AV111-Geometria!$L$1409/100)/(Geometria!$N$1307/100))),MIN(1,MAX(0,((Geometria!$L$29/100-AV111)-Geometria!$R$1409/100)/(Geometria!$N$1307/100))))))*(IF(OR(Geometria!$K$1409&gt;0,Geometria!$K$1407&gt;0,Geometria!$Q$1409&gt;0,Geometria!$Q$1407&gt;0),1,0))-(Geometria!$L$298-IF(AV111&lt;Geometria!$L$1405/100,Geometria!$L$1444,Geometria!$L$1462))*(1-(MIN(MIN(1,MAX(0,(AV111-Geometria!$L$1405/100)/(Geometria!$N$1307/100))),MIN(1,MAX(0,((Geometria!$L$29/100-AV111)-Geometria!$R$1405/100)/(Geometria!$N$1307/100))))))*(IF(OR(Geometria!$K$1405&gt;0,Geometria!$K$1403&gt;0,Geometria!$Q$1405&gt;0,Geometria!$Q$1403&gt;0),1,0)))*BB134*(Geometria!$L$299-(Geometria!$L$299-IF(AV111&lt;Geometria!$L$1409/100,Geometria!$L$1443,Geometria!$L$1461))*(1-(MIN(MIN(1,MAX(0,(AV111-Geometria!$L$1409/100)/(Geometria!$N$1307/100))),MIN(1,MAX(0,((Geometria!$L$29/100-AV111)-Geometria!$R$1409/100)/(Geometria!$N$1307/100))))))*(IF(OR(Geometria!$K$1409&gt;0,Geometria!$K$1407&gt;0,Geometria!$Q$1409&gt;0,Geometria!$Q$1407&gt;0),1,0))-(Geometria!$L$299-IF(AV111&lt;Geometria!$L$1405/100,Geometria!$L$1445,Geometria!$L$1463))*(1-(MIN(MIN(1,MAX(0,(AV111-Geometria!$L$1405/100)/(Geometria!$N$1307/100))),MIN(1,MAX(0,((Geometria!$L$29/100-AV111)-Geometria!$R$1405/100)/(Geometria!$N$1307/100))))))*(IF(OR(Geometria!$K$1405&gt;0,Geometria!$K$1403&gt;0,Geometria!$Q$1405&gt;0,Geometria!$Q$1403&gt;0),1,0)))/100-Geometria!$P$1429*BB111*Geometria!$L$1438/100</f>
        <v>233.16742928073757</v>
      </c>
      <c r="BH111" s="365"/>
      <c r="BI111" s="371">
        <f ca="1">(IF(AW111="Sim",IF(AU111="Sim",$AB$93,ER111),IF(AU111="Sim",ET111,Geometria!$L$373)))</f>
        <v>1243.5596228306003</v>
      </c>
      <c r="BJ111" s="371">
        <f ca="1">(IF(AW111="Sim",IF(AU111="Sim",$AB$94,ES111),IF(AU111="Sim",EU111,Geometria!$L$374)))</f>
        <v>233.16742928073757</v>
      </c>
      <c r="BL111" s="4" t="s">
        <v>439</v>
      </c>
      <c r="BM111" s="202">
        <f t="shared" ca="1" si="15"/>
        <v>-10018.01131063056</v>
      </c>
      <c r="BN111" s="38" t="s">
        <v>234</v>
      </c>
      <c r="BO111" s="203">
        <f t="shared" ca="1" si="6"/>
        <v>-10.018011310630559</v>
      </c>
      <c r="BP111" s="38" t="s">
        <v>160</v>
      </c>
      <c r="BQ111" s="399">
        <f t="shared" si="16"/>
        <v>0.0</v>
      </c>
      <c r="BR111" s="376" t="str">
        <f>IF(OR(AND(BS111&lt;Geometria!$L$1405/100,Geometria!$K$1405&gt;0),AND((Geometria!$L$29/100-BS111)&lt;Geometria!$R$1405/100,Geometria!$Q$1405&gt;0)),"Sim","Não")</f>
        <v>Não</v>
      </c>
      <c r="BS111" s="395">
        <f>Geometria!$M$418</f>
        <v>3.9250000000000003</v>
      </c>
      <c r="BT111" s="376" t="str">
        <f>IF(OR(AND(BS111&lt;Geometria!$L$1409/100,OR(Geometria!$K$1409&gt;0,Geometria!$K$1407&gt;0)),AND((Geometria!$L$29/100-BS111)&lt;Geometria!$R$1409/100,OR(Geometria!$Q$1409&gt;0,Geometria!$Q$1407&gt;0))),"Sim","Não")</f>
        <v>Não</v>
      </c>
      <c r="BU111" s="122" t="s">
        <v>439</v>
      </c>
      <c r="BV111" s="198" t="str">
        <f ca="1">IF(Geometria!$M$440&lt;Geometria!$N$1307/100,"Reduzir","OK")</f>
        <v>OK</v>
      </c>
      <c r="BW111" s="401">
        <f t="shared" ca="1" si="7"/>
        <v>-10018.017996375063</v>
      </c>
      <c r="BX111" s="403">
        <f ca="1">-(CC111/(Geometria!$L$48/100^2))+(CD111/(Geometria!$L$52/100^3))-((Geometria!$M$419)/(Geometria!$L$52/100^3))-((Geometria!$M$430)/(Geometria!$M$52))-((Geometria!$L$76*Geometria!$M$441)/(Geometria!$M$52))</f>
        <v>-10018.021339247314</v>
      </c>
      <c r="BY111" s="400">
        <f ca="1">((Geometria!$N$369*(Geometria!$M$900*100))/Geometria!$N$1307)</f>
        <v>413.87508082169563</v>
      </c>
      <c r="BZ111" s="751">
        <f ca="1">-((Geometria!$L$373-(Geometria!$L$373-ER111)*(1-(MIN(MIN(1,MAX(0,(BS111-Geometria!$L$1409/100)/(Geometria!$N$1307/100))),MIN(1,MAX(0,((Geometria!$L$29/100-BS111)-Geometria!$R$1409/100)/(Geometria!$N$1307/100))))))*(IF(OR(Geometria!$K$1409&gt;0,Geometria!$K$1407&gt;0,Geometria!$Q$1409&gt;0,Geometria!$Q$1407&gt;0),1,0))-(Geometria!$L$373-ET111)*(1-(MIN(MIN(1,MAX(0,(BS111-Geometria!$L$1405/100)/(Geometria!$N$1307/100))),MIN(1,MAX(0,((Geometria!$L$29/100-BS111)-Geometria!$R$1405/100)/(Geometria!$N$1307/100))))))*(IF(OR(Geometria!$K$1405&gt;0,Geometria!$K$1403&gt;0,Geometria!$Q$1405&gt;0,Geometria!$Q$1403&gt;0),1,0))))/(Geometria!$L$48/100^2)+((Geometria!$L$374-(Geometria!$L$374-ES111)*(1-(MIN(MIN(1,MAX(0,(BS111-Geometria!$L$1409/100)/(Geometria!$N$1307/100))),MIN(1,MAX(0,((Geometria!$L$29/100-BS111)-Geometria!$R$1409/100)/(Geometria!$N$1307/100))))))*(IF(OR(Geometria!$K$1409&gt;0,Geometria!$K$1407&gt;0,Geometria!$Q$1409&gt;0,Geometria!$Q$1407&gt;0),1,0))-(Geometria!$L$374-EU111)*(1-(MIN(MIN(1,MAX(0,(BS111-Geometria!$L$1405/100)/(Geometria!$N$1307/100))),MIN(1,MAX(0,((Geometria!$L$29/100-BS111)-Geometria!$R$1405/100)/(Geometria!$N$1307/100))))))*(IF(OR(Geometria!$K$1405&gt;0,Geometria!$K$1403&gt;0,Geometria!$Q$1405&gt;0,Geometria!$Q$1403&gt;0),1,0))))/(Geometria!$L$52/100^3)-((Geometria!$M$676)/(Geometria!$L$52/100^3))-((Geometria!$M$687)/(Geometria!$M$52))-((Geometria!$L$77*Geometria!$M$698)/(Geometria!$M$52))</f>
        <v>-10018.017996375063</v>
      </c>
      <c r="CA111" s="751"/>
      <c r="CC111" s="373">
        <f ca="1">(Geometria!$L$298-(Geometria!$L$298-IF(BS111&lt;Geometria!$L$1409/100,Geometria!$L$1442,Geometria!$L$1460))*(1-(MIN(MIN(1,MAX(0,(BS111-Geometria!$L$1409/100)/(Geometria!$N$1307/100))),MIN(1,MAX(0,((Geometria!$L$29/100-BS111)-Geometria!$R$1409/100)/(Geometria!$N$1307/100))))))*(IF(OR(Geometria!$K$1409&gt;0,Geometria!$K$1407&gt;0,Geometria!$Q$1409&gt;0,Geometria!$Q$1407&gt;0),1,0))-(Geometria!$L$298-IF(BS111&lt;Geometria!$L$1405/100,Geometria!$L$1444,Geometria!$L$1462))*(1-(MIN(MIN(1,MAX(0,(BS111-Geometria!$L$1405/100)/(Geometria!$N$1307/100))),MIN(1,MAX(0,((Geometria!$L$29/100-BS111)-Geometria!$R$1405/100)/(Geometria!$N$1307/100))))))*(IF(OR(Geometria!$K$1405&gt;0,Geometria!$K$1403&gt;0,Geometria!$Q$1405&gt;0,Geometria!$Q$1403&gt;0),1,0)))*BY134+Geometria!$P$1429*BY111</f>
        <v>1243.5596228306003</v>
      </c>
      <c r="CD111" s="373">
        <f ca="1">(Geometria!$L$298-(Geometria!$L$298-IF(BS111&lt;Geometria!$L$1409/100,Geometria!$L$1442,Geometria!$L$1460))*(1-(MIN(MIN(1,MAX(0,(BS111-Geometria!$L$1409/100)/(Geometria!$N$1307/100))),MIN(1,MAX(0,((Geometria!$L$29/100-BS111)-Geometria!$R$1409/100)/(Geometria!$N$1307/100))))))*(IF(OR(Geometria!$K$1409&gt;0,Geometria!$K$1407&gt;0,Geometria!$Q$1409&gt;0,Geometria!$Q$1407&gt;0),1,0))-(Geometria!$L$298-IF(BS111&lt;Geometria!$L$1405/100,Geometria!$L$1444,Geometria!$L$1462))*(1-(MIN(MIN(1,MAX(0,(BS111-Geometria!$L$1405/100)/(Geometria!$N$1307/100))),MIN(1,MAX(0,((Geometria!$L$29/100-BS111)-Geometria!$R$1405/100)/(Geometria!$N$1307/100))))))*(IF(OR(Geometria!$K$1405&gt;0,Geometria!$K$1403&gt;0,Geometria!$Q$1405&gt;0,Geometria!$Q$1403&gt;0),1,0)))*BY134*(Geometria!$L$299-(Geometria!$L$299-IF(BS111&lt;Geometria!$L$1409/100,Geometria!$L$1443,Geometria!$L$1461))*(1-(MIN(MIN(1,MAX(0,(BS111-Geometria!$L$1409/100)/(Geometria!$N$1307/100))),MIN(1,MAX(0,((Geometria!$L$29/100-BS111)-Geometria!$R$1409/100)/(Geometria!$N$1307/100))))))*(IF(OR(Geometria!$K$1409&gt;0,Geometria!$K$1407&gt;0,Geometria!$Q$1409&gt;0,Geometria!$Q$1407&gt;0),1,0))-(Geometria!$L$299-IF(BS111&lt;Geometria!$L$1405/100,Geometria!$L$1445,Geometria!$L$1463))*(1-(MIN(MIN(1,MAX(0,(BS111-Geometria!$L$1405/100)/(Geometria!$N$1307/100))),MIN(1,MAX(0,((Geometria!$L$29/100-BS111)-Geometria!$R$1405/100)/(Geometria!$N$1307/100))))))*(IF(OR(Geometria!$K$1405&gt;0,Geometria!$K$1403&gt;0,Geometria!$Q$1405&gt;0,Geometria!$Q$1403&gt;0),1,0)))/100-Geometria!$P$1429*BY111*Geometria!$L$1438/100</f>
        <v>233.16742928073757</v>
      </c>
      <c r="CE111" s="365"/>
      <c r="CF111" s="371">
        <f ca="1">(IF(BT111="Sim",IF(BR111="Sim",$AB$93,ER111),IF(BR111="Sim",ET111,Geometria!$L$373)))</f>
        <v>1243.5596228306003</v>
      </c>
      <c r="CG111" s="371">
        <f ca="1">(IF(BT111="Sim",IF(BR111="Sim",$AB$94,ES111),IF(BR111="Sim",EU111,Geometria!$L$374)))</f>
        <v>233.16742928073757</v>
      </c>
      <c r="CI111" s="4" t="s">
        <v>439</v>
      </c>
      <c r="CJ111" s="202">
        <f t="shared" ca="1" si="17"/>
        <v>-10018.017996375063</v>
      </c>
      <c r="CK111" s="38" t="s">
        <v>234</v>
      </c>
      <c r="CL111" s="203">
        <f t="shared" ca="1" si="8"/>
        <v>-10.018017996375063</v>
      </c>
      <c r="CM111" s="38" t="s">
        <v>160</v>
      </c>
      <c r="CN111" s="399">
        <f t="shared" si="18"/>
        <v>0.0</v>
      </c>
      <c r="CO111" s="376" t="str">
        <f>IF(OR(AND(CP111&lt;Geometria!$L$1405/100,Geometria!$K$1405&gt;0),AND((Geometria!$L$29/100-CP111)&lt;Geometria!$R$1405/100,Geometria!$Q$1405&gt;0)),"Sim","Não")</f>
        <v>Não</v>
      </c>
      <c r="CP111" s="395">
        <f>Geometria!$M$418</f>
        <v>3.9250000000000003</v>
      </c>
      <c r="CQ111" s="376" t="str">
        <f>IF(OR(AND(CP111&lt;Geometria!$L$1409/100,OR(Geometria!$K$1409&gt;0,Geometria!$K$1407&gt;0)),AND((Geometria!$L$29/100-CP111)&lt;Geometria!$R$1409/100,OR(Geometria!$Q$1409&gt;0,Geometria!$Q$1407&gt;0))),"Sim","Não")</f>
        <v>Não</v>
      </c>
      <c r="CR111" s="122" t="s">
        <v>439</v>
      </c>
      <c r="CS111" s="198" t="str">
        <f ca="1">IF(Geometria!$M$440&lt;Geometria!$N$1307/100,"Reduzir","OK")</f>
        <v>OK</v>
      </c>
      <c r="CT111" s="401">
        <f t="shared" ca="1" si="9"/>
        <v>-10018.01131063056</v>
      </c>
      <c r="CU111" s="403">
        <f ca="1">-(CZ111/(Geometria!$L$48/100^2))+(DA111/(Geometria!$L$52/100^3))-((Geometria!$M$419)/(Geometria!$L$52/100^3))-((Geometria!$M$430)/(Geometria!$M$52))-((Geometria!$L$76*Geometria!$M$441)/(Geometria!$M$52))</f>
        <v>-10018.021339247314</v>
      </c>
      <c r="CV111" s="400">
        <f ca="1">((Geometria!$N$369*(Geometria!$M$900*100))/Geometria!$N$1307)</f>
        <v>413.87508082169563</v>
      </c>
      <c r="CW111" s="751">
        <f ca="1">-((Geometria!$L$373-(Geometria!$L$373-ER111)*(1-(MIN(MIN(1,MAX(0,(CP111-Geometria!$L$1409/100)/(Geometria!$N$1307/100))),MIN(1,MAX(0,((Geometria!$L$29/100-CP111)-Geometria!$R$1409/100)/(Geometria!$N$1307/100))))))*(IF(OR(Geometria!$K$1409&gt;0,Geometria!$K$1407&gt;0,Geometria!$Q$1409&gt;0,Geometria!$Q$1407&gt;0),1,0))-(Geometria!$L$373-ET111)*(1-(MIN(MIN(1,MAX(0,(CP111-Geometria!$L$1405/100)/(Geometria!$N$1307/100))),MIN(1,MAX(0,((Geometria!$L$29/100-CP111)-Geometria!$R$1405/100)/(Geometria!$N$1307/100))))))*(IF(OR(Geometria!$K$1405&gt;0,Geometria!$K$1403&gt;0,Geometria!$Q$1405&gt;0,Geometria!$Q$1403&gt;0),1,0))))/(Geometria!$L$48/100^2)+((Geometria!$L$374-(Geometria!$L$374-ES111)*(1-(MIN(MIN(1,MAX(0,(CP111-Geometria!$L$1409/100)/(Geometria!$N$1307/100))),MIN(1,MAX(0,((Geometria!$L$29/100-CP111)-Geometria!$R$1409/100)/(Geometria!$N$1307/100))))))*(IF(OR(Geometria!$K$1409&gt;0,Geometria!$K$1407&gt;0,Geometria!$Q$1409&gt;0,Geometria!$Q$1407&gt;0),1,0))-(Geometria!$L$374-EU111)*(1-(MIN(MIN(1,MAX(0,(CP111-Geometria!$L$1405/100)/(Geometria!$N$1307/100))),MIN(1,MAX(0,((Geometria!$L$29/100-CP111)-Geometria!$R$1405/100)/(Geometria!$N$1307/100))))))*(IF(OR(Geometria!$K$1405&gt;0,Geometria!$K$1403&gt;0,Geometria!$Q$1405&gt;0,Geometria!$Q$1403&gt;0),1,0))))/(Geometria!$L$52/100^3)-((Geometria!$M$676)/(Geometria!$L$52/100^3))-((Geometria!$M$687)/(Geometria!$M$52))</f>
        <v>-10018.01131063056</v>
      </c>
      <c r="CX111" s="751"/>
      <c r="CZ111" s="373">
        <f ca="1">(IF(CQ111="Sim",IF(CO111="Sim",IF(CP111&lt;Geometria!$L$1405/100,Geometria!$L$1435,Geometria!$L$1476),IF(CP111&lt;Geometria!$L$1409/100,Geometria!$L$1442,Geometria!$L$1460)),IF(CO111="Sim",IF(CP111&lt;Geometria!$L$1405/100,Geometria!$L$1444,Geometria!$L$1462),Geometria!$L$298)))*CV134+Geometria!$P$1429*CV111</f>
        <v>1243.5596228306003</v>
      </c>
      <c r="DA111" s="373">
        <f ca="1">(IF(CQ111="Sim",IF(CO111="Sim",IF(CP111&lt;Geometria!$L$1405/100,Geometria!$L$1435,Geometria!$L$1476),IF(CP111&lt;Geometria!$L$1409/100,Geometria!$L$1442,Geometria!$L$1460)),IF(CO111="Sim",IF(CP111&lt;Geometria!$L$1405/100,Geometria!$L$1444,Geometria!$L$1462),Geometria!$L$298)))*CV134*(IF(CQ111="Sim",IF(CO111="Sim",IF(CP111&lt;Geometria!$L$1405/100,Geometria!$L$1436,Geometria!$L$1484),IF(CP111&lt;Geometria!$L$1409/100,Geometria!$L$1443,Geometria!$L$1461)),IF(CO111="Sim",IF(CP111&lt;Geometria!$L$1405/100,Geometria!$L$1445,Geometria!$L$1463),Geometria!$L$299)))/100-Geometria!$P$1429*CV111*Geometria!$L$1438/100</f>
        <v>233.16742928073757</v>
      </c>
      <c r="DB111" s="365"/>
      <c r="DC111" s="371">
        <f ca="1">(IF(CQ111="Sim",IF(CO111="Sim",$AB$93,ER111),IF(CO111="Sim",ET111,Geometria!$L$373)))</f>
        <v>1243.5596228306003</v>
      </c>
      <c r="DD111" s="371">
        <f ca="1">(IF(CQ111="Sim",IF(CO111="Sim",$AB$94,ES111),IF(CO111="Sim",EU111,Geometria!$L$374)))</f>
        <v>233.16742928073757</v>
      </c>
      <c r="DF111" s="4" t="s">
        <v>439</v>
      </c>
      <c r="DG111" s="202">
        <f t="shared" ca="1" si="19"/>
        <v>-10018.01131063056</v>
      </c>
      <c r="DH111" s="38" t="s">
        <v>234</v>
      </c>
      <c r="DI111" s="203">
        <f t="shared" ca="1" si="10"/>
        <v>-10.018011310630559</v>
      </c>
      <c r="DJ111" s="38" t="s">
        <v>160</v>
      </c>
      <c r="DK111" s="399">
        <f t="shared" si="20"/>
        <v>0.0</v>
      </c>
      <c r="EA111">
        <f ca="1">-L111/('Aberturas na Alma'!$M$112/100^2)+M111/('Aberturas na Alma'!$M$119/100^3)-Geometria!$L$898/('Aberturas na Alma'!$M$119/100^3)</f>
        <v>15401.579386312458</v>
      </c>
      <c r="EB111">
        <f ca="1">-(IF(C111="Sim",IF(A111="Sim",$E$93,EX111),IF(A111="Sim",EZ111,Geometria!$L$906)))/('Aberturas na Alma'!$M$112/100^2)+(IF(C111="Sim",IF(A111="Sim",$E$94,EY111),IF(A111="Sim",FA111,Geometria!$L$907)))/('Aberturas na Alma'!$M$119/100^3)-Geometria!$M$901/('Aberturas na Alma'!$M$119/100^3)</f>
        <v>2726.0942774108107</v>
      </c>
      <c r="EC111">
        <f ca="1">IF(AND('Aberturas na Alma'!$M$18="NÃO DISPENSADO — furo deve ser verificado (cálculo abaixo)",OR(AND(B111&gt;=('Aberturas na Alma'!$M$4-'Aberturas na Alma'!$M$7/2)/100,B111&lt;=('Aberturas na Alma'!$M$4+'Aberturas na Alma'!$M$7/2)/100),ABS(B111-'Aberturas na Alma'!$M$4/100)&lt;=Geometria!$L$29/4000)),IF(E111="Reduzir",EA111,EB111),F111)</f>
        <v>4893.3992039814875</v>
      </c>
      <c r="ED111">
        <f ca="1">-(AI111/('Aberturas na Alma'!$M$112/100^2))+(AJ111/('Aberturas na Alma'!$M$119/100^3))-((Geometria!$M$419)/('Aberturas na Alma'!$M$119/100^3))-((Geometria!$M$430)/('Aberturas na Alma'!$M$119/100^3))-((Geometria!$L$76*Geometria!$M$441)/('Aberturas na Alma'!$M$119/100^3))</f>
        <v>-54149.10618698138</v>
      </c>
      <c r="EE111">
        <f ca="1">-((IF(Z111="Sim",IF(X111="Sim",$AB$93,ER111),IF(X111="Sim",ET111,Geometria!$L$373)))/('Aberturas na Alma'!$M$112/100^2))+((IF(Z111="Sim",IF(X111="Sim",$AB$94,ES111),IF(X111="Sim",EU111,Geometria!$L$374)))/('Aberturas na Alma'!$M$119/100^3))-((Geometria!$M$419)/('Aberturas na Alma'!$M$119/100^3))-((Geometria!$M$430)/('Aberturas na Alma'!$M$119/100^3))-((Geometria!$L$76*Geometria!$M$441)/('Aberturas na Alma'!$M$119/100^3))</f>
        <v>-54149.10618698138</v>
      </c>
      <c r="EF111" s="371">
        <f ca="1">IF(AND('Aberturas na Alma'!$M$18="NÃO DISPENSADO — furo deve ser verificado (cálculo abaixo)",OR(AND(B111&gt;=('Aberturas na Alma'!$M$4-'Aberturas na Alma'!$M$7/2)/100,B111&lt;=('Aberturas na Alma'!$M$4+'Aberturas na Alma'!$M$7/2)/100),ABS(B111-'Aberturas na Alma'!$M$4/100)&lt;=Geometria!$L$29/4000)),IF(AB111="Reduzir",ED111,EE111),AC111)</f>
        <v>-10018.021339247314</v>
      </c>
      <c r="EG111">
        <f ca="1">-(BF111/('Aberturas na Alma'!$M$112/100^2))+(BG111/('Aberturas na Alma'!$M$119/100^3))-((Geometria!$M$419)/('Aberturas na Alma'!$M$119/100^3))-((Geometria!$M$430)/('Aberturas na Alma'!$M$119/100^3))-((Geometria!$L$76*Geometria!$M$441)/('Aberturas na Alma'!$M$119/100^3))</f>
        <v>-54149.10618698138</v>
      </c>
      <c r="EH111">
        <f ca="1">-((IF(AW111="Sim",IF(AU111="Sim",$AB$93,ER111),IF(AU111="Sim",ET111,Geometria!$L$373)))/('Aberturas na Alma'!$M$112/100^2))+((IF(AW111="Sim",IF(AU111="Sim",$AB$94,ES111),IF(AU111="Sim",EU111,Geometria!$L$374)))/('Aberturas na Alma'!$M$119/100^3))-((Geometria!$M$419)/('Aberturas na Alma'!$M$119/100^3))-((Geometria!$M$430)/('Aberturas na Alma'!$M$119/100^3))</f>
        <v>-15060.96735321101</v>
      </c>
      <c r="EI111" s="371">
        <f ca="1">IF(AND('Aberturas na Alma'!$M$18="NÃO DISPENSADO — furo deve ser verificado (cálculo abaixo)",OR(AND(B111&gt;=('Aberturas na Alma'!$M$4-'Aberturas na Alma'!$M$7/2)/100,B111&lt;=('Aberturas na Alma'!$M$4+'Aberturas na Alma'!$M$7/2)/100),ABS(B111-'Aberturas na Alma'!$M$4/100)&lt;=Geometria!$L$29/4000)),IF(AY111="Reduzir",EG111,EH111),AZ111)</f>
        <v>-10018.01131063056</v>
      </c>
      <c r="EJ111">
        <f ca="1">-(CC111/('Aberturas na Alma'!$M$112/100^2))+(CD111/('Aberturas na Alma'!$M$119/100^3))-((Geometria!$M$419)/('Aberturas na Alma'!$M$119/100^3))-((Geometria!$M$430)/('Aberturas na Alma'!$M$119/100^3))-((Geometria!$L$76*Geometria!$M$441)/('Aberturas na Alma'!$M$119/100^3))</f>
        <v>-54149.10618698138</v>
      </c>
      <c r="EK111">
        <f ca="1">-((IF(BT111="Sim",IF(BR111="Sim",$AB$93,ER111),IF(BR111="Sim",ET111,Geometria!$L$373)))/('Aberturas na Alma'!$M$112/100^2))+((IF(BT111="Sim",IF(BR111="Sim",$AB$94,ES111),IF(BR111="Sim",EU111,Geometria!$L$374)))/('Aberturas na Alma'!$M$119/100^3))-((Geometria!$M$676)/('Aberturas na Alma'!$M$119/100^3))-((Geometria!$M$687)/('Aberturas na Alma'!$M$119/100^3))-((Geometria!$L$77*Geometria!$M$698)/('Aberturas na Alma'!$M$119/100^3))</f>
        <v>-41119.72657572459</v>
      </c>
      <c r="EL111" s="371">
        <f ca="1">IF(AND('Aberturas na Alma'!$M$18="NÃO DISPENSADO — furo deve ser verificado (cálculo abaixo)",OR(AND(B111&gt;=('Aberturas na Alma'!$M$4-'Aberturas na Alma'!$M$7/2)/100,B111&lt;=('Aberturas na Alma'!$M$4+'Aberturas na Alma'!$M$7/2)/100),ABS(B111-'Aberturas na Alma'!$M$4/100)&lt;=Geometria!$L$29/4000)),IF(BV111="Reduzir",EJ111,EK111),BW111)</f>
        <v>-10018.017996375063</v>
      </c>
      <c r="EM111">
        <f ca="1">-(CZ111/('Aberturas na Alma'!$M$112/100^2))+(DA111/('Aberturas na Alma'!$M$119/100^3))-((Geometria!$M$419)/('Aberturas na Alma'!$M$119/100^3))-((Geometria!$M$430)/('Aberturas na Alma'!$M$119/100^3))-((Geometria!$L$76*Geometria!$M$441)/('Aberturas na Alma'!$M$119/100^3))</f>
        <v>-54149.10618698138</v>
      </c>
      <c r="EN111">
        <f ca="1">-((IF(CQ111="Sim",IF(CO111="Sim",$AB$93,ER111),IF(CO111="Sim",ET111,Geometria!$L$373)))/('Aberturas na Alma'!$M$112/100^2))+((IF(CQ111="Sim",IF(CO111="Sim",$AB$94,ES111),IF(CO111="Sim",EU111,Geometria!$L$374)))/('Aberturas na Alma'!$M$119/100^3))-((Geometria!$M$676)/('Aberturas na Alma'!$M$119/100^3))-((Geometria!$M$687)/('Aberturas na Alma'!$M$119/100^3))</f>
        <v>-15060.96735321101</v>
      </c>
      <c r="EO111" s="371">
        <f ca="1">IF(AND('Aberturas na Alma'!$M$18="NÃO DISPENSADO — furo deve ser verificado (cálculo abaixo)",OR(AND(B111&gt;=('Aberturas na Alma'!$M$4-'Aberturas na Alma'!$M$7/2)/100,B111&lt;=('Aberturas na Alma'!$M$4+'Aberturas na Alma'!$M$7/2)/100),ABS(B111-'Aberturas na Alma'!$M$4/100)&lt;=Geometria!$L$29/4000)),IF(CS111="Reduzir",EM111,EN111),CT111)</f>
        <v>-10018.01131063056</v>
      </c>
      <c r="EP111" t="str">
        <f>IF(AND(Y111&lt;Geometria!$L$1409/100,OR(Geometria!$K$1409&gt;0,Geometria!$K$1407&gt;0)),"ESQ",IF(AND((Geometria!$L$29/100-Y111)&lt;Geometria!$R$1409/100,OR(Geometria!$Q$1409&gt;0,Geometria!$Q$1407&gt;0)),"DIR","N/A"))</f>
        <v>N/A</v>
      </c>
      <c r="EQ111" t="str">
        <f>IF(AND(Y111&lt;Geometria!$L$1405/100,Geometria!$K$1405&gt;0),"ESQ",IF(AND((Geometria!$L$29/100-Y111)&lt;Geometria!$R$1405/100,Geometria!$Q$1405&gt;0),"DIR","N/A"))</f>
        <v>N/A</v>
      </c>
      <c r="ER111">
        <f ca="1">IF(EP111="DIR",Geometria!$L$1470,Geometria!$L$1452)</f>
        <v>1243.5596228306003</v>
      </c>
      <c r="ES111">
        <f ca="1">IF(EP111="DIR",Geometria!$L$1471,Geometria!$L$1453)</f>
        <v>233.16742928073757</v>
      </c>
      <c r="ET111">
        <f ca="1">IF(EQ111="DIR",Geometria!$L$1472,Geometria!$L$1454)</f>
        <v>621.7798114153002</v>
      </c>
      <c r="EU111">
        <f ca="1">IF(EQ111="DIR",Geometria!$L$1473,Geometria!$L$1455)</f>
        <v>177.20724625336052</v>
      </c>
      <c r="EV111" t="str">
        <f>IF(AND(B111&lt;Geometria!$L$1409/100,OR(Geometria!$K$1409&gt;0,Geometria!$K$1407&gt;0)),"ESQ",IF(AND((Geometria!$L$29/100-B111)&lt;Geometria!$R$1409/100,OR(Geometria!$Q$1409&gt;0,Geometria!$Q$1407&gt;0)),"DIR","N/A"))</f>
        <v>N/A</v>
      </c>
      <c r="EW111" t="str">
        <f>IF(AND(B111&lt;Geometria!$L$1405/100,Geometria!$K$1405&gt;0),"ESQ",IF(AND((Geometria!$L$29/100-B111)&lt;Geometria!$R$1405/100,Geometria!$Q$1405&gt;0),"DIR","N/A"))</f>
        <v>N/A</v>
      </c>
      <c r="EX111">
        <f ca="1">IF(EV111="DIR",Geometria!$L$1465,Geometria!$L$1447)</f>
        <v>1499.8056003831216</v>
      </c>
      <c r="EY111">
        <f ca="1">IF(EV111="DIR",Geometria!$L$1466,Geometria!$L$1448)</f>
        <v>281.2135500718353</v>
      </c>
      <c r="EZ111">
        <f ca="1">IF(EW111="DIR",Geometria!$L$1467,Geometria!$L$1449)</f>
        <v>749.9028001915608</v>
      </c>
      <c r="FA111">
        <f ca="1">IF(EW111="DIR",Geometria!$L$1468,Geometria!$L$1450)</f>
        <v>213.72229805459483</v>
      </c>
    </row>
    <row r="112" spans="1:157" x14ac:dyDescent="0.25">
      <c r="A112" s="376" t="str">
        <f>IF(OR(AND(B112&lt;Geometria!$L$1405/100,Geometria!$K$1405&gt;0),AND((Geometria!$L$29/100-B112)&lt;Geometria!$R$1405/100,Geometria!$Q$1405&gt;0)),"Sim","Não")</f>
        <v>Não</v>
      </c>
      <c r="B112" s="395">
        <f>Tensões!$E$66</f>
        <v>4.3175</v>
      </c>
      <c r="C112" s="376" t="str">
        <f>IF(OR(AND(B112&lt;Geometria!$L$1409/100,OR(Geometria!$K$1409&gt;0,Geometria!$K$1407&gt;0)),AND((Geometria!$L$29/100-B112)&lt;Geometria!$R$1409/100,OR(Geometria!$Q$1409&gt;0,Geometria!$Q$1407&gt;0))),"Sim","Não")</f>
        <v>Não</v>
      </c>
      <c r="D112" s="122" t="s">
        <v>440</v>
      </c>
      <c r="E112" s="198" t="str">
        <f ca="1">E110</f>
        <v>OK</v>
      </c>
      <c r="F112" s="396">
        <f t="shared" ca="1" si="1"/>
        <v>4916.186690960654</v>
      </c>
      <c r="G112" s="397">
        <f ca="1">-L112/(Geometria!$L$48/100^2)+M112/(Geometria!$L$52/100^3)-Geometria!$L$898/(Geometria!$L$52/100^3)</f>
        <v>19619.50417527431</v>
      </c>
      <c r="H112" s="400">
        <f ca="1">H110</f>
        <v>440.81269602021155</v>
      </c>
      <c r="I112" s="743">
        <f ca="1">-(Geometria!$L$906-(Geometria!$L$906-EX112)*(1-(MIN(MIN(1,MAX(0,(B112-Geometria!$L$1409/100)/(Geometria!$N$1307/100))),MIN(1,MAX(0,((Geometria!$L$29/100-B112)-Geometria!$R$1409/100)/(Geometria!$N$1307/100))))))*(IF(OR(Geometria!$K$1409&gt;0,Geometria!$K$1407&gt;0,Geometria!$Q$1409&gt;0,Geometria!$Q$1407&gt;0),1,0))-(Geometria!$L$906-EZ112)*(1-(MIN(MIN(1,MAX(0,(B112-Geometria!$L$1405/100)/(Geometria!$N$1307/100))),MIN(1,MAX(0,((Geometria!$L$29/100-B112)-Geometria!$R$1405/100)/(Geometria!$N$1307/100))))))*(IF(OR(Geometria!$K$1405&gt;0,Geometria!$K$1403&gt;0,Geometria!$Q$1405&gt;0,Geometria!$Q$1403&gt;0),1,0)))/(Geometria!$L$48/100^2)+(Geometria!$L$907-(Geometria!$L$907-EY112)*(1-(MIN(MIN(1,MAX(0,(B112-Geometria!$L$1409/100)/(Geometria!$N$1307/100))),MIN(1,MAX(0,((Geometria!$L$29/100-B112)-Geometria!$R$1409/100)/(Geometria!$N$1307/100))))))*(IF(OR(Geometria!$K$1409&gt;0,Geometria!$K$1407&gt;0,Geometria!$Q$1409&gt;0,Geometria!$Q$1407&gt;0),1,0))-(Geometria!$L$907-FA112)*(1-(MIN(MIN(1,MAX(0,(B112-Geometria!$L$1405/100)/(Geometria!$N$1307/100))),MIN(1,MAX(0,((Geometria!$L$29/100-B112)-Geometria!$R$1405/100)/(Geometria!$N$1307/100))))))*(IF(OR(Geometria!$K$1405&gt;0,Geometria!$K$1403&gt;0,Geometria!$Q$1405&gt;0,Geometria!$Q$1403&gt;0),1,0)))/(Geometria!$L$52/100^3)-Geometria!$N$901/(Geometria!$L$52/100^3)</f>
        <v>4916.186690960654</v>
      </c>
      <c r="J112" s="743"/>
      <c r="L112" s="373">
        <f ca="1">(Geometria!$L$298-(Geometria!$L$298-IF(B112&lt;Geometria!$L$1409/100,Geometria!$L$1442,Geometria!$L$1460))*(1-(MIN(MIN(1,MAX(0,(B112-Geometria!$L$1409/100)/(Geometria!$N$1307/100))),MIN(1,MAX(0,((Geometria!$L$29/100-B112)-Geometria!$R$1409/100)/(Geometria!$N$1307/100))))))*(IF(OR(Geometria!$K$1409&gt;0,Geometria!$K$1407&gt;0,Geometria!$Q$1409&gt;0,Geometria!$Q$1407&gt;0),1,0))-(Geometria!$L$298-IF(B112&lt;Geometria!$L$1405/100,Geometria!$L$1444,Geometria!$L$1462))*(1-(MIN(MIN(1,MAX(0,(B112-Geometria!$L$1405/100)/(Geometria!$N$1307/100))),MIN(1,MAX(0,((Geometria!$L$29/100-B112)-Geometria!$R$1405/100)/(Geometria!$N$1307/100))))))*(IF(OR(Geometria!$K$1405&gt;0,Geometria!$K$1403&gt;0,Geometria!$Q$1405&gt;0,Geometria!$Q$1403&gt;0),1,0)))*H135+Geometria!$P$1429*H112</f>
        <v>4125.078808020716</v>
      </c>
      <c r="M112" s="373">
        <f ca="1">(Geometria!$L$298-(Geometria!$L$298-IF(B112&lt;Geometria!$L$1409/100,Geometria!$L$1442,Geometria!$L$1460))*(1-(MIN(MIN(1,MAX(0,(B112-Geometria!$L$1409/100)/(Geometria!$N$1307/100))),MIN(1,MAX(0,((Geometria!$L$29/100-B112)-Geometria!$R$1409/100)/(Geometria!$N$1307/100))))))*(IF(OR(Geometria!$K$1409&gt;0,Geometria!$K$1407&gt;0,Geometria!$Q$1409&gt;0,Geometria!$Q$1407&gt;0),1,0))-(Geometria!$L$298-IF(B112&lt;Geometria!$L$1405/100,Geometria!$L$1444,Geometria!$L$1462))*(1-(MIN(MIN(1,MAX(0,(B112-Geometria!$L$1405/100)/(Geometria!$N$1307/100))),MIN(1,MAX(0,((Geometria!$L$29/100-B112)-Geometria!$R$1405/100)/(Geometria!$N$1307/100))))))*(IF(OR(Geometria!$K$1405&gt;0,Geometria!$K$1403&gt;0,Geometria!$Q$1405&gt;0,Geometria!$Q$1403&gt;0),1,0)))*H135*(Geometria!$L$299-(Geometria!$L$299-IF(B112&lt;Geometria!$L$1409/100,Geometria!$L$1443,Geometria!$L$1461))*(1-(MIN(MIN(1,MAX(0,(B112-Geometria!$L$1409/100)/(Geometria!$N$1307/100))),MIN(1,MAX(0,((Geometria!$L$29/100-B112)-Geometria!$R$1409/100)/(Geometria!$N$1307/100))))))*(IF(OR(Geometria!$K$1409&gt;0,Geometria!$K$1407&gt;0,Geometria!$Q$1409&gt;0,Geometria!$Q$1407&gt;0),1,0))-(Geometria!$L$299-IF(B112&lt;Geometria!$L$1405/100,Geometria!$L$1445,Geometria!$L$1463))*(1-(MIN(MIN(1,MAX(0,(B112-Geometria!$L$1405/100)/(Geometria!$N$1307/100))),MIN(1,MAX(0,((Geometria!$L$29/100-B112)-Geometria!$R$1405/100)/(Geometria!$N$1307/100))))))*(IF(OR(Geometria!$K$1405&gt;0,Geometria!$K$1403&gt;0,Geometria!$Q$1405&gt;0,Geometria!$Q$1403&gt;0),1,0)))/100-Geometria!$P$1429*H112*Geometria!$L$1438/100</f>
        <v>773.4522765038841</v>
      </c>
      <c r="N112" s="365"/>
      <c r="O112" s="371">
        <f ca="1">(IF(C112="Sim",IF(A112="Sim",$E$93,EX112),IF(A112="Sim",EZ112,Geometria!$L$906)))</f>
        <v>1475.413282676191</v>
      </c>
      <c r="P112" s="371">
        <f ca="1">(IF(C112="Sim",IF(A112="Sim",$E$94,EY112),IF(A112="Sim",FA112,Geometria!$L$907)))</f>
        <v>276.63999050178586</v>
      </c>
      <c r="R112" s="4" t="s">
        <v>440</v>
      </c>
      <c r="S112" s="202">
        <f t="shared" ca="1" si="11"/>
        <v>4916.186690960654</v>
      </c>
      <c r="T112" s="38" t="s">
        <v>234</v>
      </c>
      <c r="U112" s="203">
        <f t="shared" ca="1" si="2"/>
        <v>4.916186690960655</v>
      </c>
      <c r="V112" s="38" t="s">
        <v>160</v>
      </c>
      <c r="W112" s="399">
        <f t="shared" si="12"/>
        <v>0.0</v>
      </c>
      <c r="X112" s="376" t="str">
        <f>IF(OR(AND(Y112&lt;Geometria!$L$1405/100,Geometria!$K$1405&gt;0),AND((Geometria!$L$29/100-Y112)&lt;Geometria!$R$1405/100,Geometria!$Q$1405&gt;0)),"Sim","Não")</f>
        <v>Não</v>
      </c>
      <c r="Y112" s="395">
        <f>Geometria!$N$418</f>
        <v>4.3175</v>
      </c>
      <c r="Z112" s="376" t="str">
        <f>IF(OR(AND(Y112&lt;Geometria!$L$1409/100,OR(Geometria!$K$1409&gt;0,Geometria!$K$1407&gt;0)),AND((Geometria!$L$29/100-Y112)&lt;Geometria!$R$1409/100,OR(Geometria!$Q$1409&gt;0,Geometria!$Q$1407&gt;0))),"Sim","Não")</f>
        <v>Não</v>
      </c>
      <c r="AA112" s="122" t="s">
        <v>440</v>
      </c>
      <c r="AB112" s="198" t="str">
        <f ca="1">AB110</f>
        <v>OK</v>
      </c>
      <c r="AC112" s="401">
        <f t="shared" ca="1" si="3"/>
        <v>-9857.390310856132</v>
      </c>
      <c r="AD112" s="403">
        <f ca="1">-(AI112/(Geometria!$L$48/100^2))+(AJ112/(Geometria!$L$52/100^3))-((Geometria!$N$419)/(Geometria!$L$52/100^3))-((Geometria!$N$430)/(Geometria!$M$52))-((Geometria!$L$76*Geometria!$N$441)/(Geometria!$M$52))</f>
        <v>-9857.390310856132</v>
      </c>
      <c r="AE112" s="400">
        <f ca="1">AE110</f>
        <v>372.48757273952606</v>
      </c>
      <c r="AF112" s="751">
        <f ca="1">-((Geometria!$L$373-(Geometria!$L$373-ER112)*(1-(MIN(MIN(1,MAX(0,(Y112-Geometria!$L$1409/100)/(Geometria!$N$1307/100))),MIN(1,MAX(0,((Geometria!$L$29/100-Y112)-Geometria!$R$1409/100)/(Geometria!$N$1307/100))))))*(IF(OR(Geometria!$K$1409&gt;0,Geometria!$K$1407&gt;0,Geometria!$Q$1409&gt;0,Geometria!$Q$1407&gt;0),1,0))-(Geometria!$L$373-ET112)*(1-(MIN(MIN(1,MAX(0,(Y112-Geometria!$L$1405/100)/(Geometria!$N$1307/100))),MIN(1,MAX(0,((Geometria!$L$29/100-Y112)-Geometria!$R$1405/100)/(Geometria!$N$1307/100))))))*(IF(OR(Geometria!$K$1405&gt;0,Geometria!$K$1403&gt;0,Geometria!$Q$1405&gt;0,Geometria!$Q$1403&gt;0),1,0))))/(Geometria!$L$48/100^2)+((Geometria!$L$374-(Geometria!$L$374-ES112)*(1-(MIN(MIN(1,MAX(0,(Y112-Geometria!$L$1409/100)/(Geometria!$N$1307/100))),MIN(1,MAX(0,((Geometria!$L$29/100-Y112)-Geometria!$R$1409/100)/(Geometria!$N$1307/100))))))*(IF(OR(Geometria!$K$1409&gt;0,Geometria!$K$1407&gt;0,Geometria!$Q$1409&gt;0,Geometria!$Q$1407&gt;0),1,0))-(Geometria!$L$374-EU112)*(1-(MIN(MIN(1,MAX(0,(Y112-Geometria!$L$1405/100)/(Geometria!$N$1307/100))),MIN(1,MAX(0,((Geometria!$L$29/100-Y112)-Geometria!$R$1405/100)/(Geometria!$N$1307/100))))))*(IF(OR(Geometria!$K$1405&gt;0,Geometria!$K$1403&gt;0,Geometria!$Q$1405&gt;0,Geometria!$Q$1403&gt;0),1,0))))/(Geometria!$L$52/100^3)-((Geometria!$N$419)/(Geometria!$L$52/100^3))-((Geometria!$N$430)/(Geometria!$M$52))-((Geometria!$L$76*Geometria!$N$441)/(Geometria!$M$52))</f>
        <v>-9857.390310856132</v>
      </c>
      <c r="AG112" s="751"/>
      <c r="AI112" s="373">
        <f ca="1">(IF(Z112="Sim",IF(X112="Sim",IF(Y112&lt;Geometria!$L$1405/100,Geometria!$L$1435,Geometria!$L$1476),IF(Y112&lt;Geometria!$L$1409/100,Geometria!$L$1442,Geometria!$L$1460)),IF(X112="Sim",IF(Y112&lt;Geometria!$L$1405/100,Geometria!$L$1444,Geometria!$L$1462),Geometria!$L$298)))*AE135+Geometria!$P$1429*AE112</f>
        <v>1243.5596228306003</v>
      </c>
      <c r="AJ112" s="373">
        <f ca="1">(IF(Z112="Sim",IF(X112="Sim",IF(Y112&lt;Geometria!$L$1405/100,Geometria!$L$1435,Geometria!$L$1476),IF(Y112&lt;Geometria!$L$1409/100,Geometria!$L$1442,Geometria!$L$1460)),IF(X112="Sim",IF(Y112&lt;Geometria!$L$1405/100,Geometria!$L$1444,Geometria!$L$1462),Geometria!$L$298)))*AE135*(IF(Z112="Sim",IF(X112="Sim",IF(Y112&lt;Geometria!$L$1405/100,Geometria!$L$1436,Geometria!$L$1484),IF(Y112&lt;Geometria!$L$1409/100,Geometria!$L$1443,Geometria!$L$1461)),IF(X112="Sim",IF(Y112&lt;Geometria!$L$1405/100,Geometria!$L$1445,Geometria!$L$1463),Geometria!$L$299)))/100-Geometria!$P$1429*AE112*Geometria!$L$1438/100</f>
        <v>233.16742928073757</v>
      </c>
      <c r="AK112" s="365"/>
      <c r="AL112" s="371">
        <f ca="1">(IF(Z112="Sim",IF(X112="Sim",$AB$93,ER112),IF(X112="Sim",ET112,Geometria!$L$373)))</f>
        <v>1243.5596228306003</v>
      </c>
      <c r="AM112" s="371">
        <f ca="1">(IF(Z112="Sim",IF(X112="Sim",$AB$94,ES112),IF(X112="Sim",EU112,Geometria!$L$374)))</f>
        <v>233.16742928073757</v>
      </c>
      <c r="AO112" s="4" t="s">
        <v>440</v>
      </c>
      <c r="AP112" s="202">
        <f t="shared" ca="1" si="13"/>
        <v>-9857.390310856132</v>
      </c>
      <c r="AQ112" s="38" t="s">
        <v>234</v>
      </c>
      <c r="AR112" s="203">
        <f t="shared" ca="1" si="4"/>
        <v>-9.857390310856132</v>
      </c>
      <c r="AS112" s="38" t="s">
        <v>160</v>
      </c>
      <c r="AT112" s="399">
        <f t="shared" si="14"/>
        <v>0.0</v>
      </c>
      <c r="AU112" s="376" t="str">
        <f>IF(OR(AND(AV112&lt;Geometria!$L$1405/100,Geometria!$K$1405&gt;0),AND((Geometria!$L$29/100-AV112)&lt;Geometria!$R$1405/100,Geometria!$Q$1405&gt;0)),"Sim","Não")</f>
        <v>Não</v>
      </c>
      <c r="AV112" s="395">
        <f>Geometria!$N$418</f>
        <v>4.3175</v>
      </c>
      <c r="AW112" s="376" t="str">
        <f>IF(OR(AND(AV112&lt;Geometria!$L$1409/100,OR(Geometria!$K$1409&gt;0,Geometria!$K$1407&gt;0)),AND((Geometria!$L$29/100-AV112)&lt;Geometria!$R$1409/100,OR(Geometria!$Q$1409&gt;0,Geometria!$Q$1407&gt;0))),"Sim","Não")</f>
        <v>Não</v>
      </c>
      <c r="AX112" s="122" t="s">
        <v>440</v>
      </c>
      <c r="AY112" s="198" t="str">
        <f ca="1">AY110</f>
        <v>OK</v>
      </c>
      <c r="AZ112" s="401">
        <f t="shared" ca="1" si="5"/>
        <v>-9857.380382525545</v>
      </c>
      <c r="BA112" s="403">
        <f ca="1">-(BF112/(Geometria!$L$48/100^2))+(BG112/(Geometria!$L$52/100^3))-((Geometria!$N$419)/(Geometria!$L$52/100^3))-((Geometria!$N$430)/(Geometria!$M$52))-((Geometria!$L$76*Geometria!$N$441)/(Geometria!$M$52))</f>
        <v>-9857.390310856132</v>
      </c>
      <c r="BB112" s="400">
        <f ca="1">BB110</f>
        <v>372.48757273952606</v>
      </c>
      <c r="BC112" s="751">
        <f ca="1">-((Geometria!$L$373-(Geometria!$L$373-ER112)*(1-(MIN(MIN(1,MAX(0,(AV112-Geometria!$L$1409/100)/(Geometria!$N$1307/100))),MIN(1,MAX(0,((Geometria!$L$29/100-AV112)-Geometria!$R$1409/100)/(Geometria!$N$1307/100))))))*(IF(OR(Geometria!$K$1409&gt;0,Geometria!$K$1407&gt;0,Geometria!$Q$1409&gt;0,Geometria!$Q$1407&gt;0),1,0))-(Geometria!$L$373-ET112)*(1-(MIN(MIN(1,MAX(0,(AV112-Geometria!$L$1405/100)/(Geometria!$N$1307/100))),MIN(1,MAX(0,((Geometria!$L$29/100-AV112)-Geometria!$R$1405/100)/(Geometria!$N$1307/100))))))*(IF(OR(Geometria!$K$1405&gt;0,Geometria!$K$1403&gt;0,Geometria!$Q$1405&gt;0,Geometria!$Q$1403&gt;0),1,0))))/(Geometria!$L$48/100^2)+((Geometria!$L$374-(Geometria!$L$374-ES112)*(1-(MIN(MIN(1,MAX(0,(AV112-Geometria!$L$1409/100)/(Geometria!$N$1307/100))),MIN(1,MAX(0,((Geometria!$L$29/100-AV112)-Geometria!$R$1409/100)/(Geometria!$N$1307/100))))))*(IF(OR(Geometria!$K$1409&gt;0,Geometria!$K$1407&gt;0,Geometria!$Q$1409&gt;0,Geometria!$Q$1407&gt;0),1,0))-(Geometria!$L$374-EU112)*(1-(MIN(MIN(1,MAX(0,(AV112-Geometria!$L$1405/100)/(Geometria!$N$1307/100))),MIN(1,MAX(0,((Geometria!$L$29/100-AV112)-Geometria!$R$1405/100)/(Geometria!$N$1307/100))))))*(IF(OR(Geometria!$K$1405&gt;0,Geometria!$K$1403&gt;0,Geometria!$Q$1405&gt;0,Geometria!$Q$1403&gt;0),1,0))))/(Geometria!$L$52/100^3)-((Geometria!$N$419)/(Geometria!$L$52/100^3))-((Geometria!$N$430)/(Geometria!$M$52))</f>
        <v>-9857.380382525545</v>
      </c>
      <c r="BD112" s="751"/>
      <c r="BF112" s="373">
        <f ca="1">(Geometria!$L$298-(Geometria!$L$298-IF(AV112&lt;Geometria!$L$1409/100,Geometria!$L$1442,Geometria!$L$1460))*(1-(MIN(MIN(1,MAX(0,(AV112-Geometria!$L$1409/100)/(Geometria!$N$1307/100))),MIN(1,MAX(0,((Geometria!$L$29/100-AV112)-Geometria!$R$1409/100)/(Geometria!$N$1307/100))))))*(IF(OR(Geometria!$K$1409&gt;0,Geometria!$K$1407&gt;0,Geometria!$Q$1409&gt;0,Geometria!$Q$1407&gt;0),1,0))-(Geometria!$L$298-IF(AV112&lt;Geometria!$L$1405/100,Geometria!$L$1444,Geometria!$L$1462))*(1-(MIN(MIN(1,MAX(0,(AV112-Geometria!$L$1405/100)/(Geometria!$N$1307/100))),MIN(1,MAX(0,((Geometria!$L$29/100-AV112)-Geometria!$R$1405/100)/(Geometria!$N$1307/100))))))*(IF(OR(Geometria!$K$1405&gt;0,Geometria!$K$1403&gt;0,Geometria!$Q$1405&gt;0,Geometria!$Q$1403&gt;0),1,0)))*BB135+Geometria!$P$1429*BB112</f>
        <v>1243.5596228306003</v>
      </c>
      <c r="BG112" s="373">
        <f ca="1">(Geometria!$L$298-(Geometria!$L$298-IF(AV112&lt;Geometria!$L$1409/100,Geometria!$L$1442,Geometria!$L$1460))*(1-(MIN(MIN(1,MAX(0,(AV112-Geometria!$L$1409/100)/(Geometria!$N$1307/100))),MIN(1,MAX(0,((Geometria!$L$29/100-AV112)-Geometria!$R$1409/100)/(Geometria!$N$1307/100))))))*(IF(OR(Geometria!$K$1409&gt;0,Geometria!$K$1407&gt;0,Geometria!$Q$1409&gt;0,Geometria!$Q$1407&gt;0),1,0))-(Geometria!$L$298-IF(AV112&lt;Geometria!$L$1405/100,Geometria!$L$1444,Geometria!$L$1462))*(1-(MIN(MIN(1,MAX(0,(AV112-Geometria!$L$1405/100)/(Geometria!$N$1307/100))),MIN(1,MAX(0,((Geometria!$L$29/100-AV112)-Geometria!$R$1405/100)/(Geometria!$N$1307/100))))))*(IF(OR(Geometria!$K$1405&gt;0,Geometria!$K$1403&gt;0,Geometria!$Q$1405&gt;0,Geometria!$Q$1403&gt;0),1,0)))*BB135*(Geometria!$L$299-(Geometria!$L$299-IF(AV112&lt;Geometria!$L$1409/100,Geometria!$L$1443,Geometria!$L$1461))*(1-(MIN(MIN(1,MAX(0,(AV112-Geometria!$L$1409/100)/(Geometria!$N$1307/100))),MIN(1,MAX(0,((Geometria!$L$29/100-AV112)-Geometria!$R$1409/100)/(Geometria!$N$1307/100))))))*(IF(OR(Geometria!$K$1409&gt;0,Geometria!$K$1407&gt;0,Geometria!$Q$1409&gt;0,Geometria!$Q$1407&gt;0),1,0))-(Geometria!$L$299-IF(AV112&lt;Geometria!$L$1405/100,Geometria!$L$1445,Geometria!$L$1463))*(1-(MIN(MIN(1,MAX(0,(AV112-Geometria!$L$1405/100)/(Geometria!$N$1307/100))),MIN(1,MAX(0,((Geometria!$L$29/100-AV112)-Geometria!$R$1405/100)/(Geometria!$N$1307/100))))))*(IF(OR(Geometria!$K$1405&gt;0,Geometria!$K$1403&gt;0,Geometria!$Q$1405&gt;0,Geometria!$Q$1403&gt;0),1,0)))/100-Geometria!$P$1429*BB112*Geometria!$L$1438/100</f>
        <v>233.16742928073757</v>
      </c>
      <c r="BH112" s="365"/>
      <c r="BI112" s="371">
        <f ca="1">(IF(AW112="Sim",IF(AU112="Sim",$AB$93,ER112),IF(AU112="Sim",ET112,Geometria!$L$373)))</f>
        <v>1243.5596228306003</v>
      </c>
      <c r="BJ112" s="371">
        <f ca="1">(IF(AW112="Sim",IF(AU112="Sim",$AB$94,ES112),IF(AU112="Sim",EU112,Geometria!$L$374)))</f>
        <v>233.16742928073757</v>
      </c>
      <c r="BL112" s="4" t="s">
        <v>440</v>
      </c>
      <c r="BM112" s="202">
        <f t="shared" ca="1" si="15"/>
        <v>-9857.380382525545</v>
      </c>
      <c r="BN112" s="38" t="s">
        <v>234</v>
      </c>
      <c r="BO112" s="203">
        <f t="shared" ca="1" si="6"/>
        <v>-9.857380382525545</v>
      </c>
      <c r="BP112" s="38" t="s">
        <v>160</v>
      </c>
      <c r="BQ112" s="399">
        <f t="shared" si="16"/>
        <v>0.0</v>
      </c>
      <c r="BR112" s="376" t="str">
        <f>IF(OR(AND(BS112&lt;Geometria!$L$1405/100,Geometria!$K$1405&gt;0),AND((Geometria!$L$29/100-BS112)&lt;Geometria!$R$1405/100,Geometria!$Q$1405&gt;0)),"Sim","Não")</f>
        <v>Não</v>
      </c>
      <c r="BS112" s="395">
        <f>Geometria!$N$418</f>
        <v>4.3175</v>
      </c>
      <c r="BT112" s="376" t="str">
        <f>IF(OR(AND(BS112&lt;Geometria!$L$1409/100,OR(Geometria!$K$1409&gt;0,Geometria!$K$1407&gt;0)),AND((Geometria!$L$29/100-BS112)&lt;Geometria!$R$1409/100,OR(Geometria!$Q$1409&gt;0,Geometria!$Q$1407&gt;0))),"Sim","Não")</f>
        <v>Não</v>
      </c>
      <c r="BU112" s="122" t="s">
        <v>440</v>
      </c>
      <c r="BV112" s="198" t="str">
        <f ca="1">BV110</f>
        <v>OK</v>
      </c>
      <c r="BW112" s="401">
        <f t="shared" ca="1" si="7"/>
        <v>-9857.387001412602</v>
      </c>
      <c r="BX112" s="403">
        <f ca="1">-(CC112/(Geometria!$L$48/100^2))+(CD112/(Geometria!$L$52/100^3))-((Geometria!$N$419)/(Geometria!$L$52/100^3))-((Geometria!$N$430)/(Geometria!$M$52))-((Geometria!$L$76*Geometria!$N$441)/(Geometria!$M$52))</f>
        <v>-9857.390310856132</v>
      </c>
      <c r="BY112" s="400">
        <f ca="1">BY110</f>
        <v>372.48757273952606</v>
      </c>
      <c r="BZ112" s="751">
        <f ca="1">-((Geometria!$L$373-(Geometria!$L$373-ER112)*(1-(MIN(MIN(1,MAX(0,(BS112-Geometria!$L$1409/100)/(Geometria!$N$1307/100))),MIN(1,MAX(0,((Geometria!$L$29/100-BS112)-Geometria!$R$1409/100)/(Geometria!$N$1307/100))))))*(IF(OR(Geometria!$K$1409&gt;0,Geometria!$K$1407&gt;0,Geometria!$Q$1409&gt;0,Geometria!$Q$1407&gt;0),1,0))-(Geometria!$L$373-ET112)*(1-(MIN(MIN(1,MAX(0,(BS112-Geometria!$L$1405/100)/(Geometria!$N$1307/100))),MIN(1,MAX(0,((Geometria!$L$29/100-BS112)-Geometria!$R$1405/100)/(Geometria!$N$1307/100))))))*(IF(OR(Geometria!$K$1405&gt;0,Geometria!$K$1403&gt;0,Geometria!$Q$1405&gt;0,Geometria!$Q$1403&gt;0),1,0))))/(Geometria!$L$48/100^2)+((Geometria!$L$374-(Geometria!$L$374-ES112)*(1-(MIN(MIN(1,MAX(0,(BS112-Geometria!$L$1409/100)/(Geometria!$N$1307/100))),MIN(1,MAX(0,((Geometria!$L$29/100-BS112)-Geometria!$R$1409/100)/(Geometria!$N$1307/100))))))*(IF(OR(Geometria!$K$1409&gt;0,Geometria!$K$1407&gt;0,Geometria!$Q$1409&gt;0,Geometria!$Q$1407&gt;0),1,0))-(Geometria!$L$374-EU112)*(1-(MIN(MIN(1,MAX(0,(BS112-Geometria!$L$1405/100)/(Geometria!$N$1307/100))),MIN(1,MAX(0,((Geometria!$L$29/100-BS112)-Geometria!$R$1405/100)/(Geometria!$N$1307/100))))))*(IF(OR(Geometria!$K$1405&gt;0,Geometria!$K$1403&gt;0,Geometria!$Q$1405&gt;0,Geometria!$Q$1403&gt;0),1,0))))/(Geometria!$L$52/100^3)-((Geometria!$N$676)/(Geometria!$L$52/100^3))-((Geometria!$N$687)/(Geometria!$M$52))-((Geometria!$L$77*Geometria!$N$698)/(Geometria!$M$52))</f>
        <v>-9857.387001412602</v>
      </c>
      <c r="CA112" s="751"/>
      <c r="CC112" s="373">
        <f ca="1">(Geometria!$L$298-(Geometria!$L$298-IF(BS112&lt;Geometria!$L$1409/100,Geometria!$L$1442,Geometria!$L$1460))*(1-(MIN(MIN(1,MAX(0,(BS112-Geometria!$L$1409/100)/(Geometria!$N$1307/100))),MIN(1,MAX(0,((Geometria!$L$29/100-BS112)-Geometria!$R$1409/100)/(Geometria!$N$1307/100))))))*(IF(OR(Geometria!$K$1409&gt;0,Geometria!$K$1407&gt;0,Geometria!$Q$1409&gt;0,Geometria!$Q$1407&gt;0),1,0))-(Geometria!$L$298-IF(BS112&lt;Geometria!$L$1405/100,Geometria!$L$1444,Geometria!$L$1462))*(1-(MIN(MIN(1,MAX(0,(BS112-Geometria!$L$1405/100)/(Geometria!$N$1307/100))),MIN(1,MAX(0,((Geometria!$L$29/100-BS112)-Geometria!$R$1405/100)/(Geometria!$N$1307/100))))))*(IF(OR(Geometria!$K$1405&gt;0,Geometria!$K$1403&gt;0,Geometria!$Q$1405&gt;0,Geometria!$Q$1403&gt;0),1,0)))*BY135+Geometria!$P$1429*BY112</f>
        <v>1243.5596228306003</v>
      </c>
      <c r="CD112" s="373">
        <f ca="1">(Geometria!$L$298-(Geometria!$L$298-IF(BS112&lt;Geometria!$L$1409/100,Geometria!$L$1442,Geometria!$L$1460))*(1-(MIN(MIN(1,MAX(0,(BS112-Geometria!$L$1409/100)/(Geometria!$N$1307/100))),MIN(1,MAX(0,((Geometria!$L$29/100-BS112)-Geometria!$R$1409/100)/(Geometria!$N$1307/100))))))*(IF(OR(Geometria!$K$1409&gt;0,Geometria!$K$1407&gt;0,Geometria!$Q$1409&gt;0,Geometria!$Q$1407&gt;0),1,0))-(Geometria!$L$298-IF(BS112&lt;Geometria!$L$1405/100,Geometria!$L$1444,Geometria!$L$1462))*(1-(MIN(MIN(1,MAX(0,(BS112-Geometria!$L$1405/100)/(Geometria!$N$1307/100))),MIN(1,MAX(0,((Geometria!$L$29/100-BS112)-Geometria!$R$1405/100)/(Geometria!$N$1307/100))))))*(IF(OR(Geometria!$K$1405&gt;0,Geometria!$K$1403&gt;0,Geometria!$Q$1405&gt;0,Geometria!$Q$1403&gt;0),1,0)))*BY135*(Geometria!$L$299-(Geometria!$L$299-IF(BS112&lt;Geometria!$L$1409/100,Geometria!$L$1443,Geometria!$L$1461))*(1-(MIN(MIN(1,MAX(0,(BS112-Geometria!$L$1409/100)/(Geometria!$N$1307/100))),MIN(1,MAX(0,((Geometria!$L$29/100-BS112)-Geometria!$R$1409/100)/(Geometria!$N$1307/100))))))*(IF(OR(Geometria!$K$1409&gt;0,Geometria!$K$1407&gt;0,Geometria!$Q$1409&gt;0,Geometria!$Q$1407&gt;0),1,0))-(Geometria!$L$299-IF(BS112&lt;Geometria!$L$1405/100,Geometria!$L$1445,Geometria!$L$1463))*(1-(MIN(MIN(1,MAX(0,(BS112-Geometria!$L$1405/100)/(Geometria!$N$1307/100))),MIN(1,MAX(0,((Geometria!$L$29/100-BS112)-Geometria!$R$1405/100)/(Geometria!$N$1307/100))))))*(IF(OR(Geometria!$K$1405&gt;0,Geometria!$K$1403&gt;0,Geometria!$Q$1405&gt;0,Geometria!$Q$1403&gt;0),1,0)))/100-Geometria!$P$1429*BY112*Geometria!$L$1438/100</f>
        <v>233.16742928073757</v>
      </c>
      <c r="CE112" s="365"/>
      <c r="CF112" s="371">
        <f ca="1">(IF(BT112="Sim",IF(BR112="Sim",$AB$93,ER112),IF(BR112="Sim",ET112,Geometria!$L$373)))</f>
        <v>1243.5596228306003</v>
      </c>
      <c r="CG112" s="371">
        <f ca="1">(IF(BT112="Sim",IF(BR112="Sim",$AB$94,ES112),IF(BR112="Sim",EU112,Geometria!$L$374)))</f>
        <v>233.16742928073757</v>
      </c>
      <c r="CI112" s="4" t="s">
        <v>440</v>
      </c>
      <c r="CJ112" s="202">
        <f t="shared" ca="1" si="17"/>
        <v>-9857.387001412602</v>
      </c>
      <c r="CK112" s="38" t="s">
        <v>234</v>
      </c>
      <c r="CL112" s="203">
        <f t="shared" ca="1" si="8"/>
        <v>-9.857387001412603</v>
      </c>
      <c r="CM112" s="38" t="s">
        <v>160</v>
      </c>
      <c r="CN112" s="399">
        <f t="shared" si="18"/>
        <v>0.0</v>
      </c>
      <c r="CO112" s="376" t="str">
        <f>IF(OR(AND(CP112&lt;Geometria!$L$1405/100,Geometria!$K$1405&gt;0),AND((Geometria!$L$29/100-CP112)&lt;Geometria!$R$1405/100,Geometria!$Q$1405&gt;0)),"Sim","Não")</f>
        <v>Não</v>
      </c>
      <c r="CP112" s="395">
        <f>Geometria!$N$418</f>
        <v>4.3175</v>
      </c>
      <c r="CQ112" s="376" t="str">
        <f>IF(OR(AND(CP112&lt;Geometria!$L$1409/100,OR(Geometria!$K$1409&gt;0,Geometria!$K$1407&gt;0)),AND((Geometria!$L$29/100-CP112)&lt;Geometria!$R$1409/100,OR(Geometria!$Q$1409&gt;0,Geometria!$Q$1407&gt;0))),"Sim","Não")</f>
        <v>Não</v>
      </c>
      <c r="CR112" s="122" t="s">
        <v>440</v>
      </c>
      <c r="CS112" s="198" t="str">
        <f ca="1">CS110</f>
        <v>OK</v>
      </c>
      <c r="CT112" s="401">
        <f t="shared" ca="1" si="9"/>
        <v>-9857.380382525545</v>
      </c>
      <c r="CU112" s="403">
        <f ca="1">-(CZ112/(Geometria!$L$48/100^2))+(DA112/(Geometria!$L$52/100^3))-((Geometria!$N$419)/(Geometria!$L$52/100^3))-((Geometria!$N$430)/(Geometria!$M$52))-((Geometria!$L$76*Geometria!$N$441)/(Geometria!$M$52))</f>
        <v>-9857.390310856132</v>
      </c>
      <c r="CV112" s="400">
        <f ca="1">CV110</f>
        <v>372.48757273952606</v>
      </c>
      <c r="CW112" s="751">
        <f ca="1">-((Geometria!$L$373-(Geometria!$L$373-ER112)*(1-(MIN(MIN(1,MAX(0,(CP112-Geometria!$L$1409/100)/(Geometria!$N$1307/100))),MIN(1,MAX(0,((Geometria!$L$29/100-CP112)-Geometria!$R$1409/100)/(Geometria!$N$1307/100))))))*(IF(OR(Geometria!$K$1409&gt;0,Geometria!$K$1407&gt;0,Geometria!$Q$1409&gt;0,Geometria!$Q$1407&gt;0),1,0))-(Geometria!$L$373-ET112)*(1-(MIN(MIN(1,MAX(0,(CP112-Geometria!$L$1405/100)/(Geometria!$N$1307/100))),MIN(1,MAX(0,((Geometria!$L$29/100-CP112)-Geometria!$R$1405/100)/(Geometria!$N$1307/100))))))*(IF(OR(Geometria!$K$1405&gt;0,Geometria!$K$1403&gt;0,Geometria!$Q$1405&gt;0,Geometria!$Q$1403&gt;0),1,0))))/(Geometria!$L$48/100^2)+((Geometria!$L$374-(Geometria!$L$374-ES112)*(1-(MIN(MIN(1,MAX(0,(CP112-Geometria!$L$1409/100)/(Geometria!$N$1307/100))),MIN(1,MAX(0,((Geometria!$L$29/100-CP112)-Geometria!$R$1409/100)/(Geometria!$N$1307/100))))))*(IF(OR(Geometria!$K$1409&gt;0,Geometria!$K$1407&gt;0,Geometria!$Q$1409&gt;0,Geometria!$Q$1407&gt;0),1,0))-(Geometria!$L$374-EU112)*(1-(MIN(MIN(1,MAX(0,(CP112-Geometria!$L$1405/100)/(Geometria!$N$1307/100))),MIN(1,MAX(0,((Geometria!$L$29/100-CP112)-Geometria!$R$1405/100)/(Geometria!$N$1307/100))))))*(IF(OR(Geometria!$K$1405&gt;0,Geometria!$K$1403&gt;0,Geometria!$Q$1405&gt;0,Geometria!$Q$1403&gt;0),1,0))))/(Geometria!$L$52/100^3)-((Geometria!$N$676)/(Geometria!$L$52/100^3))-((Geometria!$N$687)/(Geometria!$M$52))</f>
        <v>-9857.380382525545</v>
      </c>
      <c r="CX112" s="751"/>
      <c r="CZ112" s="373">
        <f ca="1">(IF(CQ112="Sim",IF(CO112="Sim",IF(CP112&lt;Geometria!$L$1405/100,Geometria!$L$1435,Geometria!$L$1476),IF(CP112&lt;Geometria!$L$1409/100,Geometria!$L$1442,Geometria!$L$1460)),IF(CO112="Sim",IF(CP112&lt;Geometria!$L$1405/100,Geometria!$L$1444,Geometria!$L$1462),Geometria!$L$298)))*CV135+Geometria!$P$1429*CV112</f>
        <v>1243.5596228306003</v>
      </c>
      <c r="DA112" s="373">
        <f ca="1">(IF(CQ112="Sim",IF(CO112="Sim",IF(CP112&lt;Geometria!$L$1405/100,Geometria!$L$1435,Geometria!$L$1476),IF(CP112&lt;Geometria!$L$1409/100,Geometria!$L$1442,Geometria!$L$1460)),IF(CO112="Sim",IF(CP112&lt;Geometria!$L$1405/100,Geometria!$L$1444,Geometria!$L$1462),Geometria!$L$298)))*CV135*(IF(CQ112="Sim",IF(CO112="Sim",IF(CP112&lt;Geometria!$L$1405/100,Geometria!$L$1436,Geometria!$L$1484),IF(CP112&lt;Geometria!$L$1409/100,Geometria!$L$1443,Geometria!$L$1461)),IF(CO112="Sim",IF(CP112&lt;Geometria!$L$1405/100,Geometria!$L$1445,Geometria!$L$1463),Geometria!$L$299)))/100-Geometria!$P$1429*CV112*Geometria!$L$1438/100</f>
        <v>233.16742928073757</v>
      </c>
      <c r="DB112" s="365"/>
      <c r="DC112" s="371">
        <f ca="1">(IF(CQ112="Sim",IF(CO112="Sim",$AB$93,ER112),IF(CO112="Sim",ET112,Geometria!$L$373)))</f>
        <v>1243.5596228306003</v>
      </c>
      <c r="DD112" s="371">
        <f ca="1">(IF(CQ112="Sim",IF(CO112="Sim",$AB$94,ES112),IF(CO112="Sim",EU112,Geometria!$L$374)))</f>
        <v>233.16742928073757</v>
      </c>
      <c r="DF112" s="4" t="s">
        <v>440</v>
      </c>
      <c r="DG112" s="202">
        <f t="shared" ca="1" si="19"/>
        <v>-9857.380382525545</v>
      </c>
      <c r="DH112" s="38" t="s">
        <v>234</v>
      </c>
      <c r="DI112" s="203">
        <f t="shared" ca="1" si="10"/>
        <v>-9.857380382525545</v>
      </c>
      <c r="DJ112" s="38" t="s">
        <v>160</v>
      </c>
      <c r="DK112" s="399">
        <f t="shared" si="20"/>
        <v>0.0</v>
      </c>
      <c r="EA112">
        <f ca="1">-L112/('Aberturas na Alma'!$M$112/100^2)+M112/('Aberturas na Alma'!$M$119/100^3)-Geometria!$L$898/('Aberturas na Alma'!$M$119/100^3)</f>
        <v>13816.256651718259</v>
      </c>
      <c r="EB112">
        <f ca="1">-(IF(C112="Sim",IF(A112="Sim",$E$93,EX112),IF(A112="Sim",EZ112,Geometria!$L$906)))/('Aberturas na Alma'!$M$112/100^2)+(IF(C112="Sim",IF(A112="Sim",$E$94,EY112),IF(A112="Sim",FA112,Geometria!$L$907)))/('Aberturas na Alma'!$M$119/100^3)-Geometria!$N$901/('Aberturas na Alma'!$M$119/100^3)</f>
        <v>2749.865222654474</v>
      </c>
      <c r="EC112">
        <f ca="1">IF(AND('Aberturas na Alma'!$M$18="NÃO DISPENSADO — furo deve ser verificado (cálculo abaixo)",OR(AND(B112&gt;=('Aberturas na Alma'!$M$4-'Aberturas na Alma'!$M$7/2)/100,B112&lt;=('Aberturas na Alma'!$M$4+'Aberturas na Alma'!$M$7/2)/100),ABS(B112-'Aberturas na Alma'!$M$4/100)&lt;=Geometria!$L$29/4000)),IF(E112="Reduzir",EA112,EB112),F112)</f>
        <v>4916.186690960654</v>
      </c>
      <c r="ED112">
        <f ca="1">-(AI112/('Aberturas na Alma'!$M$112/100^2))+(AJ112/('Aberturas na Alma'!$M$119/100^3))-((Geometria!$N$419)/('Aberturas na Alma'!$M$119/100^3))-((Geometria!$N$430)/('Aberturas na Alma'!$M$119/100^3))-((Geometria!$L$76*Geometria!$N$441)/('Aberturas na Alma'!$M$119/100^3))</f>
        <v>-53564.6026375863</v>
      </c>
      <c r="EE112">
        <f ca="1">-((IF(Z112="Sim",IF(X112="Sim",$AB$93,ER112),IF(X112="Sim",ET112,Geometria!$L$373)))/('Aberturas na Alma'!$M$112/100^2))+((IF(Z112="Sim",IF(X112="Sim",$AB$94,ES112),IF(X112="Sim",EU112,Geometria!$L$374)))/('Aberturas na Alma'!$M$119/100^3))-((Geometria!$N$419)/('Aberturas na Alma'!$M$119/100^3))-((Geometria!$N$430)/('Aberturas na Alma'!$M$119/100^3))-((Geometria!$L$76*Geometria!$N$441)/('Aberturas na Alma'!$M$119/100^3))</f>
        <v>-53564.6026375863</v>
      </c>
      <c r="EF112" s="371">
        <f ca="1">IF(AND('Aberturas na Alma'!$M$18="NÃO DISPENSADO — furo deve ser verificado (cálculo abaixo)",OR(AND(B112&gt;=('Aberturas na Alma'!$M$4-'Aberturas na Alma'!$M$7/2)/100,B112&lt;=('Aberturas na Alma'!$M$4+'Aberturas na Alma'!$M$7/2)/100),ABS(B112-'Aberturas na Alma'!$M$4/100)&lt;=Geometria!$L$29/4000)),IF(AB112="Reduzir",ED112,EE112),AC112)</f>
        <v>-9857.390310856132</v>
      </c>
      <c r="EG112">
        <f ca="1">-(BF112/('Aberturas na Alma'!$M$112/100^2))+(BG112/('Aberturas na Alma'!$M$119/100^3))-((Geometria!$N$419)/('Aberturas na Alma'!$M$119/100^3))-((Geometria!$N$430)/('Aberturas na Alma'!$M$119/100^3))-((Geometria!$L$76*Geometria!$N$441)/('Aberturas na Alma'!$M$119/100^3))</f>
        <v>-53564.6026375863</v>
      </c>
      <c r="EH112">
        <f ca="1">-((IF(AW112="Sim",IF(AU112="Sim",$AB$93,ER112),IF(AU112="Sim",ET112,Geometria!$L$373)))/('Aberturas na Alma'!$M$112/100^2))+((IF(AW112="Sim",IF(AU112="Sim",$AB$94,ES112),IF(AU112="Sim",EU112,Geometria!$L$374)))/('Aberturas na Alma'!$M$119/100^3))-((Geometria!$N$419)/('Aberturas na Alma'!$M$119/100^3))-((Geometria!$N$430)/('Aberturas na Alma'!$M$119/100^3))</f>
        <v>-14867.34519215364</v>
      </c>
      <c r="EI112" s="371">
        <f ca="1">IF(AND('Aberturas na Alma'!$M$18="NÃO DISPENSADO — furo deve ser verificado (cálculo abaixo)",OR(AND(B112&gt;=('Aberturas na Alma'!$M$4-'Aberturas na Alma'!$M$7/2)/100,B112&lt;=('Aberturas na Alma'!$M$4+'Aberturas na Alma'!$M$7/2)/100),ABS(B112-'Aberturas na Alma'!$M$4/100)&lt;=Geometria!$L$29/4000)),IF(AY112="Reduzir",EG112,EH112),AZ112)</f>
        <v>-9857.380382525545</v>
      </c>
      <c r="EJ112">
        <f ca="1">-(CC112/('Aberturas na Alma'!$M$112/100^2))+(CD112/('Aberturas na Alma'!$M$119/100^3))-((Geometria!$N$419)/('Aberturas na Alma'!$M$119/100^3))-((Geometria!$N$430)/('Aberturas na Alma'!$M$119/100^3))-((Geometria!$L$76*Geometria!$N$441)/('Aberturas na Alma'!$M$119/100^3))</f>
        <v>-53564.6026375863</v>
      </c>
      <c r="EK112">
        <f ca="1">-((IF(BT112="Sim",IF(BR112="Sim",$AB$93,ER112),IF(BR112="Sim",ET112,Geometria!$L$373)))/('Aberturas na Alma'!$M$112/100^2))+((IF(BT112="Sim",IF(BR112="Sim",$AB$94,ES112),IF(BR112="Sim",EU112,Geometria!$L$374)))/('Aberturas na Alma'!$M$119/100^3))-((Geometria!$N$676)/('Aberturas na Alma'!$M$119/100^3))-((Geometria!$N$687)/('Aberturas na Alma'!$M$119/100^3))-((Geometria!$L$77*Geometria!$N$698)/('Aberturas na Alma'!$M$119/100^3))</f>
        <v>-40665.516822442085</v>
      </c>
      <c r="EL112" s="371">
        <f ca="1">IF(AND('Aberturas na Alma'!$M$18="NÃO DISPENSADO — furo deve ser verificado (cálculo abaixo)",OR(AND(B112&gt;=('Aberturas na Alma'!$M$4-'Aberturas na Alma'!$M$7/2)/100,B112&lt;=('Aberturas na Alma'!$M$4+'Aberturas na Alma'!$M$7/2)/100),ABS(B112-'Aberturas na Alma'!$M$4/100)&lt;=Geometria!$L$29/4000)),IF(BV112="Reduzir",EJ112,EK112),BW112)</f>
        <v>-9857.387001412602</v>
      </c>
      <c r="EM112">
        <f ca="1">-(CZ112/('Aberturas na Alma'!$M$112/100^2))+(DA112/('Aberturas na Alma'!$M$119/100^3))-((Geometria!$N$419)/('Aberturas na Alma'!$M$119/100^3))-((Geometria!$N$430)/('Aberturas na Alma'!$M$119/100^3))-((Geometria!$L$76*Geometria!$N$441)/('Aberturas na Alma'!$M$119/100^3))</f>
        <v>-53564.6026375863</v>
      </c>
      <c r="EN112">
        <f ca="1">-((IF(CQ112="Sim",IF(CO112="Sim",$AB$93,ER112),IF(CO112="Sim",ET112,Geometria!$L$373)))/('Aberturas na Alma'!$M$112/100^2))+((IF(CQ112="Sim",IF(CO112="Sim",$AB$94,ES112),IF(CO112="Sim",EU112,Geometria!$L$374)))/('Aberturas na Alma'!$M$119/100^3))-((Geometria!$N$676)/('Aberturas na Alma'!$M$119/100^3))-((Geometria!$N$687)/('Aberturas na Alma'!$M$119/100^3))</f>
        <v>-14867.34519215364</v>
      </c>
      <c r="EO112" s="371">
        <f ca="1">IF(AND('Aberturas na Alma'!$M$18="NÃO DISPENSADO — furo deve ser verificado (cálculo abaixo)",OR(AND(B112&gt;=('Aberturas na Alma'!$M$4-'Aberturas na Alma'!$M$7/2)/100,B112&lt;=('Aberturas na Alma'!$M$4+'Aberturas na Alma'!$M$7/2)/100),ABS(B112-'Aberturas na Alma'!$M$4/100)&lt;=Geometria!$L$29/4000)),IF(CS112="Reduzir",EM112,EN112),CT112)</f>
        <v>-9857.380382525545</v>
      </c>
      <c r="EP112" t="str">
        <f>IF(AND(Y112&lt;Geometria!$L$1409/100,OR(Geometria!$K$1409&gt;0,Geometria!$K$1407&gt;0)),"ESQ",IF(AND((Geometria!$L$29/100-Y112)&lt;Geometria!$R$1409/100,OR(Geometria!$Q$1409&gt;0,Geometria!$Q$1407&gt;0)),"DIR","N/A"))</f>
        <v>N/A</v>
      </c>
      <c r="EQ112" t="str">
        <f>IF(AND(Y112&lt;Geometria!$L$1405/100,Geometria!$K$1405&gt;0),"ESQ",IF(AND((Geometria!$L$29/100-Y112)&lt;Geometria!$R$1405/100,Geometria!$Q$1405&gt;0),"DIR","N/A"))</f>
        <v>N/A</v>
      </c>
      <c r="ER112">
        <f ca="1">IF(EP112="DIR",Geometria!$L$1470,Geometria!$L$1452)</f>
        <v>1243.5596228306003</v>
      </c>
      <c r="ES112">
        <f ca="1">IF(EP112="DIR",Geometria!$L$1471,Geometria!$L$1453)</f>
        <v>233.16742928073757</v>
      </c>
      <c r="ET112">
        <f ca="1">IF(EQ112="DIR",Geometria!$L$1472,Geometria!$L$1454)</f>
        <v>621.7798114153002</v>
      </c>
      <c r="EU112">
        <f ca="1">IF(EQ112="DIR",Geometria!$L$1473,Geometria!$L$1455)</f>
        <v>177.20724625336052</v>
      </c>
      <c r="EV112" t="str">
        <f>IF(AND(B112&lt;Geometria!$L$1409/100,OR(Geometria!$K$1409&gt;0,Geometria!$K$1407&gt;0)),"ESQ",IF(AND((Geometria!$L$29/100-B112)&lt;Geometria!$R$1409/100,OR(Geometria!$Q$1409&gt;0,Geometria!$Q$1407&gt;0)),"DIR","N/A"))</f>
        <v>N/A</v>
      </c>
      <c r="EW112" t="str">
        <f>IF(AND(B112&lt;Geometria!$L$1405/100,Geometria!$K$1405&gt;0),"ESQ",IF(AND((Geometria!$L$29/100-B112)&lt;Geometria!$R$1405/100,Geometria!$Q$1405&gt;0),"DIR","N/A"))</f>
        <v>N/A</v>
      </c>
      <c r="EX112">
        <f ca="1">IF(EV112="DIR",Geometria!$L$1465,Geometria!$L$1447)</f>
        <v>1499.8056003831216</v>
      </c>
      <c r="EY112">
        <f ca="1">IF(EV112="DIR",Geometria!$L$1466,Geometria!$L$1448)</f>
        <v>281.2135500718353</v>
      </c>
      <c r="EZ112">
        <f ca="1">IF(EW112="DIR",Geometria!$L$1467,Geometria!$L$1449)</f>
        <v>749.9028001915608</v>
      </c>
      <c r="FA112">
        <f ca="1">IF(EW112="DIR",Geometria!$L$1468,Geometria!$L$1450)</f>
        <v>213.72229805459483</v>
      </c>
    </row>
    <row r="113" spans="1:157" x14ac:dyDescent="0.25">
      <c r="A113" s="376" t="str">
        <f>IF(OR(AND(B113&lt;Geometria!$L$1405/100,Geometria!$K$1405&gt;0),AND((Geometria!$L$29/100-B113)&lt;Geometria!$R$1405/100,Geometria!$Q$1405&gt;0)),"Sim","Não")</f>
        <v>Não</v>
      </c>
      <c r="B113" s="395">
        <f>Tensões!$F$66</f>
        <v>4.71</v>
      </c>
      <c r="C113" s="376" t="str">
        <f>IF(OR(AND(B113&lt;Geometria!$L$1409/100,OR(Geometria!$K$1409&gt;0,Geometria!$K$1407&gt;0)),AND((Geometria!$L$29/100-B113)&lt;Geometria!$R$1409/100,OR(Geometria!$Q$1409&gt;0,Geometria!$Q$1407&gt;0))),"Sim","Não")</f>
        <v>Não</v>
      </c>
      <c r="D113" s="122" t="s">
        <v>441</v>
      </c>
      <c r="E113" s="198" t="str">
        <f ca="1">E109</f>
        <v>OK</v>
      </c>
      <c r="F113" s="396">
        <f t="shared" ca="1" si="1"/>
        <v>4984.549151898154</v>
      </c>
      <c r="G113" s="397">
        <f ca="1">-L113/(Geometria!$L$48/100^2)+M113/(Geometria!$L$52/100^3)-Geometria!$L$898/(Geometria!$L$52/100^3)</f>
        <v>17391.45234995449</v>
      </c>
      <c r="H113" s="400">
        <f ca="1">H109</f>
        <v>391.83350757352133</v>
      </c>
      <c r="I113" s="743">
        <f ca="1">-(Geometria!$L$906-(Geometria!$L$906-EX113)*(1-(MIN(MIN(1,MAX(0,(B113-Geometria!$L$1409/100)/(Geometria!$N$1307/100))),MIN(1,MAX(0,((Geometria!$L$29/100-B113)-Geometria!$R$1409/100)/(Geometria!$N$1307/100))))))*(IF(OR(Geometria!$K$1409&gt;0,Geometria!$K$1407&gt;0,Geometria!$Q$1409&gt;0,Geometria!$Q$1407&gt;0),1,0))-(Geometria!$L$906-EZ113)*(1-(MIN(MIN(1,MAX(0,(B113-Geometria!$L$1405/100)/(Geometria!$N$1307/100))),MIN(1,MAX(0,((Geometria!$L$29/100-B113)-Geometria!$R$1405/100)/(Geometria!$N$1307/100))))))*(IF(OR(Geometria!$K$1405&gt;0,Geometria!$K$1403&gt;0,Geometria!$Q$1405&gt;0,Geometria!$Q$1403&gt;0),1,0)))/(Geometria!$L$48/100^2)+(Geometria!$L$907-(Geometria!$L$907-EY113)*(1-(MIN(MIN(1,MAX(0,(B113-Geometria!$L$1409/100)/(Geometria!$N$1307/100))),MIN(1,MAX(0,((Geometria!$L$29/100-B113)-Geometria!$R$1409/100)/(Geometria!$N$1307/100))))))*(IF(OR(Geometria!$K$1409&gt;0,Geometria!$K$1407&gt;0,Geometria!$Q$1409&gt;0,Geometria!$Q$1407&gt;0),1,0))-(Geometria!$L$907-FA113)*(1-(MIN(MIN(1,MAX(0,(B113-Geometria!$L$1405/100)/(Geometria!$N$1307/100))),MIN(1,MAX(0,((Geometria!$L$29/100-B113)-Geometria!$R$1405/100)/(Geometria!$N$1307/100))))))*(IF(OR(Geometria!$K$1405&gt;0,Geometria!$K$1403&gt;0,Geometria!$Q$1405&gt;0,Geometria!$Q$1403&gt;0),1,0)))/(Geometria!$L$52/100^3)-Geometria!$O$901/(Geometria!$L$52/100^3)</f>
        <v>4984.549151898154</v>
      </c>
      <c r="J113" s="743"/>
      <c r="L113" s="373">
        <f ca="1">(Geometria!$L$298-(Geometria!$L$298-IF(B113&lt;Geometria!$L$1409/100,Geometria!$L$1442,Geometria!$L$1460))*(1-(MIN(MIN(1,MAX(0,(B113-Geometria!$L$1409/100)/(Geometria!$N$1307/100))),MIN(1,MAX(0,((Geometria!$L$29/100-B113)-Geometria!$R$1409/100)/(Geometria!$N$1307/100))))))*(IF(OR(Geometria!$K$1409&gt;0,Geometria!$K$1407&gt;0,Geometria!$Q$1409&gt;0,Geometria!$Q$1407&gt;0),1,0))-(Geometria!$L$298-IF(B113&lt;Geometria!$L$1405/100,Geometria!$L$1444,Geometria!$L$1462))*(1-(MIN(MIN(1,MAX(0,(B113-Geometria!$L$1405/100)/(Geometria!$N$1307/100))),MIN(1,MAX(0,((Geometria!$L$29/100-B113)-Geometria!$R$1405/100)/(Geometria!$N$1307/100))))))*(IF(OR(Geometria!$K$1405&gt;0,Geometria!$K$1403&gt;0,Geometria!$Q$1405&gt;0,Geometria!$Q$1403&gt;0),1,0)))*H136+Geometria!$P$1429*H113</f>
        <v>3666.736718240637</v>
      </c>
      <c r="M113" s="373">
        <f ca="1">(Geometria!$L$298-(Geometria!$L$298-IF(B113&lt;Geometria!$L$1409/100,Geometria!$L$1442,Geometria!$L$1460))*(1-(MIN(MIN(1,MAX(0,(B113-Geometria!$L$1409/100)/(Geometria!$N$1307/100))),MIN(1,MAX(0,((Geometria!$L$29/100-B113)-Geometria!$R$1409/100)/(Geometria!$N$1307/100))))))*(IF(OR(Geometria!$K$1409&gt;0,Geometria!$K$1407&gt;0,Geometria!$Q$1409&gt;0,Geometria!$Q$1407&gt;0),1,0))-(Geometria!$L$298-IF(B113&lt;Geometria!$L$1405/100,Geometria!$L$1444,Geometria!$L$1462))*(1-(MIN(MIN(1,MAX(0,(B113-Geometria!$L$1405/100)/(Geometria!$N$1307/100))),MIN(1,MAX(0,((Geometria!$L$29/100-B113)-Geometria!$R$1405/100)/(Geometria!$N$1307/100))))))*(IF(OR(Geometria!$K$1405&gt;0,Geometria!$K$1403&gt;0,Geometria!$Q$1405&gt;0,Geometria!$Q$1403&gt;0),1,0)))*H136*(Geometria!$L$299-(Geometria!$L$299-IF(B113&lt;Geometria!$L$1409/100,Geometria!$L$1443,Geometria!$L$1461))*(1-(MIN(MIN(1,MAX(0,(B113-Geometria!$L$1409/100)/(Geometria!$N$1307/100))),MIN(1,MAX(0,((Geometria!$L$29/100-B113)-Geometria!$R$1409/100)/(Geometria!$N$1307/100))))))*(IF(OR(Geometria!$K$1409&gt;0,Geometria!$K$1407&gt;0,Geometria!$Q$1409&gt;0,Geometria!$Q$1407&gt;0),1,0))-(Geometria!$L$299-IF(B113&lt;Geometria!$L$1405/100,Geometria!$L$1445,Geometria!$L$1463))*(1-(MIN(MIN(1,MAX(0,(B113-Geometria!$L$1405/100)/(Geometria!$N$1307/100))),MIN(1,MAX(0,((Geometria!$L$29/100-B113)-Geometria!$R$1405/100)/(Geometria!$N$1307/100))))))*(IF(OR(Geometria!$K$1405&gt;0,Geometria!$K$1403&gt;0,Geometria!$Q$1405&gt;0,Geometria!$Q$1403&gt;0),1,0)))/100-Geometria!$P$1429*H113*Geometria!$L$1438/100</f>
        <v>687.5131346701195</v>
      </c>
      <c r="N113" s="365"/>
      <c r="O113" s="371">
        <f ca="1">(IF(C113="Sim",IF(A113="Sim",$E$93,EX113),IF(A113="Sim",EZ113,Geometria!$L$906)))</f>
        <v>1475.413282676191</v>
      </c>
      <c r="P113" s="371">
        <f ca="1">(IF(C113="Sim",IF(A113="Sim",$E$94,EY113),IF(A113="Sim",FA113,Geometria!$L$907)))</f>
        <v>276.63999050178586</v>
      </c>
      <c r="R113" s="4" t="s">
        <v>441</v>
      </c>
      <c r="S113" s="202">
        <f t="shared" ca="1" si="11"/>
        <v>4984.549151898154</v>
      </c>
      <c r="T113" s="38" t="s">
        <v>234</v>
      </c>
      <c r="U113" s="203">
        <f t="shared" ca="1" si="2"/>
        <v>4.984549151898154</v>
      </c>
      <c r="V113" s="38" t="s">
        <v>160</v>
      </c>
      <c r="W113" s="399">
        <f t="shared" si="12"/>
        <v>0.0</v>
      </c>
      <c r="X113" s="376" t="str">
        <f>IF(OR(AND(Y113&lt;Geometria!$L$1405/100,Geometria!$K$1405&gt;0),AND((Geometria!$L$29/100-Y113)&lt;Geometria!$R$1405/100,Geometria!$Q$1405&gt;0)),"Sim","Não")</f>
        <v>Não</v>
      </c>
      <c r="Y113" s="395">
        <f>Geometria!$O$418</f>
        <v>4.71</v>
      </c>
      <c r="Z113" s="376" t="str">
        <f>IF(OR(AND(Y113&lt;Geometria!$L$1409/100,OR(Geometria!$K$1409&gt;0,Geometria!$K$1407&gt;0)),AND((Geometria!$L$29/100-Y113)&lt;Geometria!$R$1409/100,OR(Geometria!$Q$1409&gt;0,Geometria!$Q$1407&gt;0))),"Sim","Não")</f>
        <v>Não</v>
      </c>
      <c r="AA113" s="122" t="s">
        <v>441</v>
      </c>
      <c r="AB113" s="198" t="str">
        <f ca="1">AB109</f>
        <v>OK</v>
      </c>
      <c r="AC113" s="401">
        <f t="shared" ca="1" si="3"/>
        <v>-9375.497225682582</v>
      </c>
      <c r="AD113" s="403">
        <f ca="1">-(AI113/(Geometria!$L$48/100^2))+(AJ113/(Geometria!$L$52/100^3))-((Geometria!$O$419)/(Geometria!$L$52/100^3))-((Geometria!$O$430)/(Geometria!$M$52))-((Geometria!$L$76*Geometria!$O$441)/(Geometria!$M$52))</f>
        <v>-9375.497225682582</v>
      </c>
      <c r="AE113" s="400">
        <f ca="1">AE109</f>
        <v>331.1000646573565</v>
      </c>
      <c r="AF113" s="751">
        <f ca="1">-((Geometria!$L$373-(Geometria!$L$373-ER113)*(1-(MIN(MIN(1,MAX(0,(Y113-Geometria!$L$1409/100)/(Geometria!$N$1307/100))),MIN(1,MAX(0,((Geometria!$L$29/100-Y113)-Geometria!$R$1409/100)/(Geometria!$N$1307/100))))))*(IF(OR(Geometria!$K$1409&gt;0,Geometria!$K$1407&gt;0,Geometria!$Q$1409&gt;0,Geometria!$Q$1407&gt;0),1,0))-(Geometria!$L$373-ET113)*(1-(MIN(MIN(1,MAX(0,(Y113-Geometria!$L$1405/100)/(Geometria!$N$1307/100))),MIN(1,MAX(0,((Geometria!$L$29/100-Y113)-Geometria!$R$1405/100)/(Geometria!$N$1307/100))))))*(IF(OR(Geometria!$K$1405&gt;0,Geometria!$K$1403&gt;0,Geometria!$Q$1405&gt;0,Geometria!$Q$1403&gt;0),1,0))))/(Geometria!$L$48/100^2)+((Geometria!$L$374-(Geometria!$L$374-ES113)*(1-(MIN(MIN(1,MAX(0,(Y113-Geometria!$L$1409/100)/(Geometria!$N$1307/100))),MIN(1,MAX(0,((Geometria!$L$29/100-Y113)-Geometria!$R$1409/100)/(Geometria!$N$1307/100))))))*(IF(OR(Geometria!$K$1409&gt;0,Geometria!$K$1407&gt;0,Geometria!$Q$1409&gt;0,Geometria!$Q$1407&gt;0),1,0))-(Geometria!$L$374-EU113)*(1-(MIN(MIN(1,MAX(0,(Y113-Geometria!$L$1405/100)/(Geometria!$N$1307/100))),MIN(1,MAX(0,((Geometria!$L$29/100-Y113)-Geometria!$R$1405/100)/(Geometria!$N$1307/100))))))*(IF(OR(Geometria!$K$1405&gt;0,Geometria!$K$1403&gt;0,Geometria!$Q$1405&gt;0,Geometria!$Q$1403&gt;0),1,0))))/(Geometria!$L$52/100^3)-((Geometria!$O$419)/(Geometria!$L$52/100^3))-((Geometria!$O$430)/(Geometria!$M$52))-((Geometria!$L$76*Geometria!$O$441)/(Geometria!$M$52))</f>
        <v>-9375.497225682582</v>
      </c>
      <c r="AG113" s="751"/>
      <c r="AI113" s="373">
        <f ca="1">(IF(Z113="Sim",IF(X113="Sim",IF(Y113&lt;Geometria!$L$1405/100,Geometria!$L$1435,Geometria!$L$1476),IF(Y113&lt;Geometria!$L$1409/100,Geometria!$L$1442,Geometria!$L$1460)),IF(X113="Sim",IF(Y113&lt;Geometria!$L$1405/100,Geometria!$L$1444,Geometria!$L$1462),Geometria!$L$298)))*AE136+Geometria!$P$1429*AE113</f>
        <v>1243.5596228306003</v>
      </c>
      <c r="AJ113" s="373">
        <f ca="1">(IF(Z113="Sim",IF(X113="Sim",IF(Y113&lt;Geometria!$L$1405/100,Geometria!$L$1435,Geometria!$L$1476),IF(Y113&lt;Geometria!$L$1409/100,Geometria!$L$1442,Geometria!$L$1460)),IF(X113="Sim",IF(Y113&lt;Geometria!$L$1405/100,Geometria!$L$1444,Geometria!$L$1462),Geometria!$L$298)))*AE136*(IF(Z113="Sim",IF(X113="Sim",IF(Y113&lt;Geometria!$L$1405/100,Geometria!$L$1436,Geometria!$L$1484),IF(Y113&lt;Geometria!$L$1409/100,Geometria!$L$1443,Geometria!$L$1461)),IF(X113="Sim",IF(Y113&lt;Geometria!$L$1405/100,Geometria!$L$1445,Geometria!$L$1463),Geometria!$L$299)))/100-Geometria!$P$1429*AE113*Geometria!$L$1438/100</f>
        <v>233.16742928073757</v>
      </c>
      <c r="AK113" s="365"/>
      <c r="AL113" s="371">
        <f ca="1">(IF(Z113="Sim",IF(X113="Sim",$AB$93,ER113),IF(X113="Sim",ET113,Geometria!$L$373)))</f>
        <v>1243.5596228306003</v>
      </c>
      <c r="AM113" s="371">
        <f ca="1">(IF(Z113="Sim",IF(X113="Sim",$AB$94,ES113),IF(X113="Sim",EU113,Geometria!$L$374)))</f>
        <v>233.16742928073757</v>
      </c>
      <c r="AO113" s="4" t="s">
        <v>441</v>
      </c>
      <c r="AP113" s="202">
        <f t="shared" ca="1" si="13"/>
        <v>-9375.497225682582</v>
      </c>
      <c r="AQ113" s="38" t="s">
        <v>234</v>
      </c>
      <c r="AR113" s="203">
        <f t="shared" ca="1" si="4"/>
        <v>-9.375497225682583</v>
      </c>
      <c r="AS113" s="38" t="s">
        <v>160</v>
      </c>
      <c r="AT113" s="399">
        <f t="shared" si="14"/>
        <v>0.0</v>
      </c>
      <c r="AU113" s="376" t="str">
        <f>IF(OR(AND(AV113&lt;Geometria!$L$1405/100,Geometria!$K$1405&gt;0),AND((Geometria!$L$29/100-AV113)&lt;Geometria!$R$1405/100,Geometria!$Q$1405&gt;0)),"Sim","Não")</f>
        <v>Não</v>
      </c>
      <c r="AV113" s="395">
        <f>Geometria!$O$418</f>
        <v>4.71</v>
      </c>
      <c r="AW113" s="376" t="str">
        <f>IF(OR(AND(AV113&lt;Geometria!$L$1409/100,OR(Geometria!$K$1409&gt;0,Geometria!$K$1407&gt;0)),AND((Geometria!$L$29/100-AV113)&lt;Geometria!$R$1409/100,OR(Geometria!$Q$1409&gt;0,Geometria!$Q$1407&gt;0))),"Sim","Não")</f>
        <v>Não</v>
      </c>
      <c r="AX113" s="122" t="s">
        <v>441</v>
      </c>
      <c r="AY113" s="198" t="str">
        <f ca="1">AY109</f>
        <v>OK</v>
      </c>
      <c r="AZ113" s="401">
        <f t="shared" ca="1" si="5"/>
        <v>-9375.487598210499</v>
      </c>
      <c r="BA113" s="403">
        <f ca="1">-(BF113/(Geometria!$L$48/100^2))+(BG113/(Geometria!$L$52/100^3))-((Geometria!$O$419)/(Geometria!$L$52/100^3))-((Geometria!$O$430)/(Geometria!$M$52))-((Geometria!$L$76*Geometria!$O$441)/(Geometria!$M$52))</f>
        <v>-9375.497225682582</v>
      </c>
      <c r="BB113" s="400">
        <f ca="1">BB109</f>
        <v>331.1000646573565</v>
      </c>
      <c r="BC113" s="751">
        <f ca="1">-((Geometria!$L$373-(Geometria!$L$373-ER113)*(1-(MIN(MIN(1,MAX(0,(AV113-Geometria!$L$1409/100)/(Geometria!$N$1307/100))),MIN(1,MAX(0,((Geometria!$L$29/100-AV113)-Geometria!$R$1409/100)/(Geometria!$N$1307/100))))))*(IF(OR(Geometria!$K$1409&gt;0,Geometria!$K$1407&gt;0,Geometria!$Q$1409&gt;0,Geometria!$Q$1407&gt;0),1,0))-(Geometria!$L$373-ET113)*(1-(MIN(MIN(1,MAX(0,(AV113-Geometria!$L$1405/100)/(Geometria!$N$1307/100))),MIN(1,MAX(0,((Geometria!$L$29/100-AV113)-Geometria!$R$1405/100)/(Geometria!$N$1307/100))))))*(IF(OR(Geometria!$K$1405&gt;0,Geometria!$K$1403&gt;0,Geometria!$Q$1405&gt;0,Geometria!$Q$1403&gt;0),1,0))))/(Geometria!$L$48/100^2)+((Geometria!$L$374-(Geometria!$L$374-ES113)*(1-(MIN(MIN(1,MAX(0,(AV113-Geometria!$L$1409/100)/(Geometria!$N$1307/100))),MIN(1,MAX(0,((Geometria!$L$29/100-AV113)-Geometria!$R$1409/100)/(Geometria!$N$1307/100))))))*(IF(OR(Geometria!$K$1409&gt;0,Geometria!$K$1407&gt;0,Geometria!$Q$1409&gt;0,Geometria!$Q$1407&gt;0),1,0))-(Geometria!$L$374-EU113)*(1-(MIN(MIN(1,MAX(0,(AV113-Geometria!$L$1405/100)/(Geometria!$N$1307/100))),MIN(1,MAX(0,((Geometria!$L$29/100-AV113)-Geometria!$R$1405/100)/(Geometria!$N$1307/100))))))*(IF(OR(Geometria!$K$1405&gt;0,Geometria!$K$1403&gt;0,Geometria!$Q$1405&gt;0,Geometria!$Q$1403&gt;0),1,0))))/(Geometria!$L$52/100^3)-((Geometria!$O$419)/(Geometria!$L$52/100^3))-((Geometria!$O$430)/(Geometria!$M$52))</f>
        <v>-9375.487598210499</v>
      </c>
      <c r="BD113" s="751"/>
      <c r="BF113" s="373">
        <f ca="1">(Geometria!$L$298-(Geometria!$L$298-IF(AV113&lt;Geometria!$L$1409/100,Geometria!$L$1442,Geometria!$L$1460))*(1-(MIN(MIN(1,MAX(0,(AV113-Geometria!$L$1409/100)/(Geometria!$N$1307/100))),MIN(1,MAX(0,((Geometria!$L$29/100-AV113)-Geometria!$R$1409/100)/(Geometria!$N$1307/100))))))*(IF(OR(Geometria!$K$1409&gt;0,Geometria!$K$1407&gt;0,Geometria!$Q$1409&gt;0,Geometria!$Q$1407&gt;0),1,0))-(Geometria!$L$298-IF(AV113&lt;Geometria!$L$1405/100,Geometria!$L$1444,Geometria!$L$1462))*(1-(MIN(MIN(1,MAX(0,(AV113-Geometria!$L$1405/100)/(Geometria!$N$1307/100))),MIN(1,MAX(0,((Geometria!$L$29/100-AV113)-Geometria!$R$1405/100)/(Geometria!$N$1307/100))))))*(IF(OR(Geometria!$K$1405&gt;0,Geometria!$K$1403&gt;0,Geometria!$Q$1405&gt;0,Geometria!$Q$1403&gt;0),1,0)))*BB136+Geometria!$P$1429*BB113</f>
        <v>1243.5596228306003</v>
      </c>
      <c r="BG113" s="373">
        <f ca="1">(Geometria!$L$298-(Geometria!$L$298-IF(AV113&lt;Geometria!$L$1409/100,Geometria!$L$1442,Geometria!$L$1460))*(1-(MIN(MIN(1,MAX(0,(AV113-Geometria!$L$1409/100)/(Geometria!$N$1307/100))),MIN(1,MAX(0,((Geometria!$L$29/100-AV113)-Geometria!$R$1409/100)/(Geometria!$N$1307/100))))))*(IF(OR(Geometria!$K$1409&gt;0,Geometria!$K$1407&gt;0,Geometria!$Q$1409&gt;0,Geometria!$Q$1407&gt;0),1,0))-(Geometria!$L$298-IF(AV113&lt;Geometria!$L$1405/100,Geometria!$L$1444,Geometria!$L$1462))*(1-(MIN(MIN(1,MAX(0,(AV113-Geometria!$L$1405/100)/(Geometria!$N$1307/100))),MIN(1,MAX(0,((Geometria!$L$29/100-AV113)-Geometria!$R$1405/100)/(Geometria!$N$1307/100))))))*(IF(OR(Geometria!$K$1405&gt;0,Geometria!$K$1403&gt;0,Geometria!$Q$1405&gt;0,Geometria!$Q$1403&gt;0),1,0)))*BB136*(Geometria!$L$299-(Geometria!$L$299-IF(AV113&lt;Geometria!$L$1409/100,Geometria!$L$1443,Geometria!$L$1461))*(1-(MIN(MIN(1,MAX(0,(AV113-Geometria!$L$1409/100)/(Geometria!$N$1307/100))),MIN(1,MAX(0,((Geometria!$L$29/100-AV113)-Geometria!$R$1409/100)/(Geometria!$N$1307/100))))))*(IF(OR(Geometria!$K$1409&gt;0,Geometria!$K$1407&gt;0,Geometria!$Q$1409&gt;0,Geometria!$Q$1407&gt;0),1,0))-(Geometria!$L$299-IF(AV113&lt;Geometria!$L$1405/100,Geometria!$L$1445,Geometria!$L$1463))*(1-(MIN(MIN(1,MAX(0,(AV113-Geometria!$L$1405/100)/(Geometria!$N$1307/100))),MIN(1,MAX(0,((Geometria!$L$29/100-AV113)-Geometria!$R$1405/100)/(Geometria!$N$1307/100))))))*(IF(OR(Geometria!$K$1405&gt;0,Geometria!$K$1403&gt;0,Geometria!$Q$1405&gt;0,Geometria!$Q$1403&gt;0),1,0)))/100-Geometria!$P$1429*BB113*Geometria!$L$1438/100</f>
        <v>233.16742928073757</v>
      </c>
      <c r="BH113" s="365"/>
      <c r="BI113" s="371">
        <f ca="1">(IF(AW113="Sim",IF(AU113="Sim",$AB$93,ER113),IF(AU113="Sim",ET113,Geometria!$L$373)))</f>
        <v>1243.5596228306003</v>
      </c>
      <c r="BJ113" s="371">
        <f ca="1">(IF(AW113="Sim",IF(AU113="Sim",$AB$94,ES113),IF(AU113="Sim",EU113,Geometria!$L$374)))</f>
        <v>233.16742928073757</v>
      </c>
      <c r="BL113" s="4" t="s">
        <v>441</v>
      </c>
      <c r="BM113" s="202">
        <f t="shared" ca="1" si="15"/>
        <v>-9375.487598210499</v>
      </c>
      <c r="BN113" s="38" t="s">
        <v>234</v>
      </c>
      <c r="BO113" s="203">
        <f t="shared" ca="1" si="6"/>
        <v>-9.3754875982105</v>
      </c>
      <c r="BP113" s="38" t="s">
        <v>160</v>
      </c>
      <c r="BQ113" s="399">
        <f t="shared" si="16"/>
        <v>0.0</v>
      </c>
      <c r="BR113" s="376" t="str">
        <f>IF(OR(AND(BS113&lt;Geometria!$L$1405/100,Geometria!$K$1405&gt;0),AND((Geometria!$L$29/100-BS113)&lt;Geometria!$R$1405/100,Geometria!$Q$1405&gt;0)),"Sim","Não")</f>
        <v>Não</v>
      </c>
      <c r="BS113" s="395">
        <f>Geometria!$O$418</f>
        <v>4.71</v>
      </c>
      <c r="BT113" s="376" t="str">
        <f>IF(OR(AND(BS113&lt;Geometria!$L$1409/100,OR(Geometria!$K$1409&gt;0,Geometria!$K$1407&gt;0)),AND((Geometria!$L$29/100-BS113)&lt;Geometria!$R$1409/100,OR(Geometria!$Q$1409&gt;0,Geometria!$Q$1407&gt;0))),"Sim","Não")</f>
        <v>Não</v>
      </c>
      <c r="BU113" s="122" t="s">
        <v>441</v>
      </c>
      <c r="BV113" s="198" t="str">
        <f ca="1">BV109</f>
        <v>OK</v>
      </c>
      <c r="BW113" s="401">
        <f t="shared" ca="1" si="7"/>
        <v>-9375.494016525221</v>
      </c>
      <c r="BX113" s="403">
        <f ca="1">-(CC113/(Geometria!$L$48/100^2))+(CD113/(Geometria!$L$52/100^3))-((Geometria!$O$419)/(Geometria!$L$52/100^3))-((Geometria!$O$430)/(Geometria!$M$52))-((Geometria!$L$76*Geometria!$O$441)/(Geometria!$M$52))</f>
        <v>-9375.497225682582</v>
      </c>
      <c r="BY113" s="400">
        <f ca="1">BY109</f>
        <v>331.1000646573565</v>
      </c>
      <c r="BZ113" s="751">
        <f ca="1">-((Geometria!$L$373-(Geometria!$L$373-ER113)*(1-(MIN(MIN(1,MAX(0,(BS113-Geometria!$L$1409/100)/(Geometria!$N$1307/100))),MIN(1,MAX(0,((Geometria!$L$29/100-BS113)-Geometria!$R$1409/100)/(Geometria!$N$1307/100))))))*(IF(OR(Geometria!$K$1409&gt;0,Geometria!$K$1407&gt;0,Geometria!$Q$1409&gt;0,Geometria!$Q$1407&gt;0),1,0))-(Geometria!$L$373-ET113)*(1-(MIN(MIN(1,MAX(0,(BS113-Geometria!$L$1405/100)/(Geometria!$N$1307/100))),MIN(1,MAX(0,((Geometria!$L$29/100-BS113)-Geometria!$R$1405/100)/(Geometria!$N$1307/100))))))*(IF(OR(Geometria!$K$1405&gt;0,Geometria!$K$1403&gt;0,Geometria!$Q$1405&gt;0,Geometria!$Q$1403&gt;0),1,0))))/(Geometria!$L$48/100^2)+((Geometria!$L$374-(Geometria!$L$374-ES113)*(1-(MIN(MIN(1,MAX(0,(BS113-Geometria!$L$1409/100)/(Geometria!$N$1307/100))),MIN(1,MAX(0,((Geometria!$L$29/100-BS113)-Geometria!$R$1409/100)/(Geometria!$N$1307/100))))))*(IF(OR(Geometria!$K$1409&gt;0,Geometria!$K$1407&gt;0,Geometria!$Q$1409&gt;0,Geometria!$Q$1407&gt;0),1,0))-(Geometria!$L$374-EU113)*(1-(MIN(MIN(1,MAX(0,(BS113-Geometria!$L$1405/100)/(Geometria!$N$1307/100))),MIN(1,MAX(0,((Geometria!$L$29/100-BS113)-Geometria!$R$1405/100)/(Geometria!$N$1307/100))))))*(IF(OR(Geometria!$K$1405&gt;0,Geometria!$K$1403&gt;0,Geometria!$Q$1405&gt;0,Geometria!$Q$1403&gt;0),1,0))))/(Geometria!$L$52/100^3)-((Geometria!$O$676)/(Geometria!$L$52/100^3))-((Geometria!$O$687)/(Geometria!$M$52))-((Geometria!$L$77*Geometria!$O$698)/(Geometria!$M$52))</f>
        <v>-9375.494016525221</v>
      </c>
      <c r="CA113" s="751"/>
      <c r="CC113" s="373">
        <f ca="1">(Geometria!$L$298-(Geometria!$L$298-IF(BS113&lt;Geometria!$L$1409/100,Geometria!$L$1442,Geometria!$L$1460))*(1-(MIN(MIN(1,MAX(0,(BS113-Geometria!$L$1409/100)/(Geometria!$N$1307/100))),MIN(1,MAX(0,((Geometria!$L$29/100-BS113)-Geometria!$R$1409/100)/(Geometria!$N$1307/100))))))*(IF(OR(Geometria!$K$1409&gt;0,Geometria!$K$1407&gt;0,Geometria!$Q$1409&gt;0,Geometria!$Q$1407&gt;0),1,0))-(Geometria!$L$298-IF(BS113&lt;Geometria!$L$1405/100,Geometria!$L$1444,Geometria!$L$1462))*(1-(MIN(MIN(1,MAX(0,(BS113-Geometria!$L$1405/100)/(Geometria!$N$1307/100))),MIN(1,MAX(0,((Geometria!$L$29/100-BS113)-Geometria!$R$1405/100)/(Geometria!$N$1307/100))))))*(IF(OR(Geometria!$K$1405&gt;0,Geometria!$K$1403&gt;0,Geometria!$Q$1405&gt;0,Geometria!$Q$1403&gt;0),1,0)))*BY136+Geometria!$P$1429*BY113</f>
        <v>1243.5596228306003</v>
      </c>
      <c r="CD113" s="373">
        <f ca="1">(Geometria!$L$298-(Geometria!$L$298-IF(BS113&lt;Geometria!$L$1409/100,Geometria!$L$1442,Geometria!$L$1460))*(1-(MIN(MIN(1,MAX(0,(BS113-Geometria!$L$1409/100)/(Geometria!$N$1307/100))),MIN(1,MAX(0,((Geometria!$L$29/100-BS113)-Geometria!$R$1409/100)/(Geometria!$N$1307/100))))))*(IF(OR(Geometria!$K$1409&gt;0,Geometria!$K$1407&gt;0,Geometria!$Q$1409&gt;0,Geometria!$Q$1407&gt;0),1,0))-(Geometria!$L$298-IF(BS113&lt;Geometria!$L$1405/100,Geometria!$L$1444,Geometria!$L$1462))*(1-(MIN(MIN(1,MAX(0,(BS113-Geometria!$L$1405/100)/(Geometria!$N$1307/100))),MIN(1,MAX(0,((Geometria!$L$29/100-BS113)-Geometria!$R$1405/100)/(Geometria!$N$1307/100))))))*(IF(OR(Geometria!$K$1405&gt;0,Geometria!$K$1403&gt;0,Geometria!$Q$1405&gt;0,Geometria!$Q$1403&gt;0),1,0)))*BY136*(Geometria!$L$299-(Geometria!$L$299-IF(BS113&lt;Geometria!$L$1409/100,Geometria!$L$1443,Geometria!$L$1461))*(1-(MIN(MIN(1,MAX(0,(BS113-Geometria!$L$1409/100)/(Geometria!$N$1307/100))),MIN(1,MAX(0,((Geometria!$L$29/100-BS113)-Geometria!$R$1409/100)/(Geometria!$N$1307/100))))))*(IF(OR(Geometria!$K$1409&gt;0,Geometria!$K$1407&gt;0,Geometria!$Q$1409&gt;0,Geometria!$Q$1407&gt;0),1,0))-(Geometria!$L$299-IF(BS113&lt;Geometria!$L$1405/100,Geometria!$L$1445,Geometria!$L$1463))*(1-(MIN(MIN(1,MAX(0,(BS113-Geometria!$L$1405/100)/(Geometria!$N$1307/100))),MIN(1,MAX(0,((Geometria!$L$29/100-BS113)-Geometria!$R$1405/100)/(Geometria!$N$1307/100))))))*(IF(OR(Geometria!$K$1405&gt;0,Geometria!$K$1403&gt;0,Geometria!$Q$1405&gt;0,Geometria!$Q$1403&gt;0),1,0)))/100-Geometria!$P$1429*BY113*Geometria!$L$1438/100</f>
        <v>233.16742928073757</v>
      </c>
      <c r="CE113" s="365"/>
      <c r="CF113" s="371">
        <f ca="1">(IF(BT113="Sim",IF(BR113="Sim",$AB$93,ER113),IF(BR113="Sim",ET113,Geometria!$L$373)))</f>
        <v>1243.5596228306003</v>
      </c>
      <c r="CG113" s="371">
        <f ca="1">(IF(BT113="Sim",IF(BR113="Sim",$AB$94,ES113),IF(BR113="Sim",EU113,Geometria!$L$374)))</f>
        <v>233.16742928073757</v>
      </c>
      <c r="CI113" s="4" t="s">
        <v>441</v>
      </c>
      <c r="CJ113" s="202">
        <f t="shared" ca="1" si="17"/>
        <v>-9375.494016525221</v>
      </c>
      <c r="CK113" s="38" t="s">
        <v>234</v>
      </c>
      <c r="CL113" s="203">
        <f t="shared" ca="1" si="8"/>
        <v>-9.375494016525222</v>
      </c>
      <c r="CM113" s="38" t="s">
        <v>160</v>
      </c>
      <c r="CN113" s="399">
        <f t="shared" si="18"/>
        <v>0.0</v>
      </c>
      <c r="CO113" s="376" t="str">
        <f>IF(OR(AND(CP113&lt;Geometria!$L$1405/100,Geometria!$K$1405&gt;0),AND((Geometria!$L$29/100-CP113)&lt;Geometria!$R$1405/100,Geometria!$Q$1405&gt;0)),"Sim","Não")</f>
        <v>Não</v>
      </c>
      <c r="CP113" s="395">
        <f>Geometria!$O$418</f>
        <v>4.71</v>
      </c>
      <c r="CQ113" s="376" t="str">
        <f>IF(OR(AND(CP113&lt;Geometria!$L$1409/100,OR(Geometria!$K$1409&gt;0,Geometria!$K$1407&gt;0)),AND((Geometria!$L$29/100-CP113)&lt;Geometria!$R$1409/100,OR(Geometria!$Q$1409&gt;0,Geometria!$Q$1407&gt;0))),"Sim","Não")</f>
        <v>Não</v>
      </c>
      <c r="CR113" s="122" t="s">
        <v>441</v>
      </c>
      <c r="CS113" s="198" t="str">
        <f ca="1">CS109</f>
        <v>OK</v>
      </c>
      <c r="CT113" s="401">
        <f t="shared" ca="1" si="9"/>
        <v>-9375.487598210499</v>
      </c>
      <c r="CU113" s="403">
        <f ca="1">-(CZ113/(Geometria!$L$48/100^2))+(DA113/(Geometria!$L$52/100^3))-((Geometria!$O$419)/(Geometria!$L$52/100^3))-((Geometria!$O$430)/(Geometria!$M$52))-((Geometria!$L$76*Geometria!$O$441)/(Geometria!$M$52))</f>
        <v>-9375.497225682582</v>
      </c>
      <c r="CV113" s="400">
        <f ca="1">CV109</f>
        <v>331.1000646573565</v>
      </c>
      <c r="CW113" s="751">
        <f ca="1">-((Geometria!$L$373-(Geometria!$L$373-ER113)*(1-(MIN(MIN(1,MAX(0,(CP113-Geometria!$L$1409/100)/(Geometria!$N$1307/100))),MIN(1,MAX(0,((Geometria!$L$29/100-CP113)-Geometria!$R$1409/100)/(Geometria!$N$1307/100))))))*(IF(OR(Geometria!$K$1409&gt;0,Geometria!$K$1407&gt;0,Geometria!$Q$1409&gt;0,Geometria!$Q$1407&gt;0),1,0))-(Geometria!$L$373-ET113)*(1-(MIN(MIN(1,MAX(0,(CP113-Geometria!$L$1405/100)/(Geometria!$N$1307/100))),MIN(1,MAX(0,((Geometria!$L$29/100-CP113)-Geometria!$R$1405/100)/(Geometria!$N$1307/100))))))*(IF(OR(Geometria!$K$1405&gt;0,Geometria!$K$1403&gt;0,Geometria!$Q$1405&gt;0,Geometria!$Q$1403&gt;0),1,0))))/(Geometria!$L$48/100^2)+((Geometria!$L$374-(Geometria!$L$374-ES113)*(1-(MIN(MIN(1,MAX(0,(CP113-Geometria!$L$1409/100)/(Geometria!$N$1307/100))),MIN(1,MAX(0,((Geometria!$L$29/100-CP113)-Geometria!$R$1409/100)/(Geometria!$N$1307/100))))))*(IF(OR(Geometria!$K$1409&gt;0,Geometria!$K$1407&gt;0,Geometria!$Q$1409&gt;0,Geometria!$Q$1407&gt;0),1,0))-(Geometria!$L$374-EU113)*(1-(MIN(MIN(1,MAX(0,(CP113-Geometria!$L$1405/100)/(Geometria!$N$1307/100))),MIN(1,MAX(0,((Geometria!$L$29/100-CP113)-Geometria!$R$1405/100)/(Geometria!$N$1307/100))))))*(IF(OR(Geometria!$K$1405&gt;0,Geometria!$K$1403&gt;0,Geometria!$Q$1405&gt;0,Geometria!$Q$1403&gt;0),1,0))))/(Geometria!$L$52/100^3)-((Geometria!$O$676)/(Geometria!$L$52/100^3))-((Geometria!$O$687)/(Geometria!$M$52))</f>
        <v>-9375.487598210499</v>
      </c>
      <c r="CX113" s="751"/>
      <c r="CZ113" s="373">
        <f ca="1">(IF(CQ113="Sim",IF(CO113="Sim",IF(CP113&lt;Geometria!$L$1405/100,Geometria!$L$1435,Geometria!$L$1476),IF(CP113&lt;Geometria!$L$1409/100,Geometria!$L$1442,Geometria!$L$1460)),IF(CO113="Sim",IF(CP113&lt;Geometria!$L$1405/100,Geometria!$L$1444,Geometria!$L$1462),Geometria!$L$298)))*CV136+Geometria!$P$1429*CV113</f>
        <v>1243.5596228306003</v>
      </c>
      <c r="DA113" s="373">
        <f ca="1">(IF(CQ113="Sim",IF(CO113="Sim",IF(CP113&lt;Geometria!$L$1405/100,Geometria!$L$1435,Geometria!$L$1476),IF(CP113&lt;Geometria!$L$1409/100,Geometria!$L$1442,Geometria!$L$1460)),IF(CO113="Sim",IF(CP113&lt;Geometria!$L$1405/100,Geometria!$L$1444,Geometria!$L$1462),Geometria!$L$298)))*CV136*(IF(CQ113="Sim",IF(CO113="Sim",IF(CP113&lt;Geometria!$L$1405/100,Geometria!$L$1436,Geometria!$L$1484),IF(CP113&lt;Geometria!$L$1409/100,Geometria!$L$1443,Geometria!$L$1461)),IF(CO113="Sim",IF(CP113&lt;Geometria!$L$1405/100,Geometria!$L$1445,Geometria!$L$1463),Geometria!$L$299)))/100-Geometria!$P$1429*CV113*Geometria!$L$1438/100</f>
        <v>233.16742928073757</v>
      </c>
      <c r="DB113" s="365"/>
      <c r="DC113" s="371">
        <f ca="1">(IF(CQ113="Sim",IF(CO113="Sim",$AB$93,ER113),IF(CO113="Sim",ET113,Geometria!$L$373)))</f>
        <v>1243.5596228306003</v>
      </c>
      <c r="DD113" s="371">
        <f ca="1">(IF(CQ113="Sim",IF(CO113="Sim",$AB$94,ES113),IF(CO113="Sim",EU113,Geometria!$L$374)))</f>
        <v>233.16742928073757</v>
      </c>
      <c r="DF113" s="4" t="s">
        <v>441</v>
      </c>
      <c r="DG113" s="202">
        <f t="shared" ca="1" si="19"/>
        <v>-9375.487598210499</v>
      </c>
      <c r="DH113" s="38" t="s">
        <v>234</v>
      </c>
      <c r="DI113" s="203">
        <f t="shared" ca="1" si="10"/>
        <v>-9.3754875982105</v>
      </c>
      <c r="DJ113" s="38" t="s">
        <v>160</v>
      </c>
      <c r="DK113" s="399">
        <f t="shared" si="20"/>
        <v>0.0</v>
      </c>
      <c r="EA113">
        <f ca="1">-L113/('Aberturas na Alma'!$M$112/100^2)+M113/('Aberturas na Alma'!$M$119/100^3)-Geometria!$L$898/('Aberturas na Alma'!$M$119/100^3)</f>
        <v>12230.933917124055</v>
      </c>
      <c r="EB113">
        <f ca="1">-(IF(C113="Sim",IF(A113="Sim",$E$93,EX113),IF(A113="Sim",EZ113,Geometria!$L$906)))/('Aberturas na Alma'!$M$112/100^2)+(IF(C113="Sim",IF(A113="Sim",$E$94,EY113),IF(A113="Sim",FA113,Geometria!$L$907)))/('Aberturas na Alma'!$M$119/100^3)-Geometria!$O$901/('Aberturas na Alma'!$M$119/100^3)</f>
        <v>2821.1780583854643</v>
      </c>
      <c r="EC113">
        <f ca="1">IF(AND('Aberturas na Alma'!$M$18="NÃO DISPENSADO — furo deve ser verificado (cálculo abaixo)",OR(AND(B113&gt;=('Aberturas na Alma'!$M$4-'Aberturas na Alma'!$M$7/2)/100,B113&lt;=('Aberturas na Alma'!$M$4+'Aberturas na Alma'!$M$7/2)/100),ABS(B113-'Aberturas na Alma'!$M$4/100)&lt;=Geometria!$L$29/4000)),IF(E113="Reduzir",EA113,EB113),F113)</f>
        <v>4984.549151898154</v>
      </c>
      <c r="ED113">
        <f ca="1">-(AI113/('Aberturas na Alma'!$M$112/100^2))+(AJ113/('Aberturas na Alma'!$M$119/100^3))-((Geometria!$O$419)/('Aberturas na Alma'!$M$119/100^3))-((Geometria!$O$430)/('Aberturas na Alma'!$M$119/100^3))-((Geometria!$L$76*Geometria!$O$441)/('Aberturas na Alma'!$M$119/100^3))</f>
        <v>-51811.09198940109</v>
      </c>
      <c r="EE113">
        <f ca="1">-((IF(Z113="Sim",IF(X113="Sim",$AB$93,ER113),IF(X113="Sim",ET113,Geometria!$L$373)))/('Aberturas na Alma'!$M$112/100^2))+((IF(Z113="Sim",IF(X113="Sim",$AB$94,ES113),IF(X113="Sim",EU113,Geometria!$L$374)))/('Aberturas na Alma'!$M$119/100^3))-((Geometria!$O$419)/('Aberturas na Alma'!$M$119/100^3))-((Geometria!$O$430)/('Aberturas na Alma'!$M$119/100^3))-((Geometria!$L$76*Geometria!$O$441)/('Aberturas na Alma'!$M$119/100^3))</f>
        <v>-51811.09198940109</v>
      </c>
      <c r="EF113" s="371">
        <f ca="1">IF(AND('Aberturas na Alma'!$M$18="NÃO DISPENSADO — furo deve ser verificado (cálculo abaixo)",OR(AND(B113&gt;=('Aberturas na Alma'!$M$4-'Aberturas na Alma'!$M$7/2)/100,B113&lt;=('Aberturas na Alma'!$M$4+'Aberturas na Alma'!$M$7/2)/100),ABS(B113-'Aberturas na Alma'!$M$4/100)&lt;=Geometria!$L$29/4000)),IF(AB113="Reduzir",ED113,EE113),AC113)</f>
        <v>-9375.497225682582</v>
      </c>
      <c r="EG113">
        <f ca="1">-(BF113/('Aberturas na Alma'!$M$112/100^2))+(BG113/('Aberturas na Alma'!$M$119/100^3))-((Geometria!$O$419)/('Aberturas na Alma'!$M$119/100^3))-((Geometria!$O$430)/('Aberturas na Alma'!$M$119/100^3))-((Geometria!$L$76*Geometria!$O$441)/('Aberturas na Alma'!$M$119/100^3))</f>
        <v>-51811.09198940109</v>
      </c>
      <c r="EH113">
        <f ca="1">-((IF(AW113="Sim",IF(AU113="Sim",$AB$93,ER113),IF(AU113="Sim",ET113,Geometria!$L$373)))/('Aberturas na Alma'!$M$112/100^2))+((IF(AW113="Sim",IF(AU113="Sim",$AB$94,ES113),IF(AU113="Sim",EU113,Geometria!$L$374)))/('Aberturas na Alma'!$M$119/100^3))-((Geometria!$O$419)/('Aberturas na Alma'!$M$119/100^3))-((Geometria!$O$430)/('Aberturas na Alma'!$M$119/100^3))</f>
        <v>-14286.478708981525</v>
      </c>
      <c r="EI113" s="371">
        <f ca="1">IF(AND('Aberturas na Alma'!$M$18="NÃO DISPENSADO — furo deve ser verificado (cálculo abaixo)",OR(AND(B113&gt;=('Aberturas na Alma'!$M$4-'Aberturas na Alma'!$M$7/2)/100,B113&lt;=('Aberturas na Alma'!$M$4+'Aberturas na Alma'!$M$7/2)/100),ABS(B113-'Aberturas na Alma'!$M$4/100)&lt;=Geometria!$L$29/4000)),IF(AY113="Reduzir",EG113,EH113),AZ113)</f>
        <v>-9375.487598210499</v>
      </c>
      <c r="EJ113">
        <f ca="1">-(CC113/('Aberturas na Alma'!$M$112/100^2))+(CD113/('Aberturas na Alma'!$M$119/100^3))-((Geometria!$O$419)/('Aberturas na Alma'!$M$119/100^3))-((Geometria!$O$430)/('Aberturas na Alma'!$M$119/100^3))-((Geometria!$L$76*Geometria!$O$441)/('Aberturas na Alma'!$M$119/100^3))</f>
        <v>-51811.09198940109</v>
      </c>
      <c r="EK113">
        <f ca="1">-((IF(BT113="Sim",IF(BR113="Sim",$AB$93,ER113),IF(BR113="Sim",ET113,Geometria!$L$373)))/('Aberturas na Alma'!$M$112/100^2))+((IF(BT113="Sim",IF(BR113="Sim",$AB$94,ES113),IF(BR113="Sim",EU113,Geometria!$L$374)))/('Aberturas na Alma'!$M$119/100^3))-((Geometria!$O$676)/('Aberturas na Alma'!$M$119/100^3))-((Geometria!$O$687)/('Aberturas na Alma'!$M$119/100^3))-((Geometria!$L$77*Geometria!$O$698)/('Aberturas na Alma'!$M$119/100^3))</f>
        <v>-39302.887562594566</v>
      </c>
      <c r="EL113" s="371">
        <f ca="1">IF(AND('Aberturas na Alma'!$M$18="NÃO DISPENSADO — furo deve ser verificado (cálculo abaixo)",OR(AND(B113&gt;=('Aberturas na Alma'!$M$4-'Aberturas na Alma'!$M$7/2)/100,B113&lt;=('Aberturas na Alma'!$M$4+'Aberturas na Alma'!$M$7/2)/100),ABS(B113-'Aberturas na Alma'!$M$4/100)&lt;=Geometria!$L$29/4000)),IF(BV113="Reduzir",EJ113,EK113),BW113)</f>
        <v>-9375.494016525221</v>
      </c>
      <c r="EM113">
        <f ca="1">-(CZ113/('Aberturas na Alma'!$M$112/100^2))+(DA113/('Aberturas na Alma'!$M$119/100^3))-((Geometria!$O$419)/('Aberturas na Alma'!$M$119/100^3))-((Geometria!$O$430)/('Aberturas na Alma'!$M$119/100^3))-((Geometria!$L$76*Geometria!$O$441)/('Aberturas na Alma'!$M$119/100^3))</f>
        <v>-51811.09198940109</v>
      </c>
      <c r="EN113">
        <f ca="1">-((IF(CQ113="Sim",IF(CO113="Sim",$AB$93,ER113),IF(CO113="Sim",ET113,Geometria!$L$373)))/('Aberturas na Alma'!$M$112/100^2))+((IF(CQ113="Sim",IF(CO113="Sim",$AB$94,ES113),IF(CO113="Sim",EU113,Geometria!$L$374)))/('Aberturas na Alma'!$M$119/100^3))-((Geometria!$O$676)/('Aberturas na Alma'!$M$119/100^3))-((Geometria!$O$687)/('Aberturas na Alma'!$M$119/100^3))</f>
        <v>-14286.478708981525</v>
      </c>
      <c r="EO113" s="371">
        <f ca="1">IF(AND('Aberturas na Alma'!$M$18="NÃO DISPENSADO — furo deve ser verificado (cálculo abaixo)",OR(AND(B113&gt;=('Aberturas na Alma'!$M$4-'Aberturas na Alma'!$M$7/2)/100,B113&lt;=('Aberturas na Alma'!$M$4+'Aberturas na Alma'!$M$7/2)/100),ABS(B113-'Aberturas na Alma'!$M$4/100)&lt;=Geometria!$L$29/4000)),IF(CS113="Reduzir",EM113,EN113),CT113)</f>
        <v>-9375.487598210499</v>
      </c>
      <c r="EP113" t="str">
        <f>IF(AND(Y113&lt;Geometria!$L$1409/100,OR(Geometria!$K$1409&gt;0,Geometria!$K$1407&gt;0)),"ESQ",IF(AND((Geometria!$L$29/100-Y113)&lt;Geometria!$R$1409/100,OR(Geometria!$Q$1409&gt;0,Geometria!$Q$1407&gt;0)),"DIR","N/A"))</f>
        <v>N/A</v>
      </c>
      <c r="EQ113" t="str">
        <f>IF(AND(Y113&lt;Geometria!$L$1405/100,Geometria!$K$1405&gt;0),"ESQ",IF(AND((Geometria!$L$29/100-Y113)&lt;Geometria!$R$1405/100,Geometria!$Q$1405&gt;0),"DIR","N/A"))</f>
        <v>N/A</v>
      </c>
      <c r="ER113">
        <f ca="1">IF(EP113="DIR",Geometria!$L$1470,Geometria!$L$1452)</f>
        <v>1243.5596228306003</v>
      </c>
      <c r="ES113">
        <f ca="1">IF(EP113="DIR",Geometria!$L$1471,Geometria!$L$1453)</f>
        <v>233.16742928073757</v>
      </c>
      <c r="ET113">
        <f ca="1">IF(EQ113="DIR",Geometria!$L$1472,Geometria!$L$1454)</f>
        <v>621.7798114153002</v>
      </c>
      <c r="EU113">
        <f ca="1">IF(EQ113="DIR",Geometria!$L$1473,Geometria!$L$1455)</f>
        <v>177.20724625336052</v>
      </c>
      <c r="EV113" t="str">
        <f>IF(AND(B113&lt;Geometria!$L$1409/100,OR(Geometria!$K$1409&gt;0,Geometria!$K$1407&gt;0)),"ESQ",IF(AND((Geometria!$L$29/100-B113)&lt;Geometria!$R$1409/100,OR(Geometria!$Q$1409&gt;0,Geometria!$Q$1407&gt;0)),"DIR","N/A"))</f>
        <v>N/A</v>
      </c>
      <c r="EW113" t="str">
        <f>IF(AND(B113&lt;Geometria!$L$1405/100,Geometria!$K$1405&gt;0),"ESQ",IF(AND((Geometria!$L$29/100-B113)&lt;Geometria!$R$1405/100,Geometria!$Q$1405&gt;0),"DIR","N/A"))</f>
        <v>N/A</v>
      </c>
      <c r="EX113">
        <f ca="1">IF(EV113="DIR",Geometria!$L$1465,Geometria!$L$1447)</f>
        <v>1499.8056003831216</v>
      </c>
      <c r="EY113">
        <f ca="1">IF(EV113="DIR",Geometria!$L$1466,Geometria!$L$1448)</f>
        <v>281.2135500718353</v>
      </c>
      <c r="EZ113">
        <f ca="1">IF(EW113="DIR",Geometria!$L$1467,Geometria!$L$1449)</f>
        <v>749.9028001915608</v>
      </c>
      <c r="FA113">
        <f ca="1">IF(EW113="DIR",Geometria!$L$1468,Geometria!$L$1450)</f>
        <v>213.72229805459483</v>
      </c>
    </row>
    <row r="114" spans="1:157" x14ac:dyDescent="0.25">
      <c r="A114" s="376" t="str">
        <f>IF(OR(AND(B114&lt;Geometria!$L$1405/100,Geometria!$K$1405&gt;0),AND((Geometria!$L$29/100-B114)&lt;Geometria!$R$1405/100,Geometria!$Q$1405&gt;0)),"Sim","Não")</f>
        <v>Não</v>
      </c>
      <c r="B114" s="395">
        <f>Tensões!$G$66</f>
        <v>5.1025</v>
      </c>
      <c r="C114" s="376" t="str">
        <f>IF(OR(AND(B114&lt;Geometria!$L$1409/100,OR(Geometria!$K$1409&gt;0,Geometria!$K$1407&gt;0)),AND((Geometria!$L$29/100-B114)&lt;Geometria!$R$1409/100,OR(Geometria!$Q$1409&gt;0,Geometria!$Q$1407&gt;0))),"Sim","Não")</f>
        <v>Não</v>
      </c>
      <c r="D114" s="122" t="s">
        <v>442</v>
      </c>
      <c r="E114" s="198" t="str">
        <f ca="1">E108</f>
        <v>OK</v>
      </c>
      <c r="F114" s="396">
        <f t="shared" ca="1" si="1"/>
        <v>5108.076460992135</v>
      </c>
      <c r="G114" s="397">
        <f ca="1">-L114/(Geometria!$L$48/100^2)+M114/(Geometria!$L$52/100^3)-Geometria!$L$898/(Geometria!$L$52/100^3)</f>
        <v>15332.283342900422</v>
      </c>
      <c r="H114" s="400">
        <f ca="1">H108</f>
        <v>342.8543191268312</v>
      </c>
      <c r="I114" s="743">
        <f ca="1">-(Geometria!$L$906-(Geometria!$L$906-EX114)*(1-(MIN(MIN(1,MAX(0,(B114-Geometria!$L$1409/100)/(Geometria!$N$1307/100))),MIN(1,MAX(0,((Geometria!$L$29/100-B114)-Geometria!$R$1409/100)/(Geometria!$N$1307/100))))))*(IF(OR(Geometria!$K$1409&gt;0,Geometria!$K$1407&gt;0,Geometria!$Q$1409&gt;0,Geometria!$Q$1407&gt;0),1,0))-(Geometria!$L$906-EZ114)*(1-(MIN(MIN(1,MAX(0,(B114-Geometria!$L$1405/100)/(Geometria!$N$1307/100))),MIN(1,MAX(0,((Geometria!$L$29/100-B114)-Geometria!$R$1405/100)/(Geometria!$N$1307/100))))))*(IF(OR(Geometria!$K$1405&gt;0,Geometria!$K$1403&gt;0,Geometria!$Q$1405&gt;0,Geometria!$Q$1403&gt;0),1,0)))/(Geometria!$L$48/100^2)+(Geometria!$L$907-(Geometria!$L$907-EY114)*(1-(MIN(MIN(1,MAX(0,(B114-Geometria!$L$1409/100)/(Geometria!$N$1307/100))),MIN(1,MAX(0,((Geometria!$L$29/100-B114)-Geometria!$R$1409/100)/(Geometria!$N$1307/100))))))*(IF(OR(Geometria!$K$1409&gt;0,Geometria!$K$1407&gt;0,Geometria!$Q$1409&gt;0,Geometria!$Q$1407&gt;0),1,0))-(Geometria!$L$907-FA114)*(1-(MIN(MIN(1,MAX(0,(B114-Geometria!$L$1405/100)/(Geometria!$N$1307/100))),MIN(1,MAX(0,((Geometria!$L$29/100-B114)-Geometria!$R$1405/100)/(Geometria!$N$1307/100))))))*(IF(OR(Geometria!$K$1405&gt;0,Geometria!$K$1403&gt;0,Geometria!$Q$1405&gt;0,Geometria!$Q$1403&gt;0),1,0)))/(Geometria!$L$52/100^3)-Geometria!$P$901/(Geometria!$L$52/100^3)</f>
        <v>5108.076460992135</v>
      </c>
      <c r="J114" s="743"/>
      <c r="L114" s="373">
        <f ca="1">(Geometria!$L$298-(Geometria!$L$298-IF(B114&lt;Geometria!$L$1409/100,Geometria!$L$1442,Geometria!$L$1460))*(1-(MIN(MIN(1,MAX(0,(B114-Geometria!$L$1409/100)/(Geometria!$N$1307/100))),MIN(1,MAX(0,((Geometria!$L$29/100-B114)-Geometria!$R$1409/100)/(Geometria!$N$1307/100))))))*(IF(OR(Geometria!$K$1409&gt;0,Geometria!$K$1407&gt;0,Geometria!$Q$1409&gt;0,Geometria!$Q$1407&gt;0),1,0))-(Geometria!$L$298-IF(B114&lt;Geometria!$L$1405/100,Geometria!$L$1444,Geometria!$L$1462))*(1-(MIN(MIN(1,MAX(0,(B114-Geometria!$L$1405/100)/(Geometria!$N$1307/100))),MIN(1,MAX(0,((Geometria!$L$29/100-B114)-Geometria!$R$1405/100)/(Geometria!$N$1307/100))))))*(IF(OR(Geometria!$K$1405&gt;0,Geometria!$K$1403&gt;0,Geometria!$Q$1405&gt;0,Geometria!$Q$1403&gt;0),1,0)))*H137+Geometria!$P$1429*H114</f>
        <v>3179.6494109582613</v>
      </c>
      <c r="M114" s="373">
        <f ca="1">(Geometria!$L$298-(Geometria!$L$298-IF(B114&lt;Geometria!$L$1409/100,Geometria!$L$1442,Geometria!$L$1460))*(1-(MIN(MIN(1,MAX(0,(B114-Geometria!$L$1409/100)/(Geometria!$N$1307/100))),MIN(1,MAX(0,((Geometria!$L$29/100-B114)-Geometria!$R$1409/100)/(Geometria!$N$1307/100))))))*(IF(OR(Geometria!$K$1409&gt;0,Geometria!$K$1407&gt;0,Geometria!$Q$1409&gt;0,Geometria!$Q$1407&gt;0),1,0))-(Geometria!$L$298-IF(B114&lt;Geometria!$L$1405/100,Geometria!$L$1444,Geometria!$L$1462))*(1-(MIN(MIN(1,MAX(0,(B114-Geometria!$L$1405/100)/(Geometria!$N$1307/100))),MIN(1,MAX(0,((Geometria!$L$29/100-B114)-Geometria!$R$1405/100)/(Geometria!$N$1307/100))))))*(IF(OR(Geometria!$K$1405&gt;0,Geometria!$K$1403&gt;0,Geometria!$Q$1405&gt;0,Geometria!$Q$1403&gt;0),1,0)))*H137*(Geometria!$L$299-(Geometria!$L$299-IF(B114&lt;Geometria!$L$1409/100,Geometria!$L$1443,Geometria!$L$1461))*(1-(MIN(MIN(1,MAX(0,(B114-Geometria!$L$1409/100)/(Geometria!$N$1307/100))),MIN(1,MAX(0,((Geometria!$L$29/100-B114)-Geometria!$R$1409/100)/(Geometria!$N$1307/100))))))*(IF(OR(Geometria!$K$1409&gt;0,Geometria!$K$1407&gt;0,Geometria!$Q$1409&gt;0,Geometria!$Q$1407&gt;0),1,0))-(Geometria!$L$299-IF(B114&lt;Geometria!$L$1405/100,Geometria!$L$1445,Geometria!$L$1463))*(1-(MIN(MIN(1,MAX(0,(B114-Geometria!$L$1405/100)/(Geometria!$N$1307/100))),MIN(1,MAX(0,((Geometria!$L$29/100-B114)-Geometria!$R$1405/100)/(Geometria!$N$1307/100))))))*(IF(OR(Geometria!$K$1405&gt;0,Geometria!$K$1403&gt;0,Geometria!$Q$1405&gt;0,Geometria!$Q$1403&gt;0),1,0)))/100-Geometria!$P$1429*H114*Geometria!$L$1438/100</f>
        <v>601.7393618149086</v>
      </c>
      <c r="N114" s="365"/>
      <c r="O114" s="371">
        <f ca="1">(IF(C114="Sim",IF(A114="Sim",$E$93,EX114),IF(A114="Sim",EZ114,Geometria!$L$906)))</f>
        <v>1475.413282676191</v>
      </c>
      <c r="P114" s="371">
        <f ca="1">(IF(C114="Sim",IF(A114="Sim",$E$94,EY114),IF(A114="Sim",FA114,Geometria!$L$907)))</f>
        <v>276.63999050178586</v>
      </c>
      <c r="R114" s="4" t="s">
        <v>442</v>
      </c>
      <c r="S114" s="202">
        <f t="shared" ca="1" si="11"/>
        <v>5108.076460992135</v>
      </c>
      <c r="T114" s="38" t="s">
        <v>234</v>
      </c>
      <c r="U114" s="203">
        <f t="shared" ca="1" si="2"/>
        <v>5.108076460992136</v>
      </c>
      <c r="V114" s="38" t="s">
        <v>160</v>
      </c>
      <c r="W114" s="399">
        <f t="shared" si="12"/>
        <v>0.0</v>
      </c>
      <c r="X114" s="376" t="str">
        <f>IF(OR(AND(Y114&lt;Geometria!$L$1405/100,Geometria!$K$1405&gt;0),AND((Geometria!$L$29/100-Y114)&lt;Geometria!$R$1405/100,Geometria!$Q$1405&gt;0)),"Sim","Não")</f>
        <v>Não</v>
      </c>
      <c r="Y114" s="395">
        <f>Geometria!$P$418</f>
        <v>5.1025</v>
      </c>
      <c r="Z114" s="376" t="str">
        <f>IF(OR(AND(Y114&lt;Geometria!$L$1409/100,OR(Geometria!$K$1409&gt;0,Geometria!$K$1407&gt;0)),AND((Geometria!$L$29/100-Y114)&lt;Geometria!$R$1409/100,OR(Geometria!$Q$1409&gt;0,Geometria!$Q$1407&gt;0))),"Sim","Não")</f>
        <v>Não</v>
      </c>
      <c r="AA114" s="122" t="s">
        <v>442</v>
      </c>
      <c r="AB114" s="198" t="str">
        <f ca="1">AB108</f>
        <v>OK</v>
      </c>
      <c r="AC114" s="401">
        <f t="shared" ca="1" si="3"/>
        <v>-8566.152350581306</v>
      </c>
      <c r="AD114" s="403">
        <f ca="1">-(AI114/(Geometria!$L$48/100^2))+(AJ114/(Geometria!$L$52/100^3))-((Geometria!$P$419)/(Geometria!$L$52/100^3))-((Geometria!$P$430)/(Geometria!$M$52))-((Geometria!$L$76*Geometria!$P$441)/(Geometria!$M$52))</f>
        <v>-8572.34208372667</v>
      </c>
      <c r="AE114" s="400">
        <f ca="1">AE108</f>
        <v>289.7125565751869</v>
      </c>
      <c r="AF114" s="751">
        <f ca="1">-((Geometria!$L$373-(Geometria!$L$373-ER114)*(1-(MIN(MIN(1,MAX(0,(Y114-Geometria!$L$1409/100)/(Geometria!$N$1307/100))),MIN(1,MAX(0,((Geometria!$L$29/100-Y114)-Geometria!$R$1409/100)/(Geometria!$N$1307/100))))))*(IF(OR(Geometria!$K$1409&gt;0,Geometria!$K$1407&gt;0,Geometria!$Q$1409&gt;0,Geometria!$Q$1407&gt;0),1,0))-(Geometria!$L$373-ET114)*(1-(MIN(MIN(1,MAX(0,(Y114-Geometria!$L$1405/100)/(Geometria!$N$1307/100))),MIN(1,MAX(0,((Geometria!$L$29/100-Y114)-Geometria!$R$1405/100)/(Geometria!$N$1307/100))))))*(IF(OR(Geometria!$K$1405&gt;0,Geometria!$K$1403&gt;0,Geometria!$Q$1405&gt;0,Geometria!$Q$1403&gt;0),1,0))))/(Geometria!$L$48/100^2)+((Geometria!$L$374-(Geometria!$L$374-ES114)*(1-(MIN(MIN(1,MAX(0,(Y114-Geometria!$L$1409/100)/(Geometria!$N$1307/100))),MIN(1,MAX(0,((Geometria!$L$29/100-Y114)-Geometria!$R$1409/100)/(Geometria!$N$1307/100))))))*(IF(OR(Geometria!$K$1409&gt;0,Geometria!$K$1407&gt;0,Geometria!$Q$1409&gt;0,Geometria!$Q$1407&gt;0),1,0))-(Geometria!$L$374-EU114)*(1-(MIN(MIN(1,MAX(0,(Y114-Geometria!$L$1405/100)/(Geometria!$N$1307/100))),MIN(1,MAX(0,((Geometria!$L$29/100-Y114)-Geometria!$R$1405/100)/(Geometria!$N$1307/100))))))*(IF(OR(Geometria!$K$1405&gt;0,Geometria!$K$1403&gt;0,Geometria!$Q$1405&gt;0,Geometria!$Q$1403&gt;0),1,0))))/(Geometria!$L$52/100^3)-((Geometria!$P$419)/(Geometria!$L$52/100^3))-((Geometria!$P$430)/(Geometria!$M$52))-((Geometria!$L$76*Geometria!$P$441)/(Geometria!$M$52))</f>
        <v>-8566.152350581306</v>
      </c>
      <c r="AG114" s="751"/>
      <c r="AI114" s="373">
        <f ca="1">(IF(Z114="Sim",IF(X114="Sim",IF(Y114&lt;Geometria!$L$1405/100,Geometria!$L$1435,Geometria!$L$1476),IF(Y114&lt;Geometria!$L$1409/100,Geometria!$L$1442,Geometria!$L$1460)),IF(X114="Sim",IF(Y114&lt;Geometria!$L$1405/100,Geometria!$L$1444,Geometria!$L$1462),Geometria!$L$298)))*AE137+Geometria!$P$1429*AE114</f>
        <v>1243.5596228306003</v>
      </c>
      <c r="AJ114" s="373">
        <f ca="1">(IF(Z114="Sim",IF(X114="Sim",IF(Y114&lt;Geometria!$L$1405/100,Geometria!$L$1435,Geometria!$L$1476),IF(Y114&lt;Geometria!$L$1409/100,Geometria!$L$1442,Geometria!$L$1460)),IF(X114="Sim",IF(Y114&lt;Geometria!$L$1405/100,Geometria!$L$1444,Geometria!$L$1462),Geometria!$L$298)))*AE137*(IF(Z114="Sim",IF(X114="Sim",IF(Y114&lt;Geometria!$L$1405/100,Geometria!$L$1436,Geometria!$L$1484),IF(Y114&lt;Geometria!$L$1409/100,Geometria!$L$1443,Geometria!$L$1461)),IF(X114="Sim",IF(Y114&lt;Geometria!$L$1405/100,Geometria!$L$1445,Geometria!$L$1463),Geometria!$L$299)))/100-Geometria!$P$1429*AE114*Geometria!$L$1438/100</f>
        <v>233.16742928073757</v>
      </c>
      <c r="AK114" s="365"/>
      <c r="AL114" s="371">
        <f ca="1">(IF(Z114="Sim",IF(X114="Sim",$AB$93,ER114),IF(X114="Sim",ET114,Geometria!$L$373)))</f>
        <v>1243.5596228306003</v>
      </c>
      <c r="AM114" s="371">
        <f ca="1">(IF(Z114="Sim",IF(X114="Sim",$AB$94,ES114),IF(X114="Sim",EU114,Geometria!$L$374)))</f>
        <v>233.16742928073757</v>
      </c>
      <c r="AO114" s="4" t="s">
        <v>442</v>
      </c>
      <c r="AP114" s="202">
        <f t="shared" ca="1" si="13"/>
        <v>-8566.152350581306</v>
      </c>
      <c r="AQ114" s="38" t="s">
        <v>234</v>
      </c>
      <c r="AR114" s="203">
        <f t="shared" ca="1" si="4"/>
        <v>-8.566152350581305</v>
      </c>
      <c r="AS114" s="38" t="s">
        <v>160</v>
      </c>
      <c r="AT114" s="399">
        <f t="shared" si="14"/>
        <v>0.0</v>
      </c>
      <c r="AU114" s="376" t="str">
        <f>IF(OR(AND(AV114&lt;Geometria!$L$1405/100,Geometria!$K$1405&gt;0),AND((Geometria!$L$29/100-AV114)&lt;Geometria!$R$1405/100,Geometria!$Q$1405&gt;0)),"Sim","Não")</f>
        <v>Não</v>
      </c>
      <c r="AV114" s="395">
        <f>Geometria!$P$418</f>
        <v>5.1025</v>
      </c>
      <c r="AW114" s="376" t="str">
        <f>IF(OR(AND(AV114&lt;Geometria!$L$1409/100,OR(Geometria!$K$1409&gt;0,Geometria!$K$1407&gt;0)),AND((Geometria!$L$29/100-AV114)&lt;Geometria!$R$1409/100,OR(Geometria!$Q$1409&gt;0,Geometria!$Q$1407&gt;0))),"Sim","Não")</f>
        <v>Não</v>
      </c>
      <c r="AX114" s="122" t="s">
        <v>442</v>
      </c>
      <c r="AY114" s="198" t="str">
        <f ca="1">AY108</f>
        <v>OK</v>
      </c>
      <c r="AZ114" s="401">
        <f t="shared" ca="1" si="5"/>
        <v>-8566.14322454006</v>
      </c>
      <c r="BA114" s="403">
        <f ca="1">-(BF114/(Geometria!$L$48/100^2))+(BG114/(Geometria!$L$52/100^3))-((Geometria!$P$419)/(Geometria!$L$52/100^3))-((Geometria!$P$430)/(Geometria!$M$52))-((Geometria!$L$76*Geometria!$P$441)/(Geometria!$M$52))</f>
        <v>-8506.883847410545</v>
      </c>
      <c r="BB114" s="400">
        <f ca="1">BB108</f>
        <v>289.7125565751869</v>
      </c>
      <c r="BC114" s="751">
        <f ca="1">-((Geometria!$L$373-(Geometria!$L$373-ER114)*(1-(MIN(MIN(1,MAX(0,(AV114-Geometria!$L$1409/100)/(Geometria!$N$1307/100))),MIN(1,MAX(0,((Geometria!$L$29/100-AV114)-Geometria!$R$1409/100)/(Geometria!$N$1307/100))))))*(IF(OR(Geometria!$K$1409&gt;0,Geometria!$K$1407&gt;0,Geometria!$Q$1409&gt;0,Geometria!$Q$1407&gt;0),1,0))-(Geometria!$L$373-ET114)*(1-(MIN(MIN(1,MAX(0,(AV114-Geometria!$L$1405/100)/(Geometria!$N$1307/100))),MIN(1,MAX(0,((Geometria!$L$29/100-AV114)-Geometria!$R$1405/100)/(Geometria!$N$1307/100))))))*(IF(OR(Geometria!$K$1405&gt;0,Geometria!$K$1403&gt;0,Geometria!$Q$1405&gt;0,Geometria!$Q$1403&gt;0),1,0))))/(Geometria!$L$48/100^2)+((Geometria!$L$374-(Geometria!$L$374-ES114)*(1-(MIN(MIN(1,MAX(0,(AV114-Geometria!$L$1409/100)/(Geometria!$N$1307/100))),MIN(1,MAX(0,((Geometria!$L$29/100-AV114)-Geometria!$R$1409/100)/(Geometria!$N$1307/100))))))*(IF(OR(Geometria!$K$1409&gt;0,Geometria!$K$1407&gt;0,Geometria!$Q$1409&gt;0,Geometria!$Q$1407&gt;0),1,0))-(Geometria!$L$374-EU114)*(1-(MIN(MIN(1,MAX(0,(AV114-Geometria!$L$1405/100)/(Geometria!$N$1307/100))),MIN(1,MAX(0,((Geometria!$L$29/100-AV114)-Geometria!$R$1405/100)/(Geometria!$N$1307/100))))))*(IF(OR(Geometria!$K$1405&gt;0,Geometria!$K$1403&gt;0,Geometria!$Q$1405&gt;0,Geometria!$Q$1403&gt;0),1,0))))/(Geometria!$L$52/100^3)-((Geometria!$P$419)/(Geometria!$L$52/100^3))-((Geometria!$P$430)/(Geometria!$M$52))</f>
        <v>-8566.14322454006</v>
      </c>
      <c r="BD114" s="751"/>
      <c r="BF114" s="373">
        <f ca="1">(Geometria!$L$298-(Geometria!$L$298-IF(AV114&lt;Geometria!$L$1409/100,Geometria!$L$1442,Geometria!$L$1460))*(1-(MIN(MIN(1,MAX(0,(AV114-Geometria!$L$1409/100)/(Geometria!$N$1307/100))),MIN(1,MAX(0,((Geometria!$L$29/100-AV114)-Geometria!$R$1409/100)/(Geometria!$N$1307/100))))))*(IF(OR(Geometria!$K$1409&gt;0,Geometria!$K$1407&gt;0,Geometria!$Q$1409&gt;0,Geometria!$Q$1407&gt;0),1,0))-(Geometria!$L$298-IF(AV114&lt;Geometria!$L$1405/100,Geometria!$L$1444,Geometria!$L$1462))*(1-(MIN(MIN(1,MAX(0,(AV114-Geometria!$L$1405/100)/(Geometria!$N$1307/100))),MIN(1,MAX(0,((Geometria!$L$29/100-AV114)-Geometria!$R$1405/100)/(Geometria!$N$1307/100))))))*(IF(OR(Geometria!$K$1405&gt;0,Geometria!$K$1403&gt;0,Geometria!$Q$1405&gt;0,Geometria!$Q$1403&gt;0),1,0)))*BB137+Geometria!$P$1429*BB114</f>
        <v>1232.4181031689466</v>
      </c>
      <c r="BG114" s="373">
        <f ca="1">(Geometria!$L$298-(Geometria!$L$298-IF(AV114&lt;Geometria!$L$1409/100,Geometria!$L$1442,Geometria!$L$1460))*(1-(MIN(MIN(1,MAX(0,(AV114-Geometria!$L$1409/100)/(Geometria!$N$1307/100))),MIN(1,MAX(0,((Geometria!$L$29/100-AV114)-Geometria!$R$1409/100)/(Geometria!$N$1307/100))))))*(IF(OR(Geometria!$K$1409&gt;0,Geometria!$K$1407&gt;0,Geometria!$Q$1409&gt;0,Geometria!$Q$1407&gt;0),1,0))-(Geometria!$L$298-IF(AV114&lt;Geometria!$L$1405/100,Geometria!$L$1444,Geometria!$L$1462))*(1-(MIN(MIN(1,MAX(0,(AV114-Geometria!$L$1405/100)/(Geometria!$N$1307/100))),MIN(1,MAX(0,((Geometria!$L$29/100-AV114)-Geometria!$R$1405/100)/(Geometria!$N$1307/100))))))*(IF(OR(Geometria!$K$1405&gt;0,Geometria!$K$1403&gt;0,Geometria!$Q$1405&gt;0,Geometria!$Q$1403&gt;0),1,0)))*BB137*(Geometria!$L$299-(Geometria!$L$299-IF(AV114&lt;Geometria!$L$1409/100,Geometria!$L$1443,Geometria!$L$1461))*(1-(MIN(MIN(1,MAX(0,(AV114-Geometria!$L$1409/100)/(Geometria!$N$1307/100))),MIN(1,MAX(0,((Geometria!$L$29/100-AV114)-Geometria!$R$1409/100)/(Geometria!$N$1307/100))))))*(IF(OR(Geometria!$K$1409&gt;0,Geometria!$K$1407&gt;0,Geometria!$Q$1409&gt;0,Geometria!$Q$1407&gt;0),1,0))-(Geometria!$L$299-IF(AV114&lt;Geometria!$L$1405/100,Geometria!$L$1445,Geometria!$L$1463))*(1-(MIN(MIN(1,MAX(0,(AV114-Geometria!$L$1405/100)/(Geometria!$N$1307/100))),MIN(1,MAX(0,((Geometria!$L$29/100-AV114)-Geometria!$R$1405/100)/(Geometria!$N$1307/100))))))*(IF(OR(Geometria!$K$1405&gt;0,Geometria!$K$1403&gt;0,Geometria!$Q$1405&gt;0,Geometria!$Q$1403&gt;0),1,0)))/100-Geometria!$P$1429*BB114*Geometria!$L$1438/100</f>
        <v>233.2315255682624</v>
      </c>
      <c r="BH114" s="365"/>
      <c r="BI114" s="371">
        <f ca="1">(IF(AW114="Sim",IF(AU114="Sim",$AB$93,ER114),IF(AU114="Sim",ET114,Geometria!$L$373)))</f>
        <v>1243.5596228306003</v>
      </c>
      <c r="BJ114" s="371">
        <f ca="1">(IF(AW114="Sim",IF(AU114="Sim",$AB$94,ES114),IF(AU114="Sim",EU114,Geometria!$L$374)))</f>
        <v>233.16742928073757</v>
      </c>
      <c r="BL114" s="4" t="s">
        <v>442</v>
      </c>
      <c r="BM114" s="202">
        <f t="shared" ca="1" si="15"/>
        <v>-8566.14322454006</v>
      </c>
      <c r="BN114" s="38" t="s">
        <v>234</v>
      </c>
      <c r="BO114" s="203">
        <f t="shared" ca="1" si="6"/>
        <v>-8.56614322454006</v>
      </c>
      <c r="BP114" s="38" t="s">
        <v>160</v>
      </c>
      <c r="BQ114" s="399">
        <f t="shared" si="16"/>
        <v>0.0</v>
      </c>
      <c r="BR114" s="376" t="str">
        <f>IF(OR(AND(BS114&lt;Geometria!$L$1405/100,Geometria!$K$1405&gt;0),AND((Geometria!$L$29/100-BS114)&lt;Geometria!$R$1405/100,Geometria!$Q$1405&gt;0)),"Sim","Não")</f>
        <v>Não</v>
      </c>
      <c r="BS114" s="395">
        <f>Geometria!$P$418</f>
        <v>5.1025</v>
      </c>
      <c r="BT114" s="376" t="str">
        <f>IF(OR(AND(BS114&lt;Geometria!$L$1409/100,OR(Geometria!$K$1409&gt;0,Geometria!$K$1407&gt;0)),AND((Geometria!$L$29/100-BS114)&lt;Geometria!$R$1409/100,OR(Geometria!$Q$1409&gt;0,Geometria!$Q$1407&gt;0))),"Sim","Não")</f>
        <v>Não</v>
      </c>
      <c r="BU114" s="122" t="s">
        <v>442</v>
      </c>
      <c r="BV114" s="198" t="str">
        <f ca="1">BV108</f>
        <v>OK</v>
      </c>
      <c r="BW114" s="401">
        <f t="shared" ca="1" si="7"/>
        <v>-8566.149308567557</v>
      </c>
      <c r="BX114" s="403">
        <f ca="1">-(CC114/(Geometria!$L$48/100^2))+(CD114/(Geometria!$L$52/100^3))-((Geometria!$P$419)/(Geometria!$L$52/100^3))-((Geometria!$P$430)/(Geometria!$M$52))-((Geometria!$L$76*Geometria!$P$441)/(Geometria!$M$52))</f>
        <v>-8506.883847410545</v>
      </c>
      <c r="BY114" s="400">
        <f ca="1">BY108</f>
        <v>289.7125565751869</v>
      </c>
      <c r="BZ114" s="751">
        <f ca="1">-((Geometria!$L$373-(Geometria!$L$373-ER114)*(1-(MIN(MIN(1,MAX(0,(BS114-Geometria!$L$1409/100)/(Geometria!$N$1307/100))),MIN(1,MAX(0,((Geometria!$L$29/100-BS114)-Geometria!$R$1409/100)/(Geometria!$N$1307/100))))))*(IF(OR(Geometria!$K$1409&gt;0,Geometria!$K$1407&gt;0,Geometria!$Q$1409&gt;0,Geometria!$Q$1407&gt;0),1,0))-(Geometria!$L$373-ET114)*(1-(MIN(MIN(1,MAX(0,(BS114-Geometria!$L$1405/100)/(Geometria!$N$1307/100))),MIN(1,MAX(0,((Geometria!$L$29/100-BS114)-Geometria!$R$1405/100)/(Geometria!$N$1307/100))))))*(IF(OR(Geometria!$K$1405&gt;0,Geometria!$K$1403&gt;0,Geometria!$Q$1405&gt;0,Geometria!$Q$1403&gt;0),1,0))))/(Geometria!$L$48/100^2)+((Geometria!$L$374-(Geometria!$L$374-ES114)*(1-(MIN(MIN(1,MAX(0,(BS114-Geometria!$L$1409/100)/(Geometria!$N$1307/100))),MIN(1,MAX(0,((Geometria!$L$29/100-BS114)-Geometria!$R$1409/100)/(Geometria!$N$1307/100))))))*(IF(OR(Geometria!$K$1409&gt;0,Geometria!$K$1407&gt;0,Geometria!$Q$1409&gt;0,Geometria!$Q$1407&gt;0),1,0))-(Geometria!$L$374-EU114)*(1-(MIN(MIN(1,MAX(0,(BS114-Geometria!$L$1405/100)/(Geometria!$N$1307/100))),MIN(1,MAX(0,((Geometria!$L$29/100-BS114)-Geometria!$R$1405/100)/(Geometria!$N$1307/100))))))*(IF(OR(Geometria!$K$1405&gt;0,Geometria!$K$1403&gt;0,Geometria!$Q$1405&gt;0,Geometria!$Q$1403&gt;0),1,0))))/(Geometria!$L$52/100^3)-((Geometria!$P$676)/(Geometria!$L$52/100^3))-((Geometria!$P$687)/(Geometria!$M$52))-((Geometria!$L$77*Geometria!$P$698)/(Geometria!$M$52))</f>
        <v>-8566.149308567557</v>
      </c>
      <c r="CA114" s="751"/>
      <c r="CC114" s="373">
        <f ca="1">(Geometria!$L$298-(Geometria!$L$298-IF(BS114&lt;Geometria!$L$1409/100,Geometria!$L$1442,Geometria!$L$1460))*(1-(MIN(MIN(1,MAX(0,(BS114-Geometria!$L$1409/100)/(Geometria!$N$1307/100))),MIN(1,MAX(0,((Geometria!$L$29/100-BS114)-Geometria!$R$1409/100)/(Geometria!$N$1307/100))))))*(IF(OR(Geometria!$K$1409&gt;0,Geometria!$K$1407&gt;0,Geometria!$Q$1409&gt;0,Geometria!$Q$1407&gt;0),1,0))-(Geometria!$L$298-IF(BS114&lt;Geometria!$L$1405/100,Geometria!$L$1444,Geometria!$L$1462))*(1-(MIN(MIN(1,MAX(0,(BS114-Geometria!$L$1405/100)/(Geometria!$N$1307/100))),MIN(1,MAX(0,((Geometria!$L$29/100-BS114)-Geometria!$R$1405/100)/(Geometria!$N$1307/100))))))*(IF(OR(Geometria!$K$1405&gt;0,Geometria!$K$1403&gt;0,Geometria!$Q$1405&gt;0,Geometria!$Q$1403&gt;0),1,0)))*BY137+Geometria!$P$1429*BY114</f>
        <v>1232.4181031689466</v>
      </c>
      <c r="CD114" s="373">
        <f ca="1">(Geometria!$L$298-(Geometria!$L$298-IF(BS114&lt;Geometria!$L$1409/100,Geometria!$L$1442,Geometria!$L$1460))*(1-(MIN(MIN(1,MAX(0,(BS114-Geometria!$L$1409/100)/(Geometria!$N$1307/100))),MIN(1,MAX(0,((Geometria!$L$29/100-BS114)-Geometria!$R$1409/100)/(Geometria!$N$1307/100))))))*(IF(OR(Geometria!$K$1409&gt;0,Geometria!$K$1407&gt;0,Geometria!$Q$1409&gt;0,Geometria!$Q$1407&gt;0),1,0))-(Geometria!$L$298-IF(BS114&lt;Geometria!$L$1405/100,Geometria!$L$1444,Geometria!$L$1462))*(1-(MIN(MIN(1,MAX(0,(BS114-Geometria!$L$1405/100)/(Geometria!$N$1307/100))),MIN(1,MAX(0,((Geometria!$L$29/100-BS114)-Geometria!$R$1405/100)/(Geometria!$N$1307/100))))))*(IF(OR(Geometria!$K$1405&gt;0,Geometria!$K$1403&gt;0,Geometria!$Q$1405&gt;0,Geometria!$Q$1403&gt;0),1,0)))*BY137*(Geometria!$L$299-(Geometria!$L$299-IF(BS114&lt;Geometria!$L$1409/100,Geometria!$L$1443,Geometria!$L$1461))*(1-(MIN(MIN(1,MAX(0,(BS114-Geometria!$L$1409/100)/(Geometria!$N$1307/100))),MIN(1,MAX(0,((Geometria!$L$29/100-BS114)-Geometria!$R$1409/100)/(Geometria!$N$1307/100))))))*(IF(OR(Geometria!$K$1409&gt;0,Geometria!$K$1407&gt;0,Geometria!$Q$1409&gt;0,Geometria!$Q$1407&gt;0),1,0))-(Geometria!$L$299-IF(BS114&lt;Geometria!$L$1405/100,Geometria!$L$1445,Geometria!$L$1463))*(1-(MIN(MIN(1,MAX(0,(BS114-Geometria!$L$1405/100)/(Geometria!$N$1307/100))),MIN(1,MAX(0,((Geometria!$L$29/100-BS114)-Geometria!$R$1405/100)/(Geometria!$N$1307/100))))))*(IF(OR(Geometria!$K$1405&gt;0,Geometria!$K$1403&gt;0,Geometria!$Q$1405&gt;0,Geometria!$Q$1403&gt;0),1,0)))/100-Geometria!$P$1429*BY114*Geometria!$L$1438/100</f>
        <v>233.2315255682624</v>
      </c>
      <c r="CE114" s="365"/>
      <c r="CF114" s="371">
        <f ca="1">(IF(BT114="Sim",IF(BR114="Sim",$AB$93,ER114),IF(BR114="Sim",ET114,Geometria!$L$373)))</f>
        <v>1243.5596228306003</v>
      </c>
      <c r="CG114" s="371">
        <f ca="1">(IF(BT114="Sim",IF(BR114="Sim",$AB$94,ES114),IF(BR114="Sim",EU114,Geometria!$L$374)))</f>
        <v>233.16742928073757</v>
      </c>
      <c r="CI114" s="4" t="s">
        <v>442</v>
      </c>
      <c r="CJ114" s="202">
        <f t="shared" ca="1" si="17"/>
        <v>-8566.149308567557</v>
      </c>
      <c r="CK114" s="38" t="s">
        <v>234</v>
      </c>
      <c r="CL114" s="203">
        <f t="shared" ca="1" si="8"/>
        <v>-8.566149308567557</v>
      </c>
      <c r="CM114" s="38" t="s">
        <v>160</v>
      </c>
      <c r="CN114" s="399">
        <f t="shared" si="18"/>
        <v>0.0</v>
      </c>
      <c r="CO114" s="376" t="str">
        <f>IF(OR(AND(CP114&lt;Geometria!$L$1405/100,Geometria!$K$1405&gt;0),AND((Geometria!$L$29/100-CP114)&lt;Geometria!$R$1405/100,Geometria!$Q$1405&gt;0)),"Sim","Não")</f>
        <v>Não</v>
      </c>
      <c r="CP114" s="395">
        <f>Geometria!$P$418</f>
        <v>5.1025</v>
      </c>
      <c r="CQ114" s="376" t="str">
        <f>IF(OR(AND(CP114&lt;Geometria!$L$1409/100,OR(Geometria!$K$1409&gt;0,Geometria!$K$1407&gt;0)),AND((Geometria!$L$29/100-CP114)&lt;Geometria!$R$1409/100,OR(Geometria!$Q$1409&gt;0,Geometria!$Q$1407&gt;0))),"Sim","Não")</f>
        <v>Não</v>
      </c>
      <c r="CR114" s="122" t="s">
        <v>442</v>
      </c>
      <c r="CS114" s="198" t="str">
        <f ca="1">CS108</f>
        <v>OK</v>
      </c>
      <c r="CT114" s="401">
        <f t="shared" ca="1" si="9"/>
        <v>-8566.14322454006</v>
      </c>
      <c r="CU114" s="403">
        <f ca="1">-(CZ114/(Geometria!$L$48/100^2))+(DA114/(Geometria!$L$52/100^3))-((Geometria!$P$419)/(Geometria!$L$52/100^3))-((Geometria!$P$430)/(Geometria!$M$52))-((Geometria!$L$76*Geometria!$P$441)/(Geometria!$M$52))</f>
        <v>-8572.34208372667</v>
      </c>
      <c r="CV114" s="400">
        <f ca="1">CV108</f>
        <v>289.7125565751869</v>
      </c>
      <c r="CW114" s="751">
        <f ca="1">-((Geometria!$L$373-(Geometria!$L$373-ER114)*(1-(MIN(MIN(1,MAX(0,(CP114-Geometria!$L$1409/100)/(Geometria!$N$1307/100))),MIN(1,MAX(0,((Geometria!$L$29/100-CP114)-Geometria!$R$1409/100)/(Geometria!$N$1307/100))))))*(IF(OR(Geometria!$K$1409&gt;0,Geometria!$K$1407&gt;0,Geometria!$Q$1409&gt;0,Geometria!$Q$1407&gt;0),1,0))-(Geometria!$L$373-ET114)*(1-(MIN(MIN(1,MAX(0,(CP114-Geometria!$L$1405/100)/(Geometria!$N$1307/100))),MIN(1,MAX(0,((Geometria!$L$29/100-CP114)-Geometria!$R$1405/100)/(Geometria!$N$1307/100))))))*(IF(OR(Geometria!$K$1405&gt;0,Geometria!$K$1403&gt;0,Geometria!$Q$1405&gt;0,Geometria!$Q$1403&gt;0),1,0))))/(Geometria!$L$48/100^2)+((Geometria!$L$374-(Geometria!$L$374-ES114)*(1-(MIN(MIN(1,MAX(0,(CP114-Geometria!$L$1409/100)/(Geometria!$N$1307/100))),MIN(1,MAX(0,((Geometria!$L$29/100-CP114)-Geometria!$R$1409/100)/(Geometria!$N$1307/100))))))*(IF(OR(Geometria!$K$1409&gt;0,Geometria!$K$1407&gt;0,Geometria!$Q$1409&gt;0,Geometria!$Q$1407&gt;0),1,0))-(Geometria!$L$374-EU114)*(1-(MIN(MIN(1,MAX(0,(CP114-Geometria!$L$1405/100)/(Geometria!$N$1307/100))),MIN(1,MAX(0,((Geometria!$L$29/100-CP114)-Geometria!$R$1405/100)/(Geometria!$N$1307/100))))))*(IF(OR(Geometria!$K$1405&gt;0,Geometria!$K$1403&gt;0,Geometria!$Q$1405&gt;0,Geometria!$Q$1403&gt;0),1,0))))/(Geometria!$L$52/100^3)-((Geometria!$P$676)/(Geometria!$L$52/100^3))-((Geometria!$P$687)/(Geometria!$M$52))</f>
        <v>-8566.14322454006</v>
      </c>
      <c r="CX114" s="751"/>
      <c r="CZ114" s="373">
        <f ca="1">(IF(CQ114="Sim",IF(CO114="Sim",IF(CP114&lt;Geometria!$L$1405/100,Geometria!$L$1435,Geometria!$L$1476),IF(CP114&lt;Geometria!$L$1409/100,Geometria!$L$1442,Geometria!$L$1460)),IF(CO114="Sim",IF(CP114&lt;Geometria!$L$1405/100,Geometria!$L$1444,Geometria!$L$1462),Geometria!$L$298)))*CV137+Geometria!$P$1429*CV114</f>
        <v>1243.5596228306003</v>
      </c>
      <c r="DA114" s="373">
        <f ca="1">(IF(CQ114="Sim",IF(CO114="Sim",IF(CP114&lt;Geometria!$L$1405/100,Geometria!$L$1435,Geometria!$L$1476),IF(CP114&lt;Geometria!$L$1409/100,Geometria!$L$1442,Geometria!$L$1460)),IF(CO114="Sim",IF(CP114&lt;Geometria!$L$1405/100,Geometria!$L$1444,Geometria!$L$1462),Geometria!$L$298)))*CV137*(IF(CQ114="Sim",IF(CO114="Sim",IF(CP114&lt;Geometria!$L$1405/100,Geometria!$L$1436,Geometria!$L$1484),IF(CP114&lt;Geometria!$L$1409/100,Geometria!$L$1443,Geometria!$L$1461)),IF(CO114="Sim",IF(CP114&lt;Geometria!$L$1405/100,Geometria!$L$1445,Geometria!$L$1463),Geometria!$L$299)))/100-Geometria!$P$1429*CV114*Geometria!$L$1438/100</f>
        <v>233.16742928073757</v>
      </c>
      <c r="DB114" s="365"/>
      <c r="DC114" s="371">
        <f ca="1">(IF(CQ114="Sim",IF(CO114="Sim",$AB$93,ER114),IF(CO114="Sim",ET114,Geometria!$L$373)))</f>
        <v>1243.5596228306003</v>
      </c>
      <c r="DD114" s="371">
        <f ca="1">(IF(CQ114="Sim",IF(CO114="Sim",$AB$94,ES114),IF(CO114="Sim",EU114,Geometria!$L$374)))</f>
        <v>233.16742928073757</v>
      </c>
      <c r="DF114" s="4" t="s">
        <v>442</v>
      </c>
      <c r="DG114" s="202">
        <f t="shared" ca="1" si="19"/>
        <v>-8566.14322454006</v>
      </c>
      <c r="DH114" s="38" t="s">
        <v>234</v>
      </c>
      <c r="DI114" s="203">
        <f t="shared" ca="1" si="10"/>
        <v>-8.56614322454006</v>
      </c>
      <c r="DJ114" s="38" t="s">
        <v>160</v>
      </c>
      <c r="DK114" s="399">
        <f t="shared" si="20"/>
        <v>0.0</v>
      </c>
      <c r="EA114">
        <f ca="1">-L114/('Aberturas na Alma'!$M$112/100^2)+M114/('Aberturas na Alma'!$M$119/100^3)-Geometria!$L$898/('Aberturas na Alma'!$M$119/100^3)</f>
        <v>10868.122383094304</v>
      </c>
      <c r="EB114">
        <f ca="1">-(IF(C114="Sim",IF(A114="Sim",$E$93,EX114),IF(A114="Sim",EZ114,Geometria!$L$906)))/('Aberturas na Alma'!$M$112/100^2)+(IF(C114="Sim",IF(A114="Sim",$E$94,EY114),IF(A114="Sim",FA114,Geometria!$L$907)))/('Aberturas na Alma'!$M$119/100^3)-Geometria!$P$901/('Aberturas na Alma'!$M$119/100^3)</f>
        <v>2940.0327846037817</v>
      </c>
      <c r="EC114">
        <f ca="1">IF(AND('Aberturas na Alma'!$M$18="NÃO DISPENSADO — furo deve ser verificado (cálculo abaixo)",OR(AND(B114&gt;=('Aberturas na Alma'!$M$4-'Aberturas na Alma'!$M$7/2)/100,B114&lt;=('Aberturas na Alma'!$M$4+'Aberturas na Alma'!$M$7/2)/100),ABS(B114-'Aberturas na Alma'!$M$4/100)&lt;=Geometria!$L$29/4000)),IF(E114="Reduzir",EA114,EB114),F114)</f>
        <v>5108.076460992135</v>
      </c>
      <c r="ED114">
        <f ca="1">-(AI114/('Aberturas na Alma'!$M$112/100^2))+(AJ114/('Aberturas na Alma'!$M$119/100^3))-((Geometria!$P$419)/('Aberturas na Alma'!$M$119/100^3))-((Geometria!$P$430)/('Aberturas na Alma'!$M$119/100^3))-((Geometria!$L$76*Geometria!$P$441)/('Aberturas na Alma'!$M$119/100^3))</f>
        <v>-48888.57424242572</v>
      </c>
      <c r="EE114">
        <f ca="1">-((IF(Z114="Sim",IF(X114="Sim",$AB$93,ER114),IF(X114="Sim",ET114,Geometria!$L$373)))/('Aberturas na Alma'!$M$112/100^2))+((IF(Z114="Sim",IF(X114="Sim",$AB$94,ES114),IF(X114="Sim",EU114,Geometria!$L$374)))/('Aberturas na Alma'!$M$119/100^3))-((Geometria!$P$419)/('Aberturas na Alma'!$M$119/100^3))-((Geometria!$P$430)/('Aberturas na Alma'!$M$119/100^3))-((Geometria!$L$76*Geometria!$P$441)/('Aberturas na Alma'!$M$119/100^3))</f>
        <v>-48888.57424242572</v>
      </c>
      <c r="EF114" s="371">
        <f ca="1">IF(AND('Aberturas na Alma'!$M$18="NÃO DISPENSADO — furo deve ser verificado (cálculo abaixo)",OR(AND(B114&gt;=('Aberturas na Alma'!$M$4-'Aberturas na Alma'!$M$7/2)/100,B114&lt;=('Aberturas na Alma'!$M$4+'Aberturas na Alma'!$M$7/2)/100),ABS(B114-'Aberturas na Alma'!$M$4/100)&lt;=Geometria!$L$29/4000)),IF(AB114="Reduzir",ED114,EE114),AC114)</f>
        <v>-8566.152350581306</v>
      </c>
      <c r="EG114">
        <f ca="1">-(BF114/('Aberturas na Alma'!$M$112/100^2))+(BG114/('Aberturas na Alma'!$M$119/100^3))-((Geometria!$P$419)/('Aberturas na Alma'!$M$119/100^3))-((Geometria!$P$430)/('Aberturas na Alma'!$M$119/100^3))-((Geometria!$L$76*Geometria!$P$441)/('Aberturas na Alma'!$M$119/100^3))</f>
        <v>-48802.32988140013</v>
      </c>
      <c r="EH114">
        <f ca="1">-((IF(AW114="Sim",IF(AU114="Sim",$AB$93,ER114),IF(AU114="Sim",ET114,Geometria!$L$373)))/('Aberturas na Alma'!$M$112/100^2))+((IF(AW114="Sim",IF(AU114="Sim",$AB$94,ES114),IF(AU114="Sim",EU114,Geometria!$L$374)))/('Aberturas na Alma'!$M$119/100^3))-((Geometria!$P$419)/('Aberturas na Alma'!$M$119/100^3))-((Geometria!$P$430)/('Aberturas na Alma'!$M$119/100^3))</f>
        <v>-13318.367903694674</v>
      </c>
      <c r="EI114" s="371">
        <f ca="1">IF(AND('Aberturas na Alma'!$M$18="NÃO DISPENSADO — furo deve ser verificado (cálculo abaixo)",OR(AND(B114&gt;=('Aberturas na Alma'!$M$4-'Aberturas na Alma'!$M$7/2)/100,B114&lt;=('Aberturas na Alma'!$M$4+'Aberturas na Alma'!$M$7/2)/100),ABS(B114-'Aberturas na Alma'!$M$4/100)&lt;=Geometria!$L$29/4000)),IF(AY114="Reduzir",EG114,EH114),AZ114)</f>
        <v>-8566.14322454006</v>
      </c>
      <c r="EJ114">
        <f ca="1">-(CC114/('Aberturas na Alma'!$M$112/100^2))+(CD114/('Aberturas na Alma'!$M$119/100^3))-((Geometria!$P$419)/('Aberturas na Alma'!$M$119/100^3))-((Geometria!$P$430)/('Aberturas na Alma'!$M$119/100^3))-((Geometria!$L$76*Geometria!$P$441)/('Aberturas na Alma'!$M$119/100^3))</f>
        <v>-48802.32988140013</v>
      </c>
      <c r="EK114">
        <f ca="1">-((IF(BT114="Sim",IF(BR114="Sim",$AB$93,ER114),IF(BR114="Sim",ET114,Geometria!$L$373)))/('Aberturas na Alma'!$M$112/100^2))+((IF(BT114="Sim",IF(BR114="Sim",$AB$94,ES114),IF(BR114="Sim",EU114,Geometria!$L$374)))/('Aberturas na Alma'!$M$119/100^3))-((Geometria!$P$676)/('Aberturas na Alma'!$M$119/100^3))-((Geometria!$P$687)/('Aberturas na Alma'!$M$119/100^3))-((Geometria!$L$77*Geometria!$P$698)/('Aberturas na Alma'!$M$119/100^3))</f>
        <v>-37031.83879618204</v>
      </c>
      <c r="EL114" s="371">
        <f ca="1">IF(AND('Aberturas na Alma'!$M$18="NÃO DISPENSADO — furo deve ser verificado (cálculo abaixo)",OR(AND(B114&gt;=('Aberturas na Alma'!$M$4-'Aberturas na Alma'!$M$7/2)/100,B114&lt;=('Aberturas na Alma'!$M$4+'Aberturas na Alma'!$M$7/2)/100),ABS(B114-'Aberturas na Alma'!$M$4/100)&lt;=Geometria!$L$29/4000)),IF(BV114="Reduzir",EJ114,EK114),BW114)</f>
        <v>-8566.149308567557</v>
      </c>
      <c r="EM114">
        <f ca="1">-(CZ114/('Aberturas na Alma'!$M$112/100^2))+(DA114/('Aberturas na Alma'!$M$119/100^3))-((Geometria!$P$419)/('Aberturas na Alma'!$M$119/100^3))-((Geometria!$P$430)/('Aberturas na Alma'!$M$119/100^3))-((Geometria!$L$76*Geometria!$P$441)/('Aberturas na Alma'!$M$119/100^3))</f>
        <v>-48888.57424242572</v>
      </c>
      <c r="EN114">
        <f ca="1">-((IF(CQ114="Sim",IF(CO114="Sim",$AB$93,ER114),IF(CO114="Sim",ET114,Geometria!$L$373)))/('Aberturas na Alma'!$M$112/100^2))+((IF(CQ114="Sim",IF(CO114="Sim",$AB$94,ES114),IF(CO114="Sim",EU114,Geometria!$L$374)))/('Aberturas na Alma'!$M$119/100^3))-((Geometria!$P$676)/('Aberturas na Alma'!$M$119/100^3))-((Geometria!$P$687)/('Aberturas na Alma'!$M$119/100^3))</f>
        <v>-13318.367903694674</v>
      </c>
      <c r="EO114" s="371">
        <f ca="1">IF(AND('Aberturas na Alma'!$M$18="NÃO DISPENSADO — furo deve ser verificado (cálculo abaixo)",OR(AND(B114&gt;=('Aberturas na Alma'!$M$4-'Aberturas na Alma'!$M$7/2)/100,B114&lt;=('Aberturas na Alma'!$M$4+'Aberturas na Alma'!$M$7/2)/100),ABS(B114-'Aberturas na Alma'!$M$4/100)&lt;=Geometria!$L$29/4000)),IF(CS114="Reduzir",EM114,EN114),CT114)</f>
        <v>-8566.14322454006</v>
      </c>
      <c r="EP114" t="str">
        <f>IF(AND(Y114&lt;Geometria!$L$1409/100,OR(Geometria!$K$1409&gt;0,Geometria!$K$1407&gt;0)),"ESQ",IF(AND((Geometria!$L$29/100-Y114)&lt;Geometria!$R$1409/100,OR(Geometria!$Q$1409&gt;0,Geometria!$Q$1407&gt;0)),"DIR","N/A"))</f>
        <v>N/A</v>
      </c>
      <c r="EQ114" t="str">
        <f>IF(AND(Y114&lt;Geometria!$L$1405/100,Geometria!$K$1405&gt;0),"ESQ",IF(AND((Geometria!$L$29/100-Y114)&lt;Geometria!$R$1405/100,Geometria!$Q$1405&gt;0),"DIR","N/A"))</f>
        <v>N/A</v>
      </c>
      <c r="ER114">
        <f ca="1">IF(EP114="DIR",Geometria!$L$1470,Geometria!$L$1452)</f>
        <v>1243.5596228306003</v>
      </c>
      <c r="ES114">
        <f ca="1">IF(EP114="DIR",Geometria!$L$1471,Geometria!$L$1453)</f>
        <v>233.16742928073757</v>
      </c>
      <c r="ET114">
        <f ca="1">IF(EQ114="DIR",Geometria!$L$1472,Geometria!$L$1454)</f>
        <v>621.7798114153002</v>
      </c>
      <c r="EU114">
        <f ca="1">IF(EQ114="DIR",Geometria!$L$1473,Geometria!$L$1455)</f>
        <v>177.20724625336052</v>
      </c>
      <c r="EV114" t="str">
        <f>IF(AND(B114&lt;Geometria!$L$1409/100,OR(Geometria!$K$1409&gt;0,Geometria!$K$1407&gt;0)),"ESQ",IF(AND((Geometria!$L$29/100-B114)&lt;Geometria!$R$1409/100,OR(Geometria!$Q$1409&gt;0,Geometria!$Q$1407&gt;0)),"DIR","N/A"))</f>
        <v>N/A</v>
      </c>
      <c r="EW114" t="str">
        <f>IF(AND(B114&lt;Geometria!$L$1405/100,Geometria!$K$1405&gt;0),"ESQ",IF(AND((Geometria!$L$29/100-B114)&lt;Geometria!$R$1405/100,Geometria!$Q$1405&gt;0),"DIR","N/A"))</f>
        <v>N/A</v>
      </c>
      <c r="EX114">
        <f ca="1">IF(EV114="DIR",Geometria!$L$1465,Geometria!$L$1447)</f>
        <v>1499.8056003831216</v>
      </c>
      <c r="EY114">
        <f ca="1">IF(EV114="DIR",Geometria!$L$1466,Geometria!$L$1448)</f>
        <v>281.2135500718353</v>
      </c>
      <c r="EZ114">
        <f ca="1">IF(EW114="DIR",Geometria!$L$1467,Geometria!$L$1449)</f>
        <v>749.9028001915608</v>
      </c>
      <c r="FA114">
        <f ca="1">IF(EW114="DIR",Geometria!$L$1468,Geometria!$L$1450)</f>
        <v>213.72229805459483</v>
      </c>
    </row>
    <row r="115" spans="1:157" x14ac:dyDescent="0.25">
      <c r="A115" s="376" t="str">
        <f>IF(OR(AND(B115&lt;Geometria!$L$1405/100,Geometria!$K$1405&gt;0),AND((Geometria!$L$29/100-B115)&lt;Geometria!$R$1405/100,Geometria!$Q$1405&gt;0)),"Sim","Não")</f>
        <v>Não</v>
      </c>
      <c r="B115" s="395">
        <f>Tensões!$H$66</f>
        <v>5.495</v>
      </c>
      <c r="C115" s="376" t="str">
        <f>IF(OR(AND(B115&lt;Geometria!$L$1409/100,OR(Geometria!$K$1409&gt;0,Geometria!$K$1407&gt;0)),AND((Geometria!$L$29/100-B115)&lt;Geometria!$R$1409/100,OR(Geometria!$Q$1409&gt;0,Geometria!$Q$1407&gt;0))),"Sim","Não")</f>
        <v>Não</v>
      </c>
      <c r="D115" s="122" t="s">
        <v>443</v>
      </c>
      <c r="E115" s="198" t="str">
        <f ca="1">E107</f>
        <v>OK</v>
      </c>
      <c r="F115" s="396">
        <f t="shared" ca="1" si="1"/>
        <v>5447.36808508665</v>
      </c>
      <c r="G115" s="397">
        <f ca="1">-L115/(Geometria!$L$48/100^2)+M115/(Geometria!$L$52/100^3)-Geometria!$L$898/(Geometria!$L$52/100^3)</f>
        <v>14908.545034543537</v>
      </c>
      <c r="H115" s="400">
        <f ca="1">H107</f>
        <v>293.87513068014107</v>
      </c>
      <c r="I115" s="743">
        <f ca="1">-(Geometria!$L$906-(Geometria!$L$906-EX115)*(1-(MIN(MIN(1,MAX(0,(B115-Geometria!$L$1409/100)/(Geometria!$N$1307/100))),MIN(1,MAX(0,((Geometria!$L$29/100-B115)-Geometria!$R$1409/100)/(Geometria!$N$1307/100))))))*(IF(OR(Geometria!$K$1409&gt;0,Geometria!$K$1407&gt;0,Geometria!$Q$1409&gt;0,Geometria!$Q$1407&gt;0),1,0))-(Geometria!$L$906-EZ115)*(1-(MIN(MIN(1,MAX(0,(B115-Geometria!$L$1405/100)/(Geometria!$N$1307/100))),MIN(1,MAX(0,((Geometria!$L$29/100-B115)-Geometria!$R$1405/100)/(Geometria!$N$1307/100))))))*(IF(OR(Geometria!$K$1405&gt;0,Geometria!$K$1403&gt;0,Geometria!$Q$1405&gt;0,Geometria!$Q$1403&gt;0),1,0)))/(Geometria!$L$48/100^2)+(Geometria!$L$907-(Geometria!$L$907-EY115)*(1-(MIN(MIN(1,MAX(0,(B115-Geometria!$L$1409/100)/(Geometria!$N$1307/100))),MIN(1,MAX(0,((Geometria!$L$29/100-B115)-Geometria!$R$1409/100)/(Geometria!$N$1307/100))))))*(IF(OR(Geometria!$K$1409&gt;0,Geometria!$K$1407&gt;0,Geometria!$Q$1409&gt;0,Geometria!$Q$1407&gt;0),1,0))-(Geometria!$L$907-FA115)*(1-(MIN(MIN(1,MAX(0,(B115-Geometria!$L$1405/100)/(Geometria!$N$1307/100))),MIN(1,MAX(0,((Geometria!$L$29/100-B115)-Geometria!$R$1405/100)/(Geometria!$N$1307/100))))))*(IF(OR(Geometria!$K$1405&gt;0,Geometria!$K$1403&gt;0,Geometria!$Q$1405&gt;0,Geometria!$Q$1403&gt;0),1,0)))/(Geometria!$L$52/100^3)-Geometria!$Q$901/(Geometria!$L$52/100^3)</f>
        <v>5447.36808508665</v>
      </c>
      <c r="J115" s="743"/>
      <c r="L115" s="373">
        <f ca="1">(Geometria!$L$298-(Geometria!$L$298-IF(B115&lt;Geometria!$L$1409/100,Geometria!$L$1442,Geometria!$L$1460))*(1-(MIN(MIN(1,MAX(0,(B115-Geometria!$L$1409/100)/(Geometria!$N$1307/100))),MIN(1,MAX(0,((Geometria!$L$29/100-B115)-Geometria!$R$1409/100)/(Geometria!$N$1307/100))))))*(IF(OR(Geometria!$K$1409&gt;0,Geometria!$K$1407&gt;0,Geometria!$Q$1409&gt;0,Geometria!$Q$1407&gt;0),1,0))-(Geometria!$L$298-IF(B115&lt;Geometria!$L$1405/100,Geometria!$L$1444,Geometria!$L$1462))*(1-(MIN(MIN(1,MAX(0,(B115-Geometria!$L$1405/100)/(Geometria!$N$1307/100))),MIN(1,MAX(0,((Geometria!$L$29/100-B115)-Geometria!$R$1405/100)/(Geometria!$N$1307/100))))))*(IF(OR(Geometria!$K$1405&gt;0,Geometria!$K$1403&gt;0,Geometria!$Q$1405&gt;0,Geometria!$Q$1403&gt;0),1,0)))*H138+Geometria!$P$1429*H115</f>
        <v>2263.516527438933</v>
      </c>
      <c r="M115" s="373">
        <f ca="1">(Geometria!$L$298-(Geometria!$L$298-IF(B115&lt;Geometria!$L$1409/100,Geometria!$L$1442,Geometria!$L$1460))*(1-(MIN(MIN(1,MAX(0,(B115-Geometria!$L$1409/100)/(Geometria!$N$1307/100))),MIN(1,MAX(0,((Geometria!$L$29/100-B115)-Geometria!$R$1409/100)/(Geometria!$N$1307/100))))))*(IF(OR(Geometria!$K$1409&gt;0,Geometria!$K$1407&gt;0,Geometria!$Q$1409&gt;0,Geometria!$Q$1407&gt;0),1,0))-(Geometria!$L$298-IF(B115&lt;Geometria!$L$1405/100,Geometria!$L$1444,Geometria!$L$1462))*(1-(MIN(MIN(1,MAX(0,(B115-Geometria!$L$1405/100)/(Geometria!$N$1307/100))),MIN(1,MAX(0,((Geometria!$L$29/100-B115)-Geometria!$R$1405/100)/(Geometria!$N$1307/100))))))*(IF(OR(Geometria!$K$1405&gt;0,Geometria!$K$1403&gt;0,Geometria!$Q$1405&gt;0,Geometria!$Q$1403&gt;0),1,0)))*H138*(Geometria!$L$299-(Geometria!$L$299-IF(B115&lt;Geometria!$L$1409/100,Geometria!$L$1443,Geometria!$L$1461))*(1-(MIN(MIN(1,MAX(0,(B115-Geometria!$L$1409/100)/(Geometria!$N$1307/100))),MIN(1,MAX(0,((Geometria!$L$29/100-B115)-Geometria!$R$1409/100)/(Geometria!$N$1307/100))))))*(IF(OR(Geometria!$K$1409&gt;0,Geometria!$K$1407&gt;0,Geometria!$Q$1409&gt;0,Geometria!$Q$1407&gt;0),1,0))-(Geometria!$L$299-IF(B115&lt;Geometria!$L$1405/100,Geometria!$L$1445,Geometria!$L$1463))*(1-(MIN(MIN(1,MAX(0,(B115-Geometria!$L$1405/100)/(Geometria!$N$1307/100))),MIN(1,MAX(0,((Geometria!$L$29/100-B115)-Geometria!$R$1405/100)/(Geometria!$N$1307/100))))))*(IF(OR(Geometria!$K$1405&gt;0,Geometria!$K$1403&gt;0,Geometria!$Q$1405&gt;0,Geometria!$Q$1403&gt;0),1,0)))/100-Geometria!$P$1429*H115*Geometria!$L$1438/100</f>
        <v>502.49878391255186</v>
      </c>
      <c r="N115" s="365"/>
      <c r="O115" s="371">
        <f ca="1">(IF(C115="Sim",IF(A115="Sim",$E$93,EX115),IF(A115="Sim",EZ115,Geometria!$L$906)))</f>
        <v>1475.413282676191</v>
      </c>
      <c r="P115" s="371">
        <f ca="1">(IF(C115="Sim",IF(A115="Sim",$E$94,EY115),IF(A115="Sim",FA115,Geometria!$L$907)))</f>
        <v>276.63999050178586</v>
      </c>
      <c r="R115" s="4" t="s">
        <v>443</v>
      </c>
      <c r="S115" s="202">
        <f t="shared" ca="1" si="11"/>
        <v>5447.36808508665</v>
      </c>
      <c r="T115" s="38" t="s">
        <v>234</v>
      </c>
      <c r="U115" s="203">
        <f t="shared" ca="1" si="2"/>
        <v>5.447368085086651</v>
      </c>
      <c r="V115" s="38" t="s">
        <v>160</v>
      </c>
      <c r="W115" s="399">
        <f t="shared" si="12"/>
        <v>0.0</v>
      </c>
      <c r="X115" s="376" t="str">
        <f>IF(OR(AND(Y115&lt;Geometria!$L$1405/100,Geometria!$K$1405&gt;0),AND((Geometria!$L$29/100-Y115)&lt;Geometria!$R$1405/100,Geometria!$Q$1405&gt;0)),"Sim","Não")</f>
        <v>Não</v>
      </c>
      <c r="Y115" s="395">
        <f>Geometria!$Q$418</f>
        <v>5.495</v>
      </c>
      <c r="Z115" s="376" t="str">
        <f>IF(OR(AND(Y115&lt;Geometria!$L$1409/100,OR(Geometria!$K$1409&gt;0,Geometria!$K$1407&gt;0)),AND((Geometria!$L$29/100-Y115)&lt;Geometria!$R$1409/100,OR(Geometria!$Q$1409&gt;0,Geometria!$Q$1407&gt;0))),"Sim","Não")</f>
        <v>Não</v>
      </c>
      <c r="AA115" s="122" t="s">
        <v>443</v>
      </c>
      <c r="AB115" s="198" t="str">
        <f ca="1">AB107</f>
        <v>OK</v>
      </c>
      <c r="AC115" s="401">
        <f t="shared" ca="1" si="3"/>
        <v>-7325.697616373015</v>
      </c>
      <c r="AD115" s="403">
        <f ca="1">-(AI115/(Geometria!$L$48/100^2))+(AJ115/(Geometria!$L$52/100^3))-((Geometria!$Q$419)/(Geometria!$L$52/100^3))-((Geometria!$Q$430)/(Geometria!$M$52))-((Geometria!$L$76*Geometria!$Q$441)/(Geometria!$M$52))</f>
        <v>-7447.924884988389</v>
      </c>
      <c r="AE115" s="400">
        <f ca="1">AE107</f>
        <v>248.32504849301736</v>
      </c>
      <c r="AF115" s="751">
        <f ca="1">-((Geometria!$L$373-(Geometria!$L$373-ER115)*(1-(MIN(MIN(1,MAX(0,(Y115-Geometria!$L$1409/100)/(Geometria!$N$1307/100))),MIN(1,MAX(0,((Geometria!$L$29/100-Y115)-Geometria!$R$1409/100)/(Geometria!$N$1307/100))))))*(IF(OR(Geometria!$K$1409&gt;0,Geometria!$K$1407&gt;0,Geometria!$Q$1409&gt;0,Geometria!$Q$1407&gt;0),1,0))-(Geometria!$L$373-ET115)*(1-(MIN(MIN(1,MAX(0,(Y115-Geometria!$L$1405/100)/(Geometria!$N$1307/100))),MIN(1,MAX(0,((Geometria!$L$29/100-Y115)-Geometria!$R$1405/100)/(Geometria!$N$1307/100))))))*(IF(OR(Geometria!$K$1405&gt;0,Geometria!$K$1403&gt;0,Geometria!$Q$1405&gt;0,Geometria!$Q$1403&gt;0),1,0))))/(Geometria!$L$48/100^2)+((Geometria!$L$374-(Geometria!$L$374-ES115)*(1-(MIN(MIN(1,MAX(0,(Y115-Geometria!$L$1409/100)/(Geometria!$N$1307/100))),MIN(1,MAX(0,((Geometria!$L$29/100-Y115)-Geometria!$R$1409/100)/(Geometria!$N$1307/100))))))*(IF(OR(Geometria!$K$1409&gt;0,Geometria!$K$1407&gt;0,Geometria!$Q$1409&gt;0,Geometria!$Q$1407&gt;0),1,0))-(Geometria!$L$374-EU115)*(1-(MIN(MIN(1,MAX(0,(Y115-Geometria!$L$1405/100)/(Geometria!$N$1307/100))),MIN(1,MAX(0,((Geometria!$L$29/100-Y115)-Geometria!$R$1405/100)/(Geometria!$N$1307/100))))))*(IF(OR(Geometria!$K$1405&gt;0,Geometria!$K$1403&gt;0,Geometria!$Q$1405&gt;0,Geometria!$Q$1403&gt;0),1,0))))/(Geometria!$L$52/100^3)-((Geometria!$Q$419)/(Geometria!$L$52/100^3))-((Geometria!$Q$430)/(Geometria!$M$52))-((Geometria!$L$76*Geometria!$Q$441)/(Geometria!$M$52))</f>
        <v>-7325.697616373015</v>
      </c>
      <c r="AG115" s="751"/>
      <c r="AI115" s="373">
        <f ca="1">(IF(Z115="Sim",IF(X115="Sim",IF(Y115&lt;Geometria!$L$1405/100,Geometria!$L$1435,Geometria!$L$1476),IF(Y115&lt;Geometria!$L$1409/100,Geometria!$L$1442,Geometria!$L$1460)),IF(X115="Sim",IF(Y115&lt;Geometria!$L$1405/100,Geometria!$L$1444,Geometria!$L$1462),Geometria!$L$298)))*AE138+Geometria!$P$1429*AE115</f>
        <v>1243.5596228306003</v>
      </c>
      <c r="AJ115" s="373">
        <f ca="1">(IF(Z115="Sim",IF(X115="Sim",IF(Y115&lt;Geometria!$L$1405/100,Geometria!$L$1435,Geometria!$L$1476),IF(Y115&lt;Geometria!$L$1409/100,Geometria!$L$1442,Geometria!$L$1460)),IF(X115="Sim",IF(Y115&lt;Geometria!$L$1405/100,Geometria!$L$1444,Geometria!$L$1462),Geometria!$L$298)))*AE138*(IF(Z115="Sim",IF(X115="Sim",IF(Y115&lt;Geometria!$L$1405/100,Geometria!$L$1436,Geometria!$L$1484),IF(Y115&lt;Geometria!$L$1409/100,Geometria!$L$1443,Geometria!$L$1461)),IF(X115="Sim",IF(Y115&lt;Geometria!$L$1405/100,Geometria!$L$1445,Geometria!$L$1463),Geometria!$L$299)))/100-Geometria!$P$1429*AE115*Geometria!$L$1438/100</f>
        <v>233.16742928073757</v>
      </c>
      <c r="AK115" s="365"/>
      <c r="AL115" s="371">
        <f ca="1">(IF(Z115="Sim",IF(X115="Sim",$AB$93,ER115),IF(X115="Sim",ET115,Geometria!$L$373)))</f>
        <v>1243.5596228306003</v>
      </c>
      <c r="AM115" s="371">
        <f ca="1">(IF(Z115="Sim",IF(X115="Sim",$AB$94,ES115),IF(X115="Sim",EU115,Geometria!$L$374)))</f>
        <v>233.16742928073757</v>
      </c>
      <c r="AO115" s="4" t="s">
        <v>443</v>
      </c>
      <c r="AP115" s="202">
        <f t="shared" ca="1" si="13"/>
        <v>-7325.697616373015</v>
      </c>
      <c r="AQ115" s="38" t="s">
        <v>234</v>
      </c>
      <c r="AR115" s="203">
        <f t="shared" ca="1" si="4"/>
        <v>-7.325697616373015</v>
      </c>
      <c r="AS115" s="38" t="s">
        <v>160</v>
      </c>
      <c r="AT115" s="399">
        <f t="shared" si="14"/>
        <v>0.0</v>
      </c>
      <c r="AU115" s="376" t="str">
        <f>IF(OR(AND(AV115&lt;Geometria!$L$1405/100,Geometria!$K$1405&gt;0),AND((Geometria!$L$29/100-AV115)&lt;Geometria!$R$1405/100,Geometria!$Q$1405&gt;0)),"Sim","Não")</f>
        <v>Não</v>
      </c>
      <c r="AV115" s="395">
        <f>Geometria!$Q$418</f>
        <v>5.495</v>
      </c>
      <c r="AW115" s="376" t="str">
        <f>IF(OR(AND(AV115&lt;Geometria!$L$1409/100,OR(Geometria!$K$1409&gt;0,Geometria!$K$1407&gt;0)),AND((Geometria!$L$29/100-AV115)&lt;Geometria!$R$1409/100,OR(Geometria!$Q$1409&gt;0,Geometria!$Q$1407&gt;0))),"Sim","Não")</f>
        <v>Não</v>
      </c>
      <c r="AX115" s="122" t="s">
        <v>443</v>
      </c>
      <c r="AY115" s="198" t="str">
        <f ca="1">AY107</f>
        <v>OK</v>
      </c>
      <c r="AZ115" s="401">
        <f t="shared" ca="1" si="5"/>
        <v>-7325.689192334942</v>
      </c>
      <c r="BA115" s="403">
        <f ca="1">-(BF115/(Geometria!$L$48/100^2))+(BG115/(Geometria!$L$52/100^3))-((Geometria!$Q$419)/(Geometria!$L$52/100^3))-((Geometria!$Q$430)/(Geometria!$M$52))-((Geometria!$L$76*Geometria!$Q$441)/(Geometria!$M$52))</f>
        <v>-6555.655644348678</v>
      </c>
      <c r="BB115" s="400">
        <f ca="1">BB107</f>
        <v>248.32504849301736</v>
      </c>
      <c r="BC115" s="751">
        <f ca="1">-((Geometria!$L$373-(Geometria!$L$373-ER115)*(1-(MIN(MIN(1,MAX(0,(AV115-Geometria!$L$1409/100)/(Geometria!$N$1307/100))),MIN(1,MAX(0,((Geometria!$L$29/100-AV115)-Geometria!$R$1409/100)/(Geometria!$N$1307/100))))))*(IF(OR(Geometria!$K$1409&gt;0,Geometria!$K$1407&gt;0,Geometria!$Q$1409&gt;0,Geometria!$Q$1407&gt;0),1,0))-(Geometria!$L$373-ET115)*(1-(MIN(MIN(1,MAX(0,(AV115-Geometria!$L$1405/100)/(Geometria!$N$1307/100))),MIN(1,MAX(0,((Geometria!$L$29/100-AV115)-Geometria!$R$1405/100)/(Geometria!$N$1307/100))))))*(IF(OR(Geometria!$K$1405&gt;0,Geometria!$K$1403&gt;0,Geometria!$Q$1405&gt;0,Geometria!$Q$1403&gt;0),1,0))))/(Geometria!$L$48/100^2)+((Geometria!$L$374-(Geometria!$L$374-ES115)*(1-(MIN(MIN(1,MAX(0,(AV115-Geometria!$L$1409/100)/(Geometria!$N$1307/100))),MIN(1,MAX(0,((Geometria!$L$29/100-AV115)-Geometria!$R$1409/100)/(Geometria!$N$1307/100))))))*(IF(OR(Geometria!$K$1409&gt;0,Geometria!$K$1407&gt;0,Geometria!$Q$1409&gt;0,Geometria!$Q$1407&gt;0),1,0))-(Geometria!$L$374-EU115)*(1-(MIN(MIN(1,MAX(0,(AV115-Geometria!$L$1405/100)/(Geometria!$N$1307/100))),MIN(1,MAX(0,((Geometria!$L$29/100-AV115)-Geometria!$R$1405/100)/(Geometria!$N$1307/100))))))*(IF(OR(Geometria!$K$1405&gt;0,Geometria!$K$1403&gt;0,Geometria!$Q$1405&gt;0,Geometria!$Q$1403&gt;0),1,0))))/(Geometria!$L$52/100^3)-((Geometria!$Q$419)/(Geometria!$L$52/100^3))-((Geometria!$Q$430)/(Geometria!$M$52))</f>
        <v>-7325.689192334942</v>
      </c>
      <c r="BD115" s="751"/>
      <c r="BF115" s="373">
        <f ca="1">(Geometria!$L$298-(Geometria!$L$298-IF(AV115&lt;Geometria!$L$1409/100,Geometria!$L$1442,Geometria!$L$1460))*(1-(MIN(MIN(1,MAX(0,(AV115-Geometria!$L$1409/100)/(Geometria!$N$1307/100))),MIN(1,MAX(0,((Geometria!$L$29/100-AV115)-Geometria!$R$1409/100)/(Geometria!$N$1307/100))))))*(IF(OR(Geometria!$K$1409&gt;0,Geometria!$K$1407&gt;0,Geometria!$Q$1409&gt;0,Geometria!$Q$1407&gt;0),1,0))-(Geometria!$L$298-IF(AV115&lt;Geometria!$L$1405/100,Geometria!$L$1444,Geometria!$L$1462))*(1-(MIN(MIN(1,MAX(0,(AV115-Geometria!$L$1405/100)/(Geometria!$N$1307/100))),MIN(1,MAX(0,((Geometria!$L$29/100-AV115)-Geometria!$R$1405/100)/(Geometria!$N$1307/100))))))*(IF(OR(Geometria!$K$1405&gt;0,Geometria!$K$1403&gt;0,Geometria!$Q$1405&gt;0,Geometria!$Q$1403&gt;0),1,0)))*BB138+Geometria!$P$1429*BB115</f>
        <v>1023.5505393229279</v>
      </c>
      <c r="BG115" s="373">
        <f ca="1">(Geometria!$L$298-(Geometria!$L$298-IF(AV115&lt;Geometria!$L$1409/100,Geometria!$L$1442,Geometria!$L$1460))*(1-(MIN(MIN(1,MAX(0,(AV115-Geometria!$L$1409/100)/(Geometria!$N$1307/100))),MIN(1,MAX(0,((Geometria!$L$29/100-AV115)-Geometria!$R$1409/100)/(Geometria!$N$1307/100))))))*(IF(OR(Geometria!$K$1409&gt;0,Geometria!$K$1407&gt;0,Geometria!$Q$1409&gt;0,Geometria!$Q$1407&gt;0),1,0))-(Geometria!$L$298-IF(AV115&lt;Geometria!$L$1405/100,Geometria!$L$1444,Geometria!$L$1462))*(1-(MIN(MIN(1,MAX(0,(AV115-Geometria!$L$1405/100)/(Geometria!$N$1307/100))),MIN(1,MAX(0,((Geometria!$L$29/100-AV115)-Geometria!$R$1405/100)/(Geometria!$N$1307/100))))))*(IF(OR(Geometria!$K$1405&gt;0,Geometria!$K$1403&gt;0,Geometria!$Q$1405&gt;0,Geometria!$Q$1403&gt;0),1,0)))*BB138*(Geometria!$L$299-(Geometria!$L$299-IF(AV115&lt;Geometria!$L$1409/100,Geometria!$L$1443,Geometria!$L$1461))*(1-(MIN(MIN(1,MAX(0,(AV115-Geometria!$L$1409/100)/(Geometria!$N$1307/100))),MIN(1,MAX(0,((Geometria!$L$29/100-AV115)-Geometria!$R$1409/100)/(Geometria!$N$1307/100))))))*(IF(OR(Geometria!$K$1409&gt;0,Geometria!$K$1407&gt;0,Geometria!$Q$1409&gt;0,Geometria!$Q$1407&gt;0),1,0))-(Geometria!$L$299-IF(AV115&lt;Geometria!$L$1405/100,Geometria!$L$1445,Geometria!$L$1463))*(1-(MIN(MIN(1,MAX(0,(AV115-Geometria!$L$1405/100)/(Geometria!$N$1307/100))),MIN(1,MAX(0,((Geometria!$L$29/100-AV115)-Geometria!$R$1405/100)/(Geometria!$N$1307/100))))))*(IF(OR(Geometria!$K$1405&gt;0,Geometria!$K$1403&gt;0,Geometria!$Q$1405&gt;0,Geometria!$Q$1403&gt;0),1,0)))/100-Geometria!$P$1429*BB115*Geometria!$L$1438/100</f>
        <v>227.2273672614851</v>
      </c>
      <c r="BH115" s="365"/>
      <c r="BI115" s="371">
        <f ca="1">(IF(AW115="Sim",IF(AU115="Sim",$AB$93,ER115),IF(AU115="Sim",ET115,Geometria!$L$373)))</f>
        <v>1243.5596228306003</v>
      </c>
      <c r="BJ115" s="371">
        <f ca="1">(IF(AW115="Sim",IF(AU115="Sim",$AB$94,ES115),IF(AU115="Sim",EU115,Geometria!$L$374)))</f>
        <v>233.16742928073757</v>
      </c>
      <c r="BL115" s="4" t="s">
        <v>443</v>
      </c>
      <c r="BM115" s="202">
        <f t="shared" ca="1" si="15"/>
        <v>-7325.689192334942</v>
      </c>
      <c r="BN115" s="38" t="s">
        <v>234</v>
      </c>
      <c r="BO115" s="203">
        <f t="shared" ca="1" si="6"/>
        <v>-7.325689192334942</v>
      </c>
      <c r="BP115" s="38" t="s">
        <v>160</v>
      </c>
      <c r="BQ115" s="399">
        <f t="shared" si="16"/>
        <v>0.0</v>
      </c>
      <c r="BR115" s="376" t="str">
        <f>IF(OR(AND(BS115&lt;Geometria!$L$1405/100,Geometria!$K$1405&gt;0),AND((Geometria!$L$29/100-BS115)&lt;Geometria!$R$1405/100,Geometria!$Q$1405&gt;0)),"Sim","Não")</f>
        <v>Não</v>
      </c>
      <c r="BS115" s="395">
        <f>Geometria!$Q$418</f>
        <v>5.495</v>
      </c>
      <c r="BT115" s="376" t="str">
        <f>IF(OR(AND(BS115&lt;Geometria!$L$1409/100,OR(Geometria!$K$1409&gt;0,Geometria!$K$1407&gt;0)),AND((Geometria!$L$29/100-BS115)&lt;Geometria!$R$1409/100,OR(Geometria!$Q$1409&gt;0,Geometria!$Q$1407&gt;0))),"Sim","Não")</f>
        <v>Não</v>
      </c>
      <c r="BU115" s="122" t="s">
        <v>443</v>
      </c>
      <c r="BV115" s="198" t="str">
        <f ca="1">BV107</f>
        <v>OK</v>
      </c>
      <c r="BW115" s="401">
        <f t="shared" ca="1" si="7"/>
        <v>-7325.694808360325</v>
      </c>
      <c r="BX115" s="403">
        <f ca="1">-(CC115/(Geometria!$L$48/100^2))+(CD115/(Geometria!$L$52/100^3))-((Geometria!$Q$419)/(Geometria!$L$52/100^3))-((Geometria!$Q$430)/(Geometria!$M$52))-((Geometria!$L$76*Geometria!$Q$441)/(Geometria!$M$52))</f>
        <v>-6555.655644348678</v>
      </c>
      <c r="BY115" s="400">
        <f ca="1">BY107</f>
        <v>248.32504849301736</v>
      </c>
      <c r="BZ115" s="751">
        <f ca="1">-((Geometria!$L$373-(Geometria!$L$373-ER115)*(1-(MIN(MIN(1,MAX(0,(BS115-Geometria!$L$1409/100)/(Geometria!$N$1307/100))),MIN(1,MAX(0,((Geometria!$L$29/100-BS115)-Geometria!$R$1409/100)/(Geometria!$N$1307/100))))))*(IF(OR(Geometria!$K$1409&gt;0,Geometria!$K$1407&gt;0,Geometria!$Q$1409&gt;0,Geometria!$Q$1407&gt;0),1,0))-(Geometria!$L$373-ET115)*(1-(MIN(MIN(1,MAX(0,(BS115-Geometria!$L$1405/100)/(Geometria!$N$1307/100))),MIN(1,MAX(0,((Geometria!$L$29/100-BS115)-Geometria!$R$1405/100)/(Geometria!$N$1307/100))))))*(IF(OR(Geometria!$K$1405&gt;0,Geometria!$K$1403&gt;0,Geometria!$Q$1405&gt;0,Geometria!$Q$1403&gt;0),1,0))))/(Geometria!$L$48/100^2)+((Geometria!$L$374-(Geometria!$L$374-ES115)*(1-(MIN(MIN(1,MAX(0,(BS115-Geometria!$L$1409/100)/(Geometria!$N$1307/100))),MIN(1,MAX(0,((Geometria!$L$29/100-BS115)-Geometria!$R$1409/100)/(Geometria!$N$1307/100))))))*(IF(OR(Geometria!$K$1409&gt;0,Geometria!$K$1407&gt;0,Geometria!$Q$1409&gt;0,Geometria!$Q$1407&gt;0),1,0))-(Geometria!$L$374-EU115)*(1-(MIN(MIN(1,MAX(0,(BS115-Geometria!$L$1405/100)/(Geometria!$N$1307/100))),MIN(1,MAX(0,((Geometria!$L$29/100-BS115)-Geometria!$R$1405/100)/(Geometria!$N$1307/100))))))*(IF(OR(Geometria!$K$1405&gt;0,Geometria!$K$1403&gt;0,Geometria!$Q$1405&gt;0,Geometria!$Q$1403&gt;0),1,0))))/(Geometria!$L$52/100^3)-((Geometria!$Q$676)/(Geometria!$L$52/100^3))-((Geometria!$Q$687)/(Geometria!$M$52))-((Geometria!$L$77*Geometria!$Q$698)/(Geometria!$M$52))</f>
        <v>-7325.694808360325</v>
      </c>
      <c r="CA115" s="751"/>
      <c r="CC115" s="373">
        <f ca="1">(Geometria!$L$298-(Geometria!$L$298-IF(BS115&lt;Geometria!$L$1409/100,Geometria!$L$1442,Geometria!$L$1460))*(1-(MIN(MIN(1,MAX(0,(BS115-Geometria!$L$1409/100)/(Geometria!$N$1307/100))),MIN(1,MAX(0,((Geometria!$L$29/100-BS115)-Geometria!$R$1409/100)/(Geometria!$N$1307/100))))))*(IF(OR(Geometria!$K$1409&gt;0,Geometria!$K$1407&gt;0,Geometria!$Q$1409&gt;0,Geometria!$Q$1407&gt;0),1,0))-(Geometria!$L$298-IF(BS115&lt;Geometria!$L$1405/100,Geometria!$L$1444,Geometria!$L$1462))*(1-(MIN(MIN(1,MAX(0,(BS115-Geometria!$L$1405/100)/(Geometria!$N$1307/100))),MIN(1,MAX(0,((Geometria!$L$29/100-BS115)-Geometria!$R$1405/100)/(Geometria!$N$1307/100))))))*(IF(OR(Geometria!$K$1405&gt;0,Geometria!$K$1403&gt;0,Geometria!$Q$1405&gt;0,Geometria!$Q$1403&gt;0),1,0)))*BY138+Geometria!$P$1429*BY115</f>
        <v>1023.5505393229279</v>
      </c>
      <c r="CD115" s="373">
        <f ca="1">(Geometria!$L$298-(Geometria!$L$298-IF(BS115&lt;Geometria!$L$1409/100,Geometria!$L$1442,Geometria!$L$1460))*(1-(MIN(MIN(1,MAX(0,(BS115-Geometria!$L$1409/100)/(Geometria!$N$1307/100))),MIN(1,MAX(0,((Geometria!$L$29/100-BS115)-Geometria!$R$1409/100)/(Geometria!$N$1307/100))))))*(IF(OR(Geometria!$K$1409&gt;0,Geometria!$K$1407&gt;0,Geometria!$Q$1409&gt;0,Geometria!$Q$1407&gt;0),1,0))-(Geometria!$L$298-IF(BS115&lt;Geometria!$L$1405/100,Geometria!$L$1444,Geometria!$L$1462))*(1-(MIN(MIN(1,MAX(0,(BS115-Geometria!$L$1405/100)/(Geometria!$N$1307/100))),MIN(1,MAX(0,((Geometria!$L$29/100-BS115)-Geometria!$R$1405/100)/(Geometria!$N$1307/100))))))*(IF(OR(Geometria!$K$1405&gt;0,Geometria!$K$1403&gt;0,Geometria!$Q$1405&gt;0,Geometria!$Q$1403&gt;0),1,0)))*BY138*(Geometria!$L$299-(Geometria!$L$299-IF(BS115&lt;Geometria!$L$1409/100,Geometria!$L$1443,Geometria!$L$1461))*(1-(MIN(MIN(1,MAX(0,(BS115-Geometria!$L$1409/100)/(Geometria!$N$1307/100))),MIN(1,MAX(0,((Geometria!$L$29/100-BS115)-Geometria!$R$1409/100)/(Geometria!$N$1307/100))))))*(IF(OR(Geometria!$K$1409&gt;0,Geometria!$K$1407&gt;0,Geometria!$Q$1409&gt;0,Geometria!$Q$1407&gt;0),1,0))-(Geometria!$L$299-IF(BS115&lt;Geometria!$L$1405/100,Geometria!$L$1445,Geometria!$L$1463))*(1-(MIN(MIN(1,MAX(0,(BS115-Geometria!$L$1405/100)/(Geometria!$N$1307/100))),MIN(1,MAX(0,((Geometria!$L$29/100-BS115)-Geometria!$R$1405/100)/(Geometria!$N$1307/100))))))*(IF(OR(Geometria!$K$1405&gt;0,Geometria!$K$1403&gt;0,Geometria!$Q$1405&gt;0,Geometria!$Q$1403&gt;0),1,0)))/100-Geometria!$P$1429*BY115*Geometria!$L$1438/100</f>
        <v>227.2273672614851</v>
      </c>
      <c r="CE115" s="365"/>
      <c r="CF115" s="371">
        <f ca="1">(IF(BT115="Sim",IF(BR115="Sim",$AB$93,ER115),IF(BR115="Sim",ET115,Geometria!$L$373)))</f>
        <v>1243.5596228306003</v>
      </c>
      <c r="CG115" s="371">
        <f ca="1">(IF(BT115="Sim",IF(BR115="Sim",$AB$94,ES115),IF(BR115="Sim",EU115,Geometria!$L$374)))</f>
        <v>233.16742928073757</v>
      </c>
      <c r="CI115" s="4" t="s">
        <v>443</v>
      </c>
      <c r="CJ115" s="202">
        <f t="shared" ca="1" si="17"/>
        <v>-7325.694808360325</v>
      </c>
      <c r="CK115" s="38" t="s">
        <v>234</v>
      </c>
      <c r="CL115" s="203">
        <f t="shared" ca="1" si="8"/>
        <v>-7.325694808360325</v>
      </c>
      <c r="CM115" s="38" t="s">
        <v>160</v>
      </c>
      <c r="CN115" s="399">
        <f t="shared" si="18"/>
        <v>0.0</v>
      </c>
      <c r="CO115" s="376" t="str">
        <f>IF(OR(AND(CP115&lt;Geometria!$L$1405/100,Geometria!$K$1405&gt;0),AND((Geometria!$L$29/100-CP115)&lt;Geometria!$R$1405/100,Geometria!$Q$1405&gt;0)),"Sim","Não")</f>
        <v>Não</v>
      </c>
      <c r="CP115" s="395">
        <f>Geometria!$Q$418</f>
        <v>5.495</v>
      </c>
      <c r="CQ115" s="376" t="str">
        <f>IF(OR(AND(CP115&lt;Geometria!$L$1409/100,OR(Geometria!$K$1409&gt;0,Geometria!$K$1407&gt;0)),AND((Geometria!$L$29/100-CP115)&lt;Geometria!$R$1409/100,OR(Geometria!$Q$1409&gt;0,Geometria!$Q$1407&gt;0))),"Sim","Não")</f>
        <v>Não</v>
      </c>
      <c r="CR115" s="122" t="s">
        <v>443</v>
      </c>
      <c r="CS115" s="198" t="str">
        <f ca="1">CS107</f>
        <v>OK</v>
      </c>
      <c r="CT115" s="401">
        <f t="shared" ca="1" si="9"/>
        <v>-7325.689192334942</v>
      </c>
      <c r="CU115" s="403">
        <f ca="1">-(CZ115/(Geometria!$L$48/100^2))+(DA115/(Geometria!$L$52/100^3))-((Geometria!$Q$419)/(Geometria!$L$52/100^3))-((Geometria!$Q$430)/(Geometria!$M$52))-((Geometria!$L$76*Geometria!$Q$441)/(Geometria!$M$52))</f>
        <v>-7447.924884988389</v>
      </c>
      <c r="CV115" s="400">
        <f ca="1">CV107</f>
        <v>248.32504849301736</v>
      </c>
      <c r="CW115" s="751">
        <f ca="1">-((Geometria!$L$373-(Geometria!$L$373-ER115)*(1-(MIN(MIN(1,MAX(0,(CP115-Geometria!$L$1409/100)/(Geometria!$N$1307/100))),MIN(1,MAX(0,((Geometria!$L$29/100-CP115)-Geometria!$R$1409/100)/(Geometria!$N$1307/100))))))*(IF(OR(Geometria!$K$1409&gt;0,Geometria!$K$1407&gt;0,Geometria!$Q$1409&gt;0,Geometria!$Q$1407&gt;0),1,0))-(Geometria!$L$373-ET115)*(1-(MIN(MIN(1,MAX(0,(CP115-Geometria!$L$1405/100)/(Geometria!$N$1307/100))),MIN(1,MAX(0,((Geometria!$L$29/100-CP115)-Geometria!$R$1405/100)/(Geometria!$N$1307/100))))))*(IF(OR(Geometria!$K$1405&gt;0,Geometria!$K$1403&gt;0,Geometria!$Q$1405&gt;0,Geometria!$Q$1403&gt;0),1,0))))/(Geometria!$L$48/100^2)+((Geometria!$L$374-(Geometria!$L$374-ES115)*(1-(MIN(MIN(1,MAX(0,(CP115-Geometria!$L$1409/100)/(Geometria!$N$1307/100))),MIN(1,MAX(0,((Geometria!$L$29/100-CP115)-Geometria!$R$1409/100)/(Geometria!$N$1307/100))))))*(IF(OR(Geometria!$K$1409&gt;0,Geometria!$K$1407&gt;0,Geometria!$Q$1409&gt;0,Geometria!$Q$1407&gt;0),1,0))-(Geometria!$L$374-EU115)*(1-(MIN(MIN(1,MAX(0,(CP115-Geometria!$L$1405/100)/(Geometria!$N$1307/100))),MIN(1,MAX(0,((Geometria!$L$29/100-CP115)-Geometria!$R$1405/100)/(Geometria!$N$1307/100))))))*(IF(OR(Geometria!$K$1405&gt;0,Geometria!$K$1403&gt;0,Geometria!$Q$1405&gt;0,Geometria!$Q$1403&gt;0),1,0))))/(Geometria!$L$52/100^3)-((Geometria!$Q$676)/(Geometria!$L$52/100^3))-((Geometria!$Q$687)/(Geometria!$M$52))</f>
        <v>-7325.689192334942</v>
      </c>
      <c r="CX115" s="751"/>
      <c r="CZ115" s="373">
        <f ca="1">(IF(CQ115="Sim",IF(CO115="Sim",IF(CP115&lt;Geometria!$L$1405/100,Geometria!$L$1435,Geometria!$L$1476),IF(CP115&lt;Geometria!$L$1409/100,Geometria!$L$1442,Geometria!$L$1460)),IF(CO115="Sim",IF(CP115&lt;Geometria!$L$1405/100,Geometria!$L$1444,Geometria!$L$1462),Geometria!$L$298)))*CV138+Geometria!$P$1429*CV115</f>
        <v>1243.5596228306003</v>
      </c>
      <c r="DA115" s="373">
        <f ca="1">(IF(CQ115="Sim",IF(CO115="Sim",IF(CP115&lt;Geometria!$L$1405/100,Geometria!$L$1435,Geometria!$L$1476),IF(CP115&lt;Geometria!$L$1409/100,Geometria!$L$1442,Geometria!$L$1460)),IF(CO115="Sim",IF(CP115&lt;Geometria!$L$1405/100,Geometria!$L$1444,Geometria!$L$1462),Geometria!$L$298)))*CV138*(IF(CQ115="Sim",IF(CO115="Sim",IF(CP115&lt;Geometria!$L$1405/100,Geometria!$L$1436,Geometria!$L$1484),IF(CP115&lt;Geometria!$L$1409/100,Geometria!$L$1443,Geometria!$L$1461)),IF(CO115="Sim",IF(CP115&lt;Geometria!$L$1405/100,Geometria!$L$1445,Geometria!$L$1463),Geometria!$L$299)))/100-Geometria!$P$1429*CV115*Geometria!$L$1438/100</f>
        <v>233.16742928073757</v>
      </c>
      <c r="DB115" s="365"/>
      <c r="DC115" s="371">
        <f ca="1">(IF(CQ115="Sim",IF(CO115="Sim",$AB$93,ER115),IF(CO115="Sim",ET115,Geometria!$L$373)))</f>
        <v>1243.5596228306003</v>
      </c>
      <c r="DD115" s="371">
        <f ca="1">(IF(CQ115="Sim",IF(CO115="Sim",$AB$94,ES115),IF(CO115="Sim",EU115,Geometria!$L$374)))</f>
        <v>233.16742928073757</v>
      </c>
      <c r="DF115" s="4" t="s">
        <v>443</v>
      </c>
      <c r="DG115" s="202">
        <f t="shared" ca="1" si="19"/>
        <v>-7325.689192334942</v>
      </c>
      <c r="DH115" s="38" t="s">
        <v>234</v>
      </c>
      <c r="DI115" s="203">
        <f t="shared" ca="1" si="10"/>
        <v>-7.325689192334942</v>
      </c>
      <c r="DJ115" s="38" t="s">
        <v>160</v>
      </c>
      <c r="DK115" s="399">
        <f t="shared" si="20"/>
        <v>0.0</v>
      </c>
      <c r="EA115">
        <f ca="1">-L115/('Aberturas na Alma'!$M$112/100^2)+M115/('Aberturas na Alma'!$M$119/100^3)-Geometria!$L$898/('Aberturas na Alma'!$M$119/100^3)</f>
        <v>11902.981617640007</v>
      </c>
      <c r="EB115">
        <f ca="1">-(IF(C115="Sim",IF(A115="Sim",$E$93,EX115),IF(A115="Sim",EZ115,Geometria!$L$906)))/('Aberturas na Alma'!$M$112/100^2)+(IF(C115="Sim",IF(A115="Sim",$E$94,EY115),IF(A115="Sim",FA115,Geometria!$L$907)))/('Aberturas na Alma'!$M$119/100^3)-Geometria!$Q$901/('Aberturas na Alma'!$M$119/100^3)</f>
        <v>3106.429401309425</v>
      </c>
      <c r="EC115">
        <f ca="1">IF(AND('Aberturas na Alma'!$M$18="NÃO DISPENSADO — furo deve ser verificado (cálculo abaixo)",OR(AND(B115&gt;=('Aberturas na Alma'!$M$4-'Aberturas na Alma'!$M$7/2)/100,B115&lt;=('Aberturas na Alma'!$M$4+'Aberturas na Alma'!$M$7/2)/100),ABS(B115-'Aberturas na Alma'!$M$4/100)&lt;=Geometria!$L$29/4000)),IF(E115="Reduzir",EA115,EB115),F115)</f>
        <v>5447.36808508665</v>
      </c>
      <c r="ED115">
        <f ca="1">-(AI115/('Aberturas na Alma'!$M$112/100^2))+(AJ115/('Aberturas na Alma'!$M$119/100^3))-((Geometria!$Q$419)/('Aberturas na Alma'!$M$119/100^3))-((Geometria!$Q$430)/('Aberturas na Alma'!$M$119/100^3))-((Geometria!$L$76*Geometria!$Q$441)/('Aberturas na Alma'!$M$119/100^3))</f>
        <v>-44797.0493966602</v>
      </c>
      <c r="EE115">
        <f ca="1">-((IF(Z115="Sim",IF(X115="Sim",$AB$93,ER115),IF(X115="Sim",ET115,Geometria!$L$373)))/('Aberturas na Alma'!$M$112/100^2))+((IF(Z115="Sim",IF(X115="Sim",$AB$94,ES115),IF(X115="Sim",EU115,Geometria!$L$374)))/('Aberturas na Alma'!$M$119/100^3))-((Geometria!$Q$419)/('Aberturas na Alma'!$M$119/100^3))-((Geometria!$Q$430)/('Aberturas na Alma'!$M$119/100^3))-((Geometria!$L$76*Geometria!$Q$441)/('Aberturas na Alma'!$M$119/100^3))</f>
        <v>-44797.0493966602</v>
      </c>
      <c r="EF115" s="371">
        <f ca="1">IF(AND('Aberturas na Alma'!$M$18="NÃO DISPENSADO — furo deve ser verificado (cálculo abaixo)",OR(AND(B115&gt;=('Aberturas na Alma'!$M$4-'Aberturas na Alma'!$M$7/2)/100,B115&lt;=('Aberturas na Alma'!$M$4+'Aberturas na Alma'!$M$7/2)/100),ABS(B115-'Aberturas na Alma'!$M$4/100)&lt;=Geometria!$L$29/4000)),IF(AB115="Reduzir",ED115,EE115),AC115)</f>
        <v>-7325.697616373015</v>
      </c>
      <c r="EG115">
        <f ca="1">-(BF115/('Aberturas na Alma'!$M$112/100^2))+(BG115/('Aberturas na Alma'!$M$119/100^3))-((Geometria!$Q$419)/('Aberturas na Alma'!$M$119/100^3))-((Geometria!$Q$430)/('Aberturas na Alma'!$M$119/100^3))-((Geometria!$L$76*Geometria!$Q$441)/('Aberturas na Alma'!$M$119/100^3))</f>
        <v>-43511.59815664976</v>
      </c>
      <c r="EH115">
        <f ca="1">-((IF(AW115="Sim",IF(AU115="Sim",$AB$93,ER115),IF(AU115="Sim",ET115,Geometria!$L$373)))/('Aberturas na Alma'!$M$112/100^2))+((IF(AW115="Sim",IF(AU115="Sim",$AB$94,ES115),IF(AU115="Sim",EU115,Geometria!$L$374)))/('Aberturas na Alma'!$M$119/100^3))-((Geometria!$Q$419)/('Aberturas na Alma'!$M$119/100^3))-((Geometria!$Q$430)/('Aberturas na Alma'!$M$119/100^3))</f>
        <v>-11963.01277629308</v>
      </c>
      <c r="EI115" s="371">
        <f ca="1">IF(AND('Aberturas na Alma'!$M$18="NÃO DISPENSADO — furo deve ser verificado (cálculo abaixo)",OR(AND(B115&gt;=('Aberturas na Alma'!$M$4-'Aberturas na Alma'!$M$7/2)/100,B115&lt;=('Aberturas na Alma'!$M$4+'Aberturas na Alma'!$M$7/2)/100),ABS(B115-'Aberturas na Alma'!$M$4/100)&lt;=Geometria!$L$29/4000)),IF(AY115="Reduzir",EG115,EH115),AZ115)</f>
        <v>-7325.689192334942</v>
      </c>
      <c r="EJ115">
        <f ca="1">-(CC115/('Aberturas na Alma'!$M$112/100^2))+(CD115/('Aberturas na Alma'!$M$119/100^3))-((Geometria!$Q$419)/('Aberturas na Alma'!$M$119/100^3))-((Geometria!$Q$430)/('Aberturas na Alma'!$M$119/100^3))-((Geometria!$L$76*Geometria!$Q$441)/('Aberturas na Alma'!$M$119/100^3))</f>
        <v>-43511.59815664976</v>
      </c>
      <c r="EK115">
        <f ca="1">-((IF(BT115="Sim",IF(BR115="Sim",$AB$93,ER115),IF(BR115="Sim",ET115,Geometria!$L$373)))/('Aberturas na Alma'!$M$112/100^2))+((IF(BT115="Sim",IF(BR115="Sim",$AB$94,ES115),IF(BR115="Sim",EU115,Geometria!$L$374)))/('Aberturas na Alma'!$M$119/100^3))-((Geometria!$Q$676)/('Aberturas na Alma'!$M$119/100^3))-((Geometria!$Q$687)/('Aberturas na Alma'!$M$119/100^3))-((Geometria!$L$77*Geometria!$Q$698)/('Aberturas na Alma'!$M$119/100^3))</f>
        <v>-33852.370523204496</v>
      </c>
      <c r="EL115" s="371">
        <f ca="1">IF(AND('Aberturas na Alma'!$M$18="NÃO DISPENSADO — furo deve ser verificado (cálculo abaixo)",OR(AND(B115&gt;=('Aberturas na Alma'!$M$4-'Aberturas na Alma'!$M$7/2)/100,B115&lt;=('Aberturas na Alma'!$M$4+'Aberturas na Alma'!$M$7/2)/100),ABS(B115-'Aberturas na Alma'!$M$4/100)&lt;=Geometria!$L$29/4000)),IF(BV115="Reduzir",EJ115,EK115),BW115)</f>
        <v>-7325.694808360325</v>
      </c>
      <c r="EM115">
        <f ca="1">-(CZ115/('Aberturas na Alma'!$M$112/100^2))+(DA115/('Aberturas na Alma'!$M$119/100^3))-((Geometria!$Q$419)/('Aberturas na Alma'!$M$119/100^3))-((Geometria!$Q$430)/('Aberturas na Alma'!$M$119/100^3))-((Geometria!$L$76*Geometria!$Q$441)/('Aberturas na Alma'!$M$119/100^3))</f>
        <v>-44797.0493966602</v>
      </c>
      <c r="EN115">
        <f ca="1">-((IF(CQ115="Sim",IF(CO115="Sim",$AB$93,ER115),IF(CO115="Sim",ET115,Geometria!$L$373)))/('Aberturas na Alma'!$M$112/100^2))+((IF(CQ115="Sim",IF(CO115="Sim",$AB$94,ES115),IF(CO115="Sim",EU115,Geometria!$L$374)))/('Aberturas na Alma'!$M$119/100^3))-((Geometria!$Q$676)/('Aberturas na Alma'!$M$119/100^3))-((Geometria!$Q$687)/('Aberturas na Alma'!$M$119/100^3))</f>
        <v>-11963.01277629308</v>
      </c>
      <c r="EO115" s="371">
        <f ca="1">IF(AND('Aberturas na Alma'!$M$18="NÃO DISPENSADO — furo deve ser verificado (cálculo abaixo)",OR(AND(B115&gt;=('Aberturas na Alma'!$M$4-'Aberturas na Alma'!$M$7/2)/100,B115&lt;=('Aberturas na Alma'!$M$4+'Aberturas na Alma'!$M$7/2)/100),ABS(B115-'Aberturas na Alma'!$M$4/100)&lt;=Geometria!$L$29/4000)),IF(CS115="Reduzir",EM115,EN115),CT115)</f>
        <v>-7325.689192334942</v>
      </c>
      <c r="EP115" t="str">
        <f>IF(AND(Y115&lt;Geometria!$L$1409/100,OR(Geometria!$K$1409&gt;0,Geometria!$K$1407&gt;0)),"ESQ",IF(AND((Geometria!$L$29/100-Y115)&lt;Geometria!$R$1409/100,OR(Geometria!$Q$1409&gt;0,Geometria!$Q$1407&gt;0)),"DIR","N/A"))</f>
        <v>N/A</v>
      </c>
      <c r="EQ115" t="str">
        <f>IF(AND(Y115&lt;Geometria!$L$1405/100,Geometria!$K$1405&gt;0),"ESQ",IF(AND((Geometria!$L$29/100-Y115)&lt;Geometria!$R$1405/100,Geometria!$Q$1405&gt;0),"DIR","N/A"))</f>
        <v>N/A</v>
      </c>
      <c r="ER115">
        <f ca="1">IF(EP115="DIR",Geometria!$L$1470,Geometria!$L$1452)</f>
        <v>1243.5596228306003</v>
      </c>
      <c r="ES115">
        <f ca="1">IF(EP115="DIR",Geometria!$L$1471,Geometria!$L$1453)</f>
        <v>233.16742928073757</v>
      </c>
      <c r="ET115">
        <f ca="1">IF(EQ115="DIR",Geometria!$L$1472,Geometria!$L$1454)</f>
        <v>621.7798114153002</v>
      </c>
      <c r="EU115">
        <f ca="1">IF(EQ115="DIR",Geometria!$L$1473,Geometria!$L$1455)</f>
        <v>177.20724625336052</v>
      </c>
      <c r="EV115" t="str">
        <f>IF(AND(B115&lt;Geometria!$L$1409/100,OR(Geometria!$K$1409&gt;0,Geometria!$K$1407&gt;0)),"ESQ",IF(AND((Geometria!$L$29/100-B115)&lt;Geometria!$R$1409/100,OR(Geometria!$Q$1409&gt;0,Geometria!$Q$1407&gt;0)),"DIR","N/A"))</f>
        <v>N/A</v>
      </c>
      <c r="EW115" t="str">
        <f>IF(AND(B115&lt;Geometria!$L$1405/100,Geometria!$K$1405&gt;0),"ESQ",IF(AND((Geometria!$L$29/100-B115)&lt;Geometria!$R$1405/100,Geometria!$Q$1405&gt;0),"DIR","N/A"))</f>
        <v>N/A</v>
      </c>
      <c r="EX115">
        <f ca="1">IF(EV115="DIR",Geometria!$L$1465,Geometria!$L$1447)</f>
        <v>1499.8056003831216</v>
      </c>
      <c r="EY115">
        <f ca="1">IF(EV115="DIR",Geometria!$L$1466,Geometria!$L$1448)</f>
        <v>281.2135500718353</v>
      </c>
      <c r="EZ115">
        <f ca="1">IF(EW115="DIR",Geometria!$L$1467,Geometria!$L$1449)</f>
        <v>749.9028001915608</v>
      </c>
      <c r="FA115">
        <f ca="1">IF(EW115="DIR",Geometria!$L$1468,Geometria!$L$1450)</f>
        <v>213.72229805459483</v>
      </c>
    </row>
    <row r="116" spans="1:157" x14ac:dyDescent="0.25">
      <c r="A116" s="376" t="str">
        <f>IF(OR(AND(B116&lt;Geometria!$L$1405/100,Geometria!$K$1405&gt;0),AND((Geometria!$L$29/100-B116)&lt;Geometria!$R$1405/100,Geometria!$Q$1405&gt;0)),"Sim","Não")</f>
        <v>Não</v>
      </c>
      <c r="B116" s="395">
        <f>Tensões!$I$66</f>
        <v>5.8875</v>
      </c>
      <c r="C116" s="376" t="str">
        <f>IF(OR(AND(B116&lt;Geometria!$L$1409/100,OR(Geometria!$K$1409&gt;0,Geometria!$K$1407&gt;0)),AND((Geometria!$L$29/100-B116)&lt;Geometria!$R$1409/100,OR(Geometria!$Q$1409&gt;0,Geometria!$Q$1407&gt;0))),"Sim","Não")</f>
        <v>Não</v>
      </c>
      <c r="D116" s="122" t="s">
        <v>444</v>
      </c>
      <c r="E116" s="198" t="str">
        <f ca="1">E106</f>
        <v>OK</v>
      </c>
      <c r="F116" s="396">
        <f t="shared" ca="1" si="1"/>
        <v>5832.234683139496</v>
      </c>
      <c r="G116" s="397">
        <f ca="1">-L116/(Geometria!$L$48/100^2)+M116/(Geometria!$L$52/100^3)-Geometria!$L$898/(Geometria!$L$52/100^3)</f>
        <v>12474.576869694021</v>
      </c>
      <c r="H116" s="400">
        <f ca="1">H106</f>
        <v>244.89594223345082</v>
      </c>
      <c r="I116" s="743">
        <f ca="1">-(Geometria!$L$906-(Geometria!$L$906-EX116)*(1-(MIN(MIN(1,MAX(0,(B116-Geometria!$L$1409/100)/(Geometria!$N$1307/100))),MIN(1,MAX(0,((Geometria!$L$29/100-B116)-Geometria!$R$1409/100)/(Geometria!$N$1307/100))))))*(IF(OR(Geometria!$K$1409&gt;0,Geometria!$K$1407&gt;0,Geometria!$Q$1409&gt;0,Geometria!$Q$1407&gt;0),1,0))-(Geometria!$L$906-EZ116)*(1-(MIN(MIN(1,MAX(0,(B116-Geometria!$L$1405/100)/(Geometria!$N$1307/100))),MIN(1,MAX(0,((Geometria!$L$29/100-B116)-Geometria!$R$1405/100)/(Geometria!$N$1307/100))))))*(IF(OR(Geometria!$K$1405&gt;0,Geometria!$K$1403&gt;0,Geometria!$Q$1405&gt;0,Geometria!$Q$1403&gt;0),1,0)))/(Geometria!$L$48/100^2)+(Geometria!$L$907-(Geometria!$L$907-EY116)*(1-(MIN(MIN(1,MAX(0,(B116-Geometria!$L$1409/100)/(Geometria!$N$1307/100))),MIN(1,MAX(0,((Geometria!$L$29/100-B116)-Geometria!$R$1409/100)/(Geometria!$N$1307/100))))))*(IF(OR(Geometria!$K$1409&gt;0,Geometria!$K$1407&gt;0,Geometria!$Q$1409&gt;0,Geometria!$Q$1407&gt;0),1,0))-(Geometria!$L$907-FA116)*(1-(MIN(MIN(1,MAX(0,(B116-Geometria!$L$1405/100)/(Geometria!$N$1307/100))),MIN(1,MAX(0,((Geometria!$L$29/100-B116)-Geometria!$R$1405/100)/(Geometria!$N$1307/100))))))*(IF(OR(Geometria!$K$1405&gt;0,Geometria!$K$1403&gt;0,Geometria!$Q$1405&gt;0,Geometria!$Q$1403&gt;0),1,0)))/(Geometria!$L$52/100^3)-Geometria!$R$901/(Geometria!$L$52/100^3)</f>
        <v>5832.234683139496</v>
      </c>
      <c r="J116" s="743"/>
      <c r="L116" s="373">
        <f ca="1">(Geometria!$L$298-(Geometria!$L$298-IF(B116&lt;Geometria!$L$1409/100,Geometria!$L$1442,Geometria!$L$1460))*(1-(MIN(MIN(1,MAX(0,(B116-Geometria!$L$1409/100)/(Geometria!$N$1307/100))),MIN(1,MAX(0,((Geometria!$L$29/100-B116)-Geometria!$R$1409/100)/(Geometria!$N$1307/100))))))*(IF(OR(Geometria!$K$1409&gt;0,Geometria!$K$1407&gt;0,Geometria!$Q$1409&gt;0,Geometria!$Q$1407&gt;0),1,0))-(Geometria!$L$298-IF(B116&lt;Geometria!$L$1405/100,Geometria!$L$1444,Geometria!$L$1462))*(1-(MIN(MIN(1,MAX(0,(B116-Geometria!$L$1405/100)/(Geometria!$N$1307/100))),MIN(1,MAX(0,((Geometria!$L$29/100-B116)-Geometria!$R$1405/100)/(Geometria!$N$1307/100))))))*(IF(OR(Geometria!$K$1405&gt;0,Geometria!$K$1403&gt;0,Geometria!$Q$1405&gt;0,Geometria!$Q$1403&gt;0),1,0)))*H139+Geometria!$P$1429*H116</f>
        <v>1501.3493950470822</v>
      </c>
      <c r="M116" s="373">
        <f ca="1">(Geometria!$L$298-(Geometria!$L$298-IF(B116&lt;Geometria!$L$1409/100,Geometria!$L$1442,Geometria!$L$1460))*(1-(MIN(MIN(1,MAX(0,(B116-Geometria!$L$1409/100)/(Geometria!$N$1307/100))),MIN(1,MAX(0,((Geometria!$L$29/100-B116)-Geometria!$R$1409/100)/(Geometria!$N$1307/100))))))*(IF(OR(Geometria!$K$1409&gt;0,Geometria!$K$1407&gt;0,Geometria!$Q$1409&gt;0,Geometria!$Q$1407&gt;0),1,0))-(Geometria!$L$298-IF(B116&lt;Geometria!$L$1405/100,Geometria!$L$1444,Geometria!$L$1462))*(1-(MIN(MIN(1,MAX(0,(B116-Geometria!$L$1405/100)/(Geometria!$N$1307/100))),MIN(1,MAX(0,((Geometria!$L$29/100-B116)-Geometria!$R$1405/100)/(Geometria!$N$1307/100))))))*(IF(OR(Geometria!$K$1405&gt;0,Geometria!$K$1403&gt;0,Geometria!$Q$1405&gt;0,Geometria!$Q$1403&gt;0),1,0)))*H139*(Geometria!$L$299-(Geometria!$L$299-IF(B116&lt;Geometria!$L$1409/100,Geometria!$L$1443,Geometria!$L$1461))*(1-(MIN(MIN(1,MAX(0,(B116-Geometria!$L$1409/100)/(Geometria!$N$1307/100))),MIN(1,MAX(0,((Geometria!$L$29/100-B116)-Geometria!$R$1409/100)/(Geometria!$N$1307/100))))))*(IF(OR(Geometria!$K$1409&gt;0,Geometria!$K$1407&gt;0,Geometria!$Q$1409&gt;0,Geometria!$Q$1407&gt;0),1,0))-(Geometria!$L$299-IF(B116&lt;Geometria!$L$1405/100,Geometria!$L$1445,Geometria!$L$1463))*(1-(MIN(MIN(1,MAX(0,(B116-Geometria!$L$1405/100)/(Geometria!$N$1307/100))),MIN(1,MAX(0,((Geometria!$L$29/100-B116)-Geometria!$R$1405/100)/(Geometria!$N$1307/100))))))*(IF(OR(Geometria!$K$1405&gt;0,Geometria!$K$1403&gt;0,Geometria!$Q$1405&gt;0,Geometria!$Q$1403&gt;0),1,0)))/100-Geometria!$P$1429*H116*Geometria!$L$1438/100</f>
        <v>382.4706437060756</v>
      </c>
      <c r="N116" s="365"/>
      <c r="O116" s="371">
        <f ca="1">(IF(C116="Sim",IF(A116="Sim",$E$93,EX116),IF(A116="Sim",EZ116,Geometria!$L$906)))</f>
        <v>1475.413282676191</v>
      </c>
      <c r="P116" s="371">
        <f ca="1">(IF(C116="Sim",IF(A116="Sim",$E$94,EY116),IF(A116="Sim",FA116,Geometria!$L$907)))</f>
        <v>276.63999050178586</v>
      </c>
      <c r="R116" s="4" t="s">
        <v>444</v>
      </c>
      <c r="S116" s="202">
        <f t="shared" ca="1" si="11"/>
        <v>5832.234683139496</v>
      </c>
      <c r="T116" s="38" t="s">
        <v>234</v>
      </c>
      <c r="U116" s="203">
        <f t="shared" ca="1" si="2"/>
        <v>5.832234683139496</v>
      </c>
      <c r="V116" s="38" t="s">
        <v>160</v>
      </c>
      <c r="W116" s="399">
        <f t="shared" si="12"/>
        <v>0.0</v>
      </c>
      <c r="X116" s="376" t="str">
        <f>IF(OR(AND(Y116&lt;Geometria!$L$1405/100,Geometria!$K$1405&gt;0),AND((Geometria!$L$29/100-Y116)&lt;Geometria!$R$1405/100,Geometria!$Q$1405&gt;0)),"Sim","Não")</f>
        <v>Não</v>
      </c>
      <c r="Y116" s="395">
        <f>Geometria!$R$418</f>
        <v>5.8875</v>
      </c>
      <c r="Z116" s="376" t="str">
        <f>IF(OR(AND(Y116&lt;Geometria!$L$1409/100,OR(Geometria!$K$1409&gt;0,Geometria!$K$1407&gt;0)),AND((Geometria!$L$29/100-Y116)&lt;Geometria!$R$1409/100,OR(Geometria!$Q$1409&gt;0,Geometria!$Q$1407&gt;0))),"Sim","Não")</f>
        <v>Não</v>
      </c>
      <c r="AA116" s="122" t="s">
        <v>444</v>
      </c>
      <c r="AB116" s="198" t="str">
        <f ca="1">AB106</f>
        <v>OK</v>
      </c>
      <c r="AC116" s="401">
        <f t="shared" ca="1" si="3"/>
        <v>-5763.980825382361</v>
      </c>
      <c r="AD116" s="403">
        <f ca="1">-(AI116/(Geometria!$L$48/100^2))+(AJ116/(Geometria!$L$52/100^3))-((Geometria!$R$419)/(Geometria!$L$52/100^3))-((Geometria!$R$430)/(Geometria!$M$52))-((Geometria!$L$76*Geometria!$R$441)/(Geometria!$M$52))</f>
        <v>-6002.245629467745</v>
      </c>
      <c r="AE116" s="400">
        <f ca="1">AE106</f>
        <v>206.93754041084782</v>
      </c>
      <c r="AF116" s="751">
        <f ca="1">-((Geometria!$L$373-(Geometria!$L$373-ER116)*(1-(MIN(MIN(1,MAX(0,(Y116-Geometria!$L$1409/100)/(Geometria!$N$1307/100))),MIN(1,MAX(0,((Geometria!$L$29/100-Y116)-Geometria!$R$1409/100)/(Geometria!$N$1307/100))))))*(IF(OR(Geometria!$K$1409&gt;0,Geometria!$K$1407&gt;0,Geometria!$Q$1409&gt;0,Geometria!$Q$1407&gt;0),1,0))-(Geometria!$L$373-ET116)*(1-(MIN(MIN(1,MAX(0,(Y116-Geometria!$L$1405/100)/(Geometria!$N$1307/100))),MIN(1,MAX(0,((Geometria!$L$29/100-Y116)-Geometria!$R$1405/100)/(Geometria!$N$1307/100))))))*(IF(OR(Geometria!$K$1405&gt;0,Geometria!$K$1403&gt;0,Geometria!$Q$1405&gt;0,Geometria!$Q$1403&gt;0),1,0))))/(Geometria!$L$48/100^2)+((Geometria!$L$374-(Geometria!$L$374-ES116)*(1-(MIN(MIN(1,MAX(0,(Y116-Geometria!$L$1409/100)/(Geometria!$N$1307/100))),MIN(1,MAX(0,((Geometria!$L$29/100-Y116)-Geometria!$R$1409/100)/(Geometria!$N$1307/100))))))*(IF(OR(Geometria!$K$1409&gt;0,Geometria!$K$1407&gt;0,Geometria!$Q$1409&gt;0,Geometria!$Q$1407&gt;0),1,0))-(Geometria!$L$374-EU116)*(1-(MIN(MIN(1,MAX(0,(Y116-Geometria!$L$1405/100)/(Geometria!$N$1307/100))),MIN(1,MAX(0,((Geometria!$L$29/100-Y116)-Geometria!$R$1405/100)/(Geometria!$N$1307/100))))))*(IF(OR(Geometria!$K$1405&gt;0,Geometria!$K$1403&gt;0,Geometria!$Q$1405&gt;0,Geometria!$Q$1403&gt;0),1,0))))/(Geometria!$L$52/100^3)-((Geometria!$R$419)/(Geometria!$L$52/100^3))-((Geometria!$R$430)/(Geometria!$M$52))-((Geometria!$L$76*Geometria!$R$441)/(Geometria!$M$52))</f>
        <v>-5763.980825382361</v>
      </c>
      <c r="AG116" s="751"/>
      <c r="AI116" s="373">
        <f ca="1">(IF(Z116="Sim",IF(X116="Sim",IF(Y116&lt;Geometria!$L$1405/100,Geometria!$L$1435,Geometria!$L$1476),IF(Y116&lt;Geometria!$L$1409/100,Geometria!$L$1442,Geometria!$L$1460)),IF(X116="Sim",IF(Y116&lt;Geometria!$L$1405/100,Geometria!$L$1444,Geometria!$L$1462),Geometria!$L$298)))*AE139+Geometria!$P$1429*AE116</f>
        <v>1243.5596228306003</v>
      </c>
      <c r="AJ116" s="373">
        <f ca="1">(IF(Z116="Sim",IF(X116="Sim",IF(Y116&lt;Geometria!$L$1405/100,Geometria!$L$1435,Geometria!$L$1476),IF(Y116&lt;Geometria!$L$1409/100,Geometria!$L$1442,Geometria!$L$1460)),IF(X116="Sim",IF(Y116&lt;Geometria!$L$1405/100,Geometria!$L$1444,Geometria!$L$1462),Geometria!$L$298)))*AE139*(IF(Z116="Sim",IF(X116="Sim",IF(Y116&lt;Geometria!$L$1405/100,Geometria!$L$1436,Geometria!$L$1484),IF(Y116&lt;Geometria!$L$1409/100,Geometria!$L$1443,Geometria!$L$1461)),IF(X116="Sim",IF(Y116&lt;Geometria!$L$1405/100,Geometria!$L$1445,Geometria!$L$1463),Geometria!$L$299)))/100-Geometria!$P$1429*AE116*Geometria!$L$1438/100</f>
        <v>233.16742928073757</v>
      </c>
      <c r="AK116" s="365"/>
      <c r="AL116" s="371">
        <f ca="1">(IF(Z116="Sim",IF(X116="Sim",$AB$93,ER116),IF(X116="Sim",ET116,Geometria!$L$373)))</f>
        <v>1243.5596228306003</v>
      </c>
      <c r="AM116" s="371">
        <f ca="1">(IF(Z116="Sim",IF(X116="Sim",$AB$94,ES116),IF(X116="Sim",EU116,Geometria!$L$374)))</f>
        <v>233.16742928073757</v>
      </c>
      <c r="AO116" s="4" t="s">
        <v>444</v>
      </c>
      <c r="AP116" s="202">
        <f t="shared" ca="1" si="13"/>
        <v>-5763.980825382361</v>
      </c>
      <c r="AQ116" s="38" t="s">
        <v>234</v>
      </c>
      <c r="AR116" s="203">
        <f t="shared" ca="1" si="4"/>
        <v>-5.763980825382361</v>
      </c>
      <c r="AS116" s="38" t="s">
        <v>160</v>
      </c>
      <c r="AT116" s="399">
        <f t="shared" si="14"/>
        <v>0.0</v>
      </c>
      <c r="AU116" s="376" t="str">
        <f>IF(OR(AND(AV116&lt;Geometria!$L$1405/100,Geometria!$K$1405&gt;0),AND((Geometria!$L$29/100-AV116)&lt;Geometria!$R$1405/100,Geometria!$Q$1405&gt;0)),"Sim","Não")</f>
        <v>Não</v>
      </c>
      <c r="AV116" s="395">
        <f>Geometria!$R$418</f>
        <v>5.8875</v>
      </c>
      <c r="AW116" s="376" t="str">
        <f>IF(OR(AND(AV116&lt;Geometria!$L$1409/100,OR(Geometria!$K$1409&gt;0,Geometria!$K$1407&gt;0)),AND((Geometria!$L$29/100-AV116)&lt;Geometria!$R$1409/100,OR(Geometria!$Q$1409&gt;0,Geometria!$Q$1407&gt;0))),"Sim","Não")</f>
        <v>Não</v>
      </c>
      <c r="AX116" s="122" t="s">
        <v>444</v>
      </c>
      <c r="AY116" s="198" t="str">
        <f ca="1">AY106</f>
        <v>OK</v>
      </c>
      <c r="AZ116" s="401">
        <f t="shared" ca="1" si="5"/>
        <v>-5763.973303919795</v>
      </c>
      <c r="BA116" s="403">
        <f ca="1">-(BF116/(Geometria!$L$48/100^2))+(BG116/(Geometria!$L$52/100^3))-((Geometria!$R$419)/(Geometria!$L$52/100^3))-((Geometria!$R$430)/(Geometria!$M$52))-((Geometria!$L$76*Geometria!$R$441)/(Geometria!$M$52))</f>
        <v>-5043.259713100319</v>
      </c>
      <c r="BB116" s="400">
        <f ca="1">BB106</f>
        <v>206.93754041084782</v>
      </c>
      <c r="BC116" s="751">
        <f ca="1">-((Geometria!$L$373-(Geometria!$L$373-ER116)*(1-(MIN(MIN(1,MAX(0,(AV116-Geometria!$L$1409/100)/(Geometria!$N$1307/100))),MIN(1,MAX(0,((Geometria!$L$29/100-AV116)-Geometria!$R$1409/100)/(Geometria!$N$1307/100))))))*(IF(OR(Geometria!$K$1409&gt;0,Geometria!$K$1407&gt;0,Geometria!$Q$1409&gt;0,Geometria!$Q$1407&gt;0),1,0))-(Geometria!$L$373-ET116)*(1-(MIN(MIN(1,MAX(0,(AV116-Geometria!$L$1405/100)/(Geometria!$N$1307/100))),MIN(1,MAX(0,((Geometria!$L$29/100-AV116)-Geometria!$R$1405/100)/(Geometria!$N$1307/100))))))*(IF(OR(Geometria!$K$1405&gt;0,Geometria!$K$1403&gt;0,Geometria!$Q$1405&gt;0,Geometria!$Q$1403&gt;0),1,0))))/(Geometria!$L$48/100^2)+((Geometria!$L$374-(Geometria!$L$374-ES116)*(1-(MIN(MIN(1,MAX(0,(AV116-Geometria!$L$1409/100)/(Geometria!$N$1307/100))),MIN(1,MAX(0,((Geometria!$L$29/100-AV116)-Geometria!$R$1409/100)/(Geometria!$N$1307/100))))))*(IF(OR(Geometria!$K$1409&gt;0,Geometria!$K$1407&gt;0,Geometria!$Q$1409&gt;0,Geometria!$Q$1407&gt;0),1,0))-(Geometria!$L$374-EU116)*(1-(MIN(MIN(1,MAX(0,(AV116-Geometria!$L$1405/100)/(Geometria!$N$1307/100))),MIN(1,MAX(0,((Geometria!$L$29/100-AV116)-Geometria!$R$1405/100)/(Geometria!$N$1307/100))))))*(IF(OR(Geometria!$K$1405&gt;0,Geometria!$K$1403&gt;0,Geometria!$Q$1405&gt;0,Geometria!$Q$1403&gt;0),1,0))))/(Geometria!$L$52/100^3)-((Geometria!$R$419)/(Geometria!$L$52/100^3))-((Geometria!$R$430)/(Geometria!$M$52))</f>
        <v>-5763.973303919795</v>
      </c>
      <c r="BD116" s="751"/>
      <c r="BF116" s="373">
        <f ca="1">(Geometria!$L$298-(Geometria!$L$298-IF(AV116&lt;Geometria!$L$1409/100,Geometria!$L$1442,Geometria!$L$1460))*(1-(MIN(MIN(1,MAX(0,(AV116-Geometria!$L$1409/100)/(Geometria!$N$1307/100))),MIN(1,MAX(0,((Geometria!$L$29/100-AV116)-Geometria!$R$1409/100)/(Geometria!$N$1307/100))))))*(IF(OR(Geometria!$K$1409&gt;0,Geometria!$K$1407&gt;0,Geometria!$Q$1409&gt;0,Geometria!$Q$1407&gt;0),1,0))-(Geometria!$L$298-IF(AV116&lt;Geometria!$L$1405/100,Geometria!$L$1444,Geometria!$L$1462))*(1-(MIN(MIN(1,MAX(0,(AV116-Geometria!$L$1405/100)/(Geometria!$N$1307/100))),MIN(1,MAX(0,((Geometria!$L$29/100-AV116)-Geometria!$R$1405/100)/(Geometria!$N$1307/100))))))*(IF(OR(Geometria!$K$1405&gt;0,Geometria!$K$1403&gt;0,Geometria!$Q$1405&gt;0,Geometria!$Q$1403&gt;0),1,0)))*BB139+Geometria!$P$1429*BB116</f>
        <v>814.6829754769093</v>
      </c>
      <c r="BG116" s="373">
        <f ca="1">(Geometria!$L$298-(Geometria!$L$298-IF(AV116&lt;Geometria!$L$1409/100,Geometria!$L$1442,Geometria!$L$1460))*(1-(MIN(MIN(1,MAX(0,(AV116-Geometria!$L$1409/100)/(Geometria!$N$1307/100))),MIN(1,MAX(0,((Geometria!$L$29/100-AV116)-Geometria!$R$1409/100)/(Geometria!$N$1307/100))))))*(IF(OR(Geometria!$K$1409&gt;0,Geometria!$K$1407&gt;0,Geometria!$Q$1409&gt;0,Geometria!$Q$1407&gt;0),1,0))-(Geometria!$L$298-IF(AV116&lt;Geometria!$L$1405/100,Geometria!$L$1444,Geometria!$L$1462))*(1-(MIN(MIN(1,MAX(0,(AV116-Geometria!$L$1405/100)/(Geometria!$N$1307/100))),MIN(1,MAX(0,((Geometria!$L$29/100-AV116)-Geometria!$R$1405/100)/(Geometria!$N$1307/100))))))*(IF(OR(Geometria!$K$1405&gt;0,Geometria!$K$1403&gt;0,Geometria!$Q$1405&gt;0,Geometria!$Q$1403&gt;0),1,0)))*BB139*(Geometria!$L$299-(Geometria!$L$299-IF(AV116&lt;Geometria!$L$1409/100,Geometria!$L$1443,Geometria!$L$1461))*(1-(MIN(MIN(1,MAX(0,(AV116-Geometria!$L$1409/100)/(Geometria!$N$1307/100))),MIN(1,MAX(0,((Geometria!$L$29/100-AV116)-Geometria!$R$1409/100)/(Geometria!$N$1307/100))))))*(IF(OR(Geometria!$K$1409&gt;0,Geometria!$K$1407&gt;0,Geometria!$Q$1409&gt;0,Geometria!$Q$1407&gt;0),1,0))-(Geometria!$L$299-IF(AV116&lt;Geometria!$L$1405/100,Geometria!$L$1445,Geometria!$L$1463))*(1-(MIN(MIN(1,MAX(0,(AV116-Geometria!$L$1405/100)/(Geometria!$N$1307/100))),MIN(1,MAX(0,((Geometria!$L$29/100-AV116)-Geometria!$R$1405/100)/(Geometria!$N$1307/100))))))*(IF(OR(Geometria!$K$1405&gt;0,Geometria!$K$1403&gt;0,Geometria!$Q$1405&gt;0,Geometria!$Q$1403&gt;0),1,0)))/100-Geometria!$P$1429*BB116*Geometria!$L$1438/100</f>
        <v>207.5415110399821</v>
      </c>
      <c r="BH116" s="365"/>
      <c r="BI116" s="371">
        <f ca="1">(IF(AW116="Sim",IF(AU116="Sim",$AB$93,ER116),IF(AU116="Sim",ET116,Geometria!$L$373)))</f>
        <v>1243.5596228306003</v>
      </c>
      <c r="BJ116" s="371">
        <f ca="1">(IF(AW116="Sim",IF(AU116="Sim",$AB$94,ES116),IF(AU116="Sim",EU116,Geometria!$L$374)))</f>
        <v>233.16742928073757</v>
      </c>
      <c r="BL116" s="4" t="s">
        <v>444</v>
      </c>
      <c r="BM116" s="202">
        <f t="shared" ca="1" si="15"/>
        <v>-5763.973303919795</v>
      </c>
      <c r="BN116" s="38" t="s">
        <v>234</v>
      </c>
      <c r="BO116" s="203">
        <f t="shared" ca="1" si="6"/>
        <v>-5.763973303919795</v>
      </c>
      <c r="BP116" s="38" t="s">
        <v>160</v>
      </c>
      <c r="BQ116" s="399">
        <f t="shared" si="16"/>
        <v>0.0</v>
      </c>
      <c r="BR116" s="376" t="str">
        <f>IF(OR(AND(BS116&lt;Geometria!$L$1405/100,Geometria!$K$1405&gt;0),AND((Geometria!$L$29/100-BS116)&lt;Geometria!$R$1405/100,Geometria!$Q$1405&gt;0)),"Sim","Não")</f>
        <v>Não</v>
      </c>
      <c r="BS116" s="395">
        <f>Geometria!$R$418</f>
        <v>5.8875</v>
      </c>
      <c r="BT116" s="376" t="str">
        <f>IF(OR(AND(BS116&lt;Geometria!$L$1409/100,OR(Geometria!$K$1409&gt;0,Geometria!$K$1407&gt;0)),AND((Geometria!$L$29/100-BS116)&lt;Geometria!$R$1409/100,OR(Geometria!$Q$1409&gt;0,Geometria!$Q$1407&gt;0))),"Sim","Não")</f>
        <v>Não</v>
      </c>
      <c r="BU116" s="122" t="s">
        <v>444</v>
      </c>
      <c r="BV116" s="198" t="str">
        <f ca="1">BV106</f>
        <v>OK</v>
      </c>
      <c r="BW116" s="401">
        <f t="shared" ca="1" si="7"/>
        <v>-5763.978318228173</v>
      </c>
      <c r="BX116" s="403">
        <f ca="1">-(CC116/(Geometria!$L$48/100^2))+(CD116/(Geometria!$L$52/100^3))-((Geometria!$R$419)/(Geometria!$L$52/100^3))-((Geometria!$R$430)/(Geometria!$M$52))-((Geometria!$L$76*Geometria!$R$441)/(Geometria!$M$52))</f>
        <v>-5043.259713100319</v>
      </c>
      <c r="BY116" s="400">
        <f ca="1">BY106</f>
        <v>206.93754041084782</v>
      </c>
      <c r="BZ116" s="751">
        <f ca="1">-((Geometria!$L$373-(Geometria!$L$373-ER116)*(1-(MIN(MIN(1,MAX(0,(BS116-Geometria!$L$1409/100)/(Geometria!$N$1307/100))),MIN(1,MAX(0,((Geometria!$L$29/100-BS116)-Geometria!$R$1409/100)/(Geometria!$N$1307/100))))))*(IF(OR(Geometria!$K$1409&gt;0,Geometria!$K$1407&gt;0,Geometria!$Q$1409&gt;0,Geometria!$Q$1407&gt;0),1,0))-(Geometria!$L$373-ET116)*(1-(MIN(MIN(1,MAX(0,(BS116-Geometria!$L$1405/100)/(Geometria!$N$1307/100))),MIN(1,MAX(0,((Geometria!$L$29/100-BS116)-Geometria!$R$1405/100)/(Geometria!$N$1307/100))))))*(IF(OR(Geometria!$K$1405&gt;0,Geometria!$K$1403&gt;0,Geometria!$Q$1405&gt;0,Geometria!$Q$1403&gt;0),1,0))))/(Geometria!$L$48/100^2)+((Geometria!$L$374-(Geometria!$L$374-ES116)*(1-(MIN(MIN(1,MAX(0,(BS116-Geometria!$L$1409/100)/(Geometria!$N$1307/100))),MIN(1,MAX(0,((Geometria!$L$29/100-BS116)-Geometria!$R$1409/100)/(Geometria!$N$1307/100))))))*(IF(OR(Geometria!$K$1409&gt;0,Geometria!$K$1407&gt;0,Geometria!$Q$1409&gt;0,Geometria!$Q$1407&gt;0),1,0))-(Geometria!$L$374-EU116)*(1-(MIN(MIN(1,MAX(0,(BS116-Geometria!$L$1405/100)/(Geometria!$N$1307/100))),MIN(1,MAX(0,((Geometria!$L$29/100-BS116)-Geometria!$R$1405/100)/(Geometria!$N$1307/100))))))*(IF(OR(Geometria!$K$1405&gt;0,Geometria!$K$1403&gt;0,Geometria!$Q$1405&gt;0,Geometria!$Q$1403&gt;0),1,0))))/(Geometria!$L$52/100^3)-((Geometria!$R$676)/(Geometria!$L$52/100^3))-((Geometria!$R$687)/(Geometria!$M$52))-((Geometria!$L$77*Geometria!$R$698)/(Geometria!$M$52))</f>
        <v>-5763.978318228173</v>
      </c>
      <c r="CA116" s="751"/>
      <c r="CC116" s="373">
        <f ca="1">(Geometria!$L$298-(Geometria!$L$298-IF(BS116&lt;Geometria!$L$1409/100,Geometria!$L$1442,Geometria!$L$1460))*(1-(MIN(MIN(1,MAX(0,(BS116-Geometria!$L$1409/100)/(Geometria!$N$1307/100))),MIN(1,MAX(0,((Geometria!$L$29/100-BS116)-Geometria!$R$1409/100)/(Geometria!$N$1307/100))))))*(IF(OR(Geometria!$K$1409&gt;0,Geometria!$K$1407&gt;0,Geometria!$Q$1409&gt;0,Geometria!$Q$1407&gt;0),1,0))-(Geometria!$L$298-IF(BS116&lt;Geometria!$L$1405/100,Geometria!$L$1444,Geometria!$L$1462))*(1-(MIN(MIN(1,MAX(0,(BS116-Geometria!$L$1405/100)/(Geometria!$N$1307/100))),MIN(1,MAX(0,((Geometria!$L$29/100-BS116)-Geometria!$R$1405/100)/(Geometria!$N$1307/100))))))*(IF(OR(Geometria!$K$1405&gt;0,Geometria!$K$1403&gt;0,Geometria!$Q$1405&gt;0,Geometria!$Q$1403&gt;0),1,0)))*BY139+Geometria!$P$1429*BY116</f>
        <v>814.6829754769093</v>
      </c>
      <c r="CD116" s="373">
        <f ca="1">(Geometria!$L$298-(Geometria!$L$298-IF(BS116&lt;Geometria!$L$1409/100,Geometria!$L$1442,Geometria!$L$1460))*(1-(MIN(MIN(1,MAX(0,(BS116-Geometria!$L$1409/100)/(Geometria!$N$1307/100))),MIN(1,MAX(0,((Geometria!$L$29/100-BS116)-Geometria!$R$1409/100)/(Geometria!$N$1307/100))))))*(IF(OR(Geometria!$K$1409&gt;0,Geometria!$K$1407&gt;0,Geometria!$Q$1409&gt;0,Geometria!$Q$1407&gt;0),1,0))-(Geometria!$L$298-IF(BS116&lt;Geometria!$L$1405/100,Geometria!$L$1444,Geometria!$L$1462))*(1-(MIN(MIN(1,MAX(0,(BS116-Geometria!$L$1405/100)/(Geometria!$N$1307/100))),MIN(1,MAX(0,((Geometria!$L$29/100-BS116)-Geometria!$R$1405/100)/(Geometria!$N$1307/100))))))*(IF(OR(Geometria!$K$1405&gt;0,Geometria!$K$1403&gt;0,Geometria!$Q$1405&gt;0,Geometria!$Q$1403&gt;0),1,0)))*BY139*(Geometria!$L$299-(Geometria!$L$299-IF(BS116&lt;Geometria!$L$1409/100,Geometria!$L$1443,Geometria!$L$1461))*(1-(MIN(MIN(1,MAX(0,(BS116-Geometria!$L$1409/100)/(Geometria!$N$1307/100))),MIN(1,MAX(0,((Geometria!$L$29/100-BS116)-Geometria!$R$1409/100)/(Geometria!$N$1307/100))))))*(IF(OR(Geometria!$K$1409&gt;0,Geometria!$K$1407&gt;0,Geometria!$Q$1409&gt;0,Geometria!$Q$1407&gt;0),1,0))-(Geometria!$L$299-IF(BS116&lt;Geometria!$L$1405/100,Geometria!$L$1445,Geometria!$L$1463))*(1-(MIN(MIN(1,MAX(0,(BS116-Geometria!$L$1405/100)/(Geometria!$N$1307/100))),MIN(1,MAX(0,((Geometria!$L$29/100-BS116)-Geometria!$R$1405/100)/(Geometria!$N$1307/100))))))*(IF(OR(Geometria!$K$1405&gt;0,Geometria!$K$1403&gt;0,Geometria!$Q$1405&gt;0,Geometria!$Q$1403&gt;0),1,0)))/100-Geometria!$P$1429*BY116*Geometria!$L$1438/100</f>
        <v>207.5415110399821</v>
      </c>
      <c r="CE116" s="365"/>
      <c r="CF116" s="371">
        <f ca="1">(IF(BT116="Sim",IF(BR116="Sim",$AB$93,ER116),IF(BR116="Sim",ET116,Geometria!$L$373)))</f>
        <v>1243.5596228306003</v>
      </c>
      <c r="CG116" s="371">
        <f ca="1">(IF(BT116="Sim",IF(BR116="Sim",$AB$94,ES116),IF(BR116="Sim",EU116,Geometria!$L$374)))</f>
        <v>233.16742928073757</v>
      </c>
      <c r="CI116" s="4" t="s">
        <v>444</v>
      </c>
      <c r="CJ116" s="202">
        <f t="shared" ca="1" si="17"/>
        <v>-5763.978318228173</v>
      </c>
      <c r="CK116" s="38" t="s">
        <v>234</v>
      </c>
      <c r="CL116" s="203">
        <f t="shared" ca="1" si="8"/>
        <v>-5.7639783182281725</v>
      </c>
      <c r="CM116" s="38" t="s">
        <v>160</v>
      </c>
      <c r="CN116" s="399">
        <f t="shared" si="18"/>
        <v>0.0</v>
      </c>
      <c r="CO116" s="376" t="str">
        <f>IF(OR(AND(CP116&lt;Geometria!$L$1405/100,Geometria!$K$1405&gt;0),AND((Geometria!$L$29/100-CP116)&lt;Geometria!$R$1405/100,Geometria!$Q$1405&gt;0)),"Sim","Não")</f>
        <v>Não</v>
      </c>
      <c r="CP116" s="395">
        <f>Geometria!$R$418</f>
        <v>5.8875</v>
      </c>
      <c r="CQ116" s="376" t="str">
        <f>IF(OR(AND(CP116&lt;Geometria!$L$1409/100,OR(Geometria!$K$1409&gt;0,Geometria!$K$1407&gt;0)),AND((Geometria!$L$29/100-CP116)&lt;Geometria!$R$1409/100,OR(Geometria!$Q$1409&gt;0,Geometria!$Q$1407&gt;0))),"Sim","Não")</f>
        <v>Não</v>
      </c>
      <c r="CR116" s="122" t="s">
        <v>444</v>
      </c>
      <c r="CS116" s="198" t="str">
        <f ca="1">CS106</f>
        <v>OK</v>
      </c>
      <c r="CT116" s="401">
        <f t="shared" ca="1" si="9"/>
        <v>-5763.973303919795</v>
      </c>
      <c r="CU116" s="403">
        <f ca="1">-(CZ116/(Geometria!$L$48/100^2))+(DA116/(Geometria!$L$52/100^3))-((Geometria!$R$419)/(Geometria!$L$52/100^3))-((Geometria!$R$430)/(Geometria!$M$52))-((Geometria!$L$76*Geometria!$R$441)/(Geometria!$M$52))</f>
        <v>-6002.245629467745</v>
      </c>
      <c r="CV116" s="400">
        <f ca="1">CV106</f>
        <v>206.93754041084782</v>
      </c>
      <c r="CW116" s="751">
        <f ca="1">-((Geometria!$L$373-(Geometria!$L$373-ER116)*(1-(MIN(MIN(1,MAX(0,(CP116-Geometria!$L$1409/100)/(Geometria!$N$1307/100))),MIN(1,MAX(0,((Geometria!$L$29/100-CP116)-Geometria!$R$1409/100)/(Geometria!$N$1307/100))))))*(IF(OR(Geometria!$K$1409&gt;0,Geometria!$K$1407&gt;0,Geometria!$Q$1409&gt;0,Geometria!$Q$1407&gt;0),1,0))-(Geometria!$L$373-ET116)*(1-(MIN(MIN(1,MAX(0,(CP116-Geometria!$L$1405/100)/(Geometria!$N$1307/100))),MIN(1,MAX(0,((Geometria!$L$29/100-CP116)-Geometria!$R$1405/100)/(Geometria!$N$1307/100))))))*(IF(OR(Geometria!$K$1405&gt;0,Geometria!$K$1403&gt;0,Geometria!$Q$1405&gt;0,Geometria!$Q$1403&gt;0),1,0))))/(Geometria!$L$48/100^2)+((Geometria!$L$374-(Geometria!$L$374-ES116)*(1-(MIN(MIN(1,MAX(0,(CP116-Geometria!$L$1409/100)/(Geometria!$N$1307/100))),MIN(1,MAX(0,((Geometria!$L$29/100-CP116)-Geometria!$R$1409/100)/(Geometria!$N$1307/100))))))*(IF(OR(Geometria!$K$1409&gt;0,Geometria!$K$1407&gt;0,Geometria!$Q$1409&gt;0,Geometria!$Q$1407&gt;0),1,0))-(Geometria!$L$374-EU116)*(1-(MIN(MIN(1,MAX(0,(CP116-Geometria!$L$1405/100)/(Geometria!$N$1307/100))),MIN(1,MAX(0,((Geometria!$L$29/100-CP116)-Geometria!$R$1405/100)/(Geometria!$N$1307/100))))))*(IF(OR(Geometria!$K$1405&gt;0,Geometria!$K$1403&gt;0,Geometria!$Q$1405&gt;0,Geometria!$Q$1403&gt;0),1,0))))/(Geometria!$L$52/100^3)-((Geometria!$R$676)/(Geometria!$L$52/100^3))-((Geometria!$R$687)/(Geometria!$M$52))</f>
        <v>-5763.973303919795</v>
      </c>
      <c r="CX116" s="751"/>
      <c r="CZ116" s="373">
        <f ca="1">(IF(CQ116="Sim",IF(CO116="Sim",IF(CP116&lt;Geometria!$L$1405/100,Geometria!$L$1435,Geometria!$L$1476),IF(CP116&lt;Geometria!$L$1409/100,Geometria!$L$1442,Geometria!$L$1460)),IF(CO116="Sim",IF(CP116&lt;Geometria!$L$1405/100,Geometria!$L$1444,Geometria!$L$1462),Geometria!$L$298)))*CV139+Geometria!$P$1429*CV116</f>
        <v>1243.5596228306003</v>
      </c>
      <c r="DA116" s="373">
        <f ca="1">(IF(CQ116="Sim",IF(CO116="Sim",IF(CP116&lt;Geometria!$L$1405/100,Geometria!$L$1435,Geometria!$L$1476),IF(CP116&lt;Geometria!$L$1409/100,Geometria!$L$1442,Geometria!$L$1460)),IF(CO116="Sim",IF(CP116&lt;Geometria!$L$1405/100,Geometria!$L$1444,Geometria!$L$1462),Geometria!$L$298)))*CV139*(IF(CQ116="Sim",IF(CO116="Sim",IF(CP116&lt;Geometria!$L$1405/100,Geometria!$L$1436,Geometria!$L$1484),IF(CP116&lt;Geometria!$L$1409/100,Geometria!$L$1443,Geometria!$L$1461)),IF(CO116="Sim",IF(CP116&lt;Geometria!$L$1405/100,Geometria!$L$1445,Geometria!$L$1463),Geometria!$L$299)))/100-Geometria!$P$1429*CV116*Geometria!$L$1438/100</f>
        <v>233.16742928073757</v>
      </c>
      <c r="DB116" s="365"/>
      <c r="DC116" s="371">
        <f ca="1">(IF(CQ116="Sim",IF(CO116="Sim",$AB$93,ER116),IF(CO116="Sim",ET116,Geometria!$L$373)))</f>
        <v>1243.5596228306003</v>
      </c>
      <c r="DD116" s="371">
        <f ca="1">(IF(CQ116="Sim",IF(CO116="Sim",$AB$94,ES116),IF(CO116="Sim",EU116,Geometria!$L$374)))</f>
        <v>233.16742928073757</v>
      </c>
      <c r="DF116" s="4" t="s">
        <v>444</v>
      </c>
      <c r="DG116" s="202">
        <f t="shared" ca="1" si="19"/>
        <v>-5763.973303919795</v>
      </c>
      <c r="DH116" s="38" t="s">
        <v>234</v>
      </c>
      <c r="DI116" s="203">
        <f t="shared" ca="1" si="10"/>
        <v>-5.763973303919795</v>
      </c>
      <c r="DJ116" s="38" t="s">
        <v>160</v>
      </c>
      <c r="DK116" s="399">
        <f t="shared" si="20"/>
        <v>0.0</v>
      </c>
      <c r="EA116">
        <f ca="1">-L116/('Aberturas na Alma'!$M$112/100^2)+M116/('Aberturas na Alma'!$M$119/100^3)-Geometria!$L$898/('Aberturas na Alma'!$M$119/100^3)</f>
        <v>10592.64779684164</v>
      </c>
      <c r="EB116">
        <f ca="1">-(IF(C116="Sim",IF(A116="Sim",$E$93,EX116),IF(A116="Sim",EZ116,Geometria!$L$906)))/('Aberturas na Alma'!$M$112/100^2)+(IF(C116="Sim",IF(A116="Sim",$E$94,EY116),IF(A116="Sim",FA116,Geometria!$L$907)))/('Aberturas na Alma'!$M$119/100^3)-Geometria!$R$901/('Aberturas na Alma'!$M$119/100^3)</f>
        <v>3320.367908502395</v>
      </c>
      <c r="EC116">
        <f ca="1">IF(AND('Aberturas na Alma'!$M$18="NÃO DISPENSADO — furo deve ser verificado (cálculo abaixo)",OR(AND(B116&gt;=('Aberturas na Alma'!$M$4-'Aberturas na Alma'!$M$7/2)/100,B116&lt;=('Aberturas na Alma'!$M$4+'Aberturas na Alma'!$M$7/2)/100),ABS(B116-'Aberturas na Alma'!$M$4/100)&lt;=Geometria!$L$29/4000)),IF(E116="Reduzir",EA116,EB116),F116)</f>
        <v>5832.234683139496</v>
      </c>
      <c r="ED116">
        <f ca="1">-(AI116/('Aberturas na Alma'!$M$112/100^2))+(AJ116/('Aberturas na Alma'!$M$119/100^3))-((Geometria!$R$419)/('Aberturas na Alma'!$M$119/100^3))-((Geometria!$R$430)/('Aberturas na Alma'!$M$119/100^3))-((Geometria!$L$76*Geometria!$R$441)/('Aberturas na Alma'!$M$119/100^3))</f>
        <v>-39536.51745210454</v>
      </c>
      <c r="EE116">
        <f ca="1">-((IF(Z116="Sim",IF(X116="Sim",$AB$93,ER116),IF(X116="Sim",ET116,Geometria!$L$373)))/('Aberturas na Alma'!$M$112/100^2))+((IF(Z116="Sim",IF(X116="Sim",$AB$94,ES116),IF(X116="Sim",EU116,Geometria!$L$374)))/('Aberturas na Alma'!$M$119/100^3))-((Geometria!$R$419)/('Aberturas na Alma'!$M$119/100^3))-((Geometria!$R$430)/('Aberturas na Alma'!$M$119/100^3))-((Geometria!$L$76*Geometria!$R$441)/('Aberturas na Alma'!$M$119/100^3))</f>
        <v>-39536.51745210454</v>
      </c>
      <c r="EF116" s="371">
        <f ca="1">IF(AND('Aberturas na Alma'!$M$18="NÃO DISPENSADO — furo deve ser verificado (cálculo abaixo)",OR(AND(B116&gt;=('Aberturas na Alma'!$M$4-'Aberturas na Alma'!$M$7/2)/100,B116&lt;=('Aberturas na Alma'!$M$4+'Aberturas na Alma'!$M$7/2)/100),ABS(B116-'Aberturas na Alma'!$M$4/100)&lt;=Geometria!$L$29/4000)),IF(AB116="Reduzir",ED116,EE116),AC116)</f>
        <v>-5763.980825382361</v>
      </c>
      <c r="EG116">
        <f ca="1">-(BF116/('Aberturas na Alma'!$M$112/100^2))+(BG116/('Aberturas na Alma'!$M$119/100^3))-((Geometria!$R$419)/('Aberturas na Alma'!$M$119/100^3))-((Geometria!$R$430)/('Aberturas na Alma'!$M$119/100^3))-((Geometria!$L$76*Geometria!$R$441)/('Aberturas na Alma'!$M$119/100^3))</f>
        <v>-37844.757676028334</v>
      </c>
      <c r="EH116">
        <f ca="1">-((IF(AW116="Sim",IF(AU116="Sim",$AB$93,ER116),IF(AU116="Sim",ET116,Geometria!$L$373)))/('Aberturas na Alma'!$M$112/100^2))+((IF(AW116="Sim",IF(AU116="Sim",$AB$94,ES116),IF(AU116="Sim",EU116,Geometria!$L$374)))/('Aberturas na Alma'!$M$119/100^3))-((Geometria!$R$419)/('Aberturas na Alma'!$M$119/100^3))-((Geometria!$R$430)/('Aberturas na Alma'!$M$119/100^3))</f>
        <v>-10220.413326776748</v>
      </c>
      <c r="EI116" s="371">
        <f ca="1">IF(AND('Aberturas na Alma'!$M$18="NÃO DISPENSADO — furo deve ser verificado (cálculo abaixo)",OR(AND(B116&gt;=('Aberturas na Alma'!$M$4-'Aberturas na Alma'!$M$7/2)/100,B116&lt;=('Aberturas na Alma'!$M$4+'Aberturas na Alma'!$M$7/2)/100),ABS(B116-'Aberturas na Alma'!$M$4/100)&lt;=Geometria!$L$29/4000)),IF(AY116="Reduzir",EG116,EH116),AZ116)</f>
        <v>-5763.973303919795</v>
      </c>
      <c r="EJ116">
        <f ca="1">-(CC116/('Aberturas na Alma'!$M$112/100^2))+(CD116/('Aberturas na Alma'!$M$119/100^3))-((Geometria!$R$419)/('Aberturas na Alma'!$M$119/100^3))-((Geometria!$R$430)/('Aberturas na Alma'!$M$119/100^3))-((Geometria!$L$76*Geometria!$R$441)/('Aberturas na Alma'!$M$119/100^3))</f>
        <v>-37844.757676028334</v>
      </c>
      <c r="EK116">
        <f ca="1">-((IF(BT116="Sim",IF(BR116="Sim",$AB$93,ER116),IF(BR116="Sim",ET116,Geometria!$L$373)))/('Aberturas na Alma'!$M$112/100^2))+((IF(BT116="Sim",IF(BR116="Sim",$AB$94,ES116),IF(BR116="Sim",EU116,Geometria!$L$374)))/('Aberturas na Alma'!$M$119/100^3))-((Geometria!$R$676)/('Aberturas na Alma'!$M$119/100^3))-((Geometria!$R$687)/('Aberturas na Alma'!$M$119/100^3))-((Geometria!$L$77*Geometria!$R$698)/('Aberturas na Alma'!$M$119/100^3))</f>
        <v>-29764.482743661945</v>
      </c>
      <c r="EL116" s="371">
        <f ca="1">IF(AND('Aberturas na Alma'!$M$18="NÃO DISPENSADO — furo deve ser verificado (cálculo abaixo)",OR(AND(B116&gt;=('Aberturas na Alma'!$M$4-'Aberturas na Alma'!$M$7/2)/100,B116&lt;=('Aberturas na Alma'!$M$4+'Aberturas na Alma'!$M$7/2)/100),ABS(B116-'Aberturas na Alma'!$M$4/100)&lt;=Geometria!$L$29/4000)),IF(BV116="Reduzir",EJ116,EK116),BW116)</f>
        <v>-5763.978318228173</v>
      </c>
      <c r="EM116">
        <f ca="1">-(CZ116/('Aberturas na Alma'!$M$112/100^2))+(DA116/('Aberturas na Alma'!$M$119/100^3))-((Geometria!$R$419)/('Aberturas na Alma'!$M$119/100^3))-((Geometria!$R$430)/('Aberturas na Alma'!$M$119/100^3))-((Geometria!$L$76*Geometria!$R$441)/('Aberturas na Alma'!$M$119/100^3))</f>
        <v>-39536.51745210454</v>
      </c>
      <c r="EN116">
        <f ca="1">-((IF(CQ116="Sim",IF(CO116="Sim",$AB$93,ER116),IF(CO116="Sim",ET116,Geometria!$L$373)))/('Aberturas na Alma'!$M$112/100^2))+((IF(CQ116="Sim",IF(CO116="Sim",$AB$94,ES116),IF(CO116="Sim",EU116,Geometria!$L$374)))/('Aberturas na Alma'!$M$119/100^3))-((Geometria!$R$676)/('Aberturas na Alma'!$M$119/100^3))-((Geometria!$R$687)/('Aberturas na Alma'!$M$119/100^3))</f>
        <v>-10220.413326776748</v>
      </c>
      <c r="EO116" s="371">
        <f ca="1">IF(AND('Aberturas na Alma'!$M$18="NÃO DISPENSADO — furo deve ser verificado (cálculo abaixo)",OR(AND(B116&gt;=('Aberturas na Alma'!$M$4-'Aberturas na Alma'!$M$7/2)/100,B116&lt;=('Aberturas na Alma'!$M$4+'Aberturas na Alma'!$M$7/2)/100),ABS(B116-'Aberturas na Alma'!$M$4/100)&lt;=Geometria!$L$29/4000)),IF(CS116="Reduzir",EM116,EN116),CT116)</f>
        <v>-5763.973303919795</v>
      </c>
      <c r="EP116" t="str">
        <f>IF(AND(Y116&lt;Geometria!$L$1409/100,OR(Geometria!$K$1409&gt;0,Geometria!$K$1407&gt;0)),"ESQ",IF(AND((Geometria!$L$29/100-Y116)&lt;Geometria!$R$1409/100,OR(Geometria!$Q$1409&gt;0,Geometria!$Q$1407&gt;0)),"DIR","N/A"))</f>
        <v>N/A</v>
      </c>
      <c r="EQ116" t="str">
        <f>IF(AND(Y116&lt;Geometria!$L$1405/100,Geometria!$K$1405&gt;0),"ESQ",IF(AND((Geometria!$L$29/100-Y116)&lt;Geometria!$R$1405/100,Geometria!$Q$1405&gt;0),"DIR","N/A"))</f>
        <v>N/A</v>
      </c>
      <c r="ER116">
        <f ca="1">IF(EP116="DIR",Geometria!$L$1470,Geometria!$L$1452)</f>
        <v>1243.5596228306003</v>
      </c>
      <c r="ES116">
        <f ca="1">IF(EP116="DIR",Geometria!$L$1471,Geometria!$L$1453)</f>
        <v>233.16742928073757</v>
      </c>
      <c r="ET116">
        <f ca="1">IF(EQ116="DIR",Geometria!$L$1472,Geometria!$L$1454)</f>
        <v>621.7798114153002</v>
      </c>
      <c r="EU116">
        <f ca="1">IF(EQ116="DIR",Geometria!$L$1473,Geometria!$L$1455)</f>
        <v>177.20724625336052</v>
      </c>
      <c r="EV116" t="str">
        <f>IF(AND(B116&lt;Geometria!$L$1409/100,OR(Geometria!$K$1409&gt;0,Geometria!$K$1407&gt;0)),"ESQ",IF(AND((Geometria!$L$29/100-B116)&lt;Geometria!$R$1409/100,OR(Geometria!$Q$1409&gt;0,Geometria!$Q$1407&gt;0)),"DIR","N/A"))</f>
        <v>N/A</v>
      </c>
      <c r="EW116" t="str">
        <f>IF(AND(B116&lt;Geometria!$L$1405/100,Geometria!$K$1405&gt;0),"ESQ",IF(AND((Geometria!$L$29/100-B116)&lt;Geometria!$R$1405/100,Geometria!$Q$1405&gt;0),"DIR","N/A"))</f>
        <v>N/A</v>
      </c>
      <c r="EX116">
        <f ca="1">IF(EV116="DIR",Geometria!$L$1465,Geometria!$L$1447)</f>
        <v>1499.8056003831216</v>
      </c>
      <c r="EY116">
        <f ca="1">IF(EV116="DIR",Geometria!$L$1466,Geometria!$L$1448)</f>
        <v>281.2135500718353</v>
      </c>
      <c r="EZ116">
        <f ca="1">IF(EW116="DIR",Geometria!$L$1467,Geometria!$L$1449)</f>
        <v>749.9028001915608</v>
      </c>
      <c r="FA116">
        <f ca="1">IF(EW116="DIR",Geometria!$L$1468,Geometria!$L$1450)</f>
        <v>213.72229805459483</v>
      </c>
    </row>
    <row r="117" spans="1:157" x14ac:dyDescent="0.25">
      <c r="A117" s="376" t="str">
        <f>IF(OR(AND(B117&lt;Geometria!$L$1405/100,Geometria!$K$1405&gt;0),AND((Geometria!$L$29/100-B117)&lt;Geometria!$R$1405/100,Geometria!$Q$1405&gt;0)),"Sim","Não")</f>
        <v>Sim</v>
      </c>
      <c r="B117" s="395">
        <f>Tensões!$B$69</f>
        <v>6.28</v>
      </c>
      <c r="C117" s="376" t="str">
        <f>IF(OR(AND(B117&lt;Geometria!$L$1409/100,OR(Geometria!$K$1409&gt;0,Geometria!$K$1407&gt;0)),AND((Geometria!$L$29/100-B117)&lt;Geometria!$R$1409/100,OR(Geometria!$Q$1409&gt;0,Geometria!$Q$1407&gt;0))),"Sim","Não")</f>
        <v>Não</v>
      </c>
      <c r="D117" s="122" t="s">
        <v>445</v>
      </c>
      <c r="E117" s="198" t="str">
        <f ca="1">E105</f>
        <v>OK</v>
      </c>
      <c r="F117" s="396">
        <f t="shared" ca="1" si="1"/>
        <v>6248.93516863549</v>
      </c>
      <c r="G117" s="397">
        <f ca="1">-L117/(Geometria!$L$48/100^2)+M117/(Geometria!$L$52/100^3)-Geometria!$L$898/(Geometria!$L$52/100^3)</f>
        <v>8988.514037319694</v>
      </c>
      <c r="H117" s="400">
        <f ca="1">H105</f>
        <v>195.91675378676064</v>
      </c>
      <c r="I117" s="743">
        <f ca="1">-(Geometria!$L$906-(Geometria!$L$906-EX117)*(1-(MIN(MIN(1,MAX(0,(B117-Geometria!$L$1409/100)/(Geometria!$N$1307/100))),MIN(1,MAX(0,((Geometria!$L$29/100-B117)-Geometria!$R$1409/100)/(Geometria!$N$1307/100))))))*(IF(OR(Geometria!$K$1409&gt;0,Geometria!$K$1407&gt;0,Geometria!$Q$1409&gt;0,Geometria!$Q$1407&gt;0),1,0))-(Geometria!$L$906-EZ117)*(1-(MIN(MIN(1,MAX(0,(B117-Geometria!$L$1405/100)/(Geometria!$N$1307/100))),MIN(1,MAX(0,((Geometria!$L$29/100-B117)-Geometria!$R$1405/100)/(Geometria!$N$1307/100))))))*(IF(OR(Geometria!$K$1405&gt;0,Geometria!$K$1403&gt;0,Geometria!$Q$1405&gt;0,Geometria!$Q$1403&gt;0),1,0)))/(Geometria!$L$48/100^2)+(Geometria!$L$907-(Geometria!$L$907-EY117)*(1-(MIN(MIN(1,MAX(0,(B117-Geometria!$L$1409/100)/(Geometria!$N$1307/100))),MIN(1,MAX(0,((Geometria!$L$29/100-B117)-Geometria!$R$1409/100)/(Geometria!$N$1307/100))))))*(IF(OR(Geometria!$K$1409&gt;0,Geometria!$K$1407&gt;0,Geometria!$Q$1409&gt;0,Geometria!$Q$1407&gt;0),1,0))-(Geometria!$L$907-FA117)*(1-(MIN(MIN(1,MAX(0,(B117-Geometria!$L$1405/100)/(Geometria!$N$1307/100))),MIN(1,MAX(0,((Geometria!$L$29/100-B117)-Geometria!$R$1405/100)/(Geometria!$N$1307/100))))))*(IF(OR(Geometria!$K$1405&gt;0,Geometria!$K$1403&gt;0,Geometria!$Q$1405&gt;0,Geometria!$Q$1403&gt;0),1,0)))/(Geometria!$L$52/100^3)-Geometria!$K$904/(Geometria!$L$52/100^3)</f>
        <v>6248.93516863549</v>
      </c>
      <c r="J117" s="743"/>
      <c r="L117" s="373">
        <f ca="1">(Geometria!$L$298-(Geometria!$L$298-IF(B117&lt;Geometria!$L$1409/100,Geometria!$L$1442,Geometria!$L$1460))*(1-(MIN(MIN(1,MAX(0,(B117-Geometria!$L$1409/100)/(Geometria!$N$1307/100))),MIN(1,MAX(0,((Geometria!$L$29/100-B117)-Geometria!$R$1409/100)/(Geometria!$N$1307/100))))))*(IF(OR(Geometria!$K$1409&gt;0,Geometria!$K$1407&gt;0,Geometria!$Q$1409&gt;0,Geometria!$Q$1407&gt;0),1,0))-(Geometria!$L$298-IF(B117&lt;Geometria!$L$1405/100,Geometria!$L$1444,Geometria!$L$1462))*(1-(MIN(MIN(1,MAX(0,(B117-Geometria!$L$1405/100)/(Geometria!$N$1307/100))),MIN(1,MAX(0,((Geometria!$L$29/100-B117)-Geometria!$R$1405/100)/(Geometria!$N$1307/100))))))*(IF(OR(Geometria!$K$1405&gt;0,Geometria!$K$1403&gt;0,Geometria!$Q$1405&gt;0,Geometria!$Q$1403&gt;0),1,0)))*H140+Geometria!$P$1429*H117</f>
        <v>916.684179560159</v>
      </c>
      <c r="M117" s="373">
        <f ca="1">(Geometria!$L$298-(Geometria!$L$298-IF(B117&lt;Geometria!$L$1409/100,Geometria!$L$1442,Geometria!$L$1460))*(1-(MIN(MIN(1,MAX(0,(B117-Geometria!$L$1409/100)/(Geometria!$N$1307/100))),MIN(1,MAX(0,((Geometria!$L$29/100-B117)-Geometria!$R$1409/100)/(Geometria!$N$1307/100))))))*(IF(OR(Geometria!$K$1409&gt;0,Geometria!$K$1407&gt;0,Geometria!$Q$1409&gt;0,Geometria!$Q$1407&gt;0),1,0))-(Geometria!$L$298-IF(B117&lt;Geometria!$L$1405/100,Geometria!$L$1444,Geometria!$L$1462))*(1-(MIN(MIN(1,MAX(0,(B117-Geometria!$L$1405/100)/(Geometria!$N$1307/100))),MIN(1,MAX(0,((Geometria!$L$29/100-B117)-Geometria!$R$1405/100)/(Geometria!$N$1307/100))))))*(IF(OR(Geometria!$K$1405&gt;0,Geometria!$K$1403&gt;0,Geometria!$Q$1405&gt;0,Geometria!$Q$1403&gt;0),1,0)))*H140*(Geometria!$L$299-(Geometria!$L$299-IF(B117&lt;Geometria!$L$1409/100,Geometria!$L$1443,Geometria!$L$1461))*(1-(MIN(MIN(1,MAX(0,(B117-Geometria!$L$1409/100)/(Geometria!$N$1307/100))),MIN(1,MAX(0,((Geometria!$L$29/100-B117)-Geometria!$R$1409/100)/(Geometria!$N$1307/100))))))*(IF(OR(Geometria!$K$1409&gt;0,Geometria!$K$1407&gt;0,Geometria!$Q$1409&gt;0,Geometria!$Q$1407&gt;0),1,0))-(Geometria!$L$299-IF(B117&lt;Geometria!$L$1405/100,Geometria!$L$1445,Geometria!$L$1463))*(1-(MIN(MIN(1,MAX(0,(B117-Geometria!$L$1405/100)/(Geometria!$N$1307/100))),MIN(1,MAX(0,((Geometria!$L$29/100-B117)-Geometria!$R$1405/100)/(Geometria!$N$1307/100))))))*(IF(OR(Geometria!$K$1405&gt;0,Geometria!$K$1403&gt;0,Geometria!$Q$1405&gt;0,Geometria!$Q$1403&gt;0),1,0)))/100-Geometria!$P$1429*H117*Geometria!$L$1438/100</f>
        <v>261.25499117464534</v>
      </c>
      <c r="N117" s="365"/>
      <c r="O117" s="371">
        <f ca="1">(IF(C117="Sim",IF(A117="Sim",$E$93,EX117),IF(A117="Sim",EZ117,Geometria!$L$906)))</f>
        <v>749.9028001915608</v>
      </c>
      <c r="P117" s="371">
        <f ca="1">(IF(C117="Sim",IF(A117="Sim",$E$94,EY117),IF(A117="Sim",FA117,Geometria!$L$907)))</f>
        <v>213.72229805459483</v>
      </c>
      <c r="R117" s="4" t="s">
        <v>445</v>
      </c>
      <c r="S117" s="202">
        <f t="shared" ca="1" si="11"/>
        <v>6248.93516863549</v>
      </c>
      <c r="T117" s="38" t="s">
        <v>234</v>
      </c>
      <c r="U117" s="203">
        <f t="shared" ca="1" si="2"/>
        <v>6.24893516863549</v>
      </c>
      <c r="V117" s="38" t="s">
        <v>160</v>
      </c>
      <c r="W117" s="399">
        <f t="shared" si="12"/>
        <v>0.0</v>
      </c>
      <c r="X117" s="376" t="str">
        <f>IF(OR(AND(Y117&lt;Geometria!$L$1405/100,Geometria!$K$1405&gt;0),AND((Geometria!$L$29/100-Y117)&lt;Geometria!$R$1405/100,Geometria!$Q$1405&gt;0)),"Sim","Não")</f>
        <v>Sim</v>
      </c>
      <c r="Y117" s="395">
        <f>Geometria!$K$421</f>
        <v>6.28</v>
      </c>
      <c r="Z117" s="376" t="str">
        <f>IF(OR(AND(Y117&lt;Geometria!$L$1409/100,OR(Geometria!$K$1409&gt;0,Geometria!$K$1407&gt;0)),AND((Geometria!$L$29/100-Y117)&lt;Geometria!$R$1409/100,OR(Geometria!$Q$1409&gt;0,Geometria!$Q$1407&gt;0))),"Sim","Não")</f>
        <v>Não</v>
      </c>
      <c r="AA117" s="122" t="s">
        <v>445</v>
      </c>
      <c r="AB117" s="198" t="str">
        <f ca="1">AB105</f>
        <v>OK</v>
      </c>
      <c r="AC117" s="401">
        <f t="shared" ca="1" si="3"/>
        <v>-3889.871088600677</v>
      </c>
      <c r="AD117" s="403">
        <f ca="1">-(AI117/(Geometria!$L$48/100^2))+(AJ117/(Geometria!$L$52/100^3))-((Geometria!$K$422)/(Geometria!$L$52/100^3))-((Geometria!$K$433)/(Geometria!$M$52))-((Geometria!$L$76*Geometria!$K$444)/(Geometria!$M$52))</f>
        <v>-3889.871088600677</v>
      </c>
      <c r="AE117" s="400">
        <f ca="1">AE105</f>
        <v>165.5500323286782</v>
      </c>
      <c r="AF117" s="751">
        <f ca="1">-((Geometria!$L$373-(Geometria!$L$373-ER117)*(1-(MIN(MIN(1,MAX(0,(Y117-Geometria!$L$1409/100)/(Geometria!$N$1307/100))),MIN(1,MAX(0,((Geometria!$L$29/100-Y117)-Geometria!$R$1409/100)/(Geometria!$N$1307/100))))))*(IF(OR(Geometria!$K$1409&gt;0,Geometria!$K$1407&gt;0,Geometria!$Q$1409&gt;0,Geometria!$Q$1407&gt;0),1,0))-(Geometria!$L$373-ET117)*(1-(MIN(MIN(1,MAX(0,(Y117-Geometria!$L$1405/100)/(Geometria!$N$1307/100))),MIN(1,MAX(0,((Geometria!$L$29/100-Y117)-Geometria!$R$1405/100)/(Geometria!$N$1307/100))))))*(IF(OR(Geometria!$K$1405&gt;0,Geometria!$K$1403&gt;0,Geometria!$Q$1405&gt;0,Geometria!$Q$1403&gt;0),1,0))))/(Geometria!$L$48/100^2)+((Geometria!$L$374-(Geometria!$L$374-ES117)*(1-(MIN(MIN(1,MAX(0,(Y117-Geometria!$L$1409/100)/(Geometria!$N$1307/100))),MIN(1,MAX(0,((Geometria!$L$29/100-Y117)-Geometria!$R$1409/100)/(Geometria!$N$1307/100))))))*(IF(OR(Geometria!$K$1409&gt;0,Geometria!$K$1407&gt;0,Geometria!$Q$1409&gt;0,Geometria!$Q$1407&gt;0),1,0))-(Geometria!$L$374-EU117)*(1-(MIN(MIN(1,MAX(0,(Y117-Geometria!$L$1405/100)/(Geometria!$N$1307/100))),MIN(1,MAX(0,((Geometria!$L$29/100-Y117)-Geometria!$R$1405/100)/(Geometria!$N$1307/100))))))*(IF(OR(Geometria!$K$1405&gt;0,Geometria!$K$1403&gt;0,Geometria!$Q$1405&gt;0,Geometria!$Q$1403&gt;0),1,0))))/(Geometria!$L$52/100^3)-((Geometria!$K$422)/(Geometria!$L$52/100^3))-((Geometria!$K$433)/(Geometria!$M$52))-((Geometria!$L$76*Geometria!$K$444)/(Geometria!$M$52))</f>
        <v>-3889.871088600677</v>
      </c>
      <c r="AG117" s="751"/>
      <c r="AI117" s="373">
        <f ca="1">(IF(Z117="Sim",IF(X117="Sim",IF(Y117&lt;Geometria!$L$1405/100,Geometria!$L$1435,Geometria!$L$1476),IF(Y117&lt;Geometria!$L$1409/100,Geometria!$L$1442,Geometria!$L$1460)),IF(X117="Sim",IF(Y117&lt;Geometria!$L$1405/100,Geometria!$L$1444,Geometria!$L$1462),Geometria!$L$298)))*AE140+Geometria!$P$1429*AE117</f>
        <v>621.7798114153002</v>
      </c>
      <c r="AJ117" s="373">
        <f ca="1">(IF(Z117="Sim",IF(X117="Sim",IF(Y117&lt;Geometria!$L$1405/100,Geometria!$L$1435,Geometria!$L$1476),IF(Y117&lt;Geometria!$L$1409/100,Geometria!$L$1442,Geometria!$L$1460)),IF(X117="Sim",IF(Y117&lt;Geometria!$L$1405/100,Geometria!$L$1444,Geometria!$L$1462),Geometria!$L$298)))*AE140*(IF(Z117="Sim",IF(X117="Sim",IF(Y117&lt;Geometria!$L$1405/100,Geometria!$L$1436,Geometria!$L$1484),IF(Y117&lt;Geometria!$L$1409/100,Geometria!$L$1443,Geometria!$L$1461)),IF(X117="Sim",IF(Y117&lt;Geometria!$L$1405/100,Geometria!$L$1445,Geometria!$L$1463),Geometria!$L$299)))/100-Geometria!$P$1429*AE117*Geometria!$L$1438/100</f>
        <v>177.20724625336052</v>
      </c>
      <c r="AK117" s="365"/>
      <c r="AL117" s="371">
        <f ca="1">(IF(Z117="Sim",IF(X117="Sim",$AB$93,ER117),IF(X117="Sim",ET117,Geometria!$L$373)))</f>
        <v>621.7798114153002</v>
      </c>
      <c r="AM117" s="371">
        <f ca="1">(IF(Z117="Sim",IF(X117="Sim",$AB$94,ES117),IF(X117="Sim",EU117,Geometria!$L$374)))</f>
        <v>177.20724625336052</v>
      </c>
      <c r="AO117" s="4" t="s">
        <v>445</v>
      </c>
      <c r="AP117" s="202">
        <f t="shared" ca="1" si="13"/>
        <v>-3889.871088600677</v>
      </c>
      <c r="AQ117" s="38" t="s">
        <v>234</v>
      </c>
      <c r="AR117" s="203">
        <f t="shared" ca="1" si="4"/>
        <v>-3.889871088600677</v>
      </c>
      <c r="AS117" s="38" t="s">
        <v>160</v>
      </c>
      <c r="AT117" s="399">
        <f t="shared" si="14"/>
        <v>0.0</v>
      </c>
      <c r="AU117" s="376" t="str">
        <f>IF(OR(AND(AV117&lt;Geometria!$L$1405/100,Geometria!$K$1405&gt;0),AND((Geometria!$L$29/100-AV117)&lt;Geometria!$R$1405/100,Geometria!$Q$1405&gt;0)),"Sim","Não")</f>
        <v>Sim</v>
      </c>
      <c r="AV117" s="395">
        <f>Geometria!$K$421</f>
        <v>6.28</v>
      </c>
      <c r="AW117" s="376" t="str">
        <f>IF(OR(AND(AV117&lt;Geometria!$L$1409/100,OR(Geometria!$K$1409&gt;0,Geometria!$K$1407&gt;0)),AND((Geometria!$L$29/100-AV117)&lt;Geometria!$R$1409/100,OR(Geometria!$Q$1409&gt;0,Geometria!$Q$1407&gt;0))),"Sim","Não")</f>
        <v>Não</v>
      </c>
      <c r="AX117" s="122" t="s">
        <v>445</v>
      </c>
      <c r="AY117" s="198" t="str">
        <f ca="1">AY105</f>
        <v>OK</v>
      </c>
      <c r="AZ117" s="401">
        <f t="shared" ca="1" si="5"/>
        <v>-3889.8646702859546</v>
      </c>
      <c r="BA117" s="403">
        <f ca="1">-(BF117/(Geometria!$L$48/100^2))+(BG117/(Geometria!$L$52/100^3))-((Geometria!$K$422)/(Geometria!$L$52/100^3))-((Geometria!$K$433)/(Geometria!$M$52))-((Geometria!$L$76*Geometria!$K$444)/(Geometria!$M$52))</f>
        <v>-3889.871088600677</v>
      </c>
      <c r="BB117" s="400">
        <f ca="1">BB105</f>
        <v>165.5500323286782</v>
      </c>
      <c r="BC117" s="751">
        <f ca="1">-((Geometria!$L$373-(Geometria!$L$373-ER117)*(1-(MIN(MIN(1,MAX(0,(AV117-Geometria!$L$1409/100)/(Geometria!$N$1307/100))),MIN(1,MAX(0,((Geometria!$L$29/100-AV117)-Geometria!$R$1409/100)/(Geometria!$N$1307/100))))))*(IF(OR(Geometria!$K$1409&gt;0,Geometria!$K$1407&gt;0,Geometria!$Q$1409&gt;0,Geometria!$Q$1407&gt;0),1,0))-(Geometria!$L$373-ET117)*(1-(MIN(MIN(1,MAX(0,(AV117-Geometria!$L$1405/100)/(Geometria!$N$1307/100))),MIN(1,MAX(0,((Geometria!$L$29/100-AV117)-Geometria!$R$1405/100)/(Geometria!$N$1307/100))))))*(IF(OR(Geometria!$K$1405&gt;0,Geometria!$K$1403&gt;0,Geometria!$Q$1405&gt;0,Geometria!$Q$1403&gt;0),1,0))))/(Geometria!$L$48/100^2)+((Geometria!$L$374-(Geometria!$L$374-ES117)*(1-(MIN(MIN(1,MAX(0,(AV117-Geometria!$L$1409/100)/(Geometria!$N$1307/100))),MIN(1,MAX(0,((Geometria!$L$29/100-AV117)-Geometria!$R$1409/100)/(Geometria!$N$1307/100))))))*(IF(OR(Geometria!$K$1409&gt;0,Geometria!$K$1407&gt;0,Geometria!$Q$1409&gt;0,Geometria!$Q$1407&gt;0),1,0))-(Geometria!$L$374-EU117)*(1-(MIN(MIN(1,MAX(0,(AV117-Geometria!$L$1405/100)/(Geometria!$N$1307/100))),MIN(1,MAX(0,((Geometria!$L$29/100-AV117)-Geometria!$R$1405/100)/(Geometria!$N$1307/100))))))*(IF(OR(Geometria!$K$1405&gt;0,Geometria!$K$1403&gt;0,Geometria!$Q$1405&gt;0,Geometria!$Q$1403&gt;0),1,0))))/(Geometria!$L$52/100^3)-((Geometria!$K$422)/(Geometria!$L$52/100^3))-((Geometria!$K$433)/(Geometria!$M$52))</f>
        <v>-3889.8646702859546</v>
      </c>
      <c r="BD117" s="751"/>
      <c r="BF117" s="373">
        <f ca="1">(Geometria!$L$298-(Geometria!$L$298-IF(AV117&lt;Geometria!$L$1409/100,Geometria!$L$1442,Geometria!$L$1460))*(1-(MIN(MIN(1,MAX(0,(AV117-Geometria!$L$1409/100)/(Geometria!$N$1307/100))),MIN(1,MAX(0,((Geometria!$L$29/100-AV117)-Geometria!$R$1409/100)/(Geometria!$N$1307/100))))))*(IF(OR(Geometria!$K$1409&gt;0,Geometria!$K$1407&gt;0,Geometria!$Q$1409&gt;0,Geometria!$Q$1407&gt;0),1,0))-(Geometria!$L$298-IF(AV117&lt;Geometria!$L$1405/100,Geometria!$L$1444,Geometria!$L$1462))*(1-(MIN(MIN(1,MAX(0,(AV117-Geometria!$L$1405/100)/(Geometria!$N$1307/100))),MIN(1,MAX(0,((Geometria!$L$29/100-AV117)-Geometria!$R$1405/100)/(Geometria!$N$1307/100))))))*(IF(OR(Geometria!$K$1405&gt;0,Geometria!$K$1403&gt;0,Geometria!$Q$1405&gt;0,Geometria!$Q$1403&gt;0),1,0)))*BB140+Geometria!$P$1429*BB117</f>
        <v>621.7798114153002</v>
      </c>
      <c r="BG117" s="373">
        <f ca="1">(Geometria!$L$298-(Geometria!$L$298-IF(AV117&lt;Geometria!$L$1409/100,Geometria!$L$1442,Geometria!$L$1460))*(1-(MIN(MIN(1,MAX(0,(AV117-Geometria!$L$1409/100)/(Geometria!$N$1307/100))),MIN(1,MAX(0,((Geometria!$L$29/100-AV117)-Geometria!$R$1409/100)/(Geometria!$N$1307/100))))))*(IF(OR(Geometria!$K$1409&gt;0,Geometria!$K$1407&gt;0,Geometria!$Q$1409&gt;0,Geometria!$Q$1407&gt;0),1,0))-(Geometria!$L$298-IF(AV117&lt;Geometria!$L$1405/100,Geometria!$L$1444,Geometria!$L$1462))*(1-(MIN(MIN(1,MAX(0,(AV117-Geometria!$L$1405/100)/(Geometria!$N$1307/100))),MIN(1,MAX(0,((Geometria!$L$29/100-AV117)-Geometria!$R$1405/100)/(Geometria!$N$1307/100))))))*(IF(OR(Geometria!$K$1405&gt;0,Geometria!$K$1403&gt;0,Geometria!$Q$1405&gt;0,Geometria!$Q$1403&gt;0),1,0)))*BB140*(Geometria!$L$299-(Geometria!$L$299-IF(AV117&lt;Geometria!$L$1409/100,Geometria!$L$1443,Geometria!$L$1461))*(1-(MIN(MIN(1,MAX(0,(AV117-Geometria!$L$1409/100)/(Geometria!$N$1307/100))),MIN(1,MAX(0,((Geometria!$L$29/100-AV117)-Geometria!$R$1409/100)/(Geometria!$N$1307/100))))))*(IF(OR(Geometria!$K$1409&gt;0,Geometria!$K$1407&gt;0,Geometria!$Q$1409&gt;0,Geometria!$Q$1407&gt;0),1,0))-(Geometria!$L$299-IF(AV117&lt;Geometria!$L$1405/100,Geometria!$L$1445,Geometria!$L$1463))*(1-(MIN(MIN(1,MAX(0,(AV117-Geometria!$L$1405/100)/(Geometria!$N$1307/100))),MIN(1,MAX(0,((Geometria!$L$29/100-AV117)-Geometria!$R$1405/100)/(Geometria!$N$1307/100))))))*(IF(OR(Geometria!$K$1405&gt;0,Geometria!$K$1403&gt;0,Geometria!$Q$1405&gt;0,Geometria!$Q$1403&gt;0),1,0)))/100-Geometria!$P$1429*BB117*Geometria!$L$1438/100</f>
        <v>177.20724625336052</v>
      </c>
      <c r="BH117" s="365"/>
      <c r="BI117" s="371">
        <f ca="1">(IF(AW117="Sim",IF(AU117="Sim",$AB$93,ER117),IF(AU117="Sim",ET117,Geometria!$L$373)))</f>
        <v>621.7798114153002</v>
      </c>
      <c r="BJ117" s="371">
        <f ca="1">(IF(AW117="Sim",IF(AU117="Sim",$AB$94,ES117),IF(AU117="Sim",EU117,Geometria!$L$374)))</f>
        <v>177.20724625336052</v>
      </c>
      <c r="BL117" s="4" t="s">
        <v>445</v>
      </c>
      <c r="BM117" s="202">
        <f t="shared" ca="1" si="15"/>
        <v>-3889.8646702859546</v>
      </c>
      <c r="BN117" s="38" t="s">
        <v>234</v>
      </c>
      <c r="BO117" s="203">
        <f t="shared" ca="1" si="6"/>
        <v>-3.8898646702859545</v>
      </c>
      <c r="BP117" s="38" t="s">
        <v>160</v>
      </c>
      <c r="BQ117" s="399">
        <f t="shared" si="16"/>
        <v>0.0</v>
      </c>
      <c r="BR117" s="376" t="str">
        <f>IF(OR(AND(BS117&lt;Geometria!$L$1405/100,Geometria!$K$1405&gt;0),AND((Geometria!$L$29/100-BS117)&lt;Geometria!$R$1405/100,Geometria!$Q$1405&gt;0)),"Sim","Não")</f>
        <v>Sim</v>
      </c>
      <c r="BS117" s="395">
        <f>Geometria!$K$421</f>
        <v>6.28</v>
      </c>
      <c r="BT117" s="376" t="str">
        <f>IF(OR(AND(BS117&lt;Geometria!$L$1409/100,OR(Geometria!$K$1409&gt;0,Geometria!$K$1407&gt;0)),AND((Geometria!$L$29/100-BS117)&lt;Geometria!$R$1409/100,OR(Geometria!$Q$1409&gt;0,Geometria!$Q$1407&gt;0))),"Sim","Não")</f>
        <v>Não</v>
      </c>
      <c r="BU117" s="122" t="s">
        <v>445</v>
      </c>
      <c r="BV117" s="198" t="str">
        <f ca="1">BV105</f>
        <v>OK</v>
      </c>
      <c r="BW117" s="401">
        <f t="shared" ca="1" si="7"/>
        <v>-3889.8689491624364</v>
      </c>
      <c r="BX117" s="403">
        <f ca="1">-(CC117/(Geometria!$L$48/100^2))+(CD117/(Geometria!$L$52/100^3))-((Geometria!$K$422)/(Geometria!$L$52/100^3))-((Geometria!$K$433)/(Geometria!$M$52))-((Geometria!$L$76*Geometria!$K$444)/(Geometria!$M$52))</f>
        <v>-3889.871088600677</v>
      </c>
      <c r="BY117" s="400">
        <f ca="1">BY105</f>
        <v>165.5500323286782</v>
      </c>
      <c r="BZ117" s="751">
        <f ca="1">-((Geometria!$L$373-(Geometria!$L$373-ER117)*(1-(MIN(MIN(1,MAX(0,(BS117-Geometria!$L$1409/100)/(Geometria!$N$1307/100))),MIN(1,MAX(0,((Geometria!$L$29/100-BS117)-Geometria!$R$1409/100)/(Geometria!$N$1307/100))))))*(IF(OR(Geometria!$K$1409&gt;0,Geometria!$K$1407&gt;0,Geometria!$Q$1409&gt;0,Geometria!$Q$1407&gt;0),1,0))-(Geometria!$L$373-ET117)*(1-(MIN(MIN(1,MAX(0,(BS117-Geometria!$L$1405/100)/(Geometria!$N$1307/100))),MIN(1,MAX(0,((Geometria!$L$29/100-BS117)-Geometria!$R$1405/100)/(Geometria!$N$1307/100))))))*(IF(OR(Geometria!$K$1405&gt;0,Geometria!$K$1403&gt;0,Geometria!$Q$1405&gt;0,Geometria!$Q$1403&gt;0),1,0))))/(Geometria!$L$48/100^2)+((Geometria!$L$374-(Geometria!$L$374-ES117)*(1-(MIN(MIN(1,MAX(0,(BS117-Geometria!$L$1409/100)/(Geometria!$N$1307/100))),MIN(1,MAX(0,((Geometria!$L$29/100-BS117)-Geometria!$R$1409/100)/(Geometria!$N$1307/100))))))*(IF(OR(Geometria!$K$1409&gt;0,Geometria!$K$1407&gt;0,Geometria!$Q$1409&gt;0,Geometria!$Q$1407&gt;0),1,0))-(Geometria!$L$374-EU117)*(1-(MIN(MIN(1,MAX(0,(BS117-Geometria!$L$1405/100)/(Geometria!$N$1307/100))),MIN(1,MAX(0,((Geometria!$L$29/100-BS117)-Geometria!$R$1405/100)/(Geometria!$N$1307/100))))))*(IF(OR(Geometria!$K$1405&gt;0,Geometria!$K$1403&gt;0,Geometria!$Q$1405&gt;0,Geometria!$Q$1403&gt;0),1,0))))/(Geometria!$L$52/100^3)-((Geometria!$K$679)/(Geometria!$L$52/100^3))-((Geometria!$K$690)/(Geometria!$M$52))-((Geometria!$L$77*Geometria!$K$701)/(Geometria!$M$52))</f>
        <v>-3889.8689491624364</v>
      </c>
      <c r="CA117" s="751"/>
      <c r="CC117" s="373">
        <f ca="1">(Geometria!$L$298-(Geometria!$L$298-IF(BS117&lt;Geometria!$L$1409/100,Geometria!$L$1442,Geometria!$L$1460))*(1-(MIN(MIN(1,MAX(0,(BS117-Geometria!$L$1409/100)/(Geometria!$N$1307/100))),MIN(1,MAX(0,((Geometria!$L$29/100-BS117)-Geometria!$R$1409/100)/(Geometria!$N$1307/100))))))*(IF(OR(Geometria!$K$1409&gt;0,Geometria!$K$1407&gt;0,Geometria!$Q$1409&gt;0,Geometria!$Q$1407&gt;0),1,0))-(Geometria!$L$298-IF(BS117&lt;Geometria!$L$1405/100,Geometria!$L$1444,Geometria!$L$1462))*(1-(MIN(MIN(1,MAX(0,(BS117-Geometria!$L$1405/100)/(Geometria!$N$1307/100))),MIN(1,MAX(0,((Geometria!$L$29/100-BS117)-Geometria!$R$1405/100)/(Geometria!$N$1307/100))))))*(IF(OR(Geometria!$K$1405&gt;0,Geometria!$K$1403&gt;0,Geometria!$Q$1405&gt;0,Geometria!$Q$1403&gt;0),1,0)))*BY140+Geometria!$P$1429*BY117</f>
        <v>621.7798114153002</v>
      </c>
      <c r="CD117" s="373">
        <f ca="1">(Geometria!$L$298-(Geometria!$L$298-IF(BS117&lt;Geometria!$L$1409/100,Geometria!$L$1442,Geometria!$L$1460))*(1-(MIN(MIN(1,MAX(0,(BS117-Geometria!$L$1409/100)/(Geometria!$N$1307/100))),MIN(1,MAX(0,((Geometria!$L$29/100-BS117)-Geometria!$R$1409/100)/(Geometria!$N$1307/100))))))*(IF(OR(Geometria!$K$1409&gt;0,Geometria!$K$1407&gt;0,Geometria!$Q$1409&gt;0,Geometria!$Q$1407&gt;0),1,0))-(Geometria!$L$298-IF(BS117&lt;Geometria!$L$1405/100,Geometria!$L$1444,Geometria!$L$1462))*(1-(MIN(MIN(1,MAX(0,(BS117-Geometria!$L$1405/100)/(Geometria!$N$1307/100))),MIN(1,MAX(0,((Geometria!$L$29/100-BS117)-Geometria!$R$1405/100)/(Geometria!$N$1307/100))))))*(IF(OR(Geometria!$K$1405&gt;0,Geometria!$K$1403&gt;0,Geometria!$Q$1405&gt;0,Geometria!$Q$1403&gt;0),1,0)))*BY140*(Geometria!$L$299-(Geometria!$L$299-IF(BS117&lt;Geometria!$L$1409/100,Geometria!$L$1443,Geometria!$L$1461))*(1-(MIN(MIN(1,MAX(0,(BS117-Geometria!$L$1409/100)/(Geometria!$N$1307/100))),MIN(1,MAX(0,((Geometria!$L$29/100-BS117)-Geometria!$R$1409/100)/(Geometria!$N$1307/100))))))*(IF(OR(Geometria!$K$1409&gt;0,Geometria!$K$1407&gt;0,Geometria!$Q$1409&gt;0,Geometria!$Q$1407&gt;0),1,0))-(Geometria!$L$299-IF(BS117&lt;Geometria!$L$1405/100,Geometria!$L$1445,Geometria!$L$1463))*(1-(MIN(MIN(1,MAX(0,(BS117-Geometria!$L$1405/100)/(Geometria!$N$1307/100))),MIN(1,MAX(0,((Geometria!$L$29/100-BS117)-Geometria!$R$1405/100)/(Geometria!$N$1307/100))))))*(IF(OR(Geometria!$K$1405&gt;0,Geometria!$K$1403&gt;0,Geometria!$Q$1405&gt;0,Geometria!$Q$1403&gt;0),1,0)))/100-Geometria!$P$1429*BY117*Geometria!$L$1438/100</f>
        <v>177.20724625336052</v>
      </c>
      <c r="CE117" s="365"/>
      <c r="CF117" s="371">
        <f ca="1">(IF(BT117="Sim",IF(BR117="Sim",$AB$93,ER117),IF(BR117="Sim",ET117,Geometria!$L$373)))</f>
        <v>621.7798114153002</v>
      </c>
      <c r="CG117" s="371">
        <f ca="1">(IF(BT117="Sim",IF(BR117="Sim",$AB$94,ES117),IF(BR117="Sim",EU117,Geometria!$L$374)))</f>
        <v>177.20724625336052</v>
      </c>
      <c r="CI117" s="4" t="s">
        <v>445</v>
      </c>
      <c r="CJ117" s="202">
        <f t="shared" ca="1" si="17"/>
        <v>-3889.8689491624364</v>
      </c>
      <c r="CK117" s="38" t="s">
        <v>234</v>
      </c>
      <c r="CL117" s="203">
        <f t="shared" ca="1" si="8"/>
        <v>-3.8898689491624365</v>
      </c>
      <c r="CM117" s="38" t="s">
        <v>160</v>
      </c>
      <c r="CN117" s="399">
        <f t="shared" si="18"/>
        <v>0.0</v>
      </c>
      <c r="CO117" s="376" t="str">
        <f>IF(OR(AND(CP117&lt;Geometria!$L$1405/100,Geometria!$K$1405&gt;0),AND((Geometria!$L$29/100-CP117)&lt;Geometria!$R$1405/100,Geometria!$Q$1405&gt;0)),"Sim","Não")</f>
        <v>Sim</v>
      </c>
      <c r="CP117" s="395">
        <f>Geometria!$K$421</f>
        <v>6.28</v>
      </c>
      <c r="CQ117" s="376" t="str">
        <f>IF(OR(AND(CP117&lt;Geometria!$L$1409/100,OR(Geometria!$K$1409&gt;0,Geometria!$K$1407&gt;0)),AND((Geometria!$L$29/100-CP117)&lt;Geometria!$R$1409/100,OR(Geometria!$Q$1409&gt;0,Geometria!$Q$1407&gt;0))),"Sim","Não")</f>
        <v>Não</v>
      </c>
      <c r="CR117" s="122" t="s">
        <v>445</v>
      </c>
      <c r="CS117" s="198" t="str">
        <f ca="1">CS105</f>
        <v>OK</v>
      </c>
      <c r="CT117" s="401">
        <f t="shared" ca="1" si="9"/>
        <v>-3889.8646702859546</v>
      </c>
      <c r="CU117" s="403">
        <f ca="1">-(CZ117/(Geometria!$L$48/100^2))+(DA117/(Geometria!$L$52/100^3))-((Geometria!$K$422)/(Geometria!$L$52/100^3))-((Geometria!$K$433)/(Geometria!$M$52))-((Geometria!$L$76*Geometria!$K$444)/(Geometria!$M$52))</f>
        <v>-3889.871088600677</v>
      </c>
      <c r="CV117" s="400">
        <f ca="1">CV105</f>
        <v>165.5500323286782</v>
      </c>
      <c r="CW117" s="751">
        <f ca="1">-((Geometria!$L$373-(Geometria!$L$373-ER117)*(1-(MIN(MIN(1,MAX(0,(CP117-Geometria!$L$1409/100)/(Geometria!$N$1307/100))),MIN(1,MAX(0,((Geometria!$L$29/100-CP117)-Geometria!$R$1409/100)/(Geometria!$N$1307/100))))))*(IF(OR(Geometria!$K$1409&gt;0,Geometria!$K$1407&gt;0,Geometria!$Q$1409&gt;0,Geometria!$Q$1407&gt;0),1,0))-(Geometria!$L$373-ET117)*(1-(MIN(MIN(1,MAX(0,(CP117-Geometria!$L$1405/100)/(Geometria!$N$1307/100))),MIN(1,MAX(0,((Geometria!$L$29/100-CP117)-Geometria!$R$1405/100)/(Geometria!$N$1307/100))))))*(IF(OR(Geometria!$K$1405&gt;0,Geometria!$K$1403&gt;0,Geometria!$Q$1405&gt;0,Geometria!$Q$1403&gt;0),1,0))))/(Geometria!$L$48/100^2)+((Geometria!$L$374-(Geometria!$L$374-ES117)*(1-(MIN(MIN(1,MAX(0,(CP117-Geometria!$L$1409/100)/(Geometria!$N$1307/100))),MIN(1,MAX(0,((Geometria!$L$29/100-CP117)-Geometria!$R$1409/100)/(Geometria!$N$1307/100))))))*(IF(OR(Geometria!$K$1409&gt;0,Geometria!$K$1407&gt;0,Geometria!$Q$1409&gt;0,Geometria!$Q$1407&gt;0),1,0))-(Geometria!$L$374-EU117)*(1-(MIN(MIN(1,MAX(0,(CP117-Geometria!$L$1405/100)/(Geometria!$N$1307/100))),MIN(1,MAX(0,((Geometria!$L$29/100-CP117)-Geometria!$R$1405/100)/(Geometria!$N$1307/100))))))*(IF(OR(Geometria!$K$1405&gt;0,Geometria!$K$1403&gt;0,Geometria!$Q$1405&gt;0,Geometria!$Q$1403&gt;0),1,0))))/(Geometria!$L$52/100^3)-((Geometria!$K$679)/(Geometria!$L$52/100^3))-((Geometria!$K$690)/(Geometria!$M$52))</f>
        <v>-3889.8646702859546</v>
      </c>
      <c r="CX117" s="751"/>
      <c r="CZ117" s="373">
        <f ca="1">(IF(CQ117="Sim",IF(CO117="Sim",IF(CP117&lt;Geometria!$L$1405/100,Geometria!$L$1435,Geometria!$L$1476),IF(CP117&lt;Geometria!$L$1409/100,Geometria!$L$1442,Geometria!$L$1460)),IF(CO117="Sim",IF(CP117&lt;Geometria!$L$1405/100,Geometria!$L$1444,Geometria!$L$1462),Geometria!$L$298)))*CV140+Geometria!$P$1429*CV117</f>
        <v>621.7798114153002</v>
      </c>
      <c r="DA117" s="373">
        <f ca="1">(IF(CQ117="Sim",IF(CO117="Sim",IF(CP117&lt;Geometria!$L$1405/100,Geometria!$L$1435,Geometria!$L$1476),IF(CP117&lt;Geometria!$L$1409/100,Geometria!$L$1442,Geometria!$L$1460)),IF(CO117="Sim",IF(CP117&lt;Geometria!$L$1405/100,Geometria!$L$1444,Geometria!$L$1462),Geometria!$L$298)))*CV140*(IF(CQ117="Sim",IF(CO117="Sim",IF(CP117&lt;Geometria!$L$1405/100,Geometria!$L$1436,Geometria!$L$1484),IF(CP117&lt;Geometria!$L$1409/100,Geometria!$L$1443,Geometria!$L$1461)),IF(CO117="Sim",IF(CP117&lt;Geometria!$L$1405/100,Geometria!$L$1445,Geometria!$L$1463),Geometria!$L$299)))/100-Geometria!$P$1429*CV117*Geometria!$L$1438/100</f>
        <v>177.20724625336052</v>
      </c>
      <c r="DB117" s="365"/>
      <c r="DC117" s="371">
        <f ca="1">(IF(CQ117="Sim",IF(CO117="Sim",$AB$93,ER117),IF(CO117="Sim",ET117,Geometria!$L$373)))</f>
        <v>621.7798114153002</v>
      </c>
      <c r="DD117" s="371">
        <f ca="1">(IF(CQ117="Sim",IF(CO117="Sim",$AB$94,ES117),IF(CO117="Sim",EU117,Geometria!$L$374)))</f>
        <v>177.20724625336052</v>
      </c>
      <c r="DF117" s="4" t="s">
        <v>445</v>
      </c>
      <c r="DG117" s="202">
        <f t="shared" ca="1" si="19"/>
        <v>-3889.8646702859546</v>
      </c>
      <c r="DH117" s="38" t="s">
        <v>234</v>
      </c>
      <c r="DI117" s="203">
        <f t="shared" ca="1" si="10"/>
        <v>-3.8898646702859545</v>
      </c>
      <c r="DJ117" s="38" t="s">
        <v>160</v>
      </c>
      <c r="DK117" s="399">
        <f t="shared" si="20"/>
        <v>0.0</v>
      </c>
      <c r="EA117">
        <f ca="1">-L117/('Aberturas na Alma'!$M$112/100^2)+M117/('Aberturas na Alma'!$M$119/100^3)-Geometria!$L$898/('Aberturas na Alma'!$M$119/100^3)</f>
        <v>7898.664808138879</v>
      </c>
      <c r="EB117">
        <f ca="1">-(IF(C117="Sim",IF(A117="Sim",$E$93,EX117),IF(A117="Sim",EZ117,Geometria!$L$906)))/('Aberturas na Alma'!$M$112/100^2)+(IF(C117="Sim",IF(A117="Sim",$E$94,EY117),IF(A117="Sim",FA117,Geometria!$L$907)))/('Aberturas na Alma'!$M$119/100^3)-Geometria!$K$904/('Aberturas na Alma'!$M$119/100^3)</f>
        <v>5309.717644876028</v>
      </c>
      <c r="EC117">
        <f ca="1">IF(AND('Aberturas na Alma'!$M$18="NÃO DISPENSADO — furo deve ser verificado (cálculo abaixo)",OR(AND(B117&gt;=('Aberturas na Alma'!$M$4-'Aberturas na Alma'!$M$7/2)/100,B117&lt;=('Aberturas na Alma'!$M$4+'Aberturas na Alma'!$M$7/2)/100),ABS(B117-'Aberturas na Alma'!$M$4/100)&lt;=Geometria!$L$29/4000)),IF(E117="Reduzir",EA117,EB117),F117)</f>
        <v>6248.93516863549</v>
      </c>
      <c r="ED117">
        <f ca="1">-(AI117/('Aberturas na Alma'!$M$112/100^2))+(AJ117/('Aberturas na Alma'!$M$119/100^3))-((Geometria!$K$422)/('Aberturas na Alma'!$M$119/100^3))-((Geometria!$K$433)/('Aberturas na Alma'!$M$119/100^3))-((Geometria!$L$76*Geometria!$K$444)/('Aberturas na Alma'!$M$119/100^3))</f>
        <v>-31744.27439132086</v>
      </c>
      <c r="EE117">
        <f ca="1">-((IF(Z117="Sim",IF(X117="Sim",$AB$93,ER117),IF(X117="Sim",ET117,Geometria!$L$373)))/('Aberturas na Alma'!$M$112/100^2))+((IF(Z117="Sim",IF(X117="Sim",$AB$94,ES117),IF(X117="Sim",EU117,Geometria!$L$374)))/('Aberturas na Alma'!$M$119/100^3))-((Geometria!$K$422)/('Aberturas na Alma'!$M$119/100^3))-((Geometria!$K$433)/('Aberturas na Alma'!$M$119/100^3))-((Geometria!$L$76*Geometria!$K$444)/('Aberturas na Alma'!$M$119/100^3))</f>
        <v>-31744.27439132086</v>
      </c>
      <c r="EF117" s="371">
        <f ca="1">IF(AND('Aberturas na Alma'!$M$18="NÃO DISPENSADO — furo deve ser verificado (cálculo abaixo)",OR(AND(B117&gt;=('Aberturas na Alma'!$M$4-'Aberturas na Alma'!$M$7/2)/100,B117&lt;=('Aberturas na Alma'!$M$4+'Aberturas na Alma'!$M$7/2)/100),ABS(B117-'Aberturas na Alma'!$M$4/100)&lt;=Geometria!$L$29/4000)),IF(AB117="Reduzir",ED117,EE117),AC117)</f>
        <v>-3889.871088600677</v>
      </c>
      <c r="EG117">
        <f ca="1">-(BF117/('Aberturas na Alma'!$M$112/100^2))+(BG117/('Aberturas na Alma'!$M$119/100^3))-((Geometria!$K$422)/('Aberturas na Alma'!$M$119/100^3))-((Geometria!$K$433)/('Aberturas na Alma'!$M$119/100^3))-((Geometria!$L$76*Geometria!$K$444)/('Aberturas na Alma'!$M$119/100^3))</f>
        <v>-31744.27439132086</v>
      </c>
      <c r="EH117">
        <f ca="1">-((IF(AW117="Sim",IF(AU117="Sim",$AB$93,ER117),IF(AU117="Sim",ET117,Geometria!$L$373)))/('Aberturas na Alma'!$M$112/100^2))+((IF(AW117="Sim",IF(AU117="Sim",$AB$94,ES117),IF(AU117="Sim",EU117,Geometria!$L$374)))/('Aberturas na Alma'!$M$119/100^3))-((Geometria!$K$422)/('Aberturas na Alma'!$M$119/100^3))-((Geometria!$K$433)/('Aberturas na Alma'!$M$119/100^3))</f>
        <v>-6727.865537707805</v>
      </c>
      <c r="EI117" s="371">
        <f ca="1">IF(AND('Aberturas na Alma'!$M$18="NÃO DISPENSADO — furo deve ser verificado (cálculo abaixo)",OR(AND(B117&gt;=('Aberturas na Alma'!$M$4-'Aberturas na Alma'!$M$7/2)/100,B117&lt;=('Aberturas na Alma'!$M$4+'Aberturas na Alma'!$M$7/2)/100),ABS(B117-'Aberturas na Alma'!$M$4/100)&lt;=Geometria!$L$29/4000)),IF(AY117="Reduzir",EG117,EH117),AZ117)</f>
        <v>-3889.8646702859546</v>
      </c>
      <c r="EJ117">
        <f ca="1">-(CC117/('Aberturas na Alma'!$M$112/100^2))+(CD117/('Aberturas na Alma'!$M$119/100^3))-((Geometria!$K$422)/('Aberturas na Alma'!$M$119/100^3))-((Geometria!$K$433)/('Aberturas na Alma'!$M$119/100^3))-((Geometria!$L$76*Geometria!$K$444)/('Aberturas na Alma'!$M$119/100^3))</f>
        <v>-31744.27439132086</v>
      </c>
      <c r="EK117">
        <f ca="1">-((IF(BT117="Sim",IF(BR117="Sim",$AB$93,ER117),IF(BR117="Sim",ET117,Geometria!$L$373)))/('Aberturas na Alma'!$M$112/100^2))+((IF(BT117="Sim",IF(BR117="Sim",$AB$94,ES117),IF(BR117="Sim",EU117,Geometria!$L$374)))/('Aberturas na Alma'!$M$119/100^3))-((Geometria!$K$679)/('Aberturas na Alma'!$M$119/100^3))-((Geometria!$K$690)/('Aberturas na Alma'!$M$119/100^3))-((Geometria!$L$77*Geometria!$K$701)/('Aberturas na Alma'!$M$119/100^3))</f>
        <v>-23405.47144011651</v>
      </c>
      <c r="EL117" s="371">
        <f ca="1">IF(AND('Aberturas na Alma'!$M$18="NÃO DISPENSADO — furo deve ser verificado (cálculo abaixo)",OR(AND(B117&gt;=('Aberturas na Alma'!$M$4-'Aberturas na Alma'!$M$7/2)/100,B117&lt;=('Aberturas na Alma'!$M$4+'Aberturas na Alma'!$M$7/2)/100),ABS(B117-'Aberturas na Alma'!$M$4/100)&lt;=Geometria!$L$29/4000)),IF(BV117="Reduzir",EJ117,EK117),BW117)</f>
        <v>-3889.8689491624364</v>
      </c>
      <c r="EM117">
        <f ca="1">-(CZ117/('Aberturas na Alma'!$M$112/100^2))+(DA117/('Aberturas na Alma'!$M$119/100^3))-((Geometria!$K$422)/('Aberturas na Alma'!$M$119/100^3))-((Geometria!$K$433)/('Aberturas na Alma'!$M$119/100^3))-((Geometria!$L$76*Geometria!$K$444)/('Aberturas na Alma'!$M$119/100^3))</f>
        <v>-31744.27439132086</v>
      </c>
      <c r="EN117">
        <f ca="1">-((IF(CQ117="Sim",IF(CO117="Sim",$AB$93,ER117),IF(CO117="Sim",ET117,Geometria!$L$373)))/('Aberturas na Alma'!$M$112/100^2))+((IF(CQ117="Sim",IF(CO117="Sim",$AB$94,ES117),IF(CO117="Sim",EU117,Geometria!$L$374)))/('Aberturas na Alma'!$M$119/100^3))-((Geometria!$K$679)/('Aberturas na Alma'!$M$119/100^3))-((Geometria!$K$690)/('Aberturas na Alma'!$M$119/100^3))</f>
        <v>-6727.865537707805</v>
      </c>
      <c r="EO117" s="371">
        <f ca="1">IF(AND('Aberturas na Alma'!$M$18="NÃO DISPENSADO — furo deve ser verificado (cálculo abaixo)",OR(AND(B117&gt;=('Aberturas na Alma'!$M$4-'Aberturas na Alma'!$M$7/2)/100,B117&lt;=('Aberturas na Alma'!$M$4+'Aberturas na Alma'!$M$7/2)/100),ABS(B117-'Aberturas na Alma'!$M$4/100)&lt;=Geometria!$L$29/4000)),IF(CS117="Reduzir",EM117,EN117),CT117)</f>
        <v>-3889.8646702859546</v>
      </c>
      <c r="EP117" t="str">
        <f>IF(AND(Y117&lt;Geometria!$L$1409/100,OR(Geometria!$K$1409&gt;0,Geometria!$K$1407&gt;0)),"ESQ",IF(AND((Geometria!$L$29/100-Y117)&lt;Geometria!$R$1409/100,OR(Geometria!$Q$1409&gt;0,Geometria!$Q$1407&gt;0)),"DIR","N/A"))</f>
        <v>N/A</v>
      </c>
      <c r="EQ117" t="str">
        <f>IF(AND(Y117&lt;Geometria!$L$1405/100,Geometria!$K$1405&gt;0),"ESQ",IF(AND((Geometria!$L$29/100-Y117)&lt;Geometria!$R$1405/100,Geometria!$Q$1405&gt;0),"DIR","N/A"))</f>
        <v>DIR</v>
      </c>
      <c r="ER117">
        <f ca="1">IF(EP117="DIR",Geometria!$L$1470,Geometria!$L$1452)</f>
        <v>1243.5596228306003</v>
      </c>
      <c r="ES117">
        <f ca="1">IF(EP117="DIR",Geometria!$L$1471,Geometria!$L$1453)</f>
        <v>233.16742928073757</v>
      </c>
      <c r="ET117">
        <f ca="1">IF(EQ117="DIR",Geometria!$L$1472,Geometria!$L$1454)</f>
        <v>621.7798114153002</v>
      </c>
      <c r="EU117">
        <f ca="1">IF(EQ117="DIR",Geometria!$L$1473,Geometria!$L$1455)</f>
        <v>177.20724625336052</v>
      </c>
      <c r="EV117" t="str">
        <f>IF(AND(B117&lt;Geometria!$L$1409/100,OR(Geometria!$K$1409&gt;0,Geometria!$K$1407&gt;0)),"ESQ",IF(AND((Geometria!$L$29/100-B117)&lt;Geometria!$R$1409/100,OR(Geometria!$Q$1409&gt;0,Geometria!$Q$1407&gt;0)),"DIR","N/A"))</f>
        <v>N/A</v>
      </c>
      <c r="EW117" t="str">
        <f>IF(AND(B117&lt;Geometria!$L$1405/100,Geometria!$K$1405&gt;0),"ESQ",IF(AND((Geometria!$L$29/100-B117)&lt;Geometria!$R$1405/100,Geometria!$Q$1405&gt;0),"DIR","N/A"))</f>
        <v>DIR</v>
      </c>
      <c r="EX117">
        <f ca="1">IF(EV117="DIR",Geometria!$L$1465,Geometria!$L$1447)</f>
        <v>1499.8056003831216</v>
      </c>
      <c r="EY117">
        <f ca="1">IF(EV117="DIR",Geometria!$L$1466,Geometria!$L$1448)</f>
        <v>281.2135500718353</v>
      </c>
      <c r="EZ117">
        <f ca="1">IF(EW117="DIR",Geometria!$L$1467,Geometria!$L$1449)</f>
        <v>749.9028001915608</v>
      </c>
      <c r="FA117">
        <f ca="1">IF(EW117="DIR",Geometria!$L$1468,Geometria!$L$1450)</f>
        <v>213.72229805459483</v>
      </c>
    </row>
    <row r="118" spans="1:157" x14ac:dyDescent="0.25">
      <c r="A118" s="376" t="str">
        <f>IF(OR(AND(B118&lt;Geometria!$L$1405/100,Geometria!$K$1405&gt;0),AND((Geometria!$L$29/100-B118)&lt;Geometria!$R$1405/100,Geometria!$Q$1405&gt;0)),"Sim","Não")</f>
        <v>Sim</v>
      </c>
      <c r="B118" s="395">
        <f>Tensões!$C$69</f>
        <v>6.6725</v>
      </c>
      <c r="C118" s="376" t="str">
        <f>IF(OR(AND(B118&lt;Geometria!$L$1409/100,OR(Geometria!$K$1409&gt;0,Geometria!$K$1407&gt;0)),AND((Geometria!$L$29/100-B118)&lt;Geometria!$R$1409/100,OR(Geometria!$Q$1409&gt;0,Geometria!$Q$1407&gt;0))),"Sim","Não")</f>
        <v>Não</v>
      </c>
      <c r="D118" s="122" t="s">
        <v>446</v>
      </c>
      <c r="E118" s="198" t="str">
        <f ca="1">E104</f>
        <v>OK</v>
      </c>
      <c r="F118" s="396">
        <f t="shared" ca="1" si="1"/>
        <v>6545.172499364657</v>
      </c>
      <c r="G118" s="397">
        <f ca="1">-L118/(Geometria!$L$48/100^2)+M118/(Geometria!$L$52/100^3)-Geometria!$L$898/(Geometria!$L$52/100^3)</f>
        <v>6633.144964838723</v>
      </c>
      <c r="H118" s="400">
        <f ca="1">H104</f>
        <v>146.93756534007045</v>
      </c>
      <c r="I118" s="743">
        <f ca="1">-(Geometria!$L$906-(Geometria!$L$906-EX118)*(1-(MIN(MIN(1,MAX(0,(B118-Geometria!$L$1409/100)/(Geometria!$N$1307/100))),MIN(1,MAX(0,((Geometria!$L$29/100-B118)-Geometria!$R$1409/100)/(Geometria!$N$1307/100))))))*(IF(OR(Geometria!$K$1409&gt;0,Geometria!$K$1407&gt;0,Geometria!$Q$1409&gt;0,Geometria!$Q$1407&gt;0),1,0))-(Geometria!$L$906-EZ118)*(1-(MIN(MIN(1,MAX(0,(B118-Geometria!$L$1405/100)/(Geometria!$N$1307/100))),MIN(1,MAX(0,((Geometria!$L$29/100-B118)-Geometria!$R$1405/100)/(Geometria!$N$1307/100))))))*(IF(OR(Geometria!$K$1405&gt;0,Geometria!$K$1403&gt;0,Geometria!$Q$1405&gt;0,Geometria!$Q$1403&gt;0),1,0)))/(Geometria!$L$48/100^2)+(Geometria!$L$907-(Geometria!$L$907-EY118)*(1-(MIN(MIN(1,MAX(0,(B118-Geometria!$L$1409/100)/(Geometria!$N$1307/100))),MIN(1,MAX(0,((Geometria!$L$29/100-B118)-Geometria!$R$1409/100)/(Geometria!$N$1307/100))))))*(IF(OR(Geometria!$K$1409&gt;0,Geometria!$K$1407&gt;0,Geometria!$Q$1409&gt;0,Geometria!$Q$1407&gt;0),1,0))-(Geometria!$L$907-FA118)*(1-(MIN(MIN(1,MAX(0,(B118-Geometria!$L$1405/100)/(Geometria!$N$1307/100))),MIN(1,MAX(0,((Geometria!$L$29/100-B118)-Geometria!$R$1405/100)/(Geometria!$N$1307/100))))))*(IF(OR(Geometria!$K$1405&gt;0,Geometria!$K$1403&gt;0,Geometria!$Q$1405&gt;0,Geometria!$Q$1403&gt;0),1,0)))/(Geometria!$L$52/100^3)-Geometria!$L$904/(Geometria!$L$52/100^3)</f>
        <v>6545.172499364657</v>
      </c>
      <c r="J118" s="743"/>
      <c r="L118" s="373">
        <f ca="1">(Geometria!$L$298-(Geometria!$L$298-IF(B118&lt;Geometria!$L$1409/100,Geometria!$L$1442,Geometria!$L$1460))*(1-(MIN(MIN(1,MAX(0,(B118-Geometria!$L$1409/100)/(Geometria!$N$1307/100))),MIN(1,MAX(0,((Geometria!$L$29/100-B118)-Geometria!$R$1409/100)/(Geometria!$N$1307/100))))))*(IF(OR(Geometria!$K$1409&gt;0,Geometria!$K$1407&gt;0,Geometria!$Q$1409&gt;0,Geometria!$Q$1407&gt;0),1,0))-(Geometria!$L$298-IF(B118&lt;Geometria!$L$1405/100,Geometria!$L$1444,Geometria!$L$1462))*(1-(MIN(MIN(1,MAX(0,(B118-Geometria!$L$1405/100)/(Geometria!$N$1307/100))),MIN(1,MAX(0,((Geometria!$L$29/100-B118)-Geometria!$R$1405/100)/(Geometria!$N$1307/100))))))*(IF(OR(Geometria!$K$1405&gt;0,Geometria!$K$1403&gt;0,Geometria!$Q$1405&gt;0,Geometria!$Q$1403&gt;0),1,0)))*H141+Geometria!$P$1429*H118</f>
        <v>687.5131346701191</v>
      </c>
      <c r="M118" s="373">
        <f ca="1">(Geometria!$L$298-(Geometria!$L$298-IF(B118&lt;Geometria!$L$1409/100,Geometria!$L$1442,Geometria!$L$1460))*(1-(MIN(MIN(1,MAX(0,(B118-Geometria!$L$1409/100)/(Geometria!$N$1307/100))),MIN(1,MAX(0,((Geometria!$L$29/100-B118)-Geometria!$R$1409/100)/(Geometria!$N$1307/100))))))*(IF(OR(Geometria!$K$1409&gt;0,Geometria!$K$1407&gt;0,Geometria!$Q$1409&gt;0,Geometria!$Q$1407&gt;0),1,0))-(Geometria!$L$298-IF(B118&lt;Geometria!$L$1405/100,Geometria!$L$1444,Geometria!$L$1462))*(1-(MIN(MIN(1,MAX(0,(B118-Geometria!$L$1405/100)/(Geometria!$N$1307/100))),MIN(1,MAX(0,((Geometria!$L$29/100-B118)-Geometria!$R$1405/100)/(Geometria!$N$1307/100))))))*(IF(OR(Geometria!$K$1405&gt;0,Geometria!$K$1403&gt;0,Geometria!$Q$1405&gt;0,Geometria!$Q$1403&gt;0),1,0)))*H141*(Geometria!$L$299-(Geometria!$L$299-IF(B118&lt;Geometria!$L$1409/100,Geometria!$L$1443,Geometria!$L$1461))*(1-(MIN(MIN(1,MAX(0,(B118-Geometria!$L$1409/100)/(Geometria!$N$1307/100))),MIN(1,MAX(0,((Geometria!$L$29/100-B118)-Geometria!$R$1409/100)/(Geometria!$N$1307/100))))))*(IF(OR(Geometria!$K$1409&gt;0,Geometria!$K$1407&gt;0,Geometria!$Q$1409&gt;0,Geometria!$Q$1407&gt;0),1,0))-(Geometria!$L$299-IF(B118&lt;Geometria!$L$1405/100,Geometria!$L$1445,Geometria!$L$1463))*(1-(MIN(MIN(1,MAX(0,(B118-Geometria!$L$1405/100)/(Geometria!$N$1307/100))),MIN(1,MAX(0,((Geometria!$L$29/100-B118)-Geometria!$R$1405/100)/(Geometria!$N$1307/100))))))*(IF(OR(Geometria!$K$1405&gt;0,Geometria!$K$1403&gt;0,Geometria!$Q$1405&gt;0,Geometria!$Q$1403&gt;0),1,0)))/100-Geometria!$P$1429*H118*Geometria!$L$1438/100</f>
        <v>195.94124338098393</v>
      </c>
      <c r="N118" s="365"/>
      <c r="O118" s="371">
        <f ca="1">(IF(C118="Sim",IF(A118="Sim",$E$93,EX118),IF(A118="Sim",EZ118,Geometria!$L$906)))</f>
        <v>749.9028001915608</v>
      </c>
      <c r="P118" s="371">
        <f ca="1">(IF(C118="Sim",IF(A118="Sim",$E$94,EY118),IF(A118="Sim",FA118,Geometria!$L$907)))</f>
        <v>213.72229805459483</v>
      </c>
      <c r="R118" s="4" t="s">
        <v>446</v>
      </c>
      <c r="S118" s="202">
        <f t="shared" ca="1" si="11"/>
        <v>6545.172499364657</v>
      </c>
      <c r="T118" s="38" t="s">
        <v>234</v>
      </c>
      <c r="U118" s="203">
        <f t="shared" ca="1" si="2"/>
        <v>6.545172499364656</v>
      </c>
      <c r="V118" s="38" t="s">
        <v>160</v>
      </c>
      <c r="W118" s="399">
        <f t="shared" si="12"/>
        <v>0.0</v>
      </c>
      <c r="X118" s="376" t="str">
        <f>IF(OR(AND(Y118&lt;Geometria!$L$1405/100,Geometria!$K$1405&gt;0),AND((Geometria!$L$29/100-Y118)&lt;Geometria!$R$1405/100,Geometria!$Q$1405&gt;0)),"Sim","Não")</f>
        <v>Sim</v>
      </c>
      <c r="Y118" s="395">
        <f>Geometria!$L$421</f>
        <v>6.6725</v>
      </c>
      <c r="Z118" s="376" t="str">
        <f>IF(OR(AND(Y118&lt;Geometria!$L$1409/100,OR(Geometria!$K$1409&gt;0,Geometria!$K$1407&gt;0)),AND((Geometria!$L$29/100-Y118)&lt;Geometria!$R$1409/100,OR(Geometria!$Q$1409&gt;0,Geometria!$Q$1407&gt;0))),"Sim","Não")</f>
        <v>Não</v>
      </c>
      <c r="AA118" s="122" t="s">
        <v>446</v>
      </c>
      <c r="AB118" s="198" t="str">
        <f ca="1">AB104</f>
        <v>OK</v>
      </c>
      <c r="AC118" s="401">
        <f t="shared" ca="1" si="3"/>
        <v>-1801.6677195152995</v>
      </c>
      <c r="AD118" s="403">
        <f ca="1">-(AI118/(Geometria!$L$48/100^2))+(AJ118/(Geometria!$L$52/100^3))-((Geometria!$L$422)/(Geometria!$L$52/100^3))-((Geometria!$L$433)/(Geometria!$M$52))-((Geometria!$L$76*Geometria!$L$444)/(Geometria!$M$52))</f>
        <v>-2236.4778807084886</v>
      </c>
      <c r="AE118" s="400">
        <f ca="1">AE104</f>
        <v>124.16252424650864</v>
      </c>
      <c r="AF118" s="751">
        <f ca="1">-((Geometria!$L$373-(Geometria!$L$373-ER118)*(1-(MIN(MIN(1,MAX(0,(Y118-Geometria!$L$1409/100)/(Geometria!$N$1307/100))),MIN(1,MAX(0,((Geometria!$L$29/100-Y118)-Geometria!$R$1409/100)/(Geometria!$N$1307/100))))))*(IF(OR(Geometria!$K$1409&gt;0,Geometria!$K$1407&gt;0,Geometria!$Q$1409&gt;0,Geometria!$Q$1407&gt;0),1,0))-(Geometria!$L$373-ET118)*(1-(MIN(MIN(1,MAX(0,(Y118-Geometria!$L$1405/100)/(Geometria!$N$1307/100))),MIN(1,MAX(0,((Geometria!$L$29/100-Y118)-Geometria!$R$1405/100)/(Geometria!$N$1307/100))))))*(IF(OR(Geometria!$K$1405&gt;0,Geometria!$K$1403&gt;0,Geometria!$Q$1405&gt;0,Geometria!$Q$1403&gt;0),1,0))))/(Geometria!$L$48/100^2)+((Geometria!$L$374-(Geometria!$L$374-ES118)*(1-(MIN(MIN(1,MAX(0,(Y118-Geometria!$L$1409/100)/(Geometria!$N$1307/100))),MIN(1,MAX(0,((Geometria!$L$29/100-Y118)-Geometria!$R$1409/100)/(Geometria!$N$1307/100))))))*(IF(OR(Geometria!$K$1409&gt;0,Geometria!$K$1407&gt;0,Geometria!$Q$1409&gt;0,Geometria!$Q$1407&gt;0),1,0))-(Geometria!$L$374-EU118)*(1-(MIN(MIN(1,MAX(0,(Y118-Geometria!$L$1405/100)/(Geometria!$N$1307/100))),MIN(1,MAX(0,((Geometria!$L$29/100-Y118)-Geometria!$R$1405/100)/(Geometria!$N$1307/100))))))*(IF(OR(Geometria!$K$1405&gt;0,Geometria!$K$1403&gt;0,Geometria!$Q$1405&gt;0,Geometria!$Q$1403&gt;0),1,0))))/(Geometria!$L$52/100^3)-((Geometria!$L$422)/(Geometria!$L$52/100^3))-((Geometria!$L$433)/(Geometria!$M$52))-((Geometria!$L$76*Geometria!$L$444)/(Geometria!$M$52))</f>
        <v>-1801.6677195152995</v>
      </c>
      <c r="AG118" s="751"/>
      <c r="AI118" s="373">
        <f ca="1">(IF(Z118="Sim",IF(X118="Sim",IF(Y118&lt;Geometria!$L$1405/100,Geometria!$L$1435,Geometria!$L$1476),IF(Y118&lt;Geometria!$L$1409/100,Geometria!$L$1442,Geometria!$L$1460)),IF(X118="Sim",IF(Y118&lt;Geometria!$L$1405/100,Geometria!$L$1444,Geometria!$L$1462),Geometria!$L$298)))*AE141+Geometria!$P$1429*AE118</f>
        <v>579.4739578938005</v>
      </c>
      <c r="AJ118" s="373">
        <f ca="1">(IF(Z118="Sim",IF(X118="Sim",IF(Y118&lt;Geometria!$L$1405/100,Geometria!$L$1435,Geometria!$L$1476),IF(Y118&lt;Geometria!$L$1409/100,Geometria!$L$1442,Geometria!$L$1460)),IF(X118="Sim",IF(Y118&lt;Geometria!$L$1405/100,Geometria!$L$1444,Geometria!$L$1462),Geometria!$L$298)))*AE141*(IF(Z118="Sim",IF(X118="Sim",IF(Y118&lt;Geometria!$L$1405/100,Geometria!$L$1436,Geometria!$L$1484),IF(Y118&lt;Geometria!$L$1409/100,Geometria!$L$1443,Geometria!$L$1461)),IF(X118="Sim",IF(Y118&lt;Geometria!$L$1405/100,Geometria!$L$1445,Geometria!$L$1463),Geometria!$L$299)))/100-Geometria!$P$1429*AE118*Geometria!$L$1438/100</f>
        <v>165.15007799973316</v>
      </c>
      <c r="AK118" s="365"/>
      <c r="AL118" s="371">
        <f ca="1">(IF(Z118="Sim",IF(X118="Sim",$AB$93,ER118),IF(X118="Sim",ET118,Geometria!$L$373)))</f>
        <v>621.7798114153002</v>
      </c>
      <c r="AM118" s="371">
        <f ca="1">(IF(Z118="Sim",IF(X118="Sim",$AB$94,ES118),IF(X118="Sim",EU118,Geometria!$L$374)))</f>
        <v>177.20724625336052</v>
      </c>
      <c r="AO118" s="4" t="s">
        <v>446</v>
      </c>
      <c r="AP118" s="202">
        <f t="shared" ca="1" si="13"/>
        <v>-1801.6677195152995</v>
      </c>
      <c r="AQ118" s="38" t="s">
        <v>234</v>
      </c>
      <c r="AR118" s="203">
        <f t="shared" ca="1" si="4"/>
        <v>-1.8016677195152995</v>
      </c>
      <c r="AS118" s="38" t="s">
        <v>160</v>
      </c>
      <c r="AT118" s="399">
        <f t="shared" si="14"/>
        <v>0.0</v>
      </c>
      <c r="AU118" s="376" t="str">
        <f>IF(OR(AND(AV118&lt;Geometria!$L$1405/100,Geometria!$K$1405&gt;0),AND((Geometria!$L$29/100-AV118)&lt;Geometria!$R$1405/100,Geometria!$Q$1405&gt;0)),"Sim","Não")</f>
        <v>Sim</v>
      </c>
      <c r="AV118" s="395">
        <f>Geometria!$L$421</f>
        <v>6.6725</v>
      </c>
      <c r="AW118" s="376" t="str">
        <f>IF(OR(AND(AV118&lt;Geometria!$L$1409/100,OR(Geometria!$K$1409&gt;0,Geometria!$K$1407&gt;0)),AND((Geometria!$L$29/100-AV118)&lt;Geometria!$R$1409/100,OR(Geometria!$Q$1409&gt;0,Geometria!$Q$1407&gt;0))),"Sim","Não")</f>
        <v>Não</v>
      </c>
      <c r="AX118" s="122" t="s">
        <v>446</v>
      </c>
      <c r="AY118" s="198" t="str">
        <f ca="1">AY104</f>
        <v>OK</v>
      </c>
      <c r="AZ118" s="401">
        <f t="shared" ca="1" si="5"/>
        <v>-1801.662604920755</v>
      </c>
      <c r="BA118" s="403">
        <f ca="1">-(BF118/(Geometria!$L$48/100^2))+(BG118/(Geometria!$L$52/100^3))-((Geometria!$L$422)/(Geometria!$L$52/100^3))-((Geometria!$L$433)/(Geometria!$M$52))-((Geometria!$L$76*Geometria!$L$444)/(Geometria!$M$52))</f>
        <v>-2236.4778807084886</v>
      </c>
      <c r="BB118" s="400">
        <f ca="1">BB104</f>
        <v>124.16252424650864</v>
      </c>
      <c r="BC118" s="751">
        <f ca="1">-((Geometria!$L$373-(Geometria!$L$373-ER118)*(1-(MIN(MIN(1,MAX(0,(AV118-Geometria!$L$1409/100)/(Geometria!$N$1307/100))),MIN(1,MAX(0,((Geometria!$L$29/100-AV118)-Geometria!$R$1409/100)/(Geometria!$N$1307/100))))))*(IF(OR(Geometria!$K$1409&gt;0,Geometria!$K$1407&gt;0,Geometria!$Q$1409&gt;0,Geometria!$Q$1407&gt;0),1,0))-(Geometria!$L$373-ET118)*(1-(MIN(MIN(1,MAX(0,(AV118-Geometria!$L$1405/100)/(Geometria!$N$1307/100))),MIN(1,MAX(0,((Geometria!$L$29/100-AV118)-Geometria!$R$1405/100)/(Geometria!$N$1307/100))))))*(IF(OR(Geometria!$K$1405&gt;0,Geometria!$K$1403&gt;0,Geometria!$Q$1405&gt;0,Geometria!$Q$1403&gt;0),1,0))))/(Geometria!$L$48/100^2)+((Geometria!$L$374-(Geometria!$L$374-ES118)*(1-(MIN(MIN(1,MAX(0,(AV118-Geometria!$L$1409/100)/(Geometria!$N$1307/100))),MIN(1,MAX(0,((Geometria!$L$29/100-AV118)-Geometria!$R$1409/100)/(Geometria!$N$1307/100))))))*(IF(OR(Geometria!$K$1409&gt;0,Geometria!$K$1407&gt;0,Geometria!$Q$1409&gt;0,Geometria!$Q$1407&gt;0),1,0))-(Geometria!$L$374-EU118)*(1-(MIN(MIN(1,MAX(0,(AV118-Geometria!$L$1405/100)/(Geometria!$N$1307/100))),MIN(1,MAX(0,((Geometria!$L$29/100-AV118)-Geometria!$R$1405/100)/(Geometria!$N$1307/100))))))*(IF(OR(Geometria!$K$1405&gt;0,Geometria!$K$1403&gt;0,Geometria!$Q$1405&gt;0,Geometria!$Q$1403&gt;0),1,0))))/(Geometria!$L$52/100^3)-((Geometria!$L$422)/(Geometria!$L$52/100^3))-((Geometria!$L$433)/(Geometria!$M$52))</f>
        <v>-1801.662604920755</v>
      </c>
      <c r="BD118" s="751"/>
      <c r="BF118" s="373">
        <f ca="1">(Geometria!$L$298-(Geometria!$L$298-IF(AV118&lt;Geometria!$L$1409/100,Geometria!$L$1442,Geometria!$L$1460))*(1-(MIN(MIN(1,MAX(0,(AV118-Geometria!$L$1409/100)/(Geometria!$N$1307/100))),MIN(1,MAX(0,((Geometria!$L$29/100-AV118)-Geometria!$R$1409/100)/(Geometria!$N$1307/100))))))*(IF(OR(Geometria!$K$1409&gt;0,Geometria!$K$1407&gt;0,Geometria!$Q$1409&gt;0,Geometria!$Q$1407&gt;0),1,0))-(Geometria!$L$298-IF(AV118&lt;Geometria!$L$1405/100,Geometria!$L$1444,Geometria!$L$1462))*(1-(MIN(MIN(1,MAX(0,(AV118-Geometria!$L$1405/100)/(Geometria!$N$1307/100))),MIN(1,MAX(0,((Geometria!$L$29/100-AV118)-Geometria!$R$1405/100)/(Geometria!$N$1307/100))))))*(IF(OR(Geometria!$K$1405&gt;0,Geometria!$K$1403&gt;0,Geometria!$Q$1405&gt;0,Geometria!$Q$1403&gt;0),1,0)))*BB141+Geometria!$P$1429*BB118</f>
        <v>579.4739578938005</v>
      </c>
      <c r="BG118" s="373">
        <f ca="1">(Geometria!$L$298-(Geometria!$L$298-IF(AV118&lt;Geometria!$L$1409/100,Geometria!$L$1442,Geometria!$L$1460))*(1-(MIN(MIN(1,MAX(0,(AV118-Geometria!$L$1409/100)/(Geometria!$N$1307/100))),MIN(1,MAX(0,((Geometria!$L$29/100-AV118)-Geometria!$R$1409/100)/(Geometria!$N$1307/100))))))*(IF(OR(Geometria!$K$1409&gt;0,Geometria!$K$1407&gt;0,Geometria!$Q$1409&gt;0,Geometria!$Q$1407&gt;0),1,0))-(Geometria!$L$298-IF(AV118&lt;Geometria!$L$1405/100,Geometria!$L$1444,Geometria!$L$1462))*(1-(MIN(MIN(1,MAX(0,(AV118-Geometria!$L$1405/100)/(Geometria!$N$1307/100))),MIN(1,MAX(0,((Geometria!$L$29/100-AV118)-Geometria!$R$1405/100)/(Geometria!$N$1307/100))))))*(IF(OR(Geometria!$K$1405&gt;0,Geometria!$K$1403&gt;0,Geometria!$Q$1405&gt;0,Geometria!$Q$1403&gt;0),1,0)))*BB141*(Geometria!$L$299-(Geometria!$L$299-IF(AV118&lt;Geometria!$L$1409/100,Geometria!$L$1443,Geometria!$L$1461))*(1-(MIN(MIN(1,MAX(0,(AV118-Geometria!$L$1409/100)/(Geometria!$N$1307/100))),MIN(1,MAX(0,((Geometria!$L$29/100-AV118)-Geometria!$R$1409/100)/(Geometria!$N$1307/100))))))*(IF(OR(Geometria!$K$1409&gt;0,Geometria!$K$1407&gt;0,Geometria!$Q$1409&gt;0,Geometria!$Q$1407&gt;0),1,0))-(Geometria!$L$299-IF(AV118&lt;Geometria!$L$1405/100,Geometria!$L$1445,Geometria!$L$1463))*(1-(MIN(MIN(1,MAX(0,(AV118-Geometria!$L$1405/100)/(Geometria!$N$1307/100))),MIN(1,MAX(0,((Geometria!$L$29/100-AV118)-Geometria!$R$1405/100)/(Geometria!$N$1307/100))))))*(IF(OR(Geometria!$K$1405&gt;0,Geometria!$K$1403&gt;0,Geometria!$Q$1405&gt;0,Geometria!$Q$1403&gt;0),1,0)))/100-Geometria!$P$1429*BB118*Geometria!$L$1438/100</f>
        <v>165.15007799973316</v>
      </c>
      <c r="BH118" s="365"/>
      <c r="BI118" s="371">
        <f ca="1">(IF(AW118="Sim",IF(AU118="Sim",$AB$93,ER118),IF(AU118="Sim",ET118,Geometria!$L$373)))</f>
        <v>621.7798114153002</v>
      </c>
      <c r="BJ118" s="371">
        <f ca="1">(IF(AW118="Sim",IF(AU118="Sim",$AB$94,ES118),IF(AU118="Sim",EU118,Geometria!$L$374)))</f>
        <v>177.20724625336052</v>
      </c>
      <c r="BL118" s="4" t="s">
        <v>446</v>
      </c>
      <c r="BM118" s="202">
        <f t="shared" ca="1" si="15"/>
        <v>-1801.662604920755</v>
      </c>
      <c r="BN118" s="38" t="s">
        <v>234</v>
      </c>
      <c r="BO118" s="203">
        <f t="shared" ca="1" si="6"/>
        <v>-1.8016626049207551</v>
      </c>
      <c r="BP118" s="38" t="s">
        <v>160</v>
      </c>
      <c r="BQ118" s="399">
        <f t="shared" si="16"/>
        <v>0.0</v>
      </c>
      <c r="BR118" s="376" t="str">
        <f>IF(OR(AND(BS118&lt;Geometria!$L$1405/100,Geometria!$K$1405&gt;0),AND((Geometria!$L$29/100-BS118)&lt;Geometria!$R$1405/100,Geometria!$Q$1405&gt;0)),"Sim","Não")</f>
        <v>Sim</v>
      </c>
      <c r="BS118" s="395">
        <f>Geometria!$L$421</f>
        <v>6.6725</v>
      </c>
      <c r="BT118" s="376" t="str">
        <f>IF(OR(AND(BS118&lt;Geometria!$L$1409/100,OR(Geometria!$K$1409&gt;0,Geometria!$K$1407&gt;0)),AND((Geometria!$L$29/100-BS118)&lt;Geometria!$R$1409/100,OR(Geometria!$Q$1409&gt;0,Geometria!$Q$1407&gt;0))),"Sim","Não")</f>
        <v>Não</v>
      </c>
      <c r="BU118" s="122" t="s">
        <v>446</v>
      </c>
      <c r="BV118" s="198" t="str">
        <f ca="1">BV104</f>
        <v>OK</v>
      </c>
      <c r="BW118" s="401">
        <f t="shared" ca="1" si="7"/>
        <v>-1801.6660146504514</v>
      </c>
      <c r="BX118" s="403">
        <f ca="1">-(CC118/(Geometria!$L$48/100^2))+(CD118/(Geometria!$L$52/100^3))-((Geometria!$L$422)/(Geometria!$L$52/100^3))-((Geometria!$L$433)/(Geometria!$M$52))-((Geometria!$L$76*Geometria!$L$444)/(Geometria!$M$52))</f>
        <v>-2236.4778807084886</v>
      </c>
      <c r="BY118" s="400">
        <f ca="1">BY104</f>
        <v>124.16252424650864</v>
      </c>
      <c r="BZ118" s="751">
        <f ca="1">-((Geometria!$L$373-(Geometria!$L$373-ER118)*(1-(MIN(MIN(1,MAX(0,(BS118-Geometria!$L$1409/100)/(Geometria!$N$1307/100))),MIN(1,MAX(0,((Geometria!$L$29/100-BS118)-Geometria!$R$1409/100)/(Geometria!$N$1307/100))))))*(IF(OR(Geometria!$K$1409&gt;0,Geometria!$K$1407&gt;0,Geometria!$Q$1409&gt;0,Geometria!$Q$1407&gt;0),1,0))-(Geometria!$L$373-ET118)*(1-(MIN(MIN(1,MAX(0,(BS118-Geometria!$L$1405/100)/(Geometria!$N$1307/100))),MIN(1,MAX(0,((Geometria!$L$29/100-BS118)-Geometria!$R$1405/100)/(Geometria!$N$1307/100))))))*(IF(OR(Geometria!$K$1405&gt;0,Geometria!$K$1403&gt;0,Geometria!$Q$1405&gt;0,Geometria!$Q$1403&gt;0),1,0))))/(Geometria!$L$48/100^2)+((Geometria!$L$374-(Geometria!$L$374-ES118)*(1-(MIN(MIN(1,MAX(0,(BS118-Geometria!$L$1409/100)/(Geometria!$N$1307/100))),MIN(1,MAX(0,((Geometria!$L$29/100-BS118)-Geometria!$R$1409/100)/(Geometria!$N$1307/100))))))*(IF(OR(Geometria!$K$1409&gt;0,Geometria!$K$1407&gt;0,Geometria!$Q$1409&gt;0,Geometria!$Q$1407&gt;0),1,0))-(Geometria!$L$374-EU118)*(1-(MIN(MIN(1,MAX(0,(BS118-Geometria!$L$1405/100)/(Geometria!$N$1307/100))),MIN(1,MAX(0,((Geometria!$L$29/100-BS118)-Geometria!$R$1405/100)/(Geometria!$N$1307/100))))))*(IF(OR(Geometria!$K$1405&gt;0,Geometria!$K$1403&gt;0,Geometria!$Q$1405&gt;0,Geometria!$Q$1403&gt;0),1,0))))/(Geometria!$L$52/100^3)-((Geometria!$L$679)/(Geometria!$L$52/100^3))-((Geometria!$L$690)/(Geometria!$M$52))-((Geometria!$L$77*Geometria!$L$701)/(Geometria!$M$52))</f>
        <v>-1801.6660146504514</v>
      </c>
      <c r="CA118" s="751"/>
      <c r="CC118" s="373">
        <f ca="1">(Geometria!$L$298-(Geometria!$L$298-IF(BS118&lt;Geometria!$L$1409/100,Geometria!$L$1442,Geometria!$L$1460))*(1-(MIN(MIN(1,MAX(0,(BS118-Geometria!$L$1409/100)/(Geometria!$N$1307/100))),MIN(1,MAX(0,((Geometria!$L$29/100-BS118)-Geometria!$R$1409/100)/(Geometria!$N$1307/100))))))*(IF(OR(Geometria!$K$1409&gt;0,Geometria!$K$1407&gt;0,Geometria!$Q$1409&gt;0,Geometria!$Q$1407&gt;0),1,0))-(Geometria!$L$298-IF(BS118&lt;Geometria!$L$1405/100,Geometria!$L$1444,Geometria!$L$1462))*(1-(MIN(MIN(1,MAX(0,(BS118-Geometria!$L$1405/100)/(Geometria!$N$1307/100))),MIN(1,MAX(0,((Geometria!$L$29/100-BS118)-Geometria!$R$1405/100)/(Geometria!$N$1307/100))))))*(IF(OR(Geometria!$K$1405&gt;0,Geometria!$K$1403&gt;0,Geometria!$Q$1405&gt;0,Geometria!$Q$1403&gt;0),1,0)))*BY141+Geometria!$P$1429*BY118</f>
        <v>579.4739578938005</v>
      </c>
      <c r="CD118" s="373">
        <f ca="1">(Geometria!$L$298-(Geometria!$L$298-IF(BS118&lt;Geometria!$L$1409/100,Geometria!$L$1442,Geometria!$L$1460))*(1-(MIN(MIN(1,MAX(0,(BS118-Geometria!$L$1409/100)/(Geometria!$N$1307/100))),MIN(1,MAX(0,((Geometria!$L$29/100-BS118)-Geometria!$R$1409/100)/(Geometria!$N$1307/100))))))*(IF(OR(Geometria!$K$1409&gt;0,Geometria!$K$1407&gt;0,Geometria!$Q$1409&gt;0,Geometria!$Q$1407&gt;0),1,0))-(Geometria!$L$298-IF(BS118&lt;Geometria!$L$1405/100,Geometria!$L$1444,Geometria!$L$1462))*(1-(MIN(MIN(1,MAX(0,(BS118-Geometria!$L$1405/100)/(Geometria!$N$1307/100))),MIN(1,MAX(0,((Geometria!$L$29/100-BS118)-Geometria!$R$1405/100)/(Geometria!$N$1307/100))))))*(IF(OR(Geometria!$K$1405&gt;0,Geometria!$K$1403&gt;0,Geometria!$Q$1405&gt;0,Geometria!$Q$1403&gt;0),1,0)))*BY141*(Geometria!$L$299-(Geometria!$L$299-IF(BS118&lt;Geometria!$L$1409/100,Geometria!$L$1443,Geometria!$L$1461))*(1-(MIN(MIN(1,MAX(0,(BS118-Geometria!$L$1409/100)/(Geometria!$N$1307/100))),MIN(1,MAX(0,((Geometria!$L$29/100-BS118)-Geometria!$R$1409/100)/(Geometria!$N$1307/100))))))*(IF(OR(Geometria!$K$1409&gt;0,Geometria!$K$1407&gt;0,Geometria!$Q$1409&gt;0,Geometria!$Q$1407&gt;0),1,0))-(Geometria!$L$299-IF(BS118&lt;Geometria!$L$1405/100,Geometria!$L$1445,Geometria!$L$1463))*(1-(MIN(MIN(1,MAX(0,(BS118-Geometria!$L$1405/100)/(Geometria!$N$1307/100))),MIN(1,MAX(0,((Geometria!$L$29/100-BS118)-Geometria!$R$1405/100)/(Geometria!$N$1307/100))))))*(IF(OR(Geometria!$K$1405&gt;0,Geometria!$K$1403&gt;0,Geometria!$Q$1405&gt;0,Geometria!$Q$1403&gt;0),1,0)))/100-Geometria!$P$1429*BY118*Geometria!$L$1438/100</f>
        <v>165.15007799973316</v>
      </c>
      <c r="CE118" s="365"/>
      <c r="CF118" s="371">
        <f ca="1">(IF(BT118="Sim",IF(BR118="Sim",$AB$93,ER118),IF(BR118="Sim",ET118,Geometria!$L$373)))</f>
        <v>621.7798114153002</v>
      </c>
      <c r="CG118" s="371">
        <f ca="1">(IF(BT118="Sim",IF(BR118="Sim",$AB$94,ES118),IF(BR118="Sim",EU118,Geometria!$L$374)))</f>
        <v>177.20724625336052</v>
      </c>
      <c r="CI118" s="4" t="s">
        <v>446</v>
      </c>
      <c r="CJ118" s="202">
        <f t="shared" ca="1" si="17"/>
        <v>-1801.6660146504514</v>
      </c>
      <c r="CK118" s="38" t="s">
        <v>234</v>
      </c>
      <c r="CL118" s="203">
        <f t="shared" ca="1" si="8"/>
        <v>-1.8016660146504515</v>
      </c>
      <c r="CM118" s="38" t="s">
        <v>160</v>
      </c>
      <c r="CN118" s="399">
        <f t="shared" si="18"/>
        <v>0.0</v>
      </c>
      <c r="CO118" s="376" t="str">
        <f>IF(OR(AND(CP118&lt;Geometria!$L$1405/100,Geometria!$K$1405&gt;0),AND((Geometria!$L$29/100-CP118)&lt;Geometria!$R$1405/100,Geometria!$Q$1405&gt;0)),"Sim","Não")</f>
        <v>Sim</v>
      </c>
      <c r="CP118" s="395">
        <f>Geometria!$L$421</f>
        <v>6.6725</v>
      </c>
      <c r="CQ118" s="376" t="str">
        <f>IF(OR(AND(CP118&lt;Geometria!$L$1409/100,OR(Geometria!$K$1409&gt;0,Geometria!$K$1407&gt;0)),AND((Geometria!$L$29/100-CP118)&lt;Geometria!$R$1409/100,OR(Geometria!$Q$1409&gt;0,Geometria!$Q$1407&gt;0))),"Sim","Não")</f>
        <v>Não</v>
      </c>
      <c r="CR118" s="122" t="s">
        <v>446</v>
      </c>
      <c r="CS118" s="198" t="str">
        <f ca="1">CS104</f>
        <v>OK</v>
      </c>
      <c r="CT118" s="401">
        <f t="shared" ca="1" si="9"/>
        <v>-1801.662604920755</v>
      </c>
      <c r="CU118" s="403">
        <f ca="1">-(CZ118/(Geometria!$L$48/100^2))+(DA118/(Geometria!$L$52/100^3))-((Geometria!$L$422)/(Geometria!$L$52/100^3))-((Geometria!$L$433)/(Geometria!$M$52))-((Geometria!$L$76*Geometria!$L$444)/(Geometria!$M$52))</f>
        <v>-2236.4778807084886</v>
      </c>
      <c r="CV118" s="400">
        <f ca="1">CV104</f>
        <v>124.16252424650864</v>
      </c>
      <c r="CW118" s="751">
        <f ca="1">-((Geometria!$L$373-(Geometria!$L$373-ER118)*(1-(MIN(MIN(1,MAX(0,(CP118-Geometria!$L$1409/100)/(Geometria!$N$1307/100))),MIN(1,MAX(0,((Geometria!$L$29/100-CP118)-Geometria!$R$1409/100)/(Geometria!$N$1307/100))))))*(IF(OR(Geometria!$K$1409&gt;0,Geometria!$K$1407&gt;0,Geometria!$Q$1409&gt;0,Geometria!$Q$1407&gt;0),1,0))-(Geometria!$L$373-ET118)*(1-(MIN(MIN(1,MAX(0,(CP118-Geometria!$L$1405/100)/(Geometria!$N$1307/100))),MIN(1,MAX(0,((Geometria!$L$29/100-CP118)-Geometria!$R$1405/100)/(Geometria!$N$1307/100))))))*(IF(OR(Geometria!$K$1405&gt;0,Geometria!$K$1403&gt;0,Geometria!$Q$1405&gt;0,Geometria!$Q$1403&gt;0),1,0))))/(Geometria!$L$48/100^2)+((Geometria!$L$374-(Geometria!$L$374-ES118)*(1-(MIN(MIN(1,MAX(0,(CP118-Geometria!$L$1409/100)/(Geometria!$N$1307/100))),MIN(1,MAX(0,((Geometria!$L$29/100-CP118)-Geometria!$R$1409/100)/(Geometria!$N$1307/100))))))*(IF(OR(Geometria!$K$1409&gt;0,Geometria!$K$1407&gt;0,Geometria!$Q$1409&gt;0,Geometria!$Q$1407&gt;0),1,0))-(Geometria!$L$374-EU118)*(1-(MIN(MIN(1,MAX(0,(CP118-Geometria!$L$1405/100)/(Geometria!$N$1307/100))),MIN(1,MAX(0,((Geometria!$L$29/100-CP118)-Geometria!$R$1405/100)/(Geometria!$N$1307/100))))))*(IF(OR(Geometria!$K$1405&gt;0,Geometria!$K$1403&gt;0,Geometria!$Q$1405&gt;0,Geometria!$Q$1403&gt;0),1,0))))/(Geometria!$L$52/100^3)-((Geometria!$L$679)/(Geometria!$L$52/100^3))-((Geometria!$L$690)/(Geometria!$M$52))</f>
        <v>-1801.662604920755</v>
      </c>
      <c r="CX118" s="751"/>
      <c r="CZ118" s="373">
        <f ca="1">(IF(CQ118="Sim",IF(CO118="Sim",IF(CP118&lt;Geometria!$L$1405/100,Geometria!$L$1435,Geometria!$L$1476),IF(CP118&lt;Geometria!$L$1409/100,Geometria!$L$1442,Geometria!$L$1460)),IF(CO118="Sim",IF(CP118&lt;Geometria!$L$1405/100,Geometria!$L$1444,Geometria!$L$1462),Geometria!$L$298)))*CV141+Geometria!$P$1429*CV118</f>
        <v>579.4739578938005</v>
      </c>
      <c r="DA118" s="373">
        <f ca="1">(IF(CQ118="Sim",IF(CO118="Sim",IF(CP118&lt;Geometria!$L$1405/100,Geometria!$L$1435,Geometria!$L$1476),IF(CP118&lt;Geometria!$L$1409/100,Geometria!$L$1442,Geometria!$L$1460)),IF(CO118="Sim",IF(CP118&lt;Geometria!$L$1405/100,Geometria!$L$1444,Geometria!$L$1462),Geometria!$L$298)))*CV141*(IF(CQ118="Sim",IF(CO118="Sim",IF(CP118&lt;Geometria!$L$1405/100,Geometria!$L$1436,Geometria!$L$1484),IF(CP118&lt;Geometria!$L$1409/100,Geometria!$L$1443,Geometria!$L$1461)),IF(CO118="Sim",IF(CP118&lt;Geometria!$L$1405/100,Geometria!$L$1445,Geometria!$L$1463),Geometria!$L$299)))/100-Geometria!$P$1429*CV118*Geometria!$L$1438/100</f>
        <v>165.15007799973316</v>
      </c>
      <c r="DB118" s="365"/>
      <c r="DC118" s="371">
        <f ca="1">(IF(CQ118="Sim",IF(CO118="Sim",$AB$93,ER118),IF(CO118="Sim",ET118,Geometria!$L$373)))</f>
        <v>621.7798114153002</v>
      </c>
      <c r="DD118" s="371">
        <f ca="1">(IF(CQ118="Sim",IF(CO118="Sim",$AB$94,ES118),IF(CO118="Sim",EU118,Geometria!$L$374)))</f>
        <v>177.20724625336052</v>
      </c>
      <c r="DF118" s="4" t="s">
        <v>446</v>
      </c>
      <c r="DG118" s="202">
        <f t="shared" ca="1" si="19"/>
        <v>-1801.662604920755</v>
      </c>
      <c r="DH118" s="38" t="s">
        <v>234</v>
      </c>
      <c r="DI118" s="203">
        <f t="shared" ca="1" si="10"/>
        <v>-1.8016626049207551</v>
      </c>
      <c r="DJ118" s="38" t="s">
        <v>160</v>
      </c>
      <c r="DK118" s="399">
        <f t="shared" si="20"/>
        <v>0.0</v>
      </c>
      <c r="EA118">
        <f ca="1">-L118/('Aberturas na Alma'!$M$112/100^2)+M118/('Aberturas na Alma'!$M$119/100^3)-Geometria!$L$898/('Aberturas na Alma'!$M$119/100^3)</f>
        <v>5811.086616196757</v>
      </c>
      <c r="EB118">
        <f ca="1">-(IF(C118="Sim",IF(A118="Sim",$E$93,EX118),IF(A118="Sim",EZ118,Geometria!$L$906)))/('Aberturas na Alma'!$M$112/100^2)+(IF(C118="Sim",IF(A118="Sim",$E$94,EY118),IF(A118="Sim",FA118,Geometria!$L$907)))/('Aberturas na Alma'!$M$119/100^3)-Geometria!$L$904/('Aberturas na Alma'!$M$119/100^3)</f>
        <v>5618.739933043652</v>
      </c>
      <c r="EC118">
        <f ca="1">IF(AND('Aberturas na Alma'!$M$18="NÃO DISPENSADO — furo deve ser verificado (cálculo abaixo)",OR(AND(B118&gt;=('Aberturas na Alma'!$M$4-'Aberturas na Alma'!$M$7/2)/100,B118&lt;=('Aberturas na Alma'!$M$4+'Aberturas na Alma'!$M$7/2)/100),ABS(B118-'Aberturas na Alma'!$M$4/100)&lt;=Geometria!$L$29/4000)),IF(E118="Reduzir",EA118,EB118),F118)</f>
        <v>6545.172499364657</v>
      </c>
      <c r="ED118">
        <f ca="1">-(AI118/('Aberturas na Alma'!$M$112/100^2))+(AJ118/('Aberturas na Alma'!$M$119/100^3))-((Geometria!$L$422)/('Aberturas na Alma'!$M$119/100^3))-((Geometria!$L$433)/('Aberturas na Alma'!$M$119/100^3))-((Geometria!$L$76*Geometria!$L$444)/('Aberturas na Alma'!$M$119/100^3))</f>
        <v>-24531.10318712854</v>
      </c>
      <c r="EE118">
        <f ca="1">-((IF(Z118="Sim",IF(X118="Sim",$AB$93,ER118),IF(X118="Sim",ET118,Geometria!$L$373)))/('Aberturas na Alma'!$M$112/100^2))+((IF(Z118="Sim",IF(X118="Sim",$AB$94,ES118),IF(X118="Sim",EU118,Geometria!$L$374)))/('Aberturas na Alma'!$M$119/100^3))-((Geometria!$L$422)/('Aberturas na Alma'!$M$119/100^3))-((Geometria!$L$433)/('Aberturas na Alma'!$M$119/100^3))-((Geometria!$L$76*Geometria!$L$444)/('Aberturas na Alma'!$M$119/100^3))</f>
        <v>-24145.728249184893</v>
      </c>
      <c r="EF118" s="371">
        <f ca="1">IF(AND('Aberturas na Alma'!$M$18="NÃO DISPENSADO — furo deve ser verificado (cálculo abaixo)",OR(AND(B118&gt;=('Aberturas na Alma'!$M$4-'Aberturas na Alma'!$M$7/2)/100,B118&lt;=('Aberturas na Alma'!$M$4+'Aberturas na Alma'!$M$7/2)/100),ABS(B118-'Aberturas na Alma'!$M$4/100)&lt;=Geometria!$L$29/4000)),IF(AB118="Reduzir",ED118,EE118),AC118)</f>
        <v>-1801.6677195152995</v>
      </c>
      <c r="EG118">
        <f ca="1">-(BF118/('Aberturas na Alma'!$M$112/100^2))+(BG118/('Aberturas na Alma'!$M$119/100^3))-((Geometria!$L$422)/('Aberturas na Alma'!$M$119/100^3))-((Geometria!$L$433)/('Aberturas na Alma'!$M$119/100^3))-((Geometria!$L$76*Geometria!$L$444)/('Aberturas na Alma'!$M$119/100^3))</f>
        <v>-24531.10318712854</v>
      </c>
      <c r="EH118">
        <f ca="1">-((IF(AW118="Sim",IF(AU118="Sim",$AB$93,ER118),IF(AU118="Sim",ET118,Geometria!$L$373)))/('Aberturas na Alma'!$M$112/100^2))+((IF(AW118="Sim",IF(AU118="Sim",$AB$94,ES118),IF(AU118="Sim",EU118,Geometria!$L$374)))/('Aberturas na Alma'!$M$119/100^3))-((Geometria!$L$422)/('Aberturas na Alma'!$M$119/100^3))-((Geometria!$L$433)/('Aberturas na Alma'!$M$119/100^3))</f>
        <v>-4210.777443961986</v>
      </c>
      <c r="EI118" s="371">
        <f ca="1">IF(AND('Aberturas na Alma'!$M$18="NÃO DISPENSADO — furo deve ser verificado (cálculo abaixo)",OR(AND(B118&gt;=('Aberturas na Alma'!$M$4-'Aberturas na Alma'!$M$7/2)/100,B118&lt;=('Aberturas na Alma'!$M$4+'Aberturas na Alma'!$M$7/2)/100),ABS(B118-'Aberturas na Alma'!$M$4/100)&lt;=Geometria!$L$29/4000)),IF(AY118="Reduzir",EG118,EH118),AZ118)</f>
        <v>-1801.662604920755</v>
      </c>
      <c r="EJ118">
        <f ca="1">-(CC118/('Aberturas na Alma'!$M$112/100^2))+(CD118/('Aberturas na Alma'!$M$119/100^3))-((Geometria!$L$422)/('Aberturas na Alma'!$M$119/100^3))-((Geometria!$L$433)/('Aberturas na Alma'!$M$119/100^3))-((Geometria!$L$76*Geometria!$L$444)/('Aberturas na Alma'!$M$119/100^3))</f>
        <v>-24531.10318712854</v>
      </c>
      <c r="EK118">
        <f ca="1">-((IF(BT118="Sim",IF(BR118="Sim",$AB$93,ER118),IF(BR118="Sim",ET118,Geometria!$L$373)))/('Aberturas na Alma'!$M$112/100^2))+((IF(BT118="Sim",IF(BR118="Sim",$AB$94,ES118),IF(BR118="Sim",EU118,Geometria!$L$374)))/('Aberturas na Alma'!$M$119/100^3))-((Geometria!$L$679)/('Aberturas na Alma'!$M$119/100^3))-((Geometria!$L$690)/('Aberturas na Alma'!$M$119/100^3))-((Geometria!$L$77*Geometria!$L$701)/('Aberturas na Alma'!$M$119/100^3))</f>
        <v>-17500.744647443928</v>
      </c>
      <c r="EL118" s="371">
        <f ca="1">IF(AND('Aberturas na Alma'!$M$18="NÃO DISPENSADO — furo deve ser verificado (cálculo abaixo)",OR(AND(B118&gt;=('Aberturas na Alma'!$M$4-'Aberturas na Alma'!$M$7/2)/100,B118&lt;=('Aberturas na Alma'!$M$4+'Aberturas na Alma'!$M$7/2)/100),ABS(B118-'Aberturas na Alma'!$M$4/100)&lt;=Geometria!$L$29/4000)),IF(BV118="Reduzir",EJ118,EK118),BW118)</f>
        <v>-1801.6660146504514</v>
      </c>
      <c r="EM118">
        <f ca="1">-(CZ118/('Aberturas na Alma'!$M$112/100^2))+(DA118/('Aberturas na Alma'!$M$119/100^3))-((Geometria!$L$422)/('Aberturas na Alma'!$M$119/100^3))-((Geometria!$L$433)/('Aberturas na Alma'!$M$119/100^3))-((Geometria!$L$76*Geometria!$L$444)/('Aberturas na Alma'!$M$119/100^3))</f>
        <v>-24531.10318712854</v>
      </c>
      <c r="EN118">
        <f ca="1">-((IF(CQ118="Sim",IF(CO118="Sim",$AB$93,ER118),IF(CO118="Sim",ET118,Geometria!$L$373)))/('Aberturas na Alma'!$M$112/100^2))+((IF(CQ118="Sim",IF(CO118="Sim",$AB$94,ES118),IF(CO118="Sim",EU118,Geometria!$L$374)))/('Aberturas na Alma'!$M$119/100^3))-((Geometria!$L$679)/('Aberturas na Alma'!$M$119/100^3))-((Geometria!$L$690)/('Aberturas na Alma'!$M$119/100^3))</f>
        <v>-4210.777443961986</v>
      </c>
      <c r="EO118" s="371">
        <f ca="1">IF(AND('Aberturas na Alma'!$M$18="NÃO DISPENSADO — furo deve ser verificado (cálculo abaixo)",OR(AND(B118&gt;=('Aberturas na Alma'!$M$4-'Aberturas na Alma'!$M$7/2)/100,B118&lt;=('Aberturas na Alma'!$M$4+'Aberturas na Alma'!$M$7/2)/100),ABS(B118-'Aberturas na Alma'!$M$4/100)&lt;=Geometria!$L$29/4000)),IF(CS118="Reduzir",EM118,EN118),CT118)</f>
        <v>-1801.662604920755</v>
      </c>
      <c r="EP118" t="str">
        <f>IF(AND(Y118&lt;Geometria!$L$1409/100,OR(Geometria!$K$1409&gt;0,Geometria!$K$1407&gt;0)),"ESQ",IF(AND((Geometria!$L$29/100-Y118)&lt;Geometria!$R$1409/100,OR(Geometria!$Q$1409&gt;0,Geometria!$Q$1407&gt;0)),"DIR","N/A"))</f>
        <v>N/A</v>
      </c>
      <c r="EQ118" t="str">
        <f>IF(AND(Y118&lt;Geometria!$L$1405/100,Geometria!$K$1405&gt;0),"ESQ",IF(AND((Geometria!$L$29/100-Y118)&lt;Geometria!$R$1405/100,Geometria!$Q$1405&gt;0),"DIR","N/A"))</f>
        <v>DIR</v>
      </c>
      <c r="ER118">
        <f ca="1">IF(EP118="DIR",Geometria!$L$1470,Geometria!$L$1452)</f>
        <v>1243.5596228306003</v>
      </c>
      <c r="ES118">
        <f ca="1">IF(EP118="DIR",Geometria!$L$1471,Geometria!$L$1453)</f>
        <v>233.16742928073757</v>
      </c>
      <c r="ET118">
        <f ca="1">IF(EQ118="DIR",Geometria!$L$1472,Geometria!$L$1454)</f>
        <v>621.7798114153002</v>
      </c>
      <c r="EU118">
        <f ca="1">IF(EQ118="DIR",Geometria!$L$1473,Geometria!$L$1455)</f>
        <v>177.20724625336052</v>
      </c>
      <c r="EV118" t="str">
        <f>IF(AND(B118&lt;Geometria!$L$1409/100,OR(Geometria!$K$1409&gt;0,Geometria!$K$1407&gt;0)),"ESQ",IF(AND((Geometria!$L$29/100-B118)&lt;Geometria!$R$1409/100,OR(Geometria!$Q$1409&gt;0,Geometria!$Q$1407&gt;0)),"DIR","N/A"))</f>
        <v>N/A</v>
      </c>
      <c r="EW118" t="str">
        <f>IF(AND(B118&lt;Geometria!$L$1405/100,Geometria!$K$1405&gt;0),"ESQ",IF(AND((Geometria!$L$29/100-B118)&lt;Geometria!$R$1405/100,Geometria!$Q$1405&gt;0),"DIR","N/A"))</f>
        <v>DIR</v>
      </c>
      <c r="EX118">
        <f ca="1">IF(EV118="DIR",Geometria!$L$1465,Geometria!$L$1447)</f>
        <v>1499.8056003831216</v>
      </c>
      <c r="EY118">
        <f ca="1">IF(EV118="DIR",Geometria!$L$1466,Geometria!$L$1448)</f>
        <v>281.2135500718353</v>
      </c>
      <c r="EZ118">
        <f ca="1">IF(EW118="DIR",Geometria!$L$1467,Geometria!$L$1449)</f>
        <v>749.9028001915608</v>
      </c>
      <c r="FA118">
        <f ca="1">IF(EW118="DIR",Geometria!$L$1468,Geometria!$L$1450)</f>
        <v>213.72229805459483</v>
      </c>
    </row>
    <row r="119" spans="1:157" x14ac:dyDescent="0.25">
      <c r="A119" s="376" t="str">
        <f>IF(OR(AND(B119&lt;Geometria!$L$1405/100,Geometria!$K$1405&gt;0),AND((Geometria!$L$29/100-B119)&lt;Geometria!$R$1405/100,Geometria!$Q$1405&gt;0)),"Sim","Não")</f>
        <v>Sim</v>
      </c>
      <c r="B119" s="395">
        <f>Tensões!$D$69</f>
        <v>7.065</v>
      </c>
      <c r="C119" s="376" t="str">
        <f>IF(OR(AND(B119&lt;Geometria!$L$1409/100,OR(Geometria!$K$1409&gt;0,Geometria!$K$1407&gt;0)),AND((Geometria!$L$29/100-B119)&lt;Geometria!$R$1409/100,OR(Geometria!$Q$1409&gt;0,Geometria!$Q$1407&gt;0))),"Sim","Não")</f>
        <v>Não</v>
      </c>
      <c r="D119" s="122" t="s">
        <v>447</v>
      </c>
      <c r="E119" s="198" t="str">
        <f ca="1">E103</f>
        <v>Reduzir</v>
      </c>
      <c r="F119" s="396">
        <f t="shared" ca="1" si="1"/>
        <v>4277.775892357763</v>
      </c>
      <c r="G119" s="397">
        <f ca="1">-L119/(Geometria!$L$48/100^2)+M119/(Geometria!$L$52/100^3)-Geometria!$L$898/(Geometria!$L$52/100^3)</f>
        <v>4277.775892357763</v>
      </c>
      <c r="H119" s="400">
        <f ca="1">H103</f>
        <v>97.95837689338032</v>
      </c>
      <c r="I119" s="743">
        <f ca="1">-(Geometria!$L$906-(Geometria!$L$906-EX119)*(1-(MIN(MIN(1,MAX(0,(B119-Geometria!$L$1409/100)/(Geometria!$N$1307/100))),MIN(1,MAX(0,((Geometria!$L$29/100-B119)-Geometria!$R$1409/100)/(Geometria!$N$1307/100))))))*(IF(OR(Geometria!$K$1409&gt;0,Geometria!$K$1407&gt;0,Geometria!$Q$1409&gt;0,Geometria!$Q$1407&gt;0),1,0))-(Geometria!$L$906-EZ119)*(1-(MIN(MIN(1,MAX(0,(B119-Geometria!$L$1405/100)/(Geometria!$N$1307/100))),MIN(1,MAX(0,((Geometria!$L$29/100-B119)-Geometria!$R$1405/100)/(Geometria!$N$1307/100))))))*(IF(OR(Geometria!$K$1405&gt;0,Geometria!$K$1403&gt;0,Geometria!$Q$1405&gt;0,Geometria!$Q$1403&gt;0),1,0)))/(Geometria!$L$48/100^2)+(Geometria!$L$907-(Geometria!$L$907-EY119)*(1-(MIN(MIN(1,MAX(0,(B119-Geometria!$L$1409/100)/(Geometria!$N$1307/100))),MIN(1,MAX(0,((Geometria!$L$29/100-B119)-Geometria!$R$1409/100)/(Geometria!$N$1307/100))))))*(IF(OR(Geometria!$K$1409&gt;0,Geometria!$K$1407&gt;0,Geometria!$Q$1409&gt;0,Geometria!$Q$1407&gt;0),1,0))-(Geometria!$L$907-FA119)*(1-(MIN(MIN(1,MAX(0,(B119-Geometria!$L$1405/100)/(Geometria!$N$1307/100))),MIN(1,MAX(0,((Geometria!$L$29/100-B119)-Geometria!$R$1405/100)/(Geometria!$N$1307/100))))))*(IF(OR(Geometria!$K$1405&gt;0,Geometria!$K$1403&gt;0,Geometria!$Q$1405&gt;0,Geometria!$Q$1403&gt;0),1,0)))/(Geometria!$L$52/100^3)-Geometria!$M$904/(Geometria!$L$52/100^3)</f>
        <v>6886.984804052157</v>
      </c>
      <c r="J119" s="743"/>
      <c r="L119" s="373">
        <f ca="1">(Geometria!$L$298-(Geometria!$L$298-IF(B119&lt;Geometria!$L$1409/100,Geometria!$L$1442,Geometria!$L$1460))*(1-(MIN(MIN(1,MAX(0,(B119-Geometria!$L$1409/100)/(Geometria!$N$1307/100))),MIN(1,MAX(0,((Geometria!$L$29/100-B119)-Geometria!$R$1409/100)/(Geometria!$N$1307/100))))))*(IF(OR(Geometria!$K$1409&gt;0,Geometria!$K$1407&gt;0,Geometria!$Q$1409&gt;0,Geometria!$Q$1407&gt;0),1,0))-(Geometria!$L$298-IF(B119&lt;Geometria!$L$1405/100,Geometria!$L$1444,Geometria!$L$1462))*(1-(MIN(MIN(1,MAX(0,(B119-Geometria!$L$1405/100)/(Geometria!$N$1307/100))),MIN(1,MAX(0,((Geometria!$L$29/100-B119)-Geometria!$R$1405/100)/(Geometria!$N$1307/100))))))*(IF(OR(Geometria!$K$1405&gt;0,Geometria!$K$1403&gt;0,Geometria!$Q$1405&gt;0,Geometria!$Q$1403&gt;0),1,0)))*H142+Geometria!$P$1429*H119</f>
        <v>458.3420897800795</v>
      </c>
      <c r="M119" s="373">
        <f ca="1">(Geometria!$L$298-(Geometria!$L$298-IF(B119&lt;Geometria!$L$1409/100,Geometria!$L$1442,Geometria!$L$1460))*(1-(MIN(MIN(1,MAX(0,(B119-Geometria!$L$1409/100)/(Geometria!$N$1307/100))),MIN(1,MAX(0,((Geometria!$L$29/100-B119)-Geometria!$R$1409/100)/(Geometria!$N$1307/100))))))*(IF(OR(Geometria!$K$1409&gt;0,Geometria!$K$1407&gt;0,Geometria!$Q$1409&gt;0,Geometria!$Q$1407&gt;0),1,0))-(Geometria!$L$298-IF(B119&lt;Geometria!$L$1405/100,Geometria!$L$1444,Geometria!$L$1462))*(1-(MIN(MIN(1,MAX(0,(B119-Geometria!$L$1405/100)/(Geometria!$N$1307/100))),MIN(1,MAX(0,((Geometria!$L$29/100-B119)-Geometria!$R$1405/100)/(Geometria!$N$1307/100))))))*(IF(OR(Geometria!$K$1405&gt;0,Geometria!$K$1403&gt;0,Geometria!$Q$1405&gt;0,Geometria!$Q$1403&gt;0),1,0)))*H142*(Geometria!$L$299-(Geometria!$L$299-IF(B119&lt;Geometria!$L$1409/100,Geometria!$L$1443,Geometria!$L$1461))*(1-(MIN(MIN(1,MAX(0,(B119-Geometria!$L$1409/100)/(Geometria!$N$1307/100))),MIN(1,MAX(0,((Geometria!$L$29/100-B119)-Geometria!$R$1409/100)/(Geometria!$N$1307/100))))))*(IF(OR(Geometria!$K$1409&gt;0,Geometria!$K$1407&gt;0,Geometria!$Q$1409&gt;0,Geometria!$Q$1407&gt;0),1,0))-(Geometria!$L$299-IF(B119&lt;Geometria!$L$1405/100,Geometria!$L$1445,Geometria!$L$1463))*(1-(MIN(MIN(1,MAX(0,(B119-Geometria!$L$1405/100)/(Geometria!$N$1307/100))),MIN(1,MAX(0,((Geometria!$L$29/100-B119)-Geometria!$R$1405/100)/(Geometria!$N$1307/100))))))*(IF(OR(Geometria!$K$1405&gt;0,Geometria!$K$1403&gt;0,Geometria!$Q$1405&gt;0,Geometria!$Q$1403&gt;0),1,0)))/100-Geometria!$P$1429*H119*Geometria!$L$1438/100</f>
        <v>130.62749558732267</v>
      </c>
      <c r="N119" s="365"/>
      <c r="O119" s="371">
        <f ca="1">(IF(C119="Sim",IF(A119="Sim",$E$93,EX119),IF(A119="Sim",EZ119,Geometria!$L$906)))</f>
        <v>749.9028001915608</v>
      </c>
      <c r="P119" s="371">
        <f ca="1">(IF(C119="Sim",IF(A119="Sim",$E$94,EY119),IF(A119="Sim",FA119,Geometria!$L$907)))</f>
        <v>213.72229805459483</v>
      </c>
      <c r="R119" s="4" t="s">
        <v>447</v>
      </c>
      <c r="S119" s="202">
        <f t="shared" ca="1" si="11"/>
        <v>4277.775892357763</v>
      </c>
      <c r="T119" s="38" t="s">
        <v>234</v>
      </c>
      <c r="U119" s="203">
        <f t="shared" ca="1" si="2"/>
        <v>4.277775892357763</v>
      </c>
      <c r="V119" s="38" t="s">
        <v>160</v>
      </c>
      <c r="W119" s="399">
        <f t="shared" si="12"/>
        <v>0.0</v>
      </c>
      <c r="X119" s="376" t="str">
        <f>IF(OR(AND(Y119&lt;Geometria!$L$1405/100,Geometria!$K$1405&gt;0),AND((Geometria!$L$29/100-Y119)&lt;Geometria!$R$1405/100,Geometria!$Q$1405&gt;0)),"Sim","Não")</f>
        <v>Sim</v>
      </c>
      <c r="Y119" s="395">
        <f>Geometria!$M$421</f>
        <v>7.065</v>
      </c>
      <c r="Z119" s="376" t="str">
        <f>IF(OR(AND(Y119&lt;Geometria!$L$1409/100,OR(Geometria!$K$1409&gt;0,Geometria!$K$1407&gt;0)),AND((Geometria!$L$29/100-Y119)&lt;Geometria!$R$1409/100,OR(Geometria!$Q$1409&gt;0,Geometria!$Q$1407&gt;0))),"Sim","Não")</f>
        <v>Não</v>
      </c>
      <c r="AA119" s="122" t="s">
        <v>447</v>
      </c>
      <c r="AB119" s="198" t="str">
        <f ca="1">AB103</f>
        <v>Reduzir</v>
      </c>
      <c r="AC119" s="401">
        <f t="shared" ca="1" si="3"/>
        <v>-1812.247310588026</v>
      </c>
      <c r="AD119" s="403">
        <f ca="1">-(AI119/(Geometria!$L$48/100^2))+(AJ119/(Geometria!$L$52/100^3))-((Geometria!$M$422)/(Geometria!$L$52/100^3))-((Geometria!$M$433)/(Geometria!$M$52))-((Geometria!$L$76*Geometria!$M$444)/(Geometria!$M$52))</f>
        <v>-1812.247310588026</v>
      </c>
      <c r="AE119" s="400">
        <f ca="1">AE103</f>
        <v>82.7750161643391</v>
      </c>
      <c r="AF119" s="751">
        <f ca="1">-((Geometria!$L$373-(Geometria!$L$373-ER119)*(1-(MIN(MIN(1,MAX(0,(Y119-Geometria!$L$1409/100)/(Geometria!$N$1307/100))),MIN(1,MAX(0,((Geometria!$L$29/100-Y119)-Geometria!$R$1409/100)/(Geometria!$N$1307/100))))))*(IF(OR(Geometria!$K$1409&gt;0,Geometria!$K$1407&gt;0,Geometria!$Q$1409&gt;0,Geometria!$Q$1407&gt;0),1,0))-(Geometria!$L$373-ET119)*(1-(MIN(MIN(1,MAX(0,(Y119-Geometria!$L$1405/100)/(Geometria!$N$1307/100))),MIN(1,MAX(0,((Geometria!$L$29/100-Y119)-Geometria!$R$1405/100)/(Geometria!$N$1307/100))))))*(IF(OR(Geometria!$K$1405&gt;0,Geometria!$K$1403&gt;0,Geometria!$Q$1405&gt;0,Geometria!$Q$1403&gt;0),1,0))))/(Geometria!$L$48/100^2)+((Geometria!$L$374-(Geometria!$L$374-ES119)*(1-(MIN(MIN(1,MAX(0,(Y119-Geometria!$L$1409/100)/(Geometria!$N$1307/100))),MIN(1,MAX(0,((Geometria!$L$29/100-Y119)-Geometria!$R$1409/100)/(Geometria!$N$1307/100))))))*(IF(OR(Geometria!$K$1409&gt;0,Geometria!$K$1407&gt;0,Geometria!$Q$1409&gt;0,Geometria!$Q$1407&gt;0),1,0))-(Geometria!$L$374-EU119)*(1-(MIN(MIN(1,MAX(0,(Y119-Geometria!$L$1405/100)/(Geometria!$N$1307/100))),MIN(1,MAX(0,((Geometria!$L$29/100-Y119)-Geometria!$R$1405/100)/(Geometria!$N$1307/100))))))*(IF(OR(Geometria!$K$1405&gt;0,Geometria!$K$1403&gt;0,Geometria!$Q$1405&gt;0,Geometria!$Q$1403&gt;0),1,0))))/(Geometria!$L$52/100^3)-((Geometria!$M$422)/(Geometria!$L$52/100^3))-((Geometria!$M$433)/(Geometria!$M$52))-((Geometria!$L$76*Geometria!$M$444)/(Geometria!$M$52))</f>
        <v>607.7977063524432</v>
      </c>
      <c r="AG119" s="751"/>
      <c r="AI119" s="373">
        <f ca="1">(IF(Z119="Sim",IF(X119="Sim",IF(Y119&lt;Geometria!$L$1405/100,Geometria!$L$1435,Geometria!$L$1476),IF(Y119&lt;Geometria!$L$1409/100,Geometria!$L$1442,Geometria!$L$1460)),IF(X119="Sim",IF(Y119&lt;Geometria!$L$1405/100,Geometria!$L$1444,Geometria!$L$1462),Geometria!$L$298)))*AE142+Geometria!$P$1429*AE119</f>
        <v>386.3159719292004</v>
      </c>
      <c r="AJ119" s="373">
        <f ca="1">(IF(Z119="Sim",IF(X119="Sim",IF(Y119&lt;Geometria!$L$1405/100,Geometria!$L$1435,Geometria!$L$1476),IF(Y119&lt;Geometria!$L$1409/100,Geometria!$L$1442,Geometria!$L$1460)),IF(X119="Sim",IF(Y119&lt;Geometria!$L$1405/100,Geometria!$L$1444,Geometria!$L$1462),Geometria!$L$298)))*AE142*(IF(Z119="Sim",IF(X119="Sim",IF(Y119&lt;Geometria!$L$1405/100,Geometria!$L$1436,Geometria!$L$1484),IF(Y119&lt;Geometria!$L$1409/100,Geometria!$L$1443,Geometria!$L$1461)),IF(X119="Sim",IF(Y119&lt;Geometria!$L$1405/100,Geometria!$L$1445,Geometria!$L$1463),Geometria!$L$299)))/100-Geometria!$P$1429*AE119*Geometria!$L$1438/100</f>
        <v>110.1000519998221</v>
      </c>
      <c r="AK119" s="365"/>
      <c r="AL119" s="371">
        <f ca="1">(IF(Z119="Sim",IF(X119="Sim",$AB$93,ER119),IF(X119="Sim",ET119,Geometria!$L$373)))</f>
        <v>621.7798114153002</v>
      </c>
      <c r="AM119" s="371">
        <f ca="1">(IF(Z119="Sim",IF(X119="Sim",$AB$94,ES119),IF(X119="Sim",EU119,Geometria!$L$374)))</f>
        <v>177.20724625336052</v>
      </c>
      <c r="AO119" s="4" t="s">
        <v>447</v>
      </c>
      <c r="AP119" s="202">
        <f t="shared" ca="1" si="13"/>
        <v>-1812.247310588026</v>
      </c>
      <c r="AQ119" s="38" t="s">
        <v>234</v>
      </c>
      <c r="AR119" s="203">
        <f t="shared" ca="1" si="4"/>
        <v>-1.8122473105880261</v>
      </c>
      <c r="AS119" s="38" t="s">
        <v>160</v>
      </c>
      <c r="AT119" s="399">
        <f t="shared" si="14"/>
        <v>0.0</v>
      </c>
      <c r="AU119" s="376" t="str">
        <f>IF(OR(AND(AV119&lt;Geometria!$L$1405/100,Geometria!$K$1405&gt;0),AND((Geometria!$L$29/100-AV119)&lt;Geometria!$R$1405/100,Geometria!$Q$1405&gt;0)),"Sim","Não")</f>
        <v>Sim</v>
      </c>
      <c r="AV119" s="395">
        <f>Geometria!$M$421</f>
        <v>7.065</v>
      </c>
      <c r="AW119" s="376" t="str">
        <f>IF(OR(AND(AV119&lt;Geometria!$L$1409/100,OR(Geometria!$K$1409&gt;0,Geometria!$K$1407&gt;0)),AND((Geometria!$L$29/100-AV119)&lt;Geometria!$R$1409/100,OR(Geometria!$Q$1409&gt;0,Geometria!$Q$1407&gt;0))),"Sim","Não")</f>
        <v>Não</v>
      </c>
      <c r="AX119" s="122" t="s">
        <v>447</v>
      </c>
      <c r="AY119" s="198" t="str">
        <f ca="1">AY103</f>
        <v>Reduzir</v>
      </c>
      <c r="AZ119" s="401">
        <f t="shared" ca="1" si="5"/>
        <v>-1812.247310588026</v>
      </c>
      <c r="BA119" s="403">
        <f ca="1">-(BF119/(Geometria!$L$48/100^2))+(BG119/(Geometria!$L$52/100^3))-((Geometria!$M$422)/(Geometria!$L$52/100^3))-((Geometria!$M$433)/(Geometria!$M$52))-((Geometria!$L$76*Geometria!$M$444)/(Geometria!$M$52))</f>
        <v>-1812.247310588026</v>
      </c>
      <c r="BB119" s="400">
        <f ca="1">BB103</f>
        <v>82.7750161643391</v>
      </c>
      <c r="BC119" s="751">
        <f ca="1">-((Geometria!$L$373-(Geometria!$L$373-ER119)*(1-(MIN(MIN(1,MAX(0,(AV119-Geometria!$L$1409/100)/(Geometria!$N$1307/100))),MIN(1,MAX(0,((Geometria!$L$29/100-AV119)-Geometria!$R$1409/100)/(Geometria!$N$1307/100))))))*(IF(OR(Geometria!$K$1409&gt;0,Geometria!$K$1407&gt;0,Geometria!$Q$1409&gt;0,Geometria!$Q$1407&gt;0),1,0))-(Geometria!$L$373-ET119)*(1-(MIN(MIN(1,MAX(0,(AV119-Geometria!$L$1405/100)/(Geometria!$N$1307/100))),MIN(1,MAX(0,((Geometria!$L$29/100-AV119)-Geometria!$R$1405/100)/(Geometria!$N$1307/100))))))*(IF(OR(Geometria!$K$1405&gt;0,Geometria!$K$1403&gt;0,Geometria!$Q$1405&gt;0,Geometria!$Q$1403&gt;0),1,0))))/(Geometria!$L$48/100^2)+((Geometria!$L$374-(Geometria!$L$374-ES119)*(1-(MIN(MIN(1,MAX(0,(AV119-Geometria!$L$1409/100)/(Geometria!$N$1307/100))),MIN(1,MAX(0,((Geometria!$L$29/100-AV119)-Geometria!$R$1409/100)/(Geometria!$N$1307/100))))))*(IF(OR(Geometria!$K$1409&gt;0,Geometria!$K$1407&gt;0,Geometria!$Q$1409&gt;0,Geometria!$Q$1407&gt;0),1,0))-(Geometria!$L$374-EU119)*(1-(MIN(MIN(1,MAX(0,(AV119-Geometria!$L$1405/100)/(Geometria!$N$1307/100))),MIN(1,MAX(0,((Geometria!$L$29/100-AV119)-Geometria!$R$1405/100)/(Geometria!$N$1307/100))))))*(IF(OR(Geometria!$K$1405&gt;0,Geometria!$K$1403&gt;0,Geometria!$Q$1405&gt;0,Geometria!$Q$1403&gt;0),1,0))))/(Geometria!$L$52/100^3)-((Geometria!$M$422)/(Geometria!$L$52/100^3))-((Geometria!$M$433)/(Geometria!$M$52))</f>
        <v>607.8013166544747</v>
      </c>
      <c r="BD119" s="751"/>
      <c r="BF119" s="373">
        <f ca="1">(Geometria!$L$298-(Geometria!$L$298-IF(AV119&lt;Geometria!$L$1409/100,Geometria!$L$1442,Geometria!$L$1460))*(1-(MIN(MIN(1,MAX(0,(AV119-Geometria!$L$1409/100)/(Geometria!$N$1307/100))),MIN(1,MAX(0,((Geometria!$L$29/100-AV119)-Geometria!$R$1409/100)/(Geometria!$N$1307/100))))))*(IF(OR(Geometria!$K$1409&gt;0,Geometria!$K$1407&gt;0,Geometria!$Q$1409&gt;0,Geometria!$Q$1407&gt;0),1,0))-(Geometria!$L$298-IF(AV119&lt;Geometria!$L$1405/100,Geometria!$L$1444,Geometria!$L$1462))*(1-(MIN(MIN(1,MAX(0,(AV119-Geometria!$L$1405/100)/(Geometria!$N$1307/100))),MIN(1,MAX(0,((Geometria!$L$29/100-AV119)-Geometria!$R$1405/100)/(Geometria!$N$1307/100))))))*(IF(OR(Geometria!$K$1405&gt;0,Geometria!$K$1403&gt;0,Geometria!$Q$1405&gt;0,Geometria!$Q$1403&gt;0),1,0)))*BB142+Geometria!$P$1429*BB119</f>
        <v>386.3159719292004</v>
      </c>
      <c r="BG119" s="373">
        <f ca="1">(Geometria!$L$298-(Geometria!$L$298-IF(AV119&lt;Geometria!$L$1409/100,Geometria!$L$1442,Geometria!$L$1460))*(1-(MIN(MIN(1,MAX(0,(AV119-Geometria!$L$1409/100)/(Geometria!$N$1307/100))),MIN(1,MAX(0,((Geometria!$L$29/100-AV119)-Geometria!$R$1409/100)/(Geometria!$N$1307/100))))))*(IF(OR(Geometria!$K$1409&gt;0,Geometria!$K$1407&gt;0,Geometria!$Q$1409&gt;0,Geometria!$Q$1407&gt;0),1,0))-(Geometria!$L$298-IF(AV119&lt;Geometria!$L$1405/100,Geometria!$L$1444,Geometria!$L$1462))*(1-(MIN(MIN(1,MAX(0,(AV119-Geometria!$L$1405/100)/(Geometria!$N$1307/100))),MIN(1,MAX(0,((Geometria!$L$29/100-AV119)-Geometria!$R$1405/100)/(Geometria!$N$1307/100))))))*(IF(OR(Geometria!$K$1405&gt;0,Geometria!$K$1403&gt;0,Geometria!$Q$1405&gt;0,Geometria!$Q$1403&gt;0),1,0)))*BB142*(Geometria!$L$299-(Geometria!$L$299-IF(AV119&lt;Geometria!$L$1409/100,Geometria!$L$1443,Geometria!$L$1461))*(1-(MIN(MIN(1,MAX(0,(AV119-Geometria!$L$1409/100)/(Geometria!$N$1307/100))),MIN(1,MAX(0,((Geometria!$L$29/100-AV119)-Geometria!$R$1409/100)/(Geometria!$N$1307/100))))))*(IF(OR(Geometria!$K$1409&gt;0,Geometria!$K$1407&gt;0,Geometria!$Q$1409&gt;0,Geometria!$Q$1407&gt;0),1,0))-(Geometria!$L$299-IF(AV119&lt;Geometria!$L$1405/100,Geometria!$L$1445,Geometria!$L$1463))*(1-(MIN(MIN(1,MAX(0,(AV119-Geometria!$L$1405/100)/(Geometria!$N$1307/100))),MIN(1,MAX(0,((Geometria!$L$29/100-AV119)-Geometria!$R$1405/100)/(Geometria!$N$1307/100))))))*(IF(OR(Geometria!$K$1405&gt;0,Geometria!$K$1403&gt;0,Geometria!$Q$1405&gt;0,Geometria!$Q$1403&gt;0),1,0)))/100-Geometria!$P$1429*BB119*Geometria!$L$1438/100</f>
        <v>110.1000519998221</v>
      </c>
      <c r="BH119" s="365"/>
      <c r="BI119" s="371">
        <f ca="1">(IF(AW119="Sim",IF(AU119="Sim",$AB$93,ER119),IF(AU119="Sim",ET119,Geometria!$L$373)))</f>
        <v>621.7798114153002</v>
      </c>
      <c r="BJ119" s="371">
        <f ca="1">(IF(AW119="Sim",IF(AU119="Sim",$AB$94,ES119),IF(AU119="Sim",EU119,Geometria!$L$374)))</f>
        <v>177.20724625336052</v>
      </c>
      <c r="BL119" s="4" t="s">
        <v>447</v>
      </c>
      <c r="BM119" s="202">
        <f t="shared" ca="1" si="15"/>
        <v>-1812.247310588026</v>
      </c>
      <c r="BN119" s="38" t="s">
        <v>234</v>
      </c>
      <c r="BO119" s="203">
        <f t="shared" ca="1" si="6"/>
        <v>-1.8122473105880261</v>
      </c>
      <c r="BP119" s="38" t="s">
        <v>160</v>
      </c>
      <c r="BQ119" s="399">
        <f t="shared" si="16"/>
        <v>0.0</v>
      </c>
      <c r="BR119" s="376" t="str">
        <f>IF(OR(AND(BS119&lt;Geometria!$L$1405/100,Geometria!$K$1405&gt;0),AND((Geometria!$L$29/100-BS119)&lt;Geometria!$R$1405/100,Geometria!$Q$1405&gt;0)),"Sim","Não")</f>
        <v>Sim</v>
      </c>
      <c r="BS119" s="395">
        <f>Geometria!$M$421</f>
        <v>7.065</v>
      </c>
      <c r="BT119" s="376" t="str">
        <f>IF(OR(AND(BS119&lt;Geometria!$L$1409/100,OR(Geometria!$K$1409&gt;0,Geometria!$K$1407&gt;0)),AND((Geometria!$L$29/100-BS119)&lt;Geometria!$R$1409/100,OR(Geometria!$Q$1409&gt;0,Geometria!$Q$1407&gt;0))),"Sim","Não")</f>
        <v>Não</v>
      </c>
      <c r="BU119" s="122" t="s">
        <v>447</v>
      </c>
      <c r="BV119" s="198" t="str">
        <f ca="1">BV103</f>
        <v>Reduzir</v>
      </c>
      <c r="BW119" s="401">
        <f t="shared" ca="1" si="7"/>
        <v>-1812.247310588026</v>
      </c>
      <c r="BX119" s="403">
        <f ca="1">-(CC119/(Geometria!$L$48/100^2))+(CD119/(Geometria!$L$52/100^3))-((Geometria!$M$422)/(Geometria!$L$52/100^3))-((Geometria!$M$433)/(Geometria!$M$52))-((Geometria!$L$76*Geometria!$M$444)/(Geometria!$M$52))</f>
        <v>-1812.247310588026</v>
      </c>
      <c r="BY119" s="400">
        <f ca="1">BY103</f>
        <v>82.7750161643391</v>
      </c>
      <c r="BZ119" s="751">
        <f ca="1">-((Geometria!$L$373-(Geometria!$L$373-ER119)*(1-(MIN(MIN(1,MAX(0,(BS119-Geometria!$L$1409/100)/(Geometria!$N$1307/100))),MIN(1,MAX(0,((Geometria!$L$29/100-BS119)-Geometria!$R$1409/100)/(Geometria!$N$1307/100))))))*(IF(OR(Geometria!$K$1409&gt;0,Geometria!$K$1407&gt;0,Geometria!$Q$1409&gt;0,Geometria!$Q$1407&gt;0),1,0))-(Geometria!$L$373-ET119)*(1-(MIN(MIN(1,MAX(0,(BS119-Geometria!$L$1405/100)/(Geometria!$N$1307/100))),MIN(1,MAX(0,((Geometria!$L$29/100-BS119)-Geometria!$R$1405/100)/(Geometria!$N$1307/100))))))*(IF(OR(Geometria!$K$1405&gt;0,Geometria!$K$1403&gt;0,Geometria!$Q$1405&gt;0,Geometria!$Q$1403&gt;0),1,0))))/(Geometria!$L$48/100^2)+((Geometria!$L$374-(Geometria!$L$374-ES119)*(1-(MIN(MIN(1,MAX(0,(BS119-Geometria!$L$1409/100)/(Geometria!$N$1307/100))),MIN(1,MAX(0,((Geometria!$L$29/100-BS119)-Geometria!$R$1409/100)/(Geometria!$N$1307/100))))))*(IF(OR(Geometria!$K$1409&gt;0,Geometria!$K$1407&gt;0,Geometria!$Q$1409&gt;0,Geometria!$Q$1407&gt;0),1,0))-(Geometria!$L$374-EU119)*(1-(MIN(MIN(1,MAX(0,(BS119-Geometria!$L$1405/100)/(Geometria!$N$1307/100))),MIN(1,MAX(0,((Geometria!$L$29/100-BS119)-Geometria!$R$1405/100)/(Geometria!$N$1307/100))))))*(IF(OR(Geometria!$K$1405&gt;0,Geometria!$K$1403&gt;0,Geometria!$Q$1405&gt;0,Geometria!$Q$1403&gt;0),1,0))))/(Geometria!$L$52/100^3)-((Geometria!$M$679)/(Geometria!$L$52/100^3))-((Geometria!$M$690)/(Geometria!$M$52))-((Geometria!$L$77*Geometria!$M$701)/(Geometria!$M$52))</f>
        <v>607.7989097864537</v>
      </c>
      <c r="CA119" s="751"/>
      <c r="CC119" s="373">
        <f ca="1">(Geometria!$L$298-(Geometria!$L$298-IF(BS119&lt;Geometria!$L$1409/100,Geometria!$L$1442,Geometria!$L$1460))*(1-(MIN(MIN(1,MAX(0,(BS119-Geometria!$L$1409/100)/(Geometria!$N$1307/100))),MIN(1,MAX(0,((Geometria!$L$29/100-BS119)-Geometria!$R$1409/100)/(Geometria!$N$1307/100))))))*(IF(OR(Geometria!$K$1409&gt;0,Geometria!$K$1407&gt;0,Geometria!$Q$1409&gt;0,Geometria!$Q$1407&gt;0),1,0))-(Geometria!$L$298-IF(BS119&lt;Geometria!$L$1405/100,Geometria!$L$1444,Geometria!$L$1462))*(1-(MIN(MIN(1,MAX(0,(BS119-Geometria!$L$1405/100)/(Geometria!$N$1307/100))),MIN(1,MAX(0,((Geometria!$L$29/100-BS119)-Geometria!$R$1405/100)/(Geometria!$N$1307/100))))))*(IF(OR(Geometria!$K$1405&gt;0,Geometria!$K$1403&gt;0,Geometria!$Q$1405&gt;0,Geometria!$Q$1403&gt;0),1,0)))*BY142+Geometria!$P$1429*BY119</f>
        <v>386.3159719292004</v>
      </c>
      <c r="CD119" s="373">
        <f ca="1">(Geometria!$L$298-(Geometria!$L$298-IF(BS119&lt;Geometria!$L$1409/100,Geometria!$L$1442,Geometria!$L$1460))*(1-(MIN(MIN(1,MAX(0,(BS119-Geometria!$L$1409/100)/(Geometria!$N$1307/100))),MIN(1,MAX(0,((Geometria!$L$29/100-BS119)-Geometria!$R$1409/100)/(Geometria!$N$1307/100))))))*(IF(OR(Geometria!$K$1409&gt;0,Geometria!$K$1407&gt;0,Geometria!$Q$1409&gt;0,Geometria!$Q$1407&gt;0),1,0))-(Geometria!$L$298-IF(BS119&lt;Geometria!$L$1405/100,Geometria!$L$1444,Geometria!$L$1462))*(1-(MIN(MIN(1,MAX(0,(BS119-Geometria!$L$1405/100)/(Geometria!$N$1307/100))),MIN(1,MAX(0,((Geometria!$L$29/100-BS119)-Geometria!$R$1405/100)/(Geometria!$N$1307/100))))))*(IF(OR(Geometria!$K$1405&gt;0,Geometria!$K$1403&gt;0,Geometria!$Q$1405&gt;0,Geometria!$Q$1403&gt;0),1,0)))*BY142*(Geometria!$L$299-(Geometria!$L$299-IF(BS119&lt;Geometria!$L$1409/100,Geometria!$L$1443,Geometria!$L$1461))*(1-(MIN(MIN(1,MAX(0,(BS119-Geometria!$L$1409/100)/(Geometria!$N$1307/100))),MIN(1,MAX(0,((Geometria!$L$29/100-BS119)-Geometria!$R$1409/100)/(Geometria!$N$1307/100))))))*(IF(OR(Geometria!$K$1409&gt;0,Geometria!$K$1407&gt;0,Geometria!$Q$1409&gt;0,Geometria!$Q$1407&gt;0),1,0))-(Geometria!$L$299-IF(BS119&lt;Geometria!$L$1405/100,Geometria!$L$1445,Geometria!$L$1463))*(1-(MIN(MIN(1,MAX(0,(BS119-Geometria!$L$1405/100)/(Geometria!$N$1307/100))),MIN(1,MAX(0,((Geometria!$L$29/100-BS119)-Geometria!$R$1405/100)/(Geometria!$N$1307/100))))))*(IF(OR(Geometria!$K$1405&gt;0,Geometria!$K$1403&gt;0,Geometria!$Q$1405&gt;0,Geometria!$Q$1403&gt;0),1,0)))/100-Geometria!$P$1429*BY119*Geometria!$L$1438/100</f>
        <v>110.1000519998221</v>
      </c>
      <c r="CE119" s="365"/>
      <c r="CF119" s="371">
        <f ca="1">(IF(BT119="Sim",IF(BR119="Sim",$AB$93,ER119),IF(BR119="Sim",ET119,Geometria!$L$373)))</f>
        <v>621.7798114153002</v>
      </c>
      <c r="CG119" s="371">
        <f ca="1">(IF(BT119="Sim",IF(BR119="Sim",$AB$94,ES119),IF(BR119="Sim",EU119,Geometria!$L$374)))</f>
        <v>177.20724625336052</v>
      </c>
      <c r="CI119" s="4" t="s">
        <v>447</v>
      </c>
      <c r="CJ119" s="202">
        <f t="shared" ca="1" si="17"/>
        <v>-1812.247310588026</v>
      </c>
      <c r="CK119" s="38" t="s">
        <v>234</v>
      </c>
      <c r="CL119" s="203">
        <f t="shared" ca="1" si="8"/>
        <v>-1.8122473105880261</v>
      </c>
      <c r="CM119" s="38" t="s">
        <v>160</v>
      </c>
      <c r="CN119" s="399">
        <f t="shared" si="18"/>
        <v>0.0</v>
      </c>
      <c r="CO119" s="376" t="str">
        <f>IF(OR(AND(CP119&lt;Geometria!$L$1405/100,Geometria!$K$1405&gt;0),AND((Geometria!$L$29/100-CP119)&lt;Geometria!$R$1405/100,Geometria!$Q$1405&gt;0)),"Sim","Não")</f>
        <v>Sim</v>
      </c>
      <c r="CP119" s="395">
        <f>Geometria!$M$421</f>
        <v>7.065</v>
      </c>
      <c r="CQ119" s="376" t="str">
        <f>IF(OR(AND(CP119&lt;Geometria!$L$1409/100,OR(Geometria!$K$1409&gt;0,Geometria!$K$1407&gt;0)),AND((Geometria!$L$29/100-CP119)&lt;Geometria!$R$1409/100,OR(Geometria!$Q$1409&gt;0,Geometria!$Q$1407&gt;0))),"Sim","Não")</f>
        <v>Não</v>
      </c>
      <c r="CR119" s="122" t="s">
        <v>447</v>
      </c>
      <c r="CS119" s="198" t="str">
        <f ca="1">CS103</f>
        <v>Reduzir</v>
      </c>
      <c r="CT119" s="401">
        <f t="shared" ca="1" si="9"/>
        <v>-1812.247310588026</v>
      </c>
      <c r="CU119" s="403">
        <f ca="1">-(CZ119/(Geometria!$L$48/100^2))+(DA119/(Geometria!$L$52/100^3))-((Geometria!$M$422)/(Geometria!$L$52/100^3))-((Geometria!$M$433)/(Geometria!$M$52))-((Geometria!$L$76*Geometria!$M$444)/(Geometria!$M$52))</f>
        <v>-1812.247310588026</v>
      </c>
      <c r="CV119" s="400">
        <f ca="1">CV103</f>
        <v>82.7750161643391</v>
      </c>
      <c r="CW119" s="751">
        <f ca="1">-((Geometria!$L$373-(Geometria!$L$373-ER119)*(1-(MIN(MIN(1,MAX(0,(CP119-Geometria!$L$1409/100)/(Geometria!$N$1307/100))),MIN(1,MAX(0,((Geometria!$L$29/100-CP119)-Geometria!$R$1409/100)/(Geometria!$N$1307/100))))))*(IF(OR(Geometria!$K$1409&gt;0,Geometria!$K$1407&gt;0,Geometria!$Q$1409&gt;0,Geometria!$Q$1407&gt;0),1,0))-(Geometria!$L$373-ET119)*(1-(MIN(MIN(1,MAX(0,(CP119-Geometria!$L$1405/100)/(Geometria!$N$1307/100))),MIN(1,MAX(0,((Geometria!$L$29/100-CP119)-Geometria!$R$1405/100)/(Geometria!$N$1307/100))))))*(IF(OR(Geometria!$K$1405&gt;0,Geometria!$K$1403&gt;0,Geometria!$Q$1405&gt;0,Geometria!$Q$1403&gt;0),1,0))))/(Geometria!$L$48/100^2)+((Geometria!$L$374-(Geometria!$L$374-ES119)*(1-(MIN(MIN(1,MAX(0,(CP119-Geometria!$L$1409/100)/(Geometria!$N$1307/100))),MIN(1,MAX(0,((Geometria!$L$29/100-CP119)-Geometria!$R$1409/100)/(Geometria!$N$1307/100))))))*(IF(OR(Geometria!$K$1409&gt;0,Geometria!$K$1407&gt;0,Geometria!$Q$1409&gt;0,Geometria!$Q$1407&gt;0),1,0))-(Geometria!$L$374-EU119)*(1-(MIN(MIN(1,MAX(0,(CP119-Geometria!$L$1405/100)/(Geometria!$N$1307/100))),MIN(1,MAX(0,((Geometria!$L$29/100-CP119)-Geometria!$R$1405/100)/(Geometria!$N$1307/100))))))*(IF(OR(Geometria!$K$1405&gt;0,Geometria!$K$1403&gt;0,Geometria!$Q$1405&gt;0,Geometria!$Q$1403&gt;0),1,0))))/(Geometria!$L$52/100^3)-((Geometria!$M$679)/(Geometria!$L$52/100^3))-((Geometria!$M$690)/(Geometria!$M$52))</f>
        <v>607.8013166544747</v>
      </c>
      <c r="CX119" s="751"/>
      <c r="CZ119" s="373">
        <f ca="1">(IF(CQ119="Sim",IF(CO119="Sim",IF(CP119&lt;Geometria!$L$1405/100,Geometria!$L$1435,Geometria!$L$1476),IF(CP119&lt;Geometria!$L$1409/100,Geometria!$L$1442,Geometria!$L$1460)),IF(CO119="Sim",IF(CP119&lt;Geometria!$L$1405/100,Geometria!$L$1444,Geometria!$L$1462),Geometria!$L$298)))*CV142+Geometria!$P$1429*CV119</f>
        <v>386.3159719292004</v>
      </c>
      <c r="DA119" s="373">
        <f ca="1">(IF(CQ119="Sim",IF(CO119="Sim",IF(CP119&lt;Geometria!$L$1405/100,Geometria!$L$1435,Geometria!$L$1476),IF(CP119&lt;Geometria!$L$1409/100,Geometria!$L$1442,Geometria!$L$1460)),IF(CO119="Sim",IF(CP119&lt;Geometria!$L$1405/100,Geometria!$L$1444,Geometria!$L$1462),Geometria!$L$298)))*CV142*(IF(CQ119="Sim",IF(CO119="Sim",IF(CP119&lt;Geometria!$L$1405/100,Geometria!$L$1436,Geometria!$L$1484),IF(CP119&lt;Geometria!$L$1409/100,Geometria!$L$1443,Geometria!$L$1461)),IF(CO119="Sim",IF(CP119&lt;Geometria!$L$1405/100,Geometria!$L$1445,Geometria!$L$1463),Geometria!$L$299)))/100-Geometria!$P$1429*CV119*Geometria!$L$1438/100</f>
        <v>110.1000519998221</v>
      </c>
      <c r="DB119" s="365"/>
      <c r="DC119" s="371">
        <f ca="1">(IF(CQ119="Sim",IF(CO119="Sim",$AB$93,ER119),IF(CO119="Sim",ET119,Geometria!$L$373)))</f>
        <v>621.7798114153002</v>
      </c>
      <c r="DD119" s="371">
        <f ca="1">(IF(CQ119="Sim",IF(CO119="Sim",$AB$94,ES119),IF(CO119="Sim",EU119,Geometria!$L$374)))</f>
        <v>177.20724625336052</v>
      </c>
      <c r="DF119" s="4" t="s">
        <v>447</v>
      </c>
      <c r="DG119" s="202">
        <f t="shared" ca="1" si="19"/>
        <v>-1812.247310588026</v>
      </c>
      <c r="DH119" s="38" t="s">
        <v>234</v>
      </c>
      <c r="DI119" s="203">
        <f t="shared" ca="1" si="10"/>
        <v>-1.8122473105880261</v>
      </c>
      <c r="DJ119" s="38" t="s">
        <v>160</v>
      </c>
      <c r="DK119" s="399">
        <f t="shared" si="20"/>
        <v>0.0</v>
      </c>
      <c r="EA119">
        <f ca="1">-L119/('Aberturas na Alma'!$M$112/100^2)+M119/('Aberturas na Alma'!$M$119/100^3)-Geometria!$L$898/('Aberturas na Alma'!$M$119/100^3)</f>
        <v>3723.5084242546377</v>
      </c>
      <c r="EB119">
        <f ca="1">-(IF(C119="Sim",IF(A119="Sim",$E$93,EX119),IF(A119="Sim",EZ119,Geometria!$L$906)))/('Aberturas na Alma'!$M$112/100^2)+(IF(C119="Sim",IF(A119="Sim",$E$94,EY119),IF(A119="Sim",FA119,Geometria!$L$907)))/('Aberturas na Alma'!$M$119/100^3)-Geometria!$M$904/('Aberturas na Alma'!$M$119/100^3)</f>
        <v>5975.304111698602</v>
      </c>
      <c r="EC119">
        <f ca="1">IF(AND('Aberturas na Alma'!$M$18="NÃO DISPENSADO — furo deve ser verificado (cálculo abaixo)",OR(AND(B119&gt;=('Aberturas na Alma'!$M$4-'Aberturas na Alma'!$M$7/2)/100,B119&lt;=('Aberturas na Alma'!$M$4+'Aberturas na Alma'!$M$7/2)/100),ABS(B119-'Aberturas na Alma'!$M$4/100)&lt;=Geometria!$L$29/4000)),IF(E119="Reduzir",EA119,EB119),F119)</f>
        <v>4277.775892357763</v>
      </c>
      <c r="ED119">
        <f ca="1">-(AI119/('Aberturas na Alma'!$M$112/100^2))+(AJ119/('Aberturas na Alma'!$M$119/100^3))-((Geometria!$M$422)/('Aberturas na Alma'!$M$119/100^3))-((Geometria!$M$433)/('Aberturas na Alma'!$M$119/100^3))-((Geometria!$L$76*Geometria!$M$444)/('Aberturas na Alma'!$M$119/100^3))</f>
        <v>-17523.07589020919</v>
      </c>
      <c r="EE119">
        <f ca="1">-((IF(Z119="Sim",IF(X119="Sim",$AB$93,ER119),IF(X119="Sim",ET119,Geometria!$L$373)))/('Aberturas na Alma'!$M$112/100^2))+((IF(Z119="Sim",IF(X119="Sim",$AB$94,ES119),IF(X119="Sim",EU119,Geometria!$L$374)))/('Aberturas na Alma'!$M$119/100^3))-((Geometria!$M$422)/('Aberturas na Alma'!$M$119/100^3))-((Geometria!$M$433)/('Aberturas na Alma'!$M$119/100^3))-((Geometria!$L$76*Geometria!$M$444)/('Aberturas na Alma'!$M$119/100^3))</f>
        <v>-15378.175008258786</v>
      </c>
      <c r="EF119" s="371">
        <f ca="1">IF(AND('Aberturas na Alma'!$M$18="NÃO DISPENSADO — furo deve ser verificado (cálculo abaixo)",OR(AND(B119&gt;=('Aberturas na Alma'!$M$4-'Aberturas na Alma'!$M$7/2)/100,B119&lt;=('Aberturas na Alma'!$M$4+'Aberturas na Alma'!$M$7/2)/100),ABS(B119-'Aberturas na Alma'!$M$4/100)&lt;=Geometria!$L$29/4000)),IF(AB119="Reduzir",ED119,EE119),AC119)</f>
        <v>-1812.247310588026</v>
      </c>
      <c r="EG119">
        <f ca="1">-(BF119/('Aberturas na Alma'!$M$112/100^2))+(BG119/('Aberturas na Alma'!$M$119/100^3))-((Geometria!$M$422)/('Aberturas na Alma'!$M$119/100^3))-((Geometria!$M$433)/('Aberturas na Alma'!$M$119/100^3))-((Geometria!$L$76*Geometria!$M$444)/('Aberturas na Alma'!$M$119/100^3))</f>
        <v>-17523.07589020919</v>
      </c>
      <c r="EH119">
        <f ca="1">-((IF(AW119="Sim",IF(AU119="Sim",$AB$93,ER119),IF(AU119="Sim",ET119,Geometria!$L$373)))/('Aberturas na Alma'!$M$112/100^2))+((IF(AW120="Sim",IF(AU120="Sim",$AB$94,ES119),IF(AU120="Sim",EU119,Geometria!$L$374)))/('Aberturas na Alma'!$M$119/100^3))-((Geometria!$M$422)/('Aberturas na Alma'!$M$119/100^3))-((Geometria!$M$433)/('Aberturas na Alma'!$M$119/100^3))</f>
        <v>-1306.4450281014283</v>
      </c>
      <c r="EI119" s="371">
        <f ca="1">IF(AND('Aberturas na Alma'!$M$18="NÃO DISPENSADO — furo deve ser verificado (cálculo abaixo)",OR(AND(B119&gt;=('Aberturas na Alma'!$M$4-'Aberturas na Alma'!$M$7/2)/100,B119&lt;=('Aberturas na Alma'!$M$4+'Aberturas na Alma'!$M$7/2)/100),ABS(B119-'Aberturas na Alma'!$M$4/100)&lt;=Geometria!$L$29/4000)),IF(AY119="Reduzir",EG119,EH119),AZ119)</f>
        <v>-1812.247310588026</v>
      </c>
      <c r="EJ119">
        <f ca="1">-(CC119/('Aberturas na Alma'!$M$112/100^2))+(CD119/('Aberturas na Alma'!$M$119/100^3))-((Geometria!$M$422)/('Aberturas na Alma'!$M$119/100^3))-((Geometria!$M$433)/('Aberturas na Alma'!$M$119/100^3))-((Geometria!$L$76*Geometria!$M$444)/('Aberturas na Alma'!$M$119/100^3))</f>
        <v>-17523.07589020919</v>
      </c>
      <c r="EK119">
        <f ca="1">-((IF(BT119="Sim",IF(BR119="Sim",$AB$93,ER119),IF(BR119="Sim",ET119,Geometria!$L$373)))/('Aberturas na Alma'!$M$112/100^2))+((IF(BT119="Sim",IF(BR119="Sim",$AB$94,ES119),IF(BR119="Sim",EU119,Geometria!$L$374)))/('Aberturas na Alma'!$M$119/100^3))-((Geometria!$M$679)/('Aberturas na Alma'!$M$119/100^3))-((Geometria!$M$690)/('Aberturas na Alma'!$M$119/100^3))-((Geometria!$L$77*Geometria!$M$701)/('Aberturas na Alma'!$M$119/100^3))</f>
        <v>-10687.598348206335</v>
      </c>
      <c r="EL119" s="371">
        <f ca="1">IF(AND('Aberturas na Alma'!$M$18="NÃO DISPENSADO — furo deve ser verificado (cálculo abaixo)",OR(AND(B119&gt;=('Aberturas na Alma'!$M$4-'Aberturas na Alma'!$M$7/2)/100,B119&lt;=('Aberturas na Alma'!$M$4+'Aberturas na Alma'!$M$7/2)/100),ABS(B119-'Aberturas na Alma'!$M$4/100)&lt;=Geometria!$L$29/4000)),IF(BV119="Reduzir",EJ119,EK119),BW119)</f>
        <v>-1812.247310588026</v>
      </c>
      <c r="EM119">
        <f ca="1">-(CZ119/('Aberturas na Alma'!$M$112/100^2))+(DA119/('Aberturas na Alma'!$M$119/100^3))-((Geometria!$M$422)/('Aberturas na Alma'!$M$119/100^3))-((Geometria!$M$433)/('Aberturas na Alma'!$M$119/100^3))-((Geometria!$L$76*Geometria!$M$444)/('Aberturas na Alma'!$M$119/100^3))</f>
        <v>-17523.07589020919</v>
      </c>
      <c r="EN119">
        <f ca="1">-((IF(CQ119="Sim",IF(CO119="Sim",$AB$93,ER119),IF(CO119="Sim",ET119,Geometria!$L$373)))/('Aberturas na Alma'!$M$112/100^2))+((IF(CQ119="Sim",IF(CO119="Sim",$AB$94,ES119),IF(CO119="Sim",EU119,Geometria!$L$374)))/('Aberturas na Alma'!$M$119/100^3))-((Geometria!$M$679)/('Aberturas na Alma'!$M$119/100^3))-((Geometria!$M$690)/('Aberturas na Alma'!$M$119/100^3))</f>
        <v>-1306.4450281014283</v>
      </c>
      <c r="EO119" s="371">
        <f ca="1">IF(AND('Aberturas na Alma'!$M$18="NÃO DISPENSADO — furo deve ser verificado (cálculo abaixo)",OR(AND(B119&gt;=('Aberturas na Alma'!$M$4-'Aberturas na Alma'!$M$7/2)/100,B119&lt;=('Aberturas na Alma'!$M$4+'Aberturas na Alma'!$M$7/2)/100),ABS(B119-'Aberturas na Alma'!$M$4/100)&lt;=Geometria!$L$29/4000)),IF(CS119="Reduzir",EM119,EN119),CT119)</f>
        <v>-1812.247310588026</v>
      </c>
      <c r="EP119" t="str">
        <f>IF(AND(Y119&lt;Geometria!$L$1409/100,OR(Geometria!$K$1409&gt;0,Geometria!$K$1407&gt;0)),"ESQ",IF(AND((Geometria!$L$29/100-Y119)&lt;Geometria!$R$1409/100,OR(Geometria!$Q$1409&gt;0,Geometria!$Q$1407&gt;0)),"DIR","N/A"))</f>
        <v>N/A</v>
      </c>
      <c r="EQ119" t="str">
        <f>IF(AND(Y119&lt;Geometria!$L$1405/100,Geometria!$K$1405&gt;0),"ESQ",IF(AND((Geometria!$L$29/100-Y119)&lt;Geometria!$R$1405/100,Geometria!$Q$1405&gt;0),"DIR","N/A"))</f>
        <v>DIR</v>
      </c>
      <c r="ER119">
        <f ca="1">IF(EP119="DIR",Geometria!$L$1470,Geometria!$L$1452)</f>
        <v>1243.5596228306003</v>
      </c>
      <c r="ES119">
        <f ca="1">IF(EP119="DIR",Geometria!$L$1471,Geometria!$L$1453)</f>
        <v>233.16742928073757</v>
      </c>
      <c r="ET119">
        <f ca="1">IF(EQ119="DIR",Geometria!$L$1472,Geometria!$L$1454)</f>
        <v>621.7798114153002</v>
      </c>
      <c r="EU119">
        <f ca="1">IF(EQ119="DIR",Geometria!$L$1473,Geometria!$L$1455)</f>
        <v>177.20724625336052</v>
      </c>
      <c r="EV119" t="str">
        <f>IF(AND(B119&lt;Geometria!$L$1409/100,OR(Geometria!$K$1409&gt;0,Geometria!$K$1407&gt;0)),"ESQ",IF(AND((Geometria!$L$29/100-B119)&lt;Geometria!$R$1409/100,OR(Geometria!$Q$1409&gt;0,Geometria!$Q$1407&gt;0)),"DIR","N/A"))</f>
        <v>N/A</v>
      </c>
      <c r="EW119" t="str">
        <f>IF(AND(B119&lt;Geometria!$L$1405/100,Geometria!$K$1405&gt;0),"ESQ",IF(AND((Geometria!$L$29/100-B119)&lt;Geometria!$R$1405/100,Geometria!$Q$1405&gt;0),"DIR","N/A"))</f>
        <v>DIR</v>
      </c>
      <c r="EX119">
        <f ca="1">IF(EV119="DIR",Geometria!$L$1465,Geometria!$L$1447)</f>
        <v>1499.8056003831216</v>
      </c>
      <c r="EY119">
        <f ca="1">IF(EV119="DIR",Geometria!$L$1466,Geometria!$L$1448)</f>
        <v>281.2135500718353</v>
      </c>
      <c r="EZ119">
        <f ca="1">IF(EW119="DIR",Geometria!$L$1467,Geometria!$L$1449)</f>
        <v>749.9028001915608</v>
      </c>
      <c r="FA119">
        <f ca="1">IF(EW119="DIR",Geometria!$L$1468,Geometria!$L$1450)</f>
        <v>213.72229805459483</v>
      </c>
    </row>
    <row r="120" spans="1:157" x14ac:dyDescent="0.25">
      <c r="A120" s="376" t="str">
        <f>IF(OR(AND(B120&lt;Geometria!$L$1405/100,Geometria!$K$1405&gt;0),AND((Geometria!$L$29/100-B120)&lt;Geometria!$R$1405/100,Geometria!$Q$1405&gt;0)),"Sim","Não")</f>
        <v>Sim</v>
      </c>
      <c r="B120" s="395">
        <f>Tensões!$E$69</f>
        <v>7.4575000000000005</v>
      </c>
      <c r="C120" s="376" t="str">
        <f>IF(OR(AND(B120&lt;Geometria!$L$1409/100,OR(Geometria!$K$1409&gt;0,Geometria!$K$1407&gt;0)),AND((Geometria!$L$29/100-B120)&lt;Geometria!$R$1409/100,OR(Geometria!$Q$1409&gt;0,Geometria!$Q$1407&gt;0))),"Sim","Não")</f>
        <v>Não</v>
      </c>
      <c r="D120" s="122" t="s">
        <v>448</v>
      </c>
      <c r="E120" s="198" t="str">
        <f ca="1">E102</f>
        <v>Reduzir</v>
      </c>
      <c r="F120" s="396">
        <f t="shared" ca="1" si="1"/>
        <v>1922.4068198767982</v>
      </c>
      <c r="G120" s="397">
        <f ca="1">-L120/(Geometria!$L$48/100^2)+M120/(Geometria!$L$52/100^3)-Geometria!$L$898/(Geometria!$L$52/100^3)</f>
        <v>1922.4068198767982</v>
      </c>
      <c r="H120" s="400">
        <f ca="1">H102</f>
        <v>48.97918844669016</v>
      </c>
      <c r="I120" s="743">
        <f ca="1">-(Geometria!$L$906-(Geometria!$L$906-EX120)*(1-(MIN(MIN(1,MAX(0,(B120-Geometria!$L$1409/100)/(Geometria!$N$1307/100))),MIN(1,MAX(0,((Geometria!$L$29/100-B120)-Geometria!$R$1409/100)/(Geometria!$N$1307/100))))))*(IF(OR(Geometria!$K$1409&gt;0,Geometria!$K$1407&gt;0,Geometria!$Q$1409&gt;0,Geometria!$Q$1407&gt;0),1,0))-(Geometria!$L$906-EZ120)*(1-(MIN(MIN(1,MAX(0,(B120-Geometria!$L$1405/100)/(Geometria!$N$1307/100))),MIN(1,MAX(0,((Geometria!$L$29/100-B120)-Geometria!$R$1405/100)/(Geometria!$N$1307/100))))))*(IF(OR(Geometria!$K$1405&gt;0,Geometria!$K$1403&gt;0,Geometria!$Q$1405&gt;0,Geometria!$Q$1403&gt;0),1,0)))/(Geometria!$L$48/100^2)+(Geometria!$L$907-(Geometria!$L$907-EY120)*(1-(MIN(MIN(1,MAX(0,(B120-Geometria!$L$1409/100)/(Geometria!$N$1307/100))),MIN(1,MAX(0,((Geometria!$L$29/100-B120)-Geometria!$R$1409/100)/(Geometria!$N$1307/100))))))*(IF(OR(Geometria!$K$1409&gt;0,Geometria!$K$1407&gt;0,Geometria!$Q$1409&gt;0,Geometria!$Q$1407&gt;0),1,0))-(Geometria!$L$907-FA120)*(1-(MIN(MIN(1,MAX(0,(B120-Geometria!$L$1405/100)/(Geometria!$N$1307/100))),MIN(1,MAX(0,((Geometria!$L$29/100-B120)-Geometria!$R$1405/100)/(Geometria!$N$1307/100))))))*(IF(OR(Geometria!$K$1405&gt;0,Geometria!$K$1403&gt;0,Geometria!$Q$1405&gt;0,Geometria!$Q$1403&gt;0),1,0)))/(Geometria!$L$52/100^3)-Geometria!$N$904/(Geometria!$L$52/100^3)</f>
        <v>7274.372082697991</v>
      </c>
      <c r="J120" s="743"/>
      <c r="L120" s="373">
        <f ca="1">(Geometria!$L$298-(Geometria!$L$298-IF(B120&lt;Geometria!$L$1409/100,Geometria!$L$1442,Geometria!$L$1460))*(1-(MIN(MIN(1,MAX(0,(B120-Geometria!$L$1409/100)/(Geometria!$N$1307/100))),MIN(1,MAX(0,((Geometria!$L$29/100-B120)-Geometria!$R$1409/100)/(Geometria!$N$1307/100))))))*(IF(OR(Geometria!$K$1409&gt;0,Geometria!$K$1407&gt;0,Geometria!$Q$1409&gt;0,Geometria!$Q$1407&gt;0),1,0))-(Geometria!$L$298-IF(B120&lt;Geometria!$L$1405/100,Geometria!$L$1444,Geometria!$L$1462))*(1-(MIN(MIN(1,MAX(0,(B120-Geometria!$L$1405/100)/(Geometria!$N$1307/100))),MIN(1,MAX(0,((Geometria!$L$29/100-B120)-Geometria!$R$1405/100)/(Geometria!$N$1307/100))))))*(IF(OR(Geometria!$K$1405&gt;0,Geometria!$K$1403&gt;0,Geometria!$Q$1405&gt;0,Geometria!$Q$1403&gt;0),1,0)))*H143+Geometria!$P$1429*H120</f>
        <v>229.17104489003975</v>
      </c>
      <c r="M120" s="373">
        <f ca="1">(Geometria!$L$298-(Geometria!$L$298-IF(B120&lt;Geometria!$L$1409/100,Geometria!$L$1442,Geometria!$L$1460))*(1-(MIN(MIN(1,MAX(0,(B120-Geometria!$L$1409/100)/(Geometria!$N$1307/100))),MIN(1,MAX(0,((Geometria!$L$29/100-B120)-Geometria!$R$1409/100)/(Geometria!$N$1307/100))))))*(IF(OR(Geometria!$K$1409&gt;0,Geometria!$K$1407&gt;0,Geometria!$Q$1409&gt;0,Geometria!$Q$1407&gt;0),1,0))-(Geometria!$L$298-IF(B120&lt;Geometria!$L$1405/100,Geometria!$L$1444,Geometria!$L$1462))*(1-(MIN(MIN(1,MAX(0,(B120-Geometria!$L$1405/100)/(Geometria!$N$1307/100))),MIN(1,MAX(0,((Geometria!$L$29/100-B120)-Geometria!$R$1405/100)/(Geometria!$N$1307/100))))))*(IF(OR(Geometria!$K$1405&gt;0,Geometria!$K$1403&gt;0,Geometria!$Q$1405&gt;0,Geometria!$Q$1403&gt;0),1,0)))*H143*(Geometria!$L$299-(Geometria!$L$299-IF(B120&lt;Geometria!$L$1409/100,Geometria!$L$1443,Geometria!$L$1461))*(1-(MIN(MIN(1,MAX(0,(B120-Geometria!$L$1409/100)/(Geometria!$N$1307/100))),MIN(1,MAX(0,((Geometria!$L$29/100-B120)-Geometria!$R$1409/100)/(Geometria!$N$1307/100))))))*(IF(OR(Geometria!$K$1409&gt;0,Geometria!$K$1407&gt;0,Geometria!$Q$1409&gt;0,Geometria!$Q$1407&gt;0),1,0))-(Geometria!$L$299-IF(B120&lt;Geometria!$L$1405/100,Geometria!$L$1445,Geometria!$L$1463))*(1-(MIN(MIN(1,MAX(0,(B120-Geometria!$L$1405/100)/(Geometria!$N$1307/100))),MIN(1,MAX(0,((Geometria!$L$29/100-B120)-Geometria!$R$1405/100)/(Geometria!$N$1307/100))))))*(IF(OR(Geometria!$K$1405&gt;0,Geometria!$K$1403&gt;0,Geometria!$Q$1405&gt;0,Geometria!$Q$1403&gt;0),1,0)))/100-Geometria!$P$1429*H120*Geometria!$L$1438/100</f>
        <v>65.31374779366134</v>
      </c>
      <c r="N120" s="365"/>
      <c r="O120" s="371">
        <f ca="1">(IF(C120="Sim",IF(A120="Sim",$E$93,EX120),IF(A120="Sim",EZ120,Geometria!$L$906)))</f>
        <v>749.9028001915608</v>
      </c>
      <c r="P120" s="371">
        <f ca="1">(IF(C120="Sim",IF(A120="Sim",$E$94,EY120),IF(A120="Sim",FA120,Geometria!$L$907)))</f>
        <v>213.72229805459483</v>
      </c>
      <c r="R120" s="4" t="s">
        <v>448</v>
      </c>
      <c r="S120" s="204">
        <f t="shared" ca="1" si="11"/>
        <v>1922.4068198767982</v>
      </c>
      <c r="T120" s="38" t="s">
        <v>234</v>
      </c>
      <c r="U120" s="205">
        <f t="shared" ca="1" si="2"/>
        <v>1.9224068198767983</v>
      </c>
      <c r="V120" s="38" t="s">
        <v>160</v>
      </c>
      <c r="W120" s="399">
        <f t="shared" si="12"/>
        <v>0.0</v>
      </c>
      <c r="X120" s="376" t="str">
        <f>IF(OR(AND(Y120&lt;Geometria!$L$1405/100,Geometria!$K$1405&gt;0),AND((Geometria!$L$29/100-Y120)&lt;Geometria!$R$1405/100,Geometria!$Q$1405&gt;0)),"Sim","Não")</f>
        <v>Sim</v>
      </c>
      <c r="Y120" s="395">
        <f>Geometria!$N$421</f>
        <v>7.4575000000000005</v>
      </c>
      <c r="Z120" s="376" t="str">
        <f>IF(OR(AND(Y120&lt;Geometria!$L$1409/100,OR(Geometria!$K$1409&gt;0,Geometria!$K$1407&gt;0)),AND((Geometria!$L$29/100-Y120)&lt;Geometria!$R$1409/100,OR(Geometria!$Q$1409&gt;0,Geometria!$Q$1407&gt;0))),"Sim","Não")</f>
        <v>Não</v>
      </c>
      <c r="AA120" s="122" t="s">
        <v>448</v>
      </c>
      <c r="AB120" s="198" t="str">
        <f ca="1">AB102</f>
        <v>Reduzir</v>
      </c>
      <c r="AC120" s="401">
        <f t="shared" ca="1" si="3"/>
        <v>-1066.7546836851966</v>
      </c>
      <c r="AD120" s="404">
        <f ca="1">-(AI120/(Geometria!$L$48/100^2))+(AJ120/(Geometria!$L$52/100^3))-((Geometria!$N$422)/(Geometria!$L$52/100^3))-((Geometria!$N$433)/(Geometria!$M$52))-((Geometria!$L$76*Geometria!$N$444)/(Geometria!$M$52))</f>
        <v>-1066.7546836851966</v>
      </c>
      <c r="AE120" s="400">
        <f ca="1">AE102</f>
        <v>41.38750808216955</v>
      </c>
      <c r="AF120" s="752">
        <f ca="1">-((Geometria!$L$373-(Geometria!$L$373-ER120)*(1-(MIN(MIN(1,MAX(0,(Y120-Geometria!$L$1409/100)/(Geometria!$N$1307/100))),MIN(1,MAX(0,((Geometria!$L$29/100-Y120)-Geometria!$R$1409/100)/(Geometria!$N$1307/100))))))*(IF(OR(Geometria!$K$1409&gt;0,Geometria!$K$1407&gt;0,Geometria!$Q$1409&gt;0,Geometria!$Q$1407&gt;0),1,0))-(Geometria!$L$373-ET120)*(1-(MIN(MIN(1,MAX(0,(Y120-Geometria!$L$1405/100)/(Geometria!$N$1307/100))),MIN(1,MAX(0,((Geometria!$L$29/100-Y120)-Geometria!$R$1405/100)/(Geometria!$N$1307/100))))))*(IF(OR(Geometria!$K$1405&gt;0,Geometria!$K$1403&gt;0,Geometria!$Q$1405&gt;0,Geometria!$Q$1403&gt;0),1,0))))/(Geometria!$L$48/100^2)+((Geometria!$L$374-(Geometria!$L$374-ES120)*(1-(MIN(MIN(1,MAX(0,(Y120-Geometria!$L$1409/100)/(Geometria!$N$1307/100))),MIN(1,MAX(0,((Geometria!$L$29/100-Y120)-Geometria!$R$1409/100)/(Geometria!$N$1307/100))))))*(IF(OR(Geometria!$K$1409&gt;0,Geometria!$K$1407&gt;0,Geometria!$Q$1409&gt;0,Geometria!$Q$1407&gt;0),1,0))-(Geometria!$L$374-EU120)*(1-(MIN(MIN(1,MAX(0,(Y120-Geometria!$L$1405/100)/(Geometria!$N$1307/100))),MIN(1,MAX(0,((Geometria!$L$29/100-Y120)-Geometria!$R$1405/100)/(Geometria!$N$1307/100))))))*(IF(OR(Geometria!$K$1405&gt;0,Geometria!$K$1403&gt;0,Geometria!$Q$1405&gt;0,Geometria!$Q$1403&gt;0),1,0))))/(Geometria!$L$52/100^3)-((Geometria!$N$422)/(Geometria!$L$52/100^3))-((Geometria!$N$433)/(Geometria!$M$52))-((Geometria!$L$76*Geometria!$N$444)/(Geometria!$M$52))</f>
        <v>3338.5251890025525</v>
      </c>
      <c r="AG120" s="752"/>
      <c r="AI120" s="373">
        <f ca="1">(IF(Z120="Sim",IF(X120="Sim",IF(Y120&lt;Geometria!$L$1405/100,Geometria!$L$1435,Geometria!$L$1476),IF(Y120&lt;Geometria!$L$1409/100,Geometria!$L$1442,Geometria!$L$1460)),IF(X120="Sim",IF(Y120&lt;Geometria!$L$1405/100,Geometria!$L$1444,Geometria!$L$1462),Geometria!$L$298)))*AE143+Geometria!$P$1429*AE120</f>
        <v>193.1579859646002</v>
      </c>
      <c r="AJ120" s="373">
        <f ca="1">(IF(Z120="Sim",IF(X120="Sim",IF(Y120&lt;Geometria!$L$1405/100,Geometria!$L$1435,Geometria!$L$1476),IF(Y120&lt;Geometria!$L$1409/100,Geometria!$L$1442,Geometria!$L$1460)),IF(X120="Sim",IF(Y120&lt;Geometria!$L$1405/100,Geometria!$L$1444,Geometria!$L$1462),Geometria!$L$298)))*AE143*(IF(Z120="Sim",IF(X120="Sim",IF(Y120&lt;Geometria!$L$1405/100,Geometria!$L$1436,Geometria!$L$1484),IF(Y120&lt;Geometria!$L$1409/100,Geometria!$L$1443,Geometria!$L$1461)),IF(X120="Sim",IF(Y120&lt;Geometria!$L$1405/100,Geometria!$L$1445,Geometria!$L$1463),Geometria!$L$299)))/100-Geometria!$P$1429*AE120*Geometria!$L$1438/100</f>
        <v>55.05002599991105</v>
      </c>
      <c r="AK120" s="365"/>
      <c r="AL120" s="371">
        <f ca="1">(IF(Z120="Sim",IF(X120="Sim",$AB$93,ER120),IF(X120="Sim",ET120,Geometria!$L$373)))</f>
        <v>621.7798114153002</v>
      </c>
      <c r="AM120" s="371">
        <f ca="1">(IF(Z120="Sim",IF(X120="Sim",$AB$94,ES120),IF(X120="Sim",EU120,Geometria!$L$374)))</f>
        <v>177.20724625336052</v>
      </c>
      <c r="AO120" s="4" t="s">
        <v>448</v>
      </c>
      <c r="AP120" s="204">
        <f t="shared" ca="1" si="13"/>
        <v>-1066.7546836851966</v>
      </c>
      <c r="AQ120" s="38" t="s">
        <v>234</v>
      </c>
      <c r="AR120" s="205">
        <f t="shared" ca="1" si="4"/>
        <v>-1.0667546836851967</v>
      </c>
      <c r="AS120" s="38" t="s">
        <v>160</v>
      </c>
      <c r="AT120" s="399">
        <f t="shared" si="14"/>
        <v>0.0</v>
      </c>
      <c r="AU120" s="376" t="str">
        <f>IF(OR(AND(AV120&lt;Geometria!$L$1405/100,Geometria!$K$1405&gt;0),AND((Geometria!$L$29/100-AV120)&lt;Geometria!$R$1405/100,Geometria!$Q$1405&gt;0)),"Sim","Não")</f>
        <v>Sim</v>
      </c>
      <c r="AV120" s="395">
        <f>Geometria!$N$421</f>
        <v>7.4575000000000005</v>
      </c>
      <c r="AW120" s="376" t="str">
        <f>IF(OR(AND(AV120&lt;Geometria!$L$1409/100,OR(Geometria!$K$1409&gt;0,Geometria!$K$1407&gt;0)),AND((Geometria!$L$29/100-AV120)&lt;Geometria!$R$1409/100,OR(Geometria!$Q$1409&gt;0,Geometria!$Q$1407&gt;0))),"Sim","Não")</f>
        <v>Não</v>
      </c>
      <c r="AX120" s="122" t="s">
        <v>448</v>
      </c>
      <c r="AY120" s="198" t="str">
        <f ca="1">AY102</f>
        <v>Reduzir</v>
      </c>
      <c r="AZ120" s="401">
        <f t="shared" ca="1" si="5"/>
        <v>-1066.7546836851966</v>
      </c>
      <c r="BA120" s="404">
        <f ca="1">-(BF120/(Geometria!$L$48/100^2))+(BG120/(Geometria!$L$52/100^3))-((Geometria!$N$422)/(Geometria!$L$52/100^3))-((Geometria!$N$433)/(Geometria!$M$52))-((Geometria!$L$76*Geometria!$N$444)/(Geometria!$M$52))</f>
        <v>-1066.7546836851966</v>
      </c>
      <c r="BB120" s="400">
        <f ca="1">BB102</f>
        <v>41.38750808216955</v>
      </c>
      <c r="BC120" s="752">
        <f ca="1">-((Geometria!$L$373-(Geometria!$L$373-ER120)*(1-(MIN(MIN(1,MAX(0,(AV120-Geometria!$L$1409/100)/(Geometria!$N$1307/100))),MIN(1,MAX(0,((Geometria!$L$29/100-AV120)-Geometria!$R$1409/100)/(Geometria!$N$1307/100))))))*(IF(OR(Geometria!$K$1409&gt;0,Geometria!$K$1407&gt;0,Geometria!$Q$1409&gt;0,Geometria!$Q$1407&gt;0),1,0))-(Geometria!$L$373-ET120)*(1-(MIN(MIN(1,MAX(0,(AV120-Geometria!$L$1405/100)/(Geometria!$N$1307/100))),MIN(1,MAX(0,((Geometria!$L$29/100-AV120)-Geometria!$R$1405/100)/(Geometria!$N$1307/100))))))*(IF(OR(Geometria!$K$1405&gt;0,Geometria!$K$1403&gt;0,Geometria!$Q$1405&gt;0,Geometria!$Q$1403&gt;0),1,0))))/(Geometria!$L$48/100^2)+((Geometria!$L$374-(Geometria!$L$374-ES120)*(1-(MIN(MIN(1,MAX(0,(AV120-Geometria!$L$1409/100)/(Geometria!$N$1307/100))),MIN(1,MAX(0,((Geometria!$L$29/100-AV120)-Geometria!$R$1409/100)/(Geometria!$N$1307/100))))))*(IF(OR(Geometria!$K$1409&gt;0,Geometria!$K$1407&gt;0,Geometria!$Q$1409&gt;0,Geometria!$Q$1407&gt;0),1,0))-(Geometria!$L$374-EU120)*(1-(MIN(MIN(1,MAX(0,(AV120-Geometria!$L$1405/100)/(Geometria!$N$1307/100))),MIN(1,MAX(0,((Geometria!$L$29/100-AV120)-Geometria!$R$1405/100)/(Geometria!$N$1307/100))))))*(IF(OR(Geometria!$K$1405&gt;0,Geometria!$K$1403&gt;0,Geometria!$Q$1405&gt;0,Geometria!$Q$1403&gt;0),1,0))))/(Geometria!$L$52/100^3)-((Geometria!$N$422)/(Geometria!$L$52/100^3))-((Geometria!$N$433)/(Geometria!$M$52))</f>
        <v>3338.5270944397357</v>
      </c>
      <c r="BD120" s="752"/>
      <c r="BF120" s="373">
        <f ca="1">(Geometria!$L$298-(Geometria!$L$298-IF(AV120&lt;Geometria!$L$1409/100,Geometria!$L$1442,Geometria!$L$1460))*(1-(MIN(MIN(1,MAX(0,(AV120-Geometria!$L$1409/100)/(Geometria!$N$1307/100))),MIN(1,MAX(0,((Geometria!$L$29/100-AV120)-Geometria!$R$1409/100)/(Geometria!$N$1307/100))))))*(IF(OR(Geometria!$K$1409&gt;0,Geometria!$K$1407&gt;0,Geometria!$Q$1409&gt;0,Geometria!$Q$1407&gt;0),1,0))-(Geometria!$L$298-IF(AV120&lt;Geometria!$L$1405/100,Geometria!$L$1444,Geometria!$L$1462))*(1-(MIN(MIN(1,MAX(0,(AV120-Geometria!$L$1405/100)/(Geometria!$N$1307/100))),MIN(1,MAX(0,((Geometria!$L$29/100-AV120)-Geometria!$R$1405/100)/(Geometria!$N$1307/100))))))*(IF(OR(Geometria!$K$1405&gt;0,Geometria!$K$1403&gt;0,Geometria!$Q$1405&gt;0,Geometria!$Q$1403&gt;0),1,0)))*BB143+Geometria!$P$1429*BB120</f>
        <v>193.1579859646002</v>
      </c>
      <c r="BG120" s="373">
        <f ca="1">(Geometria!$L$298-(Geometria!$L$298-IF(AV120&lt;Geometria!$L$1409/100,Geometria!$L$1442,Geometria!$L$1460))*(1-(MIN(MIN(1,MAX(0,(AV120-Geometria!$L$1409/100)/(Geometria!$N$1307/100))),MIN(1,MAX(0,((Geometria!$L$29/100-AV120)-Geometria!$R$1409/100)/(Geometria!$N$1307/100))))))*(IF(OR(Geometria!$K$1409&gt;0,Geometria!$K$1407&gt;0,Geometria!$Q$1409&gt;0,Geometria!$Q$1407&gt;0),1,0))-(Geometria!$L$298-IF(AV120&lt;Geometria!$L$1405/100,Geometria!$L$1444,Geometria!$L$1462))*(1-(MIN(MIN(1,MAX(0,(AV120-Geometria!$L$1405/100)/(Geometria!$N$1307/100))),MIN(1,MAX(0,((Geometria!$L$29/100-AV120)-Geometria!$R$1405/100)/(Geometria!$N$1307/100))))))*(IF(OR(Geometria!$K$1405&gt;0,Geometria!$K$1403&gt;0,Geometria!$Q$1405&gt;0,Geometria!$Q$1403&gt;0),1,0)))*BB143*(Geometria!$L$299-(Geometria!$L$299-IF(AV120&lt;Geometria!$L$1409/100,Geometria!$L$1443,Geometria!$L$1461))*(1-(MIN(MIN(1,MAX(0,(AV120-Geometria!$L$1409/100)/(Geometria!$N$1307/100))),MIN(1,MAX(0,((Geometria!$L$29/100-AV120)-Geometria!$R$1409/100)/(Geometria!$N$1307/100))))))*(IF(OR(Geometria!$K$1409&gt;0,Geometria!$K$1407&gt;0,Geometria!$Q$1409&gt;0,Geometria!$Q$1407&gt;0),1,0))-(Geometria!$L$299-IF(AV120&lt;Geometria!$L$1405/100,Geometria!$L$1445,Geometria!$L$1463))*(1-(MIN(MIN(1,MAX(0,(AV120-Geometria!$L$1405/100)/(Geometria!$N$1307/100))),MIN(1,MAX(0,((Geometria!$L$29/100-AV120)-Geometria!$R$1405/100)/(Geometria!$N$1307/100))))))*(IF(OR(Geometria!$K$1405&gt;0,Geometria!$K$1403&gt;0,Geometria!$Q$1405&gt;0,Geometria!$Q$1403&gt;0),1,0)))/100-Geometria!$P$1429*BB120*Geometria!$L$1438/100</f>
        <v>55.05002599991105</v>
      </c>
      <c r="BH120" s="365"/>
      <c r="BI120" s="371">
        <f ca="1">(IF(AW120="Sim",IF(AU120="Sim",$AB$93,ER120),IF(AU120="Sim",ET120,Geometria!$L$373)))</f>
        <v>621.7798114153002</v>
      </c>
      <c r="BJ120" s="371">
        <f ca="1">(IF(AW120="Sim",IF(AU120="Sim",$AB$94,ES120),IF(AU120="Sim",EU120,Geometria!$L$374)))</f>
        <v>177.20724625336052</v>
      </c>
      <c r="BL120" s="4" t="s">
        <v>448</v>
      </c>
      <c r="BM120" s="204">
        <f t="shared" ca="1" si="15"/>
        <v>-1066.7546836851966</v>
      </c>
      <c r="BN120" s="38" t="s">
        <v>234</v>
      </c>
      <c r="BO120" s="205">
        <f t="shared" ca="1" si="6"/>
        <v>-1.0667546836851967</v>
      </c>
      <c r="BP120" s="38" t="s">
        <v>160</v>
      </c>
      <c r="BQ120" s="399">
        <f t="shared" si="16"/>
        <v>0.0</v>
      </c>
      <c r="BR120" s="376" t="str">
        <f>IF(OR(AND(BS120&lt;Geometria!$L$1405/100,Geometria!$K$1405&gt;0),AND((Geometria!$L$29/100-BS120)&lt;Geometria!$R$1405/100,Geometria!$Q$1405&gt;0)),"Sim","Não")</f>
        <v>Sim</v>
      </c>
      <c r="BS120" s="395">
        <f>Geometria!$N$421</f>
        <v>7.4575000000000005</v>
      </c>
      <c r="BT120" s="376" t="str">
        <f>IF(OR(AND(BS120&lt;Geometria!$L$1409/100,OR(Geometria!$K$1409&gt;0,Geometria!$K$1407&gt;0)),AND((Geometria!$L$29/100-BS120)&lt;Geometria!$R$1409/100,OR(Geometria!$Q$1409&gt;0,Geometria!$Q$1407&gt;0))),"Sim","Não")</f>
        <v>Não</v>
      </c>
      <c r="BU120" s="122" t="s">
        <v>448</v>
      </c>
      <c r="BV120" s="198" t="str">
        <f ca="1">BV102</f>
        <v>Reduzir</v>
      </c>
      <c r="BW120" s="401">
        <f t="shared" ca="1" si="7"/>
        <v>-1066.7546836851966</v>
      </c>
      <c r="BX120" s="404">
        <f ca="1">-(CC120/(Geometria!$L$48/100^2))+(CD120/(Geometria!$L$52/100^3))-((Geometria!$N$422)/(Geometria!$L$52/100^3))-((Geometria!$N$433)/(Geometria!$M$52))-((Geometria!$L$76*Geometria!$N$444)/(Geometria!$M$52))</f>
        <v>-1066.7546836851966</v>
      </c>
      <c r="BY120" s="400">
        <f ca="1">BY102</f>
        <v>41.38750808216955</v>
      </c>
      <c r="BZ120" s="751">
        <f ca="1">-((Geometria!$L$373-(Geometria!$L$373-ER120)*(1-(MIN(MIN(1,MAX(0,(BS120-Geometria!$L$1409/100)/(Geometria!$N$1307/100))),MIN(1,MAX(0,((Geometria!$L$29/100-BS120)-Geometria!$R$1409/100)/(Geometria!$N$1307/100))))))*(IF(OR(Geometria!$K$1409&gt;0,Geometria!$K$1407&gt;0,Geometria!$Q$1409&gt;0,Geometria!$Q$1407&gt;0),1,0))-(Geometria!$L$373-ET120)*(1-(MIN(MIN(1,MAX(0,(BS120-Geometria!$L$1405/100)/(Geometria!$N$1307/100))),MIN(1,MAX(0,((Geometria!$L$29/100-BS120)-Geometria!$R$1405/100)/(Geometria!$N$1307/100))))))*(IF(OR(Geometria!$K$1405&gt;0,Geometria!$K$1403&gt;0,Geometria!$Q$1405&gt;0,Geometria!$Q$1403&gt;0),1,0))))/(Geometria!$L$48/100^2)+((Geometria!$L$374-(Geometria!$L$374-ES120)*(1-(MIN(MIN(1,MAX(0,(BS120-Geometria!$L$1409/100)/(Geometria!$N$1307/100))),MIN(1,MAX(0,((Geometria!$L$29/100-BS120)-Geometria!$R$1409/100)/(Geometria!$N$1307/100))))))*(IF(OR(Geometria!$K$1409&gt;0,Geometria!$K$1407&gt;0,Geometria!$Q$1409&gt;0,Geometria!$Q$1407&gt;0),1,0))-(Geometria!$L$374-EU120)*(1-(MIN(MIN(1,MAX(0,(BS120-Geometria!$L$1405/100)/(Geometria!$N$1307/100))),MIN(1,MAX(0,((Geometria!$L$29/100-BS120)-Geometria!$R$1405/100)/(Geometria!$N$1307/100))))))*(IF(OR(Geometria!$K$1405&gt;0,Geometria!$K$1403&gt;0,Geometria!$Q$1405&gt;0,Geometria!$Q$1403&gt;0),1,0))))/(Geometria!$L$52/100^3)-((Geometria!$N$679)/(Geometria!$L$52/100^3))-((Geometria!$N$690)/(Geometria!$M$52))-((Geometria!$L$77*Geometria!$N$701)/(Geometria!$M$52))</f>
        <v>3338.52582414828</v>
      </c>
      <c r="CA120" s="751"/>
      <c r="CC120" s="373">
        <f ca="1">(Geometria!$L$298-(Geometria!$L$298-IF(BS120&lt;Geometria!$L$1409/100,Geometria!$L$1442,Geometria!$L$1460))*(1-(MIN(MIN(1,MAX(0,(BS120-Geometria!$L$1409/100)/(Geometria!$N$1307/100))),MIN(1,MAX(0,((Geometria!$L$29/100-BS120)-Geometria!$R$1409/100)/(Geometria!$N$1307/100))))))*(IF(OR(Geometria!$K$1409&gt;0,Geometria!$K$1407&gt;0,Geometria!$Q$1409&gt;0,Geometria!$Q$1407&gt;0),1,0))-(Geometria!$L$298-IF(BS120&lt;Geometria!$L$1405/100,Geometria!$L$1444,Geometria!$L$1462))*(1-(MIN(MIN(1,MAX(0,(BS120-Geometria!$L$1405/100)/(Geometria!$N$1307/100))),MIN(1,MAX(0,((Geometria!$L$29/100-BS120)-Geometria!$R$1405/100)/(Geometria!$N$1307/100))))))*(IF(OR(Geometria!$K$1405&gt;0,Geometria!$K$1403&gt;0,Geometria!$Q$1405&gt;0,Geometria!$Q$1403&gt;0),1,0)))*BY143+Geometria!$P$1429*BY120</f>
        <v>193.1579859646002</v>
      </c>
      <c r="CD120" s="373">
        <f ca="1">(Geometria!$L$298-(Geometria!$L$298-IF(BS120&lt;Geometria!$L$1409/100,Geometria!$L$1442,Geometria!$L$1460))*(1-(MIN(MIN(1,MAX(0,(BS120-Geometria!$L$1409/100)/(Geometria!$N$1307/100))),MIN(1,MAX(0,((Geometria!$L$29/100-BS120)-Geometria!$R$1409/100)/(Geometria!$N$1307/100))))))*(IF(OR(Geometria!$K$1409&gt;0,Geometria!$K$1407&gt;0,Geometria!$Q$1409&gt;0,Geometria!$Q$1407&gt;0),1,0))-(Geometria!$L$298-IF(BS120&lt;Geometria!$L$1405/100,Geometria!$L$1444,Geometria!$L$1462))*(1-(MIN(MIN(1,MAX(0,(BS120-Geometria!$L$1405/100)/(Geometria!$N$1307/100))),MIN(1,MAX(0,((Geometria!$L$29/100-BS120)-Geometria!$R$1405/100)/(Geometria!$N$1307/100))))))*(IF(OR(Geometria!$K$1405&gt;0,Geometria!$K$1403&gt;0,Geometria!$Q$1405&gt;0,Geometria!$Q$1403&gt;0),1,0)))*BY143*(Geometria!$L$299-(Geometria!$L$299-IF(BS120&lt;Geometria!$L$1409/100,Geometria!$L$1443,Geometria!$L$1461))*(1-(MIN(MIN(1,MAX(0,(BS120-Geometria!$L$1409/100)/(Geometria!$N$1307/100))),MIN(1,MAX(0,((Geometria!$L$29/100-BS120)-Geometria!$R$1409/100)/(Geometria!$N$1307/100))))))*(IF(OR(Geometria!$K$1409&gt;0,Geometria!$K$1407&gt;0,Geometria!$Q$1409&gt;0,Geometria!$Q$1407&gt;0),1,0))-(Geometria!$L$299-IF(BS120&lt;Geometria!$L$1405/100,Geometria!$L$1445,Geometria!$L$1463))*(1-(MIN(MIN(1,MAX(0,(BS120-Geometria!$L$1405/100)/(Geometria!$N$1307/100))),MIN(1,MAX(0,((Geometria!$L$29/100-BS120)-Geometria!$R$1405/100)/(Geometria!$N$1307/100))))))*(IF(OR(Geometria!$K$1405&gt;0,Geometria!$K$1403&gt;0,Geometria!$Q$1405&gt;0,Geometria!$Q$1403&gt;0),1,0)))/100-Geometria!$P$1429*BY120*Geometria!$L$1438/100</f>
        <v>55.05002599991105</v>
      </c>
      <c r="CE120" s="365"/>
      <c r="CF120" s="371">
        <f ca="1">(IF(BT120="Sim",IF(BR120="Sim",$AB$93,ER120),IF(BR120="Sim",ET120,Geometria!$L$373)))</f>
        <v>621.7798114153002</v>
      </c>
      <c r="CG120" s="371">
        <f ca="1">(IF(BT120="Sim",IF(BR120="Sim",$AB$94,ES120),IF(BR120="Sim",EU120,Geometria!$L$374)))</f>
        <v>177.20724625336052</v>
      </c>
      <c r="CI120" s="4" t="s">
        <v>448</v>
      </c>
      <c r="CJ120" s="204">
        <f t="shared" ca="1" si="17"/>
        <v>-1066.7546836851966</v>
      </c>
      <c r="CK120" s="38" t="s">
        <v>234</v>
      </c>
      <c r="CL120" s="205">
        <f t="shared" ca="1" si="8"/>
        <v>-1.0667546836851967</v>
      </c>
      <c r="CM120" s="38" t="s">
        <v>160</v>
      </c>
      <c r="CN120" s="399">
        <f t="shared" si="18"/>
        <v>0.0</v>
      </c>
      <c r="CO120" s="376" t="str">
        <f>IF(OR(AND(CP120&lt;Geometria!$L$1405/100,Geometria!$K$1405&gt;0),AND((Geometria!$L$29/100-CP120)&lt;Geometria!$R$1405/100,Geometria!$Q$1405&gt;0)),"Sim","Não")</f>
        <v>Sim</v>
      </c>
      <c r="CP120" s="395">
        <f>Geometria!$N$421</f>
        <v>7.4575000000000005</v>
      </c>
      <c r="CQ120" s="376" t="str">
        <f>IF(OR(AND(CP120&lt;Geometria!$L$1409/100,OR(Geometria!$K$1409&gt;0,Geometria!$K$1407&gt;0)),AND((Geometria!$L$29/100-CP120)&lt;Geometria!$R$1409/100,OR(Geometria!$Q$1409&gt;0,Geometria!$Q$1407&gt;0))),"Sim","Não")</f>
        <v>Não</v>
      </c>
      <c r="CR120" s="122" t="s">
        <v>448</v>
      </c>
      <c r="CS120" s="198" t="str">
        <f ca="1">CS102</f>
        <v>Reduzir</v>
      </c>
      <c r="CT120" s="401">
        <f t="shared" ca="1" si="9"/>
        <v>-1066.7546836851966</v>
      </c>
      <c r="CU120" s="404">
        <f ca="1">-(CZ120/(Geometria!$L$48/100^2))+(DA120/(Geometria!$L$52/100^3))-((Geometria!$N$422)/(Geometria!$L$52/100^3))-((Geometria!$N$433)/(Geometria!$M$52))-((Geometria!$L$76*Geometria!$N$444)/(Geometria!$M$52))</f>
        <v>-1066.7546836851966</v>
      </c>
      <c r="CV120" s="400">
        <f ca="1">CV102</f>
        <v>41.38750808216955</v>
      </c>
      <c r="CW120" s="752">
        <f ca="1">-((Geometria!$L$373-(Geometria!$L$373-ER120)*(1-(MIN(MIN(1,MAX(0,(CP120-Geometria!$L$1409/100)/(Geometria!$N$1307/100))),MIN(1,MAX(0,((Geometria!$L$29/100-CP120)-Geometria!$R$1409/100)/(Geometria!$N$1307/100))))))*(IF(OR(Geometria!$K$1409&gt;0,Geometria!$K$1407&gt;0,Geometria!$Q$1409&gt;0,Geometria!$Q$1407&gt;0),1,0))-(Geometria!$L$373-ET120)*(1-(MIN(MIN(1,MAX(0,(CP120-Geometria!$L$1405/100)/(Geometria!$N$1307/100))),MIN(1,MAX(0,((Geometria!$L$29/100-CP120)-Geometria!$R$1405/100)/(Geometria!$N$1307/100))))))*(IF(OR(Geometria!$K$1405&gt;0,Geometria!$K$1403&gt;0,Geometria!$Q$1405&gt;0,Geometria!$Q$1403&gt;0),1,0))))/(Geometria!$L$48/100^2)+((Geometria!$L$374-(Geometria!$L$374-ES120)*(1-(MIN(MIN(1,MAX(0,(CP120-Geometria!$L$1409/100)/(Geometria!$N$1307/100))),MIN(1,MAX(0,((Geometria!$L$29/100-CP120)-Geometria!$R$1409/100)/(Geometria!$N$1307/100))))))*(IF(OR(Geometria!$K$1409&gt;0,Geometria!$K$1407&gt;0,Geometria!$Q$1409&gt;0,Geometria!$Q$1407&gt;0),1,0))-(Geometria!$L$374-EU120)*(1-(MIN(MIN(1,MAX(0,(CP120-Geometria!$L$1405/100)/(Geometria!$N$1307/100))),MIN(1,MAX(0,((Geometria!$L$29/100-CP120)-Geometria!$R$1405/100)/(Geometria!$N$1307/100))))))*(IF(OR(Geometria!$K$1405&gt;0,Geometria!$K$1403&gt;0,Geometria!$Q$1405&gt;0,Geometria!$Q$1403&gt;0),1,0))))/(Geometria!$L$52/100^3)-((Geometria!$N$679)/(Geometria!$L$52/100^3))-((Geometria!$N$690)/(Geometria!$M$52))</f>
        <v>3338.5270944397357</v>
      </c>
      <c r="CX120" s="752"/>
      <c r="CZ120" s="373">
        <f ca="1">(IF(CQ120="Sim",IF(CO120="Sim",IF(CP120&lt;Geometria!$L$1405/100,Geometria!$L$1435,Geometria!$L$1476),IF(CP120&lt;Geometria!$L$1409/100,Geometria!$L$1442,Geometria!$L$1460)),IF(CO120="Sim",IF(CP120&lt;Geometria!$L$1405/100,Geometria!$L$1444,Geometria!$L$1462),Geometria!$L$298)))*CV143+Geometria!$P$1429*CV120</f>
        <v>193.1579859646002</v>
      </c>
      <c r="DA120" s="373">
        <f ca="1">(IF(CQ120="Sim",IF(CO120="Sim",IF(CP120&lt;Geometria!$L$1405/100,Geometria!$L$1435,Geometria!$L$1476),IF(CP120&lt;Geometria!$L$1409/100,Geometria!$L$1442,Geometria!$L$1460)),IF(CO120="Sim",IF(CP120&lt;Geometria!$L$1405/100,Geometria!$L$1444,Geometria!$L$1462),Geometria!$L$298)))*CV143*(IF(CQ120="Sim",IF(CO120="Sim",IF(CP120&lt;Geometria!$L$1405/100,Geometria!$L$1436,Geometria!$L$1484),IF(CP120&lt;Geometria!$L$1409/100,Geometria!$L$1443,Geometria!$L$1461)),IF(CO120="Sim",IF(CP120&lt;Geometria!$L$1405/100,Geometria!$L$1445,Geometria!$L$1463),Geometria!$L$299)))/100-Geometria!$P$1429*CV120*Geometria!$L$1438/100</f>
        <v>55.05002599991105</v>
      </c>
      <c r="DB120" s="365"/>
      <c r="DC120" s="371">
        <f ca="1">(IF(CQ120="Sim",IF(CO120="Sim",$AB$93,ER120),IF(CO120="Sim",ET120,Geometria!$L$373)))</f>
        <v>621.7798114153002</v>
      </c>
      <c r="DD120" s="371">
        <f ca="1">(IF(CQ120="Sim",IF(CO120="Sim",$AB$94,ES120),IF(CO120="Sim",EU120,Geometria!$L$374)))</f>
        <v>177.20724625336052</v>
      </c>
      <c r="DF120" s="4" t="s">
        <v>448</v>
      </c>
      <c r="DG120" s="204">
        <f t="shared" ca="1" si="19"/>
        <v>-1066.7546836851966</v>
      </c>
      <c r="DH120" s="38" t="s">
        <v>234</v>
      </c>
      <c r="DI120" s="205">
        <f t="shared" ca="1" si="10"/>
        <v>-1.0667546836851967</v>
      </c>
      <c r="DJ120" s="38" t="s">
        <v>160</v>
      </c>
      <c r="DK120" s="399">
        <f t="shared" si="20"/>
        <v>0.0</v>
      </c>
      <c r="EA120">
        <f ca="1">-L120/('Aberturas na Alma'!$M$112/100^2)+M120/('Aberturas na Alma'!$M$119/100^3)-Geometria!$L$898/('Aberturas na Alma'!$M$119/100^3)</f>
        <v>1635.9302323125173</v>
      </c>
      <c r="EB120">
        <f ca="1">-(IF(C120="Sim",IF(A120="Sim",$E$93,EX120),IF(A120="Sim",EZ120,Geometria!$L$906)))/('Aberturas na Alma'!$M$112/100^2)+(IF(C120="Sim",IF(A120="Sim",$E$94,EY120),IF(A120="Sim",FA120,Geometria!$L$907)))/('Aberturas na Alma'!$M$119/100^3)-Geometria!$N$904/('Aberturas na Alma'!$M$119/100^3)</f>
        <v>6379.41018084088</v>
      </c>
      <c r="EC120">
        <f ca="1">IF(AND('Aberturas na Alma'!$M$18="NÃO DISPENSADO — furo deve ser verificado (cálculo abaixo)",OR(AND(B120&gt;=('Aberturas na Alma'!$M$4-'Aberturas na Alma'!$M$7/2)/100,B120&lt;=('Aberturas na Alma'!$M$4+'Aberturas na Alma'!$M$7/2)/100),ABS(B120-'Aberturas na Alma'!$M$4/100)&lt;=Geometria!$L$29/4000)),IF(E120="Reduzir",EA120,EB120),F120)</f>
        <v>1922.4068198767982</v>
      </c>
      <c r="ED120">
        <f ca="1">-(AI120/('Aberturas na Alma'!$M$112/100^2))+(AJ120/('Aberturas na Alma'!$M$119/100^3))-((Geometria!$N$422)/('Aberturas na Alma'!$M$119/100^3))-((Geometria!$N$433)/('Aberturas na Alma'!$M$119/100^3))-((Geometria!$L$76*Geometria!$N$444)/('Aberturas na Alma'!$M$119/100^3))</f>
        <v>-9346.041494499686</v>
      </c>
      <c r="EE120">
        <f ca="1">-((IF(Z120="Sim",IF(X120="Sim",$AB$93,ER120),IF(X120="Sim",ET120,Geometria!$L$373)))/('Aberturas na Alma'!$M$112/100^2))+((IF(Z120="Sim",IF(X120="Sim",$AB$94,ES120),IF(X120="Sim",EU120,Geometria!$L$374)))/('Aberturas na Alma'!$M$119/100^3))-((Geometria!$N$422)/('Aberturas na Alma'!$M$119/100^3))-((Geometria!$N$433)/('Aberturas na Alma'!$M$119/100^3))-((Geometria!$L$76*Geometria!$N$444)/('Aberturas na Alma'!$M$119/100^3))</f>
        <v>-5441.614668542528</v>
      </c>
      <c r="EF120" s="371">
        <f ca="1">IF(AND('Aberturas na Alma'!$M$18="NÃO DISPENSADO — furo deve ser verificado (cálculo abaixo)",OR(AND(B120&gt;=('Aberturas na Alma'!$M$4-'Aberturas na Alma'!$M$7/2)/100,B120&lt;=('Aberturas na Alma'!$M$4+'Aberturas na Alma'!$M$7/2)/100),ABS(B120-'Aberturas na Alma'!$M$4/100)&lt;=Geometria!$L$29/4000)),IF(AB120="Reduzir",ED120,EE120),AC120)</f>
        <v>-1066.7546836851966</v>
      </c>
      <c r="EG120">
        <f ca="1">-(BF120/('Aberturas na Alma'!$M$112/100^2))+(BG120/('Aberturas na Alma'!$M$119/100^3))-((Geometria!$N$422)/('Aberturas na Alma'!$M$119/100^3))-((Geometria!$N$433)/('Aberturas na Alma'!$M$119/100^3))-((Geometria!$L$76*Geometria!$N$444)/('Aberturas na Alma'!$M$119/100^3))</f>
        <v>-9346.041494499686</v>
      </c>
      <c r="EH120">
        <f ca="1">-((IF(AW120="Sim",IF(AU120="Sim",$AB$93,ER120),IF(AU120="Sim",ET120,Geometria!$L$373)))/('Aberturas na Alma'!$M$112/100^2))+((IF(AW120="Sim",IF(AU120="Sim",$AB$94,ES120),IF(AU120="Sim",EU120,Geometria!$L$374)))/('Aberturas na Alma'!$M$119/100^3))-((Geometria!$N$422)/('Aberturas na Alma'!$M$119/100^3))-((Geometria!$N$433)/('Aberturas na Alma'!$M$119/100^3))</f>
        <v>1985.1317098738714</v>
      </c>
      <c r="EI120" s="371">
        <f ca="1">IF(AND('Aberturas na Alma'!$M$18="NÃO DISPENSADO — furo deve ser verificado (cálculo abaixo)",OR(AND(B120&gt;=('Aberturas na Alma'!$M$4-'Aberturas na Alma'!$M$7/2)/100,B120&lt;=('Aberturas na Alma'!$M$4+'Aberturas na Alma'!$M$7/2)/100),ABS(B120-'Aberturas na Alma'!$M$4/100)&lt;=Geometria!$L$29/4000)),IF(AY120="Reduzir",EG120,EH120),AZ120)</f>
        <v>-1066.7546836851966</v>
      </c>
      <c r="EJ120">
        <f ca="1">-(CC120/('Aberturas na Alma'!$M$112/100^2))+(CD120/('Aberturas na Alma'!$M$119/100^3))-((Geometria!$N$422)/('Aberturas na Alma'!$M$119/100^3))-((Geometria!$N$433)/('Aberturas na Alma'!$M$119/100^3))-((Geometria!$L$76*Geometria!$N$444)/('Aberturas na Alma'!$M$119/100^3))</f>
        <v>-9346.041494499686</v>
      </c>
      <c r="EK120">
        <f ca="1">-((IF(BT120="Sim",IF(BR120="Sim",$AB$93,ER120),IF(BR120="Sim",ET120,Geometria!$L$373)))/('Aberturas na Alma'!$M$112/100^2))+((IF(BT120="Sim",IF(BR120="Sim",$AB$94,ES120),IF(BR120="Sim",EU120,Geometria!$L$374)))/('Aberturas na Alma'!$M$119/100^3))-((Geometria!$N$679)/('Aberturas na Alma'!$M$119/100^3))-((Geometria!$N$690)/('Aberturas na Alma'!$M$119/100^3))-((Geometria!$L$77*Geometria!$N$701)/('Aberturas na Alma'!$M$119/100^3))</f>
        <v>-2966.0325424037287</v>
      </c>
      <c r="EL120" s="371">
        <f ca="1">IF(AND('Aberturas na Alma'!$M$18="NÃO DISPENSADO — furo deve ser verificado (cálculo abaixo)",OR(AND(B120&gt;=('Aberturas na Alma'!$M$4-'Aberturas na Alma'!$M$7/2)/100,B120&lt;=('Aberturas na Alma'!$M$4+'Aberturas na Alma'!$M$7/2)/100),ABS(B120-'Aberturas na Alma'!$M$4/100)&lt;=Geometria!$L$29/4000)),IF(BV120="Reduzir",EJ120,EK120),BW120)</f>
        <v>-1066.7546836851966</v>
      </c>
      <c r="EM120">
        <f ca="1">-(CZ120/('Aberturas na Alma'!$M$112/100^2))+(DA120/('Aberturas na Alma'!$M$119/100^3))-((Geometria!$N$422)/('Aberturas na Alma'!$M$119/100^3))-((Geometria!$N$433)/('Aberturas na Alma'!$M$119/100^3))-((Geometria!$L$76*Geometria!$N$444)/('Aberturas na Alma'!$M$119/100^3))</f>
        <v>-9346.041494499686</v>
      </c>
      <c r="EN120">
        <f ca="1">-((IF(CQ120="Sim",IF(CO120="Sim",$AB$93,ER120),IF(CO120="Sim",ET120,Geometria!$L$373)))/('Aberturas na Alma'!$M$112/100^2))+((IF(CQ120="Sim",IF(CO120="Sim",$AB$94,ES120),IF(CO120="Sim",EU120,Geometria!$L$374)))/('Aberturas na Alma'!$M$119/100^3))-((Geometria!$N$679)/('Aberturas na Alma'!$M$119/100^3))-((Geometria!$N$690)/('Aberturas na Alma'!$M$119/100^3))</f>
        <v>1985.1317098738714</v>
      </c>
      <c r="EO120" s="371">
        <f ca="1">IF(AND('Aberturas na Alma'!$M$18="NÃO DISPENSADO — furo deve ser verificado (cálculo abaixo)",OR(AND(B120&gt;=('Aberturas na Alma'!$M$4-'Aberturas na Alma'!$M$7/2)/100,B120&lt;=('Aberturas na Alma'!$M$4+'Aberturas na Alma'!$M$7/2)/100),ABS(B120-'Aberturas na Alma'!$M$4/100)&lt;=Geometria!$L$29/4000)),IF(CS120="Reduzir",EM120,EN120),CT120)</f>
        <v>-1066.7546836851966</v>
      </c>
      <c r="EP120" t="str">
        <f>IF(AND(Y120&lt;Geometria!$L$1409/100,OR(Geometria!$K$1409&gt;0,Geometria!$K$1407&gt;0)),"ESQ",IF(AND((Geometria!$L$29/100-Y120)&lt;Geometria!$R$1409/100,OR(Geometria!$Q$1409&gt;0,Geometria!$Q$1407&gt;0)),"DIR","N/A"))</f>
        <v>N/A</v>
      </c>
      <c r="EQ120" t="str">
        <f>IF(AND(Y120&lt;Geometria!$L$1405/100,Geometria!$K$1405&gt;0),"ESQ",IF(AND((Geometria!$L$29/100-Y120)&lt;Geometria!$R$1405/100,Geometria!$Q$1405&gt;0),"DIR","N/A"))</f>
        <v>DIR</v>
      </c>
      <c r="ER120">
        <f ca="1">IF(EP120="DIR",Geometria!$L$1470,Geometria!$L$1452)</f>
        <v>1243.5596228306003</v>
      </c>
      <c r="ES120">
        <f ca="1">IF(EP120="DIR",Geometria!$L$1471,Geometria!$L$1453)</f>
        <v>233.16742928073757</v>
      </c>
      <c r="ET120">
        <f ca="1">IF(EQ120="DIR",Geometria!$L$1472,Geometria!$L$1454)</f>
        <v>621.7798114153002</v>
      </c>
      <c r="EU120">
        <f ca="1">IF(EQ120="DIR",Geometria!$L$1473,Geometria!$L$1455)</f>
        <v>177.20724625336052</v>
      </c>
      <c r="EV120" t="str">
        <f>IF(AND(B120&lt;Geometria!$L$1409/100,OR(Geometria!$K$1409&gt;0,Geometria!$K$1407&gt;0)),"ESQ",IF(AND((Geometria!$L$29/100-B120)&lt;Geometria!$R$1409/100,OR(Geometria!$Q$1409&gt;0,Geometria!$Q$1407&gt;0)),"DIR","N/A"))</f>
        <v>N/A</v>
      </c>
      <c r="EW120" t="str">
        <f>IF(AND(B120&lt;Geometria!$L$1405/100,Geometria!$K$1405&gt;0),"ESQ",IF(AND((Geometria!$L$29/100-B120)&lt;Geometria!$R$1405/100,Geometria!$Q$1405&gt;0),"DIR","N/A"))</f>
        <v>DIR</v>
      </c>
      <c r="EX120">
        <f ca="1">IF(EV120="DIR",Geometria!$L$1465,Geometria!$L$1447)</f>
        <v>1499.8056003831216</v>
      </c>
      <c r="EY120">
        <f ca="1">IF(EV120="DIR",Geometria!$L$1466,Geometria!$L$1448)</f>
        <v>281.2135500718353</v>
      </c>
      <c r="EZ120">
        <f ca="1">IF(EW120="DIR",Geometria!$L$1467,Geometria!$L$1449)</f>
        <v>749.9028001915608</v>
      </c>
      <c r="FA120">
        <f ca="1">IF(EW120="DIR",Geometria!$L$1468,Geometria!$L$1450)</f>
        <v>213.72229805459483</v>
      </c>
    </row>
    <row r="121" spans="1:157" x14ac:dyDescent="0.25">
      <c r="A121" s="376" t="str">
        <f>IF(OR(AND(B121&lt;Geometria!$L$1405/100,Geometria!$K$1405&gt;0),AND((Geometria!$L$29/100-B121)&lt;Geometria!$R$1405/100,Geometria!$Q$1405&gt;0)),"Sim","Não")</f>
        <v>Sim</v>
      </c>
      <c r="B121" s="395">
        <f>Tensões!$F$69</f>
        <v>7.8500000000000005</v>
      </c>
      <c r="C121" s="376" t="str">
        <f>IF(OR(AND(B121&lt;Geometria!$L$1409/100,OR(Geometria!$K$1409&gt;0,Geometria!$K$1407&gt;0)),AND((Geometria!$L$29/100-B121)&lt;Geometria!$R$1409/100,OR(Geometria!$Q$1409&gt;0,Geometria!$Q$1407&gt;0))),"Sim","Não")</f>
        <v>Não</v>
      </c>
      <c r="D121" s="405" t="s">
        <v>449</v>
      </c>
      <c r="E121" s="198" t="str">
        <f ca="1">E101</f>
        <v>Reduzir</v>
      </c>
      <c r="F121" s="406">
        <v>0</v>
      </c>
      <c r="G121" s="407"/>
      <c r="H121" s="408">
        <f>Geometria!$B$933</f>
        <v>0.0</v>
      </c>
      <c r="I121" s="743">
        <f>Geometria!$C$933</f>
        <v>0.0</v>
      </c>
      <c r="J121" s="743"/>
      <c r="N121" s="365"/>
      <c r="R121" s="32" t="s">
        <v>449</v>
      </c>
      <c r="S121" s="206">
        <v>0</v>
      </c>
      <c r="T121" s="207" t="s">
        <v>234</v>
      </c>
      <c r="U121" s="208">
        <f t="shared" si="2"/>
        <v>0.0</v>
      </c>
      <c r="V121" s="207" t="s">
        <v>160</v>
      </c>
      <c r="W121" s="409">
        <f t="shared" si="12"/>
        <v>0.0</v>
      </c>
      <c r="X121" s="376" t="str">
        <f>IF(OR(AND(Y121&lt;Geometria!$L$1405/100,Geometria!$K$1405&gt;0),AND((Geometria!$L$29/100-Y121)&lt;Geometria!$R$1405/100,Geometria!$Q$1405&gt;0)),"Sim","Não")</f>
        <v>Sim</v>
      </c>
      <c r="Y121" s="395">
        <f>Geometria!$O$421</f>
        <v>7.8500000000000005</v>
      </c>
      <c r="Z121" s="376" t="str">
        <f>IF(OR(AND(Y121&lt;Geometria!$L$1409/100,OR(Geometria!$K$1409&gt;0,Geometria!$K$1407&gt;0)),AND((Geometria!$L$29/100-Y121)&lt;Geometria!$R$1409/100,OR(Geometria!$Q$1409&gt;0,Geometria!$Q$1407&gt;0))),"Sim","Não")</f>
        <v>Não</v>
      </c>
      <c r="AA121" s="405" t="s">
        <v>449</v>
      </c>
      <c r="AB121" s="198" t="str">
        <f ca="1">AB101</f>
        <v>Reduzir</v>
      </c>
      <c r="AC121" s="406">
        <v>0</v>
      </c>
      <c r="AD121" s="407"/>
      <c r="AE121" s="408">
        <f>Geometria!$B$933</f>
        <v>0.0</v>
      </c>
      <c r="AF121" s="743">
        <v>0</v>
      </c>
      <c r="AG121" s="743"/>
      <c r="AK121" s="365"/>
      <c r="AO121" s="32" t="s">
        <v>449</v>
      </c>
      <c r="AP121" s="206">
        <v>0</v>
      </c>
      <c r="AQ121" s="207" t="s">
        <v>234</v>
      </c>
      <c r="AR121" s="208">
        <f t="shared" si="4"/>
        <v>0.0</v>
      </c>
      <c r="AS121" s="207" t="s">
        <v>160</v>
      </c>
      <c r="AT121" s="409">
        <f t="shared" si="14"/>
        <v>0.0</v>
      </c>
      <c r="AU121" s="376" t="str">
        <f>IF(OR(AND(AV121&lt;Geometria!$L$1405/100,Geometria!$K$1405&gt;0),AND((Geometria!$L$29/100-AV121)&lt;Geometria!$R$1405/100,Geometria!$Q$1405&gt;0)),"Sim","Não")</f>
        <v>Sim</v>
      </c>
      <c r="AV121" s="395">
        <f>Geometria!$O$421</f>
        <v>7.8500000000000005</v>
      </c>
      <c r="AW121" s="376" t="str">
        <f>IF(OR(AND(AV121&lt;Geometria!$L$1409/100,OR(Geometria!$K$1409&gt;0,Geometria!$K$1407&gt;0)),AND((Geometria!$L$29/100-AV121)&lt;Geometria!$R$1409/100,OR(Geometria!$Q$1409&gt;0,Geometria!$Q$1407&gt;0))),"Sim","Não")</f>
        <v>Não</v>
      </c>
      <c r="AX121" s="405" t="s">
        <v>449</v>
      </c>
      <c r="AY121" s="198" t="str">
        <f ca="1">AY101</f>
        <v>Reduzir</v>
      </c>
      <c r="AZ121" s="406">
        <v>0</v>
      </c>
      <c r="BA121" s="407"/>
      <c r="BB121" s="408">
        <f>Geometria!$B$933</f>
        <v>0.0</v>
      </c>
      <c r="BC121" s="755">
        <v>0</v>
      </c>
      <c r="BD121" s="755"/>
      <c r="BH121" s="365"/>
      <c r="BL121" s="32" t="s">
        <v>449</v>
      </c>
      <c r="BM121" s="206">
        <v>0</v>
      </c>
      <c r="BN121" s="207" t="s">
        <v>234</v>
      </c>
      <c r="BO121" s="208">
        <f t="shared" si="6"/>
        <v>0.0</v>
      </c>
      <c r="BP121" s="207" t="s">
        <v>160</v>
      </c>
      <c r="BQ121" s="409">
        <f t="shared" si="16"/>
        <v>0.0</v>
      </c>
      <c r="BR121" s="376" t="str">
        <f>IF(OR(AND(BS121&lt;Geometria!$L$1405/100,Geometria!$K$1405&gt;0),AND((Geometria!$L$29/100-BS121)&lt;Geometria!$R$1405/100,Geometria!$Q$1405&gt;0)),"Sim","Não")</f>
        <v>Sim</v>
      </c>
      <c r="BS121" s="395">
        <f>Geometria!$O$421</f>
        <v>7.8500000000000005</v>
      </c>
      <c r="BT121" s="376" t="str">
        <f>IF(OR(AND(BS121&lt;Geometria!$L$1409/100,OR(Geometria!$K$1409&gt;0,Geometria!$K$1407&gt;0)),AND((Geometria!$L$29/100-BS121)&lt;Geometria!$R$1409/100,OR(Geometria!$Q$1409&gt;0,Geometria!$Q$1407&gt;0))),"Sim","Não")</f>
        <v>Não</v>
      </c>
      <c r="BU121" s="405" t="s">
        <v>449</v>
      </c>
      <c r="BV121" s="198" t="str">
        <f ca="1">BV101</f>
        <v>Reduzir</v>
      </c>
      <c r="BW121" s="406">
        <v>0</v>
      </c>
      <c r="BX121" s="407"/>
      <c r="BY121" s="408">
        <f>Geometria!$B$933</f>
        <v>0.0</v>
      </c>
      <c r="BZ121" s="755">
        <v>0</v>
      </c>
      <c r="CA121" s="755"/>
      <c r="CE121" s="365"/>
      <c r="CI121" s="32" t="s">
        <v>449</v>
      </c>
      <c r="CJ121" s="206">
        <v>0</v>
      </c>
      <c r="CK121" s="207" t="s">
        <v>234</v>
      </c>
      <c r="CL121" s="208">
        <f t="shared" si="8"/>
        <v>0.0</v>
      </c>
      <c r="CM121" s="207" t="s">
        <v>160</v>
      </c>
      <c r="CN121" s="409">
        <f t="shared" si="18"/>
        <v>0.0</v>
      </c>
      <c r="CO121" s="376" t="str">
        <f>IF(OR(AND(CP121&lt;Geometria!$L$1405/100,Geometria!$K$1405&gt;0),AND((Geometria!$L$29/100-CP121)&lt;Geometria!$R$1405/100,Geometria!$Q$1405&gt;0)),"Sim","Não")</f>
        <v>Sim</v>
      </c>
      <c r="CP121" s="395">
        <f>Geometria!$O$421</f>
        <v>7.8500000000000005</v>
      </c>
      <c r="CQ121" s="376" t="str">
        <f>IF(OR(AND(CP121&lt;Geometria!$L$1409/100,OR(Geometria!$K$1409&gt;0,Geometria!$K$1407&gt;0)),AND((Geometria!$L$29/100-CP121)&lt;Geometria!$R$1409/100,OR(Geometria!$Q$1409&gt;0,Geometria!$Q$1407&gt;0))),"Sim","Não")</f>
        <v>Não</v>
      </c>
      <c r="CR121" s="405" t="s">
        <v>449</v>
      </c>
      <c r="CS121" s="198" t="str">
        <f ca="1">CS101</f>
        <v>Reduzir</v>
      </c>
      <c r="CT121" s="406">
        <v>0</v>
      </c>
      <c r="CU121" s="407"/>
      <c r="CV121" s="408">
        <f>Geometria!$B$933</f>
        <v>0.0</v>
      </c>
      <c r="CW121" s="755">
        <v>0</v>
      </c>
      <c r="CX121" s="755"/>
      <c r="DB121" s="365"/>
      <c r="DF121" s="32" t="s">
        <v>449</v>
      </c>
      <c r="DG121" s="206">
        <v>0</v>
      </c>
      <c r="DH121" s="207" t="s">
        <v>234</v>
      </c>
      <c r="DI121" s="208">
        <f t="shared" si="10"/>
        <v>0.0</v>
      </c>
      <c r="DJ121" s="207" t="s">
        <v>160</v>
      </c>
      <c r="DK121" s="409">
        <f t="shared" si="20"/>
        <v>0.0</v>
      </c>
      <c r="EP121" t="str">
        <f>IF(AND(Y121&lt;Geometria!$L$1409/100,OR(Geometria!$K$1409&gt;0,Geometria!$K$1407&gt;0)),"ESQ",IF(AND((Geometria!$L$29/100-Y121)&lt;Geometria!$R$1409/100,OR(Geometria!$Q$1409&gt;0,Geometria!$Q$1407&gt;0)),"DIR","N/A"))</f>
        <v>N/A</v>
      </c>
      <c r="EQ121" t="str">
        <f>IF(AND(Y121&lt;Geometria!$L$1405/100,Geometria!$K$1405&gt;0),"ESQ",IF(AND((Geometria!$L$29/100-Y121)&lt;Geometria!$R$1405/100,Geometria!$Q$1405&gt;0),"DIR","N/A"))</f>
        <v>DIR</v>
      </c>
      <c r="ER121">
        <f ca="1">IF(EP121="DIR",Geometria!$L$1470,Geometria!$L$1452)</f>
        <v>1243.5596228306003</v>
      </c>
      <c r="ES121">
        <f ca="1">IF(EP121="DIR",Geometria!$L$1471,Geometria!$L$1453)</f>
        <v>233.16742928073757</v>
      </c>
      <c r="ET121">
        <f ca="1">IF(EQ121="DIR",Geometria!$L$1472,Geometria!$L$1454)</f>
        <v>621.7798114153002</v>
      </c>
      <c r="EU121">
        <f ca="1">IF(EQ121="DIR",Geometria!$L$1473,Geometria!$L$1455)</f>
        <v>177.20724625336052</v>
      </c>
      <c r="EV121" t="str">
        <f>IF(AND(B121&lt;Geometria!$L$1409/100,OR(Geometria!$K$1409&gt;0,Geometria!$K$1407&gt;0)),"ESQ",IF(AND((Geometria!$L$29/100-B121)&lt;Geometria!$R$1409/100,OR(Geometria!$Q$1409&gt;0,Geometria!$Q$1407&gt;0)),"DIR","N/A"))</f>
        <v>N/A</v>
      </c>
      <c r="EW121" t="str">
        <f>IF(AND(B121&lt;Geometria!$L$1405/100,Geometria!$K$1405&gt;0),"ESQ",IF(AND((Geometria!$L$29/100-B121)&lt;Geometria!$R$1405/100,Geometria!$Q$1405&gt;0),"DIR","N/A"))</f>
        <v>DIR</v>
      </c>
      <c r="EX121">
        <f ca="1">IF(EV121="DIR",Geometria!$L$1465,Geometria!$L$1447)</f>
        <v>1499.8056003831216</v>
      </c>
      <c r="EY121">
        <f ca="1">IF(EV121="DIR",Geometria!$L$1466,Geometria!$L$1448)</f>
        <v>281.2135500718353</v>
      </c>
      <c r="EZ121">
        <f ca="1">IF(EW121="DIR",Geometria!$L$1467,Geometria!$L$1449)</f>
        <v>749.9028001915608</v>
      </c>
      <c r="FA121">
        <f ca="1">IF(EW121="DIR",Geometria!$L$1468,Geometria!$L$1450)</f>
        <v>213.72229805459483</v>
      </c>
    </row>
    <row r="122" spans="1:157" ht="15" customHeight="1" x14ac:dyDescent="0.25">
      <c r="B122" s="364"/>
      <c r="C122" s="376"/>
      <c r="D122" s="364"/>
      <c r="F122" s="745" t="s">
        <v>1086</v>
      </c>
      <c r="G122" s="746" t="s">
        <v>1087</v>
      </c>
      <c r="H122" s="746"/>
      <c r="I122" s="746" t="s">
        <v>1064</v>
      </c>
      <c r="J122" s="746"/>
      <c r="L122" s="747" t="s">
        <v>291</v>
      </c>
      <c r="M122" s="747" t="s">
        <v>295</v>
      </c>
      <c r="N122" s="365"/>
      <c r="R122" s="4"/>
      <c r="S122" s="4"/>
      <c r="T122" s="4"/>
      <c r="U122" s="222"/>
      <c r="V122" s="105"/>
      <c r="W122" s="410"/>
      <c r="Y122" s="364"/>
      <c r="Z122" s="376"/>
      <c r="AA122" s="364"/>
      <c r="AC122" s="750" t="s">
        <v>1062</v>
      </c>
      <c r="AD122" s="746" t="s">
        <v>1087</v>
      </c>
      <c r="AE122" s="746"/>
      <c r="AF122" s="746" t="s">
        <v>1064</v>
      </c>
      <c r="AG122" s="746"/>
      <c r="AI122" s="747" t="s">
        <v>291</v>
      </c>
      <c r="AJ122" s="747" t="s">
        <v>295</v>
      </c>
      <c r="AK122" s="365"/>
      <c r="AO122" s="4"/>
      <c r="AP122" s="4"/>
      <c r="AQ122" s="4"/>
      <c r="AR122" s="222"/>
      <c r="AS122" s="105"/>
      <c r="AT122" s="410"/>
      <c r="AV122" s="364"/>
      <c r="AW122" s="376"/>
      <c r="AX122" s="364"/>
      <c r="AZ122" s="750" t="s">
        <v>1062</v>
      </c>
      <c r="BA122" s="746" t="s">
        <v>1087</v>
      </c>
      <c r="BB122" s="746"/>
      <c r="BC122" s="746" t="s">
        <v>1064</v>
      </c>
      <c r="BD122" s="746"/>
      <c r="BF122" s="747" t="s">
        <v>291</v>
      </c>
      <c r="BG122" s="747" t="s">
        <v>295</v>
      </c>
      <c r="BH122" s="365"/>
      <c r="BL122" s="4"/>
      <c r="BM122" s="4"/>
      <c r="BN122" s="4"/>
      <c r="BO122" s="222"/>
      <c r="BP122" s="105"/>
      <c r="BQ122" s="410"/>
      <c r="BS122" s="364"/>
      <c r="BT122" s="376"/>
      <c r="BU122" s="364"/>
      <c r="BW122" s="750" t="s">
        <v>1062</v>
      </c>
      <c r="BX122" s="746" t="s">
        <v>1087</v>
      </c>
      <c r="BY122" s="746"/>
      <c r="BZ122" s="746" t="s">
        <v>1064</v>
      </c>
      <c r="CA122" s="746"/>
      <c r="CC122" s="747" t="s">
        <v>291</v>
      </c>
      <c r="CD122" s="747" t="s">
        <v>295</v>
      </c>
      <c r="CE122" s="365"/>
      <c r="CI122" s="4"/>
      <c r="CJ122" s="4"/>
      <c r="CK122" s="4"/>
      <c r="CL122" s="222"/>
      <c r="CM122" s="105"/>
      <c r="CN122" s="410"/>
      <c r="CP122" s="364"/>
      <c r="CQ122" s="376"/>
      <c r="CR122" s="364"/>
      <c r="CT122" s="750" t="s">
        <v>1062</v>
      </c>
      <c r="CU122" s="746" t="s">
        <v>1087</v>
      </c>
      <c r="CV122" s="746"/>
      <c r="CW122" s="746" t="s">
        <v>1064</v>
      </c>
      <c r="CX122" s="746"/>
      <c r="CZ122" s="747" t="s">
        <v>291</v>
      </c>
      <c r="DA122" s="747" t="s">
        <v>295</v>
      </c>
    </row>
    <row r="123" spans="1:157" x14ac:dyDescent="0.25">
      <c r="B123" s="364"/>
      <c r="D123" s="364"/>
      <c r="F123" s="745"/>
      <c r="G123" s="746"/>
      <c r="H123" s="746"/>
      <c r="I123" s="746"/>
      <c r="J123" s="746"/>
      <c r="L123" s="747"/>
      <c r="M123" s="747"/>
      <c r="N123" s="365"/>
      <c r="R123" s="691" t="s">
        <v>479</v>
      </c>
      <c r="S123" s="691"/>
      <c r="T123" s="691"/>
      <c r="U123" s="691"/>
      <c r="V123" s="691"/>
      <c r="W123" s="394" t="s">
        <v>428</v>
      </c>
      <c r="Y123" s="364"/>
      <c r="AA123" s="364"/>
      <c r="AC123" s="750"/>
      <c r="AD123" s="746"/>
      <c r="AE123" s="746"/>
      <c r="AF123" s="746"/>
      <c r="AG123" s="746"/>
      <c r="AI123" s="747"/>
      <c r="AJ123" s="747"/>
      <c r="AK123" s="365"/>
      <c r="AO123" s="691" t="s">
        <v>479</v>
      </c>
      <c r="AP123" s="691"/>
      <c r="AQ123" s="691"/>
      <c r="AR123" s="691"/>
      <c r="AS123" s="691"/>
      <c r="AT123" s="394" t="s">
        <v>428</v>
      </c>
      <c r="AV123" s="364"/>
      <c r="AX123" s="364"/>
      <c r="AZ123" s="750"/>
      <c r="BA123" s="746"/>
      <c r="BB123" s="746"/>
      <c r="BC123" s="746"/>
      <c r="BD123" s="746"/>
      <c r="BF123" s="747"/>
      <c r="BG123" s="747"/>
      <c r="BH123" s="365"/>
      <c r="BL123" s="691" t="s">
        <v>479</v>
      </c>
      <c r="BM123" s="691"/>
      <c r="BN123" s="691"/>
      <c r="BO123" s="691"/>
      <c r="BP123" s="691"/>
      <c r="BQ123" s="394" t="s">
        <v>428</v>
      </c>
      <c r="BS123" s="364"/>
      <c r="BU123" s="364"/>
      <c r="BW123" s="750"/>
      <c r="BX123" s="746"/>
      <c r="BY123" s="746"/>
      <c r="BZ123" s="746"/>
      <c r="CA123" s="746"/>
      <c r="CC123" s="747"/>
      <c r="CD123" s="747"/>
      <c r="CE123" s="365"/>
      <c r="CI123" s="691" t="s">
        <v>479</v>
      </c>
      <c r="CJ123" s="691"/>
      <c r="CK123" s="691"/>
      <c r="CL123" s="691"/>
      <c r="CM123" s="691"/>
      <c r="CN123" s="394" t="s">
        <v>428</v>
      </c>
      <c r="CP123" s="364"/>
      <c r="CR123" s="364"/>
      <c r="CT123" s="750"/>
      <c r="CU123" s="746"/>
      <c r="CV123" s="746"/>
      <c r="CW123" s="746"/>
      <c r="CX123" s="746"/>
      <c r="CZ123" s="747"/>
      <c r="DA123" s="747"/>
      <c r="DB123" s="365"/>
      <c r="DF123" s="691" t="s">
        <v>479</v>
      </c>
      <c r="DG123" s="691"/>
      <c r="DH123" s="691"/>
      <c r="DI123" s="691"/>
      <c r="DJ123" s="691"/>
      <c r="DK123" s="394" t="s">
        <v>428</v>
      </c>
    </row>
    <row r="124" spans="1:157" x14ac:dyDescent="0.25">
      <c r="A124" s="376" t="str">
        <f>IF(OR(AND(B124&lt;Geometria!$L$1405/100,Geometria!$K$1405&gt;0),AND((Geometria!$L$29/100-B124)&lt;Geometria!$R$1405/100,Geometria!$Q$1405&gt;0)),"Sim","Não")</f>
        <v>Sim</v>
      </c>
      <c r="B124" s="395">
        <f t="shared" ref="B124:B144" si="21">B101</f>
        <v>-0.0</v>
      </c>
      <c r="C124" s="376" t="str">
        <f>IF(OR(AND(B124&lt;Geometria!$L$1409/100,OR(Geometria!$K$1409&gt;0,Geometria!$K$1407&gt;0)),AND((Geometria!$L$29/100-B124)&lt;Geometria!$R$1409/100,OR(Geometria!$Q$1409&gt;0,Geometria!$Q$1407&gt;0))),"Sim","Não")</f>
        <v>Não</v>
      </c>
      <c r="D124" s="122" t="s">
        <v>429</v>
      </c>
      <c r="E124" s="198" t="str">
        <f ca="1">IF(Geometria!$K$437&lt;Geometria!$N$1308/100,"Reduzir","OK")</f>
        <v>Reduzir</v>
      </c>
      <c r="F124" s="396">
        <f t="shared" ref="F124:F143" ca="1" si="22">IF(E124="Reduzir",G124,I124)</f>
        <v>0.0</v>
      </c>
      <c r="G124" s="397">
        <v>0</v>
      </c>
      <c r="H124" s="398">
        <v>0</v>
      </c>
      <c r="I124" s="743">
        <f>Geometria!$C$936</f>
        <v>0.0</v>
      </c>
      <c r="J124" s="743"/>
      <c r="L124">
        <v>0</v>
      </c>
      <c r="M124">
        <v>0</v>
      </c>
      <c r="N124" s="365"/>
      <c r="R124" s="4" t="s">
        <v>429</v>
      </c>
      <c r="S124" s="105">
        <v>0</v>
      </c>
      <c r="T124" s="38" t="s">
        <v>234</v>
      </c>
      <c r="U124" s="138">
        <f t="shared" ref="U124:U143" si="23">S124/1000</f>
        <v>0.0</v>
      </c>
      <c r="V124" s="38" t="s">
        <v>160</v>
      </c>
      <c r="W124" s="399">
        <f>Geometria!V961</f>
        <v>0.0</v>
      </c>
      <c r="X124" s="376" t="str">
        <f>IF(OR(AND(Y124&lt;Geometria!$L$1405/100,Geometria!$K$1405&gt;0),AND((Geometria!$L$29/100-Y124)&lt;Geometria!$R$1405/100,Geometria!$Q$1405&gt;0)),"Sim","Não")</f>
        <v>Sim</v>
      </c>
      <c r="Y124" s="395">
        <f t="shared" ref="Y124:Y144" si="24">Y101</f>
        <v>-0.0</v>
      </c>
      <c r="Z124" s="376" t="str">
        <f>IF(OR(AND(Y124&lt;Geometria!$L$1409/100,OR(Geometria!$K$1409&gt;0,Geometria!$K$1407&gt;0)),AND((Geometria!$L$29/100-Y124)&lt;Geometria!$R$1409/100,OR(Geometria!$Q$1409&gt;0,Geometria!$Q$1407&gt;0))),"Sim","Não")</f>
        <v>Não</v>
      </c>
      <c r="AA124" s="122" t="s">
        <v>429</v>
      </c>
      <c r="AB124" s="198" t="str">
        <f ca="1">IF(Geometria!$K$437&lt;Geometria!$N$1308/100,"Reduzir","OK")</f>
        <v>Reduzir</v>
      </c>
      <c r="AC124" s="396">
        <f t="shared" ref="AC124:AC143" ca="1" si="25">IF(AB124="Reduzir",AD124,AF124)</f>
        <v>0.0</v>
      </c>
      <c r="AD124" s="397">
        <v>0</v>
      </c>
      <c r="AE124" s="398">
        <v>0</v>
      </c>
      <c r="AF124" s="743">
        <f>Geometria!$C$936</f>
        <v>0.0</v>
      </c>
      <c r="AG124" s="743"/>
      <c r="AI124">
        <v>0</v>
      </c>
      <c r="AJ124">
        <v>0</v>
      </c>
      <c r="AK124" s="365"/>
      <c r="AO124" s="4" t="s">
        <v>429</v>
      </c>
      <c r="AP124" s="105">
        <v>0</v>
      </c>
      <c r="AQ124" s="38" t="s">
        <v>234</v>
      </c>
      <c r="AR124" s="138">
        <f t="shared" ref="AR124:AR143" si="26">AP124/1000</f>
        <v>0.0</v>
      </c>
      <c r="AS124" s="38" t="s">
        <v>160</v>
      </c>
      <c r="AT124" s="399">
        <f>Geometria!AS961</f>
        <v>0.0</v>
      </c>
      <c r="AU124" s="376" t="str">
        <f>IF(OR(AND(AV124&lt;Geometria!$L$1405/100,Geometria!$K$1405&gt;0),AND((Geometria!$L$29/100-AV124)&lt;Geometria!$R$1405/100,Geometria!$Q$1405&gt;0)),"Sim","Não")</f>
        <v>Sim</v>
      </c>
      <c r="AV124" s="395">
        <f t="shared" ref="AV124:AV144" si="27">AV101</f>
        <v>-0.0</v>
      </c>
      <c r="AW124" s="376" t="str">
        <f>IF(OR(AND(AV124&lt;Geometria!$L$1409/100,OR(Geometria!$K$1409&gt;0,Geometria!$K$1407&gt;0)),AND((Geometria!$L$29/100-AV124)&lt;Geometria!$R$1409/100,OR(Geometria!$Q$1409&gt;0,Geometria!$Q$1407&gt;0))),"Sim","Não")</f>
        <v>Não</v>
      </c>
      <c r="AX124" s="122" t="s">
        <v>429</v>
      </c>
      <c r="AY124" s="198" t="str">
        <f ca="1">IF(Geometria!$K$437&lt;Geometria!$N$1308/100,"Reduzir","OK")</f>
        <v>Reduzir</v>
      </c>
      <c r="AZ124" s="396">
        <f t="shared" ref="AZ124:AZ143" ca="1" si="28">IF(AY124="Reduzir",BA124,BC124)</f>
        <v>0.0</v>
      </c>
      <c r="BA124" s="411">
        <v>0</v>
      </c>
      <c r="BB124" s="412">
        <v>0</v>
      </c>
      <c r="BC124" s="753">
        <f>Geometria!$C$936</f>
        <v>0.0</v>
      </c>
      <c r="BD124" s="753"/>
      <c r="BF124">
        <v>0</v>
      </c>
      <c r="BG124">
        <v>0</v>
      </c>
      <c r="BH124" s="365"/>
      <c r="BL124" s="4" t="s">
        <v>429</v>
      </c>
      <c r="BM124" s="105">
        <v>0</v>
      </c>
      <c r="BN124" s="38" t="s">
        <v>234</v>
      </c>
      <c r="BO124" s="138">
        <f t="shared" ref="BO124:BO143" si="29">BM124/1000</f>
        <v>0.0</v>
      </c>
      <c r="BP124" s="38" t="s">
        <v>160</v>
      </c>
      <c r="BQ124" s="399">
        <f>Geometria!BP961</f>
        <v>0.0</v>
      </c>
      <c r="BR124" s="376" t="str">
        <f>IF(OR(AND(BS124&lt;Geometria!$L$1405/100,Geometria!$K$1405&gt;0),AND((Geometria!$L$29/100-BS124)&lt;Geometria!$R$1405/100,Geometria!$Q$1405&gt;0)),"Sim","Não")</f>
        <v>Sim</v>
      </c>
      <c r="BS124" s="395">
        <f t="shared" ref="BS124:BS144" si="30">BS101</f>
        <v>-0.0</v>
      </c>
      <c r="BT124" s="376" t="str">
        <f>IF(OR(AND(BS124&lt;Geometria!$L$1409/100,OR(Geometria!$K$1409&gt;0,Geometria!$K$1407&gt;0)),AND((Geometria!$L$29/100-BS124)&lt;Geometria!$R$1409/100,OR(Geometria!$Q$1409&gt;0,Geometria!$Q$1407&gt;0))),"Sim","Não")</f>
        <v>Não</v>
      </c>
      <c r="BU124" s="122" t="s">
        <v>429</v>
      </c>
      <c r="BV124" s="198" t="str">
        <f ca="1">IF(Geometria!$K$437&lt;Geometria!$N$1308/100,"Reduzir","OK")</f>
        <v>Reduzir</v>
      </c>
      <c r="BW124" s="396">
        <f t="shared" ref="BW124:BW143" ca="1" si="31">IF(BV124="Reduzir",BX124,BZ124)</f>
        <v>0.0</v>
      </c>
      <c r="BX124" s="411">
        <v>0</v>
      </c>
      <c r="BY124" s="412">
        <v>0</v>
      </c>
      <c r="BZ124" s="753">
        <f>Geometria!$C$936</f>
        <v>0.0</v>
      </c>
      <c r="CA124" s="753"/>
      <c r="CC124">
        <v>0</v>
      </c>
      <c r="CD124">
        <v>0</v>
      </c>
      <c r="CE124" s="365"/>
      <c r="CI124" s="4" t="s">
        <v>429</v>
      </c>
      <c r="CJ124" s="105">
        <v>0</v>
      </c>
      <c r="CK124" s="38" t="s">
        <v>234</v>
      </c>
      <c r="CL124" s="138">
        <f t="shared" ref="CL124:CL143" si="32">CJ124/1000</f>
        <v>0.0</v>
      </c>
      <c r="CM124" s="38" t="s">
        <v>160</v>
      </c>
      <c r="CN124" s="399">
        <f>Geometria!CM961</f>
        <v>0.0</v>
      </c>
      <c r="CO124" s="376" t="str">
        <f>IF(OR(AND(CP124&lt;Geometria!$L$1405/100,Geometria!$K$1405&gt;0),AND((Geometria!$L$29/100-CP124)&lt;Geometria!$R$1405/100,Geometria!$Q$1405&gt;0)),"Sim","Não")</f>
        <v>Sim</v>
      </c>
      <c r="CP124" s="395">
        <f t="shared" ref="CP124:CP144" si="33">CP101</f>
        <v>-0.0</v>
      </c>
      <c r="CQ124" s="376" t="str">
        <f>IF(OR(AND(CP124&lt;Geometria!$L$1409/100,OR(Geometria!$K$1409&gt;0,Geometria!$K$1407&gt;0)),AND((Geometria!$L$29/100-CP124)&lt;Geometria!$R$1409/100,OR(Geometria!$Q$1409&gt;0,Geometria!$Q$1407&gt;0))),"Sim","Não")</f>
        <v>Não</v>
      </c>
      <c r="CR124" s="122" t="s">
        <v>429</v>
      </c>
      <c r="CS124" s="198" t="str">
        <f ca="1">IF(Geometria!$K$437&lt;Geometria!$N$1308/100,"Reduzir","OK")</f>
        <v>Reduzir</v>
      </c>
      <c r="CT124" s="396">
        <f t="shared" ref="CT124:CT143" ca="1" si="34">IF(CS124="Reduzir",CU124,CW124)</f>
        <v>0.0</v>
      </c>
      <c r="CU124" s="411">
        <v>0</v>
      </c>
      <c r="CV124" s="412">
        <v>0</v>
      </c>
      <c r="CW124" s="753">
        <f>Geometria!$C$936</f>
        <v>0.0</v>
      </c>
      <c r="CX124" s="753"/>
      <c r="CZ124">
        <v>0</v>
      </c>
      <c r="DA124">
        <v>0</v>
      </c>
      <c r="DB124" s="365"/>
      <c r="DF124" s="4" t="s">
        <v>429</v>
      </c>
      <c r="DG124" s="105">
        <v>0</v>
      </c>
      <c r="DH124" s="38" t="s">
        <v>234</v>
      </c>
      <c r="DI124" s="138">
        <f t="shared" ref="DI124:DI143" si="35">DG124/1000</f>
        <v>0.0</v>
      </c>
      <c r="DJ124" s="38" t="s">
        <v>160</v>
      </c>
      <c r="DK124" s="399">
        <f>Geometria!DJ961</f>
        <v>0.0</v>
      </c>
      <c r="EA124">
        <f>0</f>
        <v>0.0</v>
      </c>
      <c r="EB124">
        <f>Geometria!$C$936</f>
        <v>0.0</v>
      </c>
      <c r="EC124">
        <f ca="1">IF(AND('Aberturas na Alma'!$M$18="NÃO DISPENSADO — furo deve ser verificado (cálculo abaixo)",OR(AND(B124&gt;=('Aberturas na Alma'!$M$4-'Aberturas na Alma'!$M$7/2)/100,B124&lt;=('Aberturas na Alma'!$M$4+'Aberturas na Alma'!$M$7/2)/100),ABS(B124-'Aberturas na Alma'!$M$4/100)&lt;=Geometria!$L$29/4000)),IF(E124="Reduzir",EA124,EB124),F124)</f>
        <v>0.0</v>
      </c>
      <c r="ED124">
        <f>0</f>
        <v>0.0</v>
      </c>
      <c r="EE124">
        <f>Geometria!$C$936</f>
        <v>0.0</v>
      </c>
      <c r="EF124">
        <f ca="1">IF(AND('Aberturas na Alma'!$M$18="NÃO DISPENSADO — furo deve ser verificado (cálculo abaixo)",OR(AND(B124&gt;=('Aberturas na Alma'!$M$4-'Aberturas na Alma'!$M$7/2)/100,B124&lt;=('Aberturas na Alma'!$M$4+'Aberturas na Alma'!$M$7/2)/100),ABS(B124-'Aberturas na Alma'!$M$4/100)&lt;=Geometria!$L$29/4000)),IF(AB124="Reduzir",ED124,EE124),AC124)</f>
        <v>0.0</v>
      </c>
      <c r="EG124">
        <f>0</f>
        <v>0.0</v>
      </c>
      <c r="EH124">
        <f>Geometria!$C$936</f>
        <v>0.0</v>
      </c>
      <c r="EI124">
        <f ca="1">IF(AND('Aberturas na Alma'!$M$18="NÃO DISPENSADO — furo deve ser verificado (cálculo abaixo)",OR(AND(B124&gt;=('Aberturas na Alma'!$M$4-'Aberturas na Alma'!$M$7/2)/100,B124&lt;=('Aberturas na Alma'!$M$4+'Aberturas na Alma'!$M$7/2)/100),ABS(B124-'Aberturas na Alma'!$M$4/100)&lt;=Geometria!$L$29/4000)),IF(AY124="Reduzir",EG124,EH124),AZ124)</f>
        <v>0.0</v>
      </c>
      <c r="EJ124">
        <f>0</f>
        <v>0.0</v>
      </c>
      <c r="EK124">
        <f>Geometria!$C$936</f>
        <v>0.0</v>
      </c>
      <c r="EL124">
        <f ca="1">IF(AND('Aberturas na Alma'!$M$18="NÃO DISPENSADO — furo deve ser verificado (cálculo abaixo)",OR(AND(B124&gt;=('Aberturas na Alma'!$M$4-'Aberturas na Alma'!$M$7/2)/100,B124&lt;=('Aberturas na Alma'!$M$4+'Aberturas na Alma'!$M$7/2)/100),ABS(B124-'Aberturas na Alma'!$M$4/100)&lt;=Geometria!$L$29/4000)),IF(BV124="Reduzir",EJ124,EK124),BW124)</f>
        <v>0.0</v>
      </c>
      <c r="EM124">
        <f>0</f>
        <v>0.0</v>
      </c>
      <c r="EN124">
        <f>Geometria!$C$936</f>
        <v>0.0</v>
      </c>
      <c r="EO124">
        <f ca="1">IF(AND('Aberturas na Alma'!$M$18="NÃO DISPENSADO — furo deve ser verificado (cálculo abaixo)",OR(AND(B124&gt;=('Aberturas na Alma'!$M$4-'Aberturas na Alma'!$M$7/2)/100,B124&lt;=('Aberturas na Alma'!$M$4+'Aberturas na Alma'!$M$7/2)/100),ABS(B124-'Aberturas na Alma'!$M$4/100)&lt;=Geometria!$L$29/4000)),IF(CS124="Reduzir",EM124,EN124),CT124)</f>
        <v>0.0</v>
      </c>
      <c r="EP124" t="str">
        <f>IF(AND(Y124&lt;Geometria!$L$1409/100,OR(Geometria!$K$1409&gt;0,Geometria!$K$1407&gt;0)),"ESQ",IF(AND((Geometria!$L$29/100-Y124)&lt;Geometria!$R$1409/100,OR(Geometria!$Q$1409&gt;0,Geometria!$Q$1407&gt;0)),"DIR","N/A"))</f>
        <v>N/A</v>
      </c>
      <c r="EQ124" t="str">
        <f>IF(AND(Y124&lt;Geometria!$L$1405/100,Geometria!$K$1405&gt;0),"ESQ",IF(AND((Geometria!$L$29/100-Y124)&lt;Geometria!$R$1405/100,Geometria!$Q$1405&gt;0),"DIR","N/A"))</f>
        <v>ESQ</v>
      </c>
      <c r="ER124">
        <f ca="1">IF(EP124="DIR",Geometria!$L$1470,Geometria!$L$1452)</f>
        <v>1243.5596228306003</v>
      </c>
      <c r="ES124">
        <f ca="1">IF(EP124="DIR",Geometria!$L$1471,Geometria!$L$1453)</f>
        <v>233.16742928073757</v>
      </c>
      <c r="ET124">
        <f ca="1">IF(EQ124="DIR",Geometria!$L$1472,Geometria!$L$1454)</f>
        <v>621.7798114153002</v>
      </c>
      <c r="EU124">
        <f ca="1">IF(EQ124="DIR",Geometria!$L$1473,Geometria!$L$1455)</f>
        <v>177.20724625336052</v>
      </c>
      <c r="EV124" t="str">
        <f>IF(AND(B124&lt;Geometria!$L$1409/100,OR(Geometria!$K$1409&gt;0,Geometria!$K$1407&gt;0)),"ESQ",IF(AND((Geometria!$L$29/100-B124)&lt;Geometria!$R$1409/100,OR(Geometria!$Q$1409&gt;0,Geometria!$Q$1407&gt;0)),"DIR","N/A"))</f>
        <v>N/A</v>
      </c>
      <c r="EW124" t="str">
        <f>IF(AND(B124&lt;Geometria!$L$1405/100,Geometria!$K$1405&gt;0),"ESQ",IF(AND((Geometria!$L$29/100-B124)&lt;Geometria!$R$1405/100,Geometria!$Q$1405&gt;0),"DIR","N/A"))</f>
        <v>ESQ</v>
      </c>
      <c r="EX124">
        <f ca="1">IF(EV124="DIR",Geometria!$L$1465,Geometria!$L$1447)</f>
        <v>1499.8056003831216</v>
      </c>
      <c r="EY124">
        <f ca="1">IF(EV124="DIR",Geometria!$L$1466,Geometria!$L$1448)</f>
        <v>281.2135500718353</v>
      </c>
      <c r="EZ124">
        <f ca="1">IF(EW124="DIR",Geometria!$L$1467,Geometria!$L$1449)</f>
        <v>749.9028001915608</v>
      </c>
      <c r="FA124">
        <f ca="1">IF(EW124="DIR",Geometria!$L$1468,Geometria!$L$1450)</f>
        <v>213.72229805459483</v>
      </c>
    </row>
    <row r="125" spans="1:157" x14ac:dyDescent="0.25">
      <c r="A125" s="376" t="str">
        <f>IF(OR(AND(B125&lt;Geometria!$L$1405/100,Geometria!$K$1405&gt;0),AND((Geometria!$L$29/100-B125)&lt;Geometria!$R$1405/100,Geometria!$Q$1405&gt;0)),"Sim","Não")</f>
        <v>Sim</v>
      </c>
      <c r="B125" s="395">
        <f t="shared" si="21"/>
        <v>0.39249999999999996</v>
      </c>
      <c r="C125" s="376" t="str">
        <f>IF(OR(AND(B125&lt;Geometria!$L$1409/100,OR(Geometria!$K$1409&gt;0,Geometria!$K$1407&gt;0)),AND((Geometria!$L$29/100-B125)&lt;Geometria!$R$1409/100,OR(Geometria!$Q$1409&gt;0,Geometria!$Q$1407&gt;0))),"Sim","Não")</f>
        <v>Não</v>
      </c>
      <c r="D125" s="122" t="s">
        <v>430</v>
      </c>
      <c r="E125" s="198" t="str">
        <f ca="1">IF(Geometria!$L$437&lt;Geometria!$N$1308/100,"Reduzir","OK")</f>
        <v>Reduzir</v>
      </c>
      <c r="F125" s="396">
        <f t="shared" ca="1" si="22"/>
        <v>-4468.751763099462</v>
      </c>
      <c r="G125" s="397">
        <f ca="1">-L125/(Geometria!$L$48/100^2)-M125/(Geometria!$L$53/100^3)+Geometria!$L$898/(Geometria!$L$53/100^3)</f>
        <v>-4468.751763099462</v>
      </c>
      <c r="H125" s="400">
        <f ca="1">((((IF(C125="Sim",$N$47,Geometria!$L$324))*(Geometria!$L$897*100))/Geometria!$N$1308))</f>
        <v>40.92340087322139</v>
      </c>
      <c r="I125" s="743">
        <f ca="1">-(Geometria!$L$906-(Geometria!$L$906-EX125)*(1-(MIN(MIN(1,MAX(0,(B125-Geometria!$L$1409/100)/(Geometria!$N$1307/100))),MIN(1,MAX(0,((Geometria!$L$29/100-B125)-Geometria!$R$1409/100)/(Geometria!$N$1307/100))))))*(IF(OR(Geometria!$K$1409&gt;0,Geometria!$K$1407&gt;0,Geometria!$Q$1409&gt;0,Geometria!$Q$1407&gt;0),1,0))-(Geometria!$L$906-EZ125)*(1-(MIN(MIN(1,MAX(0,(B125-Geometria!$L$1405/100)/(Geometria!$N$1307/100))),MIN(1,MAX(0,((Geometria!$L$29/100-B125)-Geometria!$R$1405/100)/(Geometria!$N$1307/100))))))*(IF(OR(Geometria!$K$1405&gt;0,Geometria!$K$1403&gt;0,Geometria!$Q$1405&gt;0,Geometria!$Q$1403&gt;0),1,0)))/(Geometria!$L$48/100^2)-(Geometria!$L$907-(Geometria!$L$907-EY125)*(1-(MIN(MIN(1,MAX(0,(B125-Geometria!$L$1409/100)/(Geometria!$N$1307/100))),MIN(1,MAX(0,((Geometria!$L$29/100-B125)-Geometria!$R$1409/100)/(Geometria!$N$1307/100))))))*(IF(OR(Geometria!$K$1409&gt;0,Geometria!$K$1407&gt;0,Geometria!$Q$1409&gt;0,Geometria!$Q$1407&gt;0),1,0))-(Geometria!$L$907-FA125)*(1-(MIN(MIN(1,MAX(0,(B125-Geometria!$L$1405/100)/(Geometria!$N$1307/100))),MIN(1,MAX(0,((Geometria!$L$29/100-B125)-Geometria!$R$1405/100)/(Geometria!$N$1307/100))))))*(IF(OR(Geometria!$K$1405&gt;0,Geometria!$K$1403&gt;0,Geometria!$Q$1405&gt;0,Geometria!$Q$1403&gt;0),1,0)))/(Geometria!$L$53/100^3)+Geometria!$L$898/(Geometria!$L$53/100^3)</f>
        <v>-15606.625418159774</v>
      </c>
      <c r="J125" s="743"/>
      <c r="L125" s="373">
        <f ca="1">(Geometria!$L$298-(Geometria!$L$298-IF(B125&lt;Geometria!$L$1409/100,Geometria!$L$1442,Geometria!$L$1460))*(1-(MIN(MIN(1,MAX(0,(B125-Geometria!$L$1409/100)/(Geometria!$N$1307/100))),MIN(1,MAX(0,((Geometria!$L$29/100-B125)-Geometria!$R$1409/100)/(Geometria!$N$1307/100))))))*(IF(OR(Geometria!$K$1409&gt;0,Geometria!$K$1407&gt;0,Geometria!$Q$1409&gt;0,Geometria!$Q$1407&gt;0),1,0))-(Geometria!$L$298-IF(B125&lt;Geometria!$L$1405/100,Geometria!$L$1444,Geometria!$L$1462))*(1-(MIN(MIN(1,MAX(0,(B125-Geometria!$L$1405/100)/(Geometria!$N$1307/100))),MIN(1,MAX(0,((Geometria!$L$29/100-B125)-Geometria!$R$1405/100)/(Geometria!$N$1307/100))))))*(IF(OR(Geometria!$K$1405&gt;0,Geometria!$K$1403&gt;0,Geometria!$Q$1405&gt;0,Geometria!$Q$1403&gt;0),1,0)))*H125+Geometria!$P$1429*H102</f>
        <v>229.17104489003975</v>
      </c>
      <c r="M125" s="373">
        <f ca="1">(Geometria!$L$298-(Geometria!$L$298-IF(B125&lt;Geometria!$L$1409/100,Geometria!$L$1442,Geometria!$L$1460))*(1-(MIN(MIN(1,MAX(0,(B125-Geometria!$L$1409/100)/(Geometria!$N$1307/100))),MIN(1,MAX(0,((Geometria!$L$29/100-B125)-Geometria!$R$1409/100)/(Geometria!$N$1307/100))))))*(IF(OR(Geometria!$K$1409&gt;0,Geometria!$K$1407&gt;0,Geometria!$Q$1409&gt;0,Geometria!$Q$1407&gt;0),1,0))-(Geometria!$L$298-IF(B125&lt;Geometria!$L$1405/100,Geometria!$L$1444,Geometria!$L$1462))*(1-(MIN(MIN(1,MAX(0,(B125-Geometria!$L$1405/100)/(Geometria!$N$1307/100))),MIN(1,MAX(0,((Geometria!$L$29/100-B125)-Geometria!$R$1405/100)/(Geometria!$N$1307/100))))))*(IF(OR(Geometria!$K$1405&gt;0,Geometria!$K$1403&gt;0,Geometria!$Q$1405&gt;0,Geometria!$Q$1403&gt;0),1,0)))*H125*(Geometria!$L$299-(Geometria!$L$299-IF(B125&lt;Geometria!$L$1409/100,Geometria!$L$1443,Geometria!$L$1461))*(1-(MIN(MIN(1,MAX(0,(B125-Geometria!$L$1409/100)/(Geometria!$N$1307/100))),MIN(1,MAX(0,((Geometria!$L$29/100-B125)-Geometria!$R$1409/100)/(Geometria!$N$1307/100))))))*(IF(OR(Geometria!$K$1409&gt;0,Geometria!$K$1407&gt;0,Geometria!$Q$1409&gt;0,Geometria!$Q$1407&gt;0),1,0))-(Geometria!$L$299-IF(B125&lt;Geometria!$L$1405/100,Geometria!$L$1445,Geometria!$L$1463))*(1-(MIN(MIN(1,MAX(0,(B125-Geometria!$L$1405/100)/(Geometria!$N$1307/100))),MIN(1,MAX(0,((Geometria!$L$29/100-B125)-Geometria!$R$1405/100)/(Geometria!$N$1307/100))))))*(IF(OR(Geometria!$K$1405&gt;0,Geometria!$K$1403&gt;0,Geometria!$Q$1405&gt;0,Geometria!$Q$1403&gt;0),1,0)))/100-Geometria!$P$1429*H102*Geometria!$L$1438/100</f>
        <v>65.31374779366134</v>
      </c>
      <c r="N125" s="365"/>
      <c r="O125" s="371">
        <f ca="1">(IF(C125="Sim",IF(A125="Sim",$E$93,EX125),IF(A125="Sim",EZ125,Geometria!$L$906)))</f>
        <v>749.9028001915608</v>
      </c>
      <c r="P125" s="371">
        <f ca="1">(IF(C125="Sim",IF(A125="Sim",$E$94,EY125),IF(A125="Sim",FA125,Geometria!$L$907)))</f>
        <v>213.72229805459483</v>
      </c>
      <c r="R125" s="4" t="s">
        <v>430</v>
      </c>
      <c r="S125" s="200">
        <f t="shared" ref="S125:S143" ca="1" si="36">F125</f>
        <v>-4468.751763099462</v>
      </c>
      <c r="T125" s="38" t="s">
        <v>234</v>
      </c>
      <c r="U125" s="201">
        <f t="shared" ca="1" si="23"/>
        <v>-4.468751763099462</v>
      </c>
      <c r="V125" s="38" t="s">
        <v>160</v>
      </c>
      <c r="W125" s="399">
        <f t="shared" ref="W125:W144" si="37">W124</f>
        <v>0.0</v>
      </c>
      <c r="X125" s="376" t="str">
        <f>IF(OR(AND(Y125&lt;Geometria!$L$1405/100,Geometria!$K$1405&gt;0),AND((Geometria!$L$29/100-Y125)&lt;Geometria!$R$1405/100,Geometria!$Q$1405&gt;0)),"Sim","Não")</f>
        <v>Sim</v>
      </c>
      <c r="Y125" s="395">
        <f t="shared" si="24"/>
        <v>0.39249999999999996</v>
      </c>
      <c r="Z125" s="376" t="str">
        <f>IF(OR(AND(Y125&lt;Geometria!$L$1409/100,OR(Geometria!$K$1409&gt;0,Geometria!$K$1407&gt;0)),AND((Geometria!$L$29/100-Y125)&lt;Geometria!$R$1409/100,OR(Geometria!$Q$1409&gt;0,Geometria!$Q$1407&gt;0))),"Sim","Não")</f>
        <v>Não</v>
      </c>
      <c r="AA125" s="122" t="s">
        <v>430</v>
      </c>
      <c r="AB125" s="198" t="str">
        <f ca="1">IF(Geometria!$L$437&lt;Geometria!$N$1308/100,"Reduzir","OK")</f>
        <v>Reduzir</v>
      </c>
      <c r="AC125" s="401">
        <f t="shared" ca="1" si="25"/>
        <v>1622.3897589662633</v>
      </c>
      <c r="AD125" s="402">
        <f ca="1">-(AI125/(Geometria!$L$48/100^2))-(AJ125/(Geometria!$L$53/100^3))+((Geometria!$L$416)/(Geometria!$L$53/100^3))+((Geometria!$L$427)/(Geometria!$M$53/100^3))+((Geometria!$L$76*Geometria!$L$438)/(Geometria!$M$53/100^3))</f>
        <v>1622.3897589662633</v>
      </c>
      <c r="AE125" s="400">
        <f ca="1">(Geometria!$N$368*MIN(1,(Geometria!$L$897*100)/Geometria!$N$1308))</f>
        <v>34.492497493678606</v>
      </c>
      <c r="AF125" s="754">
        <f ca="1">-((Geometria!$L$373-(Geometria!$L$373-ER125)*(1-(MIN(MIN(1,MAX(0,(Y125-Geometria!$L$1409/100)/(Geometria!$N$1307/100))),MIN(1,MAX(0,((Geometria!$L$29/100-Y125)-Geometria!$R$1409/100)/(Geometria!$N$1307/100))))))*(IF(OR(Geometria!$K$1409&gt;0,Geometria!$K$1407&gt;0,Geometria!$Q$1409&gt;0,Geometria!$Q$1407&gt;0),1,0))-(Geometria!$L$373-ET125)*(1-(MIN(MIN(1,MAX(0,(Y125-Geometria!$L$1405/100)/(Geometria!$N$1307/100))),MIN(1,MAX(0,((Geometria!$L$29/100-Y125)-Geometria!$R$1405/100)/(Geometria!$N$1307/100))))))*(IF(OR(Geometria!$K$1405&gt;0,Geometria!$K$1403&gt;0,Geometria!$Q$1405&gt;0,Geometria!$Q$1403&gt;0),1,0))))/(Geometria!$L$48/100^2)-((Geometria!$L$374-(Geometria!$L$374-ES125)*(1-(MIN(MIN(1,MAX(0,(Y125-Geometria!$L$1409/100)/(Geometria!$N$1307/100))),MIN(1,MAX(0,((Geometria!$L$29/100-Y125)-Geometria!$R$1409/100)/(Geometria!$N$1307/100))))))*(IF(OR(Geometria!$K$1409&gt;0,Geometria!$K$1407&gt;0,Geometria!$Q$1409&gt;0,Geometria!$Q$1407&gt;0),1,0))-(Geometria!$L$374-EU125)*(1-(MIN(MIN(1,MAX(0,(Y125-Geometria!$L$1405/100)/(Geometria!$N$1307/100))),MIN(1,MAX(0,((Geometria!$L$29/100-Y125)-Geometria!$R$1405/100)/(Geometria!$N$1307/100))))))*(IF(OR(Geometria!$K$1405&gt;0,Geometria!$K$1403&gt;0,Geometria!$Q$1405&gt;0,Geometria!$Q$1403&gt;0),1,0))))/(Geometria!$L$53/100^3)+((Geometria!$L$416)/(Geometria!$L$53/100^3))+((Geometria!$L$427)/(Geometria!$M$53/100^3))+((Geometria!$L$76*Geometria!$L$438)/(Geometria!$M$53/100^3))</f>
        <v>-7545.354840951486</v>
      </c>
      <c r="AG125" s="754"/>
      <c r="AI125" s="373">
        <f ca="1">(IF(Z125="Sim",IF(X125="Sim",IF(Y125&lt;Geometria!$L$1405/100,Geometria!$L$1435,Geometria!$L$1476),IF(Y125&lt;Geometria!$L$1409/100,Geometria!$L$1442,Geometria!$L$1460)),IF(X125="Sim",IF(Y125&lt;Geometria!$L$1405/100,Geometria!$L$1444,Geometria!$L$1462),Geometria!$L$298)))*AE125+Geometria!$P$1429*AE102</f>
        <v>193.1579859646002</v>
      </c>
      <c r="AJ125" s="373">
        <f ca="1">(IF(Z125="Sim",IF(X125="Sim",IF(Y125&lt;Geometria!$L$1405/100,Geometria!$L$1435,Geometria!$L$1476),IF(Y125&lt;Geometria!$L$1409/100,Geometria!$L$1442,Geometria!$L$1460)),IF(X125="Sim",IF(Y125&lt;Geometria!$L$1405/100,Geometria!$L$1444,Geometria!$L$1462),Geometria!$L$298)))*AE125*(IF(Z125="Sim",IF(X125="Sim",IF(Y125&lt;Geometria!$L$1405/100,Geometria!$L$1436,Geometria!$L$1484),IF(Y125&lt;Geometria!$L$1409/100,Geometria!$L$1443,Geometria!$L$1461)),IF(X125="Sim",IF(Y125&lt;Geometria!$L$1405/100,Geometria!$L$1445,Geometria!$L$1463),Geometria!$L$299)))/100-Geometria!$P$1429*AE102*Geometria!$L$1438/100</f>
        <v>55.05002599991105</v>
      </c>
      <c r="AK125" s="365"/>
      <c r="AL125" s="371">
        <f ca="1">(IF(Z125="Sim",IF(X125="Sim",$E$93,EX125),IF(X125="Sim",EZ125,Geometria!$L$906)))</f>
        <v>749.9028001915608</v>
      </c>
      <c r="AM125" s="371">
        <f ca="1">(IF(Z125="Sim",IF(X125="Sim",$E$94,EY125),IF(X125="Sim",FA125,Geometria!$L$907)))</f>
        <v>213.72229805459483</v>
      </c>
      <c r="AO125" s="4" t="s">
        <v>430</v>
      </c>
      <c r="AP125" s="200">
        <f t="shared" ref="AP125:AP143" ca="1" si="38">AC125</f>
        <v>1622.3897589662633</v>
      </c>
      <c r="AQ125" s="38" t="s">
        <v>234</v>
      </c>
      <c r="AR125" s="201">
        <f t="shared" ca="1" si="26"/>
        <v>1.6223897589662633</v>
      </c>
      <c r="AS125" s="38" t="s">
        <v>160</v>
      </c>
      <c r="AT125" s="399">
        <f t="shared" ref="AT125:AT144" si="39">AT124</f>
        <v>0.0</v>
      </c>
      <c r="AU125" s="376" t="str">
        <f>IF(OR(AND(AV125&lt;Geometria!$L$1405/100,Geometria!$K$1405&gt;0),AND((Geometria!$L$29/100-AV125)&lt;Geometria!$R$1405/100,Geometria!$Q$1405&gt;0)),"Sim","Não")</f>
        <v>Sim</v>
      </c>
      <c r="AV125" s="395">
        <f t="shared" si="27"/>
        <v>0.39249999999999996</v>
      </c>
      <c r="AW125" s="376" t="str">
        <f>IF(OR(AND(AV125&lt;Geometria!$L$1409/100,OR(Geometria!$K$1409&gt;0,Geometria!$K$1407&gt;0)),AND((Geometria!$L$29/100-AV125)&lt;Geometria!$R$1409/100,OR(Geometria!$Q$1409&gt;0,Geometria!$Q$1407&gt;0))),"Sim","Não")</f>
        <v>Não</v>
      </c>
      <c r="AX125" s="122" t="s">
        <v>430</v>
      </c>
      <c r="AY125" s="198" t="str">
        <f ca="1">IF(Geometria!$L$437&lt;Geometria!$N$1308/100,"Reduzir","OK")</f>
        <v>Reduzir</v>
      </c>
      <c r="AZ125" s="401">
        <f t="shared" ca="1" si="28"/>
        <v>1622.3897589662633</v>
      </c>
      <c r="BA125" s="402">
        <f ca="1">-(BF125/(Geometria!$L$48/100^2))-(BG125/(Geometria!$L$53/100^3))+((Geometria!$L$416)/(Geometria!$L$53/100^3))+((Geometria!$L$427)/(Geometria!$M$53/100^3))+((Geometria!$L$76*Geometria!$L$438)/(Geometria!$M$53/100^3))</f>
        <v>1622.3897589662633</v>
      </c>
      <c r="BB125" s="413">
        <f ca="1">(Geometria!$N$368*MIN(1,(Geometria!$L$897*100)/Geometria!$N$1308))</f>
        <v>34.492497493678606</v>
      </c>
      <c r="BC125" s="754">
        <f ca="1">-((Geometria!$L$373-(Geometria!$L$373-ER125)*(1-(MIN(MIN(1,MAX(0,(AV125-Geometria!$L$1409/100)/(Geometria!$N$1307/100))),MIN(1,MAX(0,((Geometria!$L$29/100-AV125)-Geometria!$R$1409/100)/(Geometria!$N$1307/100))))))*(IF(OR(Geometria!$K$1409&gt;0,Geometria!$K$1407&gt;0,Geometria!$Q$1409&gt;0,Geometria!$Q$1407&gt;0),1,0))-(Geometria!$L$373-ET125)*(1-(MIN(MIN(1,MAX(0,(AV125-Geometria!$L$1405/100)/(Geometria!$N$1307/100))),MIN(1,MAX(0,((Geometria!$L$29/100-AV125)-Geometria!$R$1405/100)/(Geometria!$N$1307/100))))))*(IF(OR(Geometria!$K$1405&gt;0,Geometria!$K$1403&gt;0,Geometria!$Q$1405&gt;0,Geometria!$Q$1403&gt;0),1,0))))/(Geometria!$L$48/100^2)-((Geometria!$L$374-(Geometria!$L$374-ES125)*(1-(MIN(MIN(1,MAX(0,(AV125-Geometria!$L$1409/100)/(Geometria!$N$1307/100))),MIN(1,MAX(0,((Geometria!$L$29/100-AV125)-Geometria!$R$1409/100)/(Geometria!$N$1307/100))))))*(IF(OR(Geometria!$K$1409&gt;0,Geometria!$K$1407&gt;0,Geometria!$Q$1409&gt;0,Geometria!$Q$1407&gt;0),1,0))-(Geometria!$L$374-EU125)*(1-(MIN(MIN(1,MAX(0,(AV125-Geometria!$L$1405/100)/(Geometria!$N$1307/100))),MIN(1,MAX(0,((Geometria!$L$29/100-AV125)-Geometria!$R$1405/100)/(Geometria!$N$1307/100))))))*(IF(OR(Geometria!$K$1405&gt;0,Geometria!$K$1403&gt;0,Geometria!$Q$1405&gt;0,Geometria!$Q$1403&gt;0),1,0))))/(Geometria!$L$53/100^3)+((Geometria!$L$416)/(Geometria!$L$53/100^3))+((Geometria!$L$427)/(Geometria!$M$53/100^3))</f>
        <v>-10078.32698326259</v>
      </c>
      <c r="BD125" s="754"/>
      <c r="BF125" s="373">
        <f ca="1">(Geometria!$L$298-(Geometria!$L$298-IF(AV125&lt;Geometria!$L$1409/100,Geometria!$L$1442,Geometria!$L$1460))*(1-(MIN(MIN(1,MAX(0,(AV125-Geometria!$L$1409/100)/(Geometria!$N$1307/100))),MIN(1,MAX(0,((Geometria!$L$29/100-AV125)-Geometria!$R$1409/100)/(Geometria!$N$1307/100))))))*(IF(OR(Geometria!$K$1409&gt;0,Geometria!$K$1407&gt;0,Geometria!$Q$1409&gt;0,Geometria!$Q$1407&gt;0),1,0))-(Geometria!$L$298-IF(AV125&lt;Geometria!$L$1405/100,Geometria!$L$1444,Geometria!$L$1462))*(1-(MIN(MIN(1,MAX(0,(AV125-Geometria!$L$1405/100)/(Geometria!$N$1307/100))),MIN(1,MAX(0,((Geometria!$L$29/100-AV125)-Geometria!$R$1405/100)/(Geometria!$N$1307/100))))))*(IF(OR(Geometria!$K$1405&gt;0,Geometria!$K$1403&gt;0,Geometria!$Q$1405&gt;0,Geometria!$Q$1403&gt;0),1,0)))*BB125+Geometria!$P$1429*BB102</f>
        <v>193.1579859646002</v>
      </c>
      <c r="BG125" s="373">
        <f ca="1">(Geometria!$L$298-(Geometria!$L$298-IF(AV125&lt;Geometria!$L$1409/100,Geometria!$L$1442,Geometria!$L$1460))*(1-(MIN(MIN(1,MAX(0,(AV125-Geometria!$L$1409/100)/(Geometria!$N$1307/100))),MIN(1,MAX(0,((Geometria!$L$29/100-AV125)-Geometria!$R$1409/100)/(Geometria!$N$1307/100))))))*(IF(OR(Geometria!$K$1409&gt;0,Geometria!$K$1407&gt;0,Geometria!$Q$1409&gt;0,Geometria!$Q$1407&gt;0),1,0))-(Geometria!$L$298-IF(AV125&lt;Geometria!$L$1405/100,Geometria!$L$1444,Geometria!$L$1462))*(1-(MIN(MIN(1,MAX(0,(AV125-Geometria!$L$1405/100)/(Geometria!$N$1307/100))),MIN(1,MAX(0,((Geometria!$L$29/100-AV125)-Geometria!$R$1405/100)/(Geometria!$N$1307/100))))))*(IF(OR(Geometria!$K$1405&gt;0,Geometria!$K$1403&gt;0,Geometria!$Q$1405&gt;0,Geometria!$Q$1403&gt;0),1,0)))*BB125*(Geometria!$L$299-(Geometria!$L$299-IF(AV125&lt;Geometria!$L$1409/100,Geometria!$L$1443,Geometria!$L$1461))*(1-(MIN(MIN(1,MAX(0,(AV125-Geometria!$L$1409/100)/(Geometria!$N$1307/100))),MIN(1,MAX(0,((Geometria!$L$29/100-AV125)-Geometria!$R$1409/100)/(Geometria!$N$1307/100))))))*(IF(OR(Geometria!$K$1409&gt;0,Geometria!$K$1407&gt;0,Geometria!$Q$1409&gt;0,Geometria!$Q$1407&gt;0),1,0))-(Geometria!$L$299-IF(AV125&lt;Geometria!$L$1405/100,Geometria!$L$1445,Geometria!$L$1463))*(1-(MIN(MIN(1,MAX(0,(AV125-Geometria!$L$1405/100)/(Geometria!$N$1307/100))),MIN(1,MAX(0,((Geometria!$L$29/100-AV125)-Geometria!$R$1405/100)/(Geometria!$N$1307/100))))))*(IF(OR(Geometria!$K$1405&gt;0,Geometria!$K$1403&gt;0,Geometria!$Q$1405&gt;0,Geometria!$Q$1403&gt;0),1,0)))/100-Geometria!$P$1429*BB102*Geometria!$L$1438/100</f>
        <v>55.05002599991105</v>
      </c>
      <c r="BH125" s="365"/>
      <c r="BI125" s="371">
        <f ca="1">(IF(AW125="Sim",IF(AU125="Sim",$E$93,EX125),IF(AU125="Sim",EZ125,Geometria!$L$906)))</f>
        <v>749.9028001915608</v>
      </c>
      <c r="BJ125" s="371">
        <f ca="1">(IF(AW125="Sim",IF(AU125="Sim",$E$94,EY125),IF(AU125="Sim",FA125,Geometria!$L$907)))</f>
        <v>213.72229805459483</v>
      </c>
      <c r="BL125" s="4" t="s">
        <v>430</v>
      </c>
      <c r="BM125" s="200">
        <f t="shared" ref="BM125:BM143" ca="1" si="40">AZ125</f>
        <v>1622.3897589662633</v>
      </c>
      <c r="BN125" s="38" t="s">
        <v>234</v>
      </c>
      <c r="BO125" s="201">
        <f t="shared" ca="1" si="29"/>
        <v>1.6223897589662633</v>
      </c>
      <c r="BP125" s="38" t="s">
        <v>160</v>
      </c>
      <c r="BQ125" s="399">
        <f t="shared" ref="BQ125:BQ144" si="41">BQ124</f>
        <v>0.0</v>
      </c>
      <c r="BR125" s="376" t="str">
        <f>IF(OR(AND(BS125&lt;Geometria!$L$1405/100,Geometria!$K$1405&gt;0),AND((Geometria!$L$29/100-BS125)&lt;Geometria!$R$1405/100,Geometria!$Q$1405&gt;0)),"Sim","Não")</f>
        <v>Sim</v>
      </c>
      <c r="BS125" s="395">
        <f t="shared" si="30"/>
        <v>0.39249999999999996</v>
      </c>
      <c r="BT125" s="376" t="str">
        <f>IF(OR(AND(BS125&lt;Geometria!$L$1409/100,OR(Geometria!$K$1409&gt;0,Geometria!$K$1407&gt;0)),AND((Geometria!$L$29/100-BS125)&lt;Geometria!$R$1409/100,OR(Geometria!$Q$1409&gt;0,Geometria!$Q$1407&gt;0))),"Sim","Não")</f>
        <v>Não</v>
      </c>
      <c r="BU125" s="122" t="s">
        <v>430</v>
      </c>
      <c r="BV125" s="198" t="str">
        <f ca="1">IF(Geometria!$L$437&lt;Geometria!$N$1308/100,"Reduzir","OK")</f>
        <v>Reduzir</v>
      </c>
      <c r="BW125" s="401">
        <f t="shared" ca="1" si="31"/>
        <v>1622.3897589662633</v>
      </c>
      <c r="BX125" s="402">
        <f ca="1">-(CC125/(Geometria!$L$48/100^2))-(CD125/(Geometria!$L$53/100^3))+((Geometria!$L$416)/(Geometria!$L$53/100^3))+((Geometria!$L$427)/(Geometria!$M$53/100^3))+((Geometria!$L$76*Geometria!$L$438)/(Geometria!$M$53/100^3))</f>
        <v>1622.3897589662633</v>
      </c>
      <c r="BY125" s="413">
        <f ca="1">(Geometria!$N$368*MIN(1,(Geometria!$L$897*100)/Geometria!$N$1308))</f>
        <v>34.492497493678606</v>
      </c>
      <c r="BZ125" s="751">
        <f ca="1">-((Geometria!$L$373-(Geometria!$L$373-ER125)*(1-(MIN(MIN(1,MAX(0,(BS125-Geometria!$L$1409/100)/(Geometria!$N$1307/100))),MIN(1,MAX(0,((Geometria!$L$29/100-BS125)-Geometria!$R$1409/100)/(Geometria!$N$1307/100))))))*(IF(OR(Geometria!$K$1409&gt;0,Geometria!$K$1407&gt;0,Geometria!$Q$1409&gt;0,Geometria!$Q$1407&gt;0),1,0))-(Geometria!$L$373-ET125)*(1-(MIN(MIN(1,MAX(0,(BS125-Geometria!$L$1405/100)/(Geometria!$N$1307/100))),MIN(1,MAX(0,((Geometria!$L$29/100-BS125)-Geometria!$R$1405/100)/(Geometria!$N$1307/100))))))*(IF(OR(Geometria!$K$1405&gt;0,Geometria!$K$1403&gt;0,Geometria!$Q$1405&gt;0,Geometria!$Q$1403&gt;0),1,0))))/(Geometria!$L$48/100^2)-((Geometria!$L$374-(Geometria!$L$374-ES125)*(1-(MIN(MIN(1,MAX(0,(BS125-Geometria!$L$1409/100)/(Geometria!$N$1307/100))),MIN(1,MAX(0,((Geometria!$L$29/100-BS125)-Geometria!$R$1409/100)/(Geometria!$N$1307/100))))))*(IF(OR(Geometria!$K$1409&gt;0,Geometria!$K$1407&gt;0,Geometria!$Q$1409&gt;0,Geometria!$Q$1407&gt;0),1,0))-(Geometria!$L$374-EU125)*(1-(MIN(MIN(1,MAX(0,(BS125-Geometria!$L$1405/100)/(Geometria!$N$1307/100))),MIN(1,MAX(0,((Geometria!$L$29/100-BS125)-Geometria!$R$1405/100)/(Geometria!$N$1307/100))))))*(IF(OR(Geometria!$K$1405&gt;0,Geometria!$K$1403&gt;0,Geometria!$Q$1405&gt;0,Geometria!$Q$1403&gt;0),1,0))))/(Geometria!$L$53/100^3)+((Geometria!$L$673)/(Geometria!$L$53/100^3))+((Geometria!$L$684)/(Geometria!$M$53/100^3))+((Geometria!$L$77*Geometria!$L$695)/(Geometria!$M$53/100^3))</f>
        <v>-8389.67888838852</v>
      </c>
      <c r="CA125" s="751"/>
      <c r="CC125" s="373">
        <f ca="1">(Geometria!$L$298-(Geometria!$L$298-IF(BS125&lt;Geometria!$L$1409/100,Geometria!$L$1442,Geometria!$L$1460))*(1-(MIN(MIN(1,MAX(0,(BS125-Geometria!$L$1409/100)/(Geometria!$N$1307/100))),MIN(1,MAX(0,((Geometria!$L$29/100-BS125)-Geometria!$R$1409/100)/(Geometria!$N$1307/100))))))*(IF(OR(Geometria!$K$1409&gt;0,Geometria!$K$1407&gt;0,Geometria!$Q$1409&gt;0,Geometria!$Q$1407&gt;0),1,0))-(Geometria!$L$298-IF(BS125&lt;Geometria!$L$1405/100,Geometria!$L$1444,Geometria!$L$1462))*(1-(MIN(MIN(1,MAX(0,(BS125-Geometria!$L$1405/100)/(Geometria!$N$1307/100))),MIN(1,MAX(0,((Geometria!$L$29/100-BS125)-Geometria!$R$1405/100)/(Geometria!$N$1307/100))))))*(IF(OR(Geometria!$K$1405&gt;0,Geometria!$K$1403&gt;0,Geometria!$Q$1405&gt;0,Geometria!$Q$1403&gt;0),1,0)))*BY125+Geometria!$P$1429*BY102</f>
        <v>193.1579859646002</v>
      </c>
      <c r="CD125" s="373">
        <f ca="1">(Geometria!$L$298-(Geometria!$L$298-IF(BS125&lt;Geometria!$L$1409/100,Geometria!$L$1442,Geometria!$L$1460))*(1-(MIN(MIN(1,MAX(0,(BS125-Geometria!$L$1409/100)/(Geometria!$N$1307/100))),MIN(1,MAX(0,((Geometria!$L$29/100-BS125)-Geometria!$R$1409/100)/(Geometria!$N$1307/100))))))*(IF(OR(Geometria!$K$1409&gt;0,Geometria!$K$1407&gt;0,Geometria!$Q$1409&gt;0,Geometria!$Q$1407&gt;0),1,0))-(Geometria!$L$298-IF(BS125&lt;Geometria!$L$1405/100,Geometria!$L$1444,Geometria!$L$1462))*(1-(MIN(MIN(1,MAX(0,(BS125-Geometria!$L$1405/100)/(Geometria!$N$1307/100))),MIN(1,MAX(0,((Geometria!$L$29/100-BS125)-Geometria!$R$1405/100)/(Geometria!$N$1307/100))))))*(IF(OR(Geometria!$K$1405&gt;0,Geometria!$K$1403&gt;0,Geometria!$Q$1405&gt;0,Geometria!$Q$1403&gt;0),1,0)))*BY125*(Geometria!$L$299-(Geometria!$L$299-IF(BS125&lt;Geometria!$L$1409/100,Geometria!$L$1443,Geometria!$L$1461))*(1-(MIN(MIN(1,MAX(0,(BS125-Geometria!$L$1409/100)/(Geometria!$N$1307/100))),MIN(1,MAX(0,((Geometria!$L$29/100-BS125)-Geometria!$R$1409/100)/(Geometria!$N$1307/100))))))*(IF(OR(Geometria!$K$1409&gt;0,Geometria!$K$1407&gt;0,Geometria!$Q$1409&gt;0,Geometria!$Q$1407&gt;0),1,0))-(Geometria!$L$299-IF(BS125&lt;Geometria!$L$1405/100,Geometria!$L$1445,Geometria!$L$1463))*(1-(MIN(MIN(1,MAX(0,(BS125-Geometria!$L$1405/100)/(Geometria!$N$1307/100))),MIN(1,MAX(0,((Geometria!$L$29/100-BS125)-Geometria!$R$1405/100)/(Geometria!$N$1307/100))))))*(IF(OR(Geometria!$K$1405&gt;0,Geometria!$K$1403&gt;0,Geometria!$Q$1405&gt;0,Geometria!$Q$1403&gt;0),1,0)))/100-Geometria!$P$1429*BY102*Geometria!$L$1438/100</f>
        <v>55.05002599991105</v>
      </c>
      <c r="CE125" s="365"/>
      <c r="CF125" s="371">
        <f ca="1">(IF(BT125="Sim",IF(BR125="Sim",$E$93,EX125),IF(BR125="Sim",EZ125,Geometria!$L$906)))</f>
        <v>749.9028001915608</v>
      </c>
      <c r="CG125" s="371">
        <f ca="1">(IF(BT125="Sim",IF(BR125="Sim",$E$94,EY125),IF(BR125="Sim",FA125,Geometria!$L$907)))</f>
        <v>213.72229805459483</v>
      </c>
      <c r="CI125" s="4" t="s">
        <v>430</v>
      </c>
      <c r="CJ125" s="200">
        <f t="shared" ref="CJ125:CJ143" ca="1" si="42">BW125</f>
        <v>1622.3897589662633</v>
      </c>
      <c r="CK125" s="38" t="s">
        <v>234</v>
      </c>
      <c r="CL125" s="201">
        <f t="shared" ca="1" si="32"/>
        <v>1.6223897589662633</v>
      </c>
      <c r="CM125" s="38" t="s">
        <v>160</v>
      </c>
      <c r="CN125" s="399">
        <f t="shared" ref="CN125:CN144" si="43">CN124</f>
        <v>0.0</v>
      </c>
      <c r="CO125" s="376" t="str">
        <f>IF(OR(AND(CP125&lt;Geometria!$L$1405/100,Geometria!$K$1405&gt;0),AND((Geometria!$L$29/100-CP125)&lt;Geometria!$R$1405/100,Geometria!$Q$1405&gt;0)),"Sim","Não")</f>
        <v>Sim</v>
      </c>
      <c r="CP125" s="395">
        <f t="shared" si="33"/>
        <v>0.39249999999999996</v>
      </c>
      <c r="CQ125" s="376" t="str">
        <f>IF(OR(AND(CP125&lt;Geometria!$L$1409/100,OR(Geometria!$K$1409&gt;0,Geometria!$K$1407&gt;0)),AND((Geometria!$L$29/100-CP125)&lt;Geometria!$R$1409/100,OR(Geometria!$Q$1409&gt;0,Geometria!$Q$1407&gt;0))),"Sim","Não")</f>
        <v>Não</v>
      </c>
      <c r="CR125" s="122" t="s">
        <v>430</v>
      </c>
      <c r="CS125" s="198" t="str">
        <f ca="1">IF(Geometria!$L$437&lt;Geometria!$N$1308/100,"Reduzir","OK")</f>
        <v>Reduzir</v>
      </c>
      <c r="CT125" s="401">
        <f t="shared" ca="1" si="34"/>
        <v>1622.3897589662633</v>
      </c>
      <c r="CU125" s="402">
        <f ca="1">-(CZ125/(Geometria!$L$48/100^2))-(DA125/(Geometria!$L$53/100^3))+((Geometria!$L$416)/(Geometria!$L$53/100^3))+((Geometria!$L$427)/(Geometria!$M$53/100^3))+((Geometria!$L$76*Geometria!$L$438)/(Geometria!$M$53/100^3))</f>
        <v>1622.3897589662633</v>
      </c>
      <c r="CV125" s="413">
        <f ca="1">(Geometria!$N$368*MIN(1,(Geometria!$L$897*100)/Geometria!$N$1308))</f>
        <v>34.492497493678606</v>
      </c>
      <c r="CW125" s="751">
        <f ca="1">-((Geometria!$L$373-(Geometria!$L$373-ER125)*(1-(MIN(MIN(1,MAX(0,(CP125-Geometria!$L$1409/100)/(Geometria!$N$1307/100))),MIN(1,MAX(0,((Geometria!$L$29/100-CP125)-Geometria!$R$1409/100)/(Geometria!$N$1307/100))))))*(IF(OR(Geometria!$K$1409&gt;0,Geometria!$K$1407&gt;0,Geometria!$Q$1409&gt;0,Geometria!$Q$1407&gt;0),1,0))-(Geometria!$L$373-ET125)*(1-(MIN(MIN(1,MAX(0,(CP125-Geometria!$L$1405/100)/(Geometria!$N$1307/100))),MIN(1,MAX(0,((Geometria!$L$29/100-CP125)-Geometria!$R$1405/100)/(Geometria!$N$1307/100))))))*(IF(OR(Geometria!$K$1405&gt;0,Geometria!$K$1403&gt;0,Geometria!$Q$1405&gt;0,Geometria!$Q$1403&gt;0),1,0))))/(Geometria!$L$48/100^2)-((Geometria!$L$374-(Geometria!$L$374-ES125)*(1-(MIN(MIN(1,MAX(0,(CP125-Geometria!$L$1409/100)/(Geometria!$N$1307/100))),MIN(1,MAX(0,((Geometria!$L$29/100-CP125)-Geometria!$R$1409/100)/(Geometria!$N$1307/100))))))*(IF(OR(Geometria!$K$1409&gt;0,Geometria!$K$1407&gt;0,Geometria!$Q$1409&gt;0,Geometria!$Q$1407&gt;0),1,0))-(Geometria!$L$374-EU125)*(1-(MIN(MIN(1,MAX(0,(CP125-Geometria!$L$1405/100)/(Geometria!$N$1307/100))),MIN(1,MAX(0,((Geometria!$L$29/100-CP125)-Geometria!$R$1405/100)/(Geometria!$N$1307/100))))))*(IF(OR(Geometria!$K$1405&gt;0,Geometria!$K$1403&gt;0,Geometria!$Q$1405&gt;0,Geometria!$Q$1403&gt;0),1,0))))/(Geometria!$L$53/100^3)+((Geometria!$L$673)/(Geometria!$L$53/100^3))+((Geometria!$L$684)/(Geometria!$M$53/100^3))</f>
        <v>-10078.32698326259</v>
      </c>
      <c r="CX125" s="751"/>
      <c r="CZ125" s="373">
        <f ca="1">(IF(CQ125="Sim",IF(CO125="Sim",IF(CP125&lt;Geometria!$L$1405/100,Geometria!$L$1435,Geometria!$L$1476),IF(CP125&lt;Geometria!$L$1409/100,Geometria!$L$1442,Geometria!$L$1460)),IF(CO125="Sim",IF(CP125&lt;Geometria!$L$1405/100,Geometria!$L$1444,Geometria!$L$1462),Geometria!$L$298)))*CV125+Geometria!$P$1429*CV102</f>
        <v>193.1579859646002</v>
      </c>
      <c r="DA125" s="373">
        <f ca="1">(IF(CQ125="Sim",IF(CO125="Sim",IF(CP125&lt;Geometria!$L$1405/100,Geometria!$L$1435,Geometria!$L$1476),IF(CP125&lt;Geometria!$L$1409/100,Geometria!$L$1442,Geometria!$L$1460)),IF(CO125="Sim",IF(CP125&lt;Geometria!$L$1405/100,Geometria!$L$1444,Geometria!$L$1462),Geometria!$L$298)))*CV125*(IF(CQ125="Sim",IF(CO125="Sim",IF(CP125&lt;Geometria!$L$1405/100,Geometria!$L$1436,Geometria!$L$1484),IF(CP125&lt;Geometria!$L$1409/100,Geometria!$L$1443,Geometria!$L$1461)),IF(CO125="Sim",IF(CP125&lt;Geometria!$L$1405/100,Geometria!$L$1445,Geometria!$L$1463),Geometria!$L$299)))/100-Geometria!$P$1429*CV102*Geometria!$L$1438/100</f>
        <v>55.05002599991105</v>
      </c>
      <c r="DB125" s="365"/>
      <c r="DC125" s="371">
        <f ca="1">(IF(CQ125="Sim",IF(CO125="Sim",$E$93,EX125),IF(CO125="Sim",EZ125,Geometria!$L$906)))</f>
        <v>749.9028001915608</v>
      </c>
      <c r="DD125" s="371">
        <f ca="1">(IF(CQ125="Sim",IF(CO125="Sim",$E$94,EY125),IF(CO125="Sim",FA125,Geometria!$L$907)))</f>
        <v>213.72229805459483</v>
      </c>
      <c r="DF125" s="4" t="s">
        <v>430</v>
      </c>
      <c r="DG125" s="200">
        <f t="shared" ref="DG125:DG143" ca="1" si="44">CT125</f>
        <v>1622.3897589662633</v>
      </c>
      <c r="DH125" s="38" t="s">
        <v>234</v>
      </c>
      <c r="DI125" s="201">
        <f t="shared" ca="1" si="35"/>
        <v>1.6223897589662633</v>
      </c>
      <c r="DJ125" s="38" t="s">
        <v>160</v>
      </c>
      <c r="DK125" s="399">
        <f t="shared" ref="DK125:DK144" si="45">DK124</f>
        <v>0.0</v>
      </c>
      <c r="EA125">
        <f ca="1">-L125/('Aberturas na Alma'!$M$112/100^2)-M125/('Aberturas na Alma'!$M$120/100^3)+Geometria!$L$898/('Aberturas na Alma'!$M$120/100^3)</f>
        <v>-4886.122322067621</v>
      </c>
      <c r="EB125">
        <f ca="1">-(IF(C125="Sim",IF(A125="Sim",$E$93,EX125),IF(A125="Sim",EZ125,Geometria!$L$906)))/('Aberturas na Alma'!$M$112/100^2)-(IF(C125="Sim",IF(A125="Sim",$E$94,EY125),IF(A125="Sim",FA125,Geometria!$L$907)))/('Aberturas na Alma'!$M$120/100^3)+Geometria!$L$898/('Aberturas na Alma'!$M$120/100^3)</f>
        <v>-16970.20104531969</v>
      </c>
      <c r="EC125">
        <f ca="1">IF(AND('Aberturas na Alma'!$M$18="NÃO DISPENSADO — furo deve ser verificado (cálculo abaixo)",OR(AND(B125&gt;=('Aberturas na Alma'!$M$4-'Aberturas na Alma'!$M$7/2)/100,B125&lt;=('Aberturas na Alma'!$M$4+'Aberturas na Alma'!$M$7/2)/100),ABS(B125-'Aberturas na Alma'!$M$4/100)&lt;=Geometria!$L$29/4000)),IF(E125="Reduzir",EA125,EB125),F125)</f>
        <v>-4468.751763099462</v>
      </c>
      <c r="ED125">
        <f ca="1">-(AI125/('Aberturas na Alma'!$M$112/100^2))-(AJ125/('Aberturas na Alma'!$M$120/100^3))+((Geometria!$L$416)/('Aberturas na Alma'!$M$120/100^3))+((Geometria!$L$427)/('Aberturas na Alma'!$M$120/100^3))+((Geometria!$L$76*Geometria!$L$438)/('Aberturas na Alma'!$M$120/100^3))</f>
        <v>6140.300763367781</v>
      </c>
      <c r="EE125">
        <f ca="1">-((IF(Z125="Sim",IF(X125="Sim",$AB$93,ER125),IF(X125="Sim",ET125,Geometria!$L$373)))/('Aberturas na Alma'!$M$112/100^2))-((IF(Z125="Sim",IF(X125="Sim",$AB$94,ES125),IF(X125="Sim",EU125,Geometria!$L$374)))/('Aberturas na Alma'!$M$120/100^3))+((Geometria!$L$416)/('Aberturas na Alma'!$M$120/100^3))+((Geometria!$L$427)/('Aberturas na Alma'!$M$120/100^3))+((Geometria!$L$76*Geometria!$L$438)/('Aberturas na Alma'!$M$120/100^3))</f>
        <v>-3806.2788882825434</v>
      </c>
      <c r="EF125" s="371">
        <f ca="1">IF(AND('Aberturas na Alma'!$M$18="NÃO DISPENSADO — furo deve ser verificado (cálculo abaixo)",OR(AND(B125&gt;=('Aberturas na Alma'!$M$4-'Aberturas na Alma'!$M$7/2)/100,B125&lt;=('Aberturas na Alma'!$M$4+'Aberturas na Alma'!$M$7/2)/100),ABS(B125-'Aberturas na Alma'!$M$4/100)&lt;=Geometria!$L$29/4000)),IF(AB125="Reduzir",ED125,EE125),AC125)</f>
        <v>1622.3897589662633</v>
      </c>
      <c r="EG125">
        <f ca="1">-(BF125/('Aberturas na Alma'!$M$112/100^2))-(BG125/('Aberturas na Alma'!$M$120/100^3))+((Geometria!$L$416)/('Aberturas na Alma'!$M$120/100^3))+((Geometria!$L$427)/('Aberturas na Alma'!$M$120/100^3))+((Geometria!$L$76*Geometria!$L$438)/('Aberturas na Alma'!$M$120/100^3))</f>
        <v>6140.300763367781</v>
      </c>
      <c r="EH125">
        <f ca="1">-((IF(AW125="Sim",IF(AU125="Sim",$AB$93,ER125),IF(AU125="Sim",ET125,Geometria!$L$373)))/('Aberturas na Alma'!$M$112/100^2))-((IF(AW125="Sim",IF(AU125="Sim",$AB$94,ES125),IF(AU125="Sim",EU125,Geometria!$L$374)))/('Aberturas na Alma'!$M$120/100^3))+((Geometria!$L$416)/('Aberturas na Alma'!$M$120/100^3))+((Geometria!$L$427)/('Aberturas na Alma'!$M$120/100^3))</f>
        <v>-10910.123250246024</v>
      </c>
      <c r="EI125" s="371">
        <f ca="1">IF(AND('Aberturas na Alma'!$M$18="NÃO DISPENSADO — furo deve ser verificado (cálculo abaixo)",OR(AND(B125&gt;=('Aberturas na Alma'!$M$4-'Aberturas na Alma'!$M$7/2)/100,B125&lt;=('Aberturas na Alma'!$M$4+'Aberturas na Alma'!$M$7/2)/100),ABS(B125-'Aberturas na Alma'!$M$4/100)&lt;=Geometria!$L$29/4000)),IF(AY125="Reduzir",EG125,EH125),AZ125)</f>
        <v>1622.3897589662633</v>
      </c>
      <c r="EJ125">
        <f ca="1">-(CC125/('Aberturas na Alma'!$M$112/100^2))-(CD125/('Aberturas na Alma'!$M$120/100^3))+((Geometria!$L$416)/('Aberturas na Alma'!$M$120/100^3))+((Geometria!$L$427)/('Aberturas na Alma'!$M$120/100^3))+((Geometria!$L$76*Geometria!$L$438)/('Aberturas na Alma'!$M$120/100^3))</f>
        <v>6140.300763367781</v>
      </c>
      <c r="EK125">
        <f ca="1">-((IF(BT125="Sim",IF(BR125="Sim",$AB$93,ER125),IF(BR125="Sim",ET125,Geometria!$L$373)))/('Aberturas na Alma'!$M$112/100^2))-((IF(BT125="Sim",IF(BR125="Sim",$AB$94,ES125),IF(BR125="Sim",EU125,Geometria!$L$374)))/('Aberturas na Alma'!$M$120/100^3))+((Geometria!$L$673)/('Aberturas na Alma'!$M$120/100^3))+((Geometria!$L$684)/('Aberturas na Alma'!$M$120/100^3))+((Geometria!$L$77*Geometria!$L$695)/('Aberturas na Alma'!$M$120/100^3))</f>
        <v>-6174.227008937036</v>
      </c>
      <c r="EL125" s="371">
        <f ca="1">IF(AND('Aberturas na Alma'!$M$18="NÃO DISPENSADO — furo deve ser verificado (cálculo abaixo)",OR(AND(B125&gt;=('Aberturas na Alma'!$M$4-'Aberturas na Alma'!$M$7/2)/100,B125&lt;=('Aberturas na Alma'!$M$4+'Aberturas na Alma'!$M$7/2)/100),ABS(B125-'Aberturas na Alma'!$M$4/100)&lt;=Geometria!$L$29/4000)),IF(BV125="Reduzir",EJ125,EK125),BW125)</f>
        <v>1622.3897589662633</v>
      </c>
      <c r="EM125">
        <f ca="1">-(CZ125/('Aberturas na Alma'!$M$112/100^2))-(DA125/('Aberturas na Alma'!$M$120/100^3))+((Geometria!$L$416)/('Aberturas na Alma'!$M$120/100^3))+((Geometria!$L$427)/('Aberturas na Alma'!$M$120/100^3))+((Geometria!$L$76*Geometria!$L$438)/('Aberturas na Alma'!$M$120/100^3))</f>
        <v>6140.300763367781</v>
      </c>
      <c r="EN125">
        <f ca="1">-((IF(CQ125="Sim",IF(CO125="Sim",$AB$93,ER125),IF(CO125="Sim",ET125,Geometria!$L$373)))/('Aberturas na Alma'!$M$112/100^2))-((IF(CQ125="Sim",IF(CO125="Sim",$AB$94,ES125),IF(CO125="Sim",EU125,Geometria!$L$374)))/('Aberturas na Alma'!$M$120/100^3))+((Geometria!$L$673)/('Aberturas na Alma'!$M$120/100^3))+((Geometria!$L$684)/('Aberturas na Alma'!$M$120/100^3))</f>
        <v>-10910.123250246024</v>
      </c>
      <c r="EO125" s="371">
        <f ca="1">IF(AND('Aberturas na Alma'!$M$18="NÃO DISPENSADO — furo deve ser verificado (cálculo abaixo)",OR(AND(B125&gt;=('Aberturas na Alma'!$M$4-'Aberturas na Alma'!$M$7/2)/100,B125&lt;=('Aberturas na Alma'!$M$4+'Aberturas na Alma'!$M$7/2)/100),ABS(B125-'Aberturas na Alma'!$M$4/100)&lt;=Geometria!$L$29/4000)),IF(CS125="Reduzir",EM125,EN125),CT125)</f>
        <v>1622.3897589662633</v>
      </c>
      <c r="EP125" t="str">
        <f>IF(AND(Y125&lt;Geometria!$L$1409/100,OR(Geometria!$K$1409&gt;0,Geometria!$K$1407&gt;0)),"ESQ",IF(AND((Geometria!$L$29/100-Y125)&lt;Geometria!$R$1409/100,OR(Geometria!$Q$1409&gt;0,Geometria!$Q$1407&gt;0)),"DIR","N/A"))</f>
        <v>N/A</v>
      </c>
      <c r="EQ125" t="str">
        <f>IF(AND(Y125&lt;Geometria!$L$1405/100,Geometria!$K$1405&gt;0),"ESQ",IF(AND((Geometria!$L$29/100-Y125)&lt;Geometria!$R$1405/100,Geometria!$Q$1405&gt;0),"DIR","N/A"))</f>
        <v>ESQ</v>
      </c>
      <c r="ER125">
        <f ca="1">IF(EP125="DIR",Geometria!$L$1470,Geometria!$L$1452)</f>
        <v>1243.5596228306003</v>
      </c>
      <c r="ES125">
        <f ca="1">IF(EP125="DIR",Geometria!$L$1471,Geometria!$L$1453)</f>
        <v>233.16742928073757</v>
      </c>
      <c r="ET125">
        <f ca="1">IF(EQ125="DIR",Geometria!$L$1472,Geometria!$L$1454)</f>
        <v>621.7798114153002</v>
      </c>
      <c r="EU125">
        <f ca="1">IF(EQ125="DIR",Geometria!$L$1473,Geometria!$L$1455)</f>
        <v>177.20724625336052</v>
      </c>
      <c r="EV125" t="str">
        <f>IF(AND(B125&lt;Geometria!$L$1409/100,OR(Geometria!$K$1409&gt;0,Geometria!$K$1407&gt;0)),"ESQ",IF(AND((Geometria!$L$29/100-B125)&lt;Geometria!$R$1409/100,OR(Geometria!$Q$1409&gt;0,Geometria!$Q$1407&gt;0)),"DIR","N/A"))</f>
        <v>N/A</v>
      </c>
      <c r="EW125" t="str">
        <f>IF(AND(B125&lt;Geometria!$L$1405/100,Geometria!$K$1405&gt;0),"ESQ",IF(AND((Geometria!$L$29/100-B125)&lt;Geometria!$R$1405/100,Geometria!$Q$1405&gt;0),"DIR","N/A"))</f>
        <v>ESQ</v>
      </c>
      <c r="EX125">
        <f ca="1">IF(EV125="DIR",Geometria!$L$1465,Geometria!$L$1447)</f>
        <v>1499.8056003831216</v>
      </c>
      <c r="EY125">
        <f ca="1">IF(EV125="DIR",Geometria!$L$1466,Geometria!$L$1448)</f>
        <v>281.2135500718353</v>
      </c>
      <c r="EZ125">
        <f ca="1">IF(EW125="DIR",Geometria!$L$1467,Geometria!$L$1449)</f>
        <v>749.9028001915608</v>
      </c>
      <c r="FA125">
        <f ca="1">IF(EW125="DIR",Geometria!$L$1468,Geometria!$L$1450)</f>
        <v>213.72229805459483</v>
      </c>
    </row>
    <row r="126" spans="1:157" x14ac:dyDescent="0.25">
      <c r="A126" s="376" t="str">
        <f>IF(OR(AND(B126&lt;Geometria!$L$1405/100,Geometria!$K$1405&gt;0),AND((Geometria!$L$29/100-B126)&lt;Geometria!$R$1405/100,Geometria!$Q$1405&gt;0)),"Sim","Não")</f>
        <v>Sim</v>
      </c>
      <c r="B126" s="395">
        <f t="shared" si="21"/>
        <v>0.7849999999999999</v>
      </c>
      <c r="C126" s="376" t="str">
        <f>IF(OR(AND(B126&lt;Geometria!$L$1409/100,OR(Geometria!$K$1409&gt;0,Geometria!$K$1407&gt;0)),AND((Geometria!$L$29/100-B126)&lt;Geometria!$R$1409/100,OR(Geometria!$Q$1409&gt;0,Geometria!$Q$1407&gt;0))),"Sim","Não")</f>
        <v>Não</v>
      </c>
      <c r="D126" s="122" t="s">
        <v>431</v>
      </c>
      <c r="E126" s="198" t="str">
        <f ca="1">IF(Geometria!$M$437&lt;Geometria!$N$1308/100,"Reduzir","OK")</f>
        <v>Reduzir</v>
      </c>
      <c r="F126" s="396">
        <f t="shared" ca="1" si="22"/>
        <v>-9370.46577880309</v>
      </c>
      <c r="G126" s="397">
        <f ca="1">-L126/(Geometria!$L$48/100^2)-M126/(Geometria!$L$53/100^3)+Geometria!$L$898/(Geometria!$L$53/100^3)</f>
        <v>-9370.46577880309</v>
      </c>
      <c r="H126" s="400">
        <f ca="1">(((IF(C126="Sim",$N$47,Geometria!$L$324))*(Geometria!$M$897*100))/Geometria!$N$1308)</f>
        <v>81.84680174644278</v>
      </c>
      <c r="I126" s="743">
        <f ca="1">-(Geometria!$L$906-(Geometria!$L$906-EX126)*(1-(MIN(MIN(1,MAX(0,(B126-Geometria!$L$1409/100)/(Geometria!$N$1307/100))),MIN(1,MAX(0,((Geometria!$L$29/100-B126)-Geometria!$R$1409/100)/(Geometria!$N$1307/100))))))*(IF(OR(Geometria!$K$1409&gt;0,Geometria!$K$1407&gt;0,Geometria!$Q$1409&gt;0,Geometria!$Q$1407&gt;0),1,0))-(Geometria!$L$906-EZ126)*(1-(MIN(MIN(1,MAX(0,(B126-Geometria!$L$1405/100)/(Geometria!$N$1307/100))),MIN(1,MAX(0,((Geometria!$L$29/100-B126)-Geometria!$R$1405/100)/(Geometria!$N$1307/100))))))*(IF(OR(Geometria!$K$1405&gt;0,Geometria!$K$1403&gt;0,Geometria!$Q$1405&gt;0,Geometria!$Q$1403&gt;0),1,0)))/(Geometria!$L$48/100^2)-(Geometria!$L$907-(Geometria!$L$907-EY126)*(1-(MIN(MIN(1,MAX(0,(B126-Geometria!$L$1409/100)/(Geometria!$N$1307/100))),MIN(1,MAX(0,((Geometria!$L$29/100-B126)-Geometria!$R$1409/100)/(Geometria!$N$1307/100))))))*(IF(OR(Geometria!$K$1409&gt;0,Geometria!$K$1407&gt;0,Geometria!$Q$1409&gt;0,Geometria!$Q$1407&gt;0),1,0))-(Geometria!$L$907-FA126)*(1-(MIN(MIN(1,MAX(0,(B126-Geometria!$L$1405/100)/(Geometria!$N$1307/100))),MIN(1,MAX(0,((Geometria!$L$29/100-B126)-Geometria!$R$1405/100)/(Geometria!$N$1307/100))))))*(IF(OR(Geometria!$K$1405&gt;0,Geometria!$K$1403&gt;0,Geometria!$Q$1405&gt;0,Geometria!$Q$1403&gt;0),1,0)))/(Geometria!$L$53/100^3)+Geometria!$M$898/(Geometria!$L$53/100^3)</f>
        <v>-15219.23813951394</v>
      </c>
      <c r="J126" s="743"/>
      <c r="L126" s="373">
        <f ca="1">(Geometria!$L$298-(Geometria!$L$298-IF(B126&lt;Geometria!$L$1409/100,Geometria!$L$1442,Geometria!$L$1460))*(1-(MIN(MIN(1,MAX(0,(B126-Geometria!$L$1409/100)/(Geometria!$N$1307/100))),MIN(1,MAX(0,((Geometria!$L$29/100-B126)-Geometria!$R$1409/100)/(Geometria!$N$1307/100))))))*(IF(OR(Geometria!$K$1409&gt;0,Geometria!$K$1407&gt;0,Geometria!$Q$1409&gt;0,Geometria!$Q$1407&gt;0),1,0))-(Geometria!$L$298-IF(B126&lt;Geometria!$L$1405/100,Geometria!$L$1444,Geometria!$L$1462))*(1-(MIN(MIN(1,MAX(0,(B126-Geometria!$L$1405/100)/(Geometria!$N$1307/100))),MIN(1,MAX(0,((Geometria!$L$29/100-B126)-Geometria!$R$1405/100)/(Geometria!$N$1307/100))))))*(IF(OR(Geometria!$K$1405&gt;0,Geometria!$K$1403&gt;0,Geometria!$Q$1405&gt;0,Geometria!$Q$1403&gt;0),1,0)))*H126+Geometria!$P$1429*H103</f>
        <v>458.3420897800795</v>
      </c>
      <c r="M126" s="373">
        <f ca="1">(Geometria!$L$298-(Geometria!$L$298-IF(B126&lt;Geometria!$L$1409/100,Geometria!$L$1442,Geometria!$L$1460))*(1-(MIN(MIN(1,MAX(0,(B126-Geometria!$L$1409/100)/(Geometria!$N$1307/100))),MIN(1,MAX(0,((Geometria!$L$29/100-B126)-Geometria!$R$1409/100)/(Geometria!$N$1307/100))))))*(IF(OR(Geometria!$K$1409&gt;0,Geometria!$K$1407&gt;0,Geometria!$Q$1409&gt;0,Geometria!$Q$1407&gt;0),1,0))-(Geometria!$L$298-IF(B126&lt;Geometria!$L$1405/100,Geometria!$L$1444,Geometria!$L$1462))*(1-(MIN(MIN(1,MAX(0,(B126-Geometria!$L$1405/100)/(Geometria!$N$1307/100))),MIN(1,MAX(0,((Geometria!$L$29/100-B126)-Geometria!$R$1405/100)/(Geometria!$N$1307/100))))))*(IF(OR(Geometria!$K$1405&gt;0,Geometria!$K$1403&gt;0,Geometria!$Q$1405&gt;0,Geometria!$Q$1403&gt;0),1,0)))*H126*(Geometria!$L$299-(Geometria!$L$299-IF(B126&lt;Geometria!$L$1409/100,Geometria!$L$1443,Geometria!$L$1461))*(1-(MIN(MIN(1,MAX(0,(B126-Geometria!$L$1409/100)/(Geometria!$N$1307/100))),MIN(1,MAX(0,((Geometria!$L$29/100-B126)-Geometria!$R$1409/100)/(Geometria!$N$1307/100))))))*(IF(OR(Geometria!$K$1409&gt;0,Geometria!$K$1407&gt;0,Geometria!$Q$1409&gt;0,Geometria!$Q$1407&gt;0),1,0))-(Geometria!$L$299-IF(B126&lt;Geometria!$L$1405/100,Geometria!$L$1445,Geometria!$L$1463))*(1-(MIN(MIN(1,MAX(0,(B126-Geometria!$L$1405/100)/(Geometria!$N$1307/100))),MIN(1,MAX(0,((Geometria!$L$29/100-B126)-Geometria!$R$1405/100)/(Geometria!$N$1307/100))))))*(IF(OR(Geometria!$K$1405&gt;0,Geometria!$K$1403&gt;0,Geometria!$Q$1405&gt;0,Geometria!$Q$1403&gt;0),1,0)))/100-Geometria!$P$1429*H103*Geometria!$L$1438/100</f>
        <v>130.62749558732267</v>
      </c>
      <c r="N126" s="365"/>
      <c r="O126" s="371">
        <f ca="1">(IF(C126="Sim",IF(A126="Sim",$E$93,EX126),IF(A126="Sim",EZ126,Geometria!$L$906)))</f>
        <v>749.9028001915608</v>
      </c>
      <c r="P126" s="371">
        <f ca="1">(IF(C126="Sim",IF(A126="Sim",$E$94,EY126),IF(A126="Sim",FA126,Geometria!$L$907)))</f>
        <v>213.72229805459483</v>
      </c>
      <c r="R126" s="4" t="s">
        <v>431</v>
      </c>
      <c r="S126" s="202">
        <f t="shared" ca="1" si="36"/>
        <v>-9370.46577880309</v>
      </c>
      <c r="T126" s="38" t="s">
        <v>234</v>
      </c>
      <c r="U126" s="203">
        <f t="shared" ca="1" si="23"/>
        <v>-9.37046577880309</v>
      </c>
      <c r="V126" s="38" t="s">
        <v>160</v>
      </c>
      <c r="W126" s="399">
        <f t="shared" si="37"/>
        <v>0.0</v>
      </c>
      <c r="X126" s="376" t="str">
        <f>IF(OR(AND(Y126&lt;Geometria!$L$1405/100,Geometria!$K$1405&gt;0),AND((Geometria!$L$29/100-Y126)&lt;Geometria!$R$1405/100,Geometria!$Q$1405&gt;0)),"Sim","Não")</f>
        <v>Sim</v>
      </c>
      <c r="Y126" s="395">
        <f t="shared" si="24"/>
        <v>0.7849999999999999</v>
      </c>
      <c r="Z126" s="376" t="str">
        <f>IF(OR(AND(Y126&lt;Geometria!$L$1409/100,OR(Geometria!$K$1409&gt;0,Geometria!$K$1407&gt;0)),AND((Geometria!$L$29/100-Y126)&lt;Geometria!$R$1409/100,OR(Geometria!$Q$1409&gt;0,Geometria!$Q$1407&gt;0))),"Sim","Não")</f>
        <v>Não</v>
      </c>
      <c r="AA126" s="122" t="s">
        <v>431</v>
      </c>
      <c r="AB126" s="198" t="str">
        <f ca="1">IF(Geometria!$M$437&lt;Geometria!$N$1308/100,"Reduzir","OK")</f>
        <v>Reduzir</v>
      </c>
      <c r="AC126" s="401">
        <f t="shared" ca="1" si="25"/>
        <v>2639.1137854309845</v>
      </c>
      <c r="AD126" s="403">
        <f ca="1">-(AI126/(Geometria!$L$48/100^2))-(AJ126/(Geometria!$L$53/100^3))+((Geometria!$M$416)/(Geometria!$L$53/100^3))+((Geometria!$M$427)/(Geometria!$M$53/100^3))+((Geometria!$L$76*Geometria!$M$438)/(Geometria!$M$53/100^3))</f>
        <v>2639.1137854309845</v>
      </c>
      <c r="AE126" s="400">
        <f ca="1">(Geometria!$N$368*MIN(1,(Geometria!$M$897*100)/Geometria!$N$1308))</f>
        <v>68.98499498735721</v>
      </c>
      <c r="AF126" s="751">
        <f ca="1">-((Geometria!$L$373-(Geometria!$L$373-ER126)*(1-(MIN(MIN(1,MAX(0,(Y126-Geometria!$L$1409/100)/(Geometria!$N$1307/100))),MIN(1,MAX(0,((Geometria!$L$29/100-Y126)-Geometria!$R$1409/100)/(Geometria!$N$1307/100))))))*(IF(OR(Geometria!$K$1409&gt;0,Geometria!$K$1407&gt;0,Geometria!$Q$1409&gt;0,Geometria!$Q$1407&gt;0),1,0))-(Geometria!$L$373-ET126)*(1-(MIN(MIN(1,MAX(0,(Y126-Geometria!$L$1405/100)/(Geometria!$N$1307/100))),MIN(1,MAX(0,((Geometria!$L$29/100-Y126)-Geometria!$R$1405/100)/(Geometria!$N$1307/100))))))*(IF(OR(Geometria!$K$1405&gt;0,Geometria!$K$1403&gt;0,Geometria!$Q$1405&gt;0,Geometria!$Q$1403&gt;0),1,0))))/(Geometria!$L$48/100^2)-((Geometria!$L$374-(Geometria!$L$374-ES126)*(1-(MIN(MIN(1,MAX(0,(Y126-Geometria!$L$1409/100)/(Geometria!$N$1307/100))),MIN(1,MAX(0,((Geometria!$L$29/100-Y126)-Geometria!$R$1409/100)/(Geometria!$N$1307/100))))))*(IF(OR(Geometria!$K$1409&gt;0,Geometria!$K$1407&gt;0,Geometria!$Q$1409&gt;0,Geometria!$Q$1407&gt;0),1,0))-(Geometria!$L$374-EU126)*(1-(MIN(MIN(1,MAX(0,(Y126-Geometria!$L$1405/100)/(Geometria!$N$1307/100))),MIN(1,MAX(0,((Geometria!$L$29/100-Y126)-Geometria!$R$1405/100)/(Geometria!$N$1307/100))))))*(IF(OR(Geometria!$K$1405&gt;0,Geometria!$K$1403&gt;0,Geometria!$Q$1405&gt;0,Geometria!$Q$1403&gt;0),1,0))))/(Geometria!$L$53/100^3)+((Geometria!$M$416)/(Geometria!$L$53/100^3))+((Geometria!$M$427)/(Geometria!$M$53/100^3))+((Geometria!$L$76*Geometria!$M$438)/(Geometria!$M$53/100^3))</f>
        <v>-2397.1961146883723</v>
      </c>
      <c r="AG126" s="751"/>
      <c r="AI126" s="373">
        <f ca="1">(IF(Z126="Sim",IF(X126="Sim",IF(Y126&lt;Geometria!$L$1405/100,Geometria!$L$1435,Geometria!$L$1476),IF(Y126&lt;Geometria!$L$1409/100,Geometria!$L$1442,Geometria!$L$1460)),IF(X126="Sim",IF(Y126&lt;Geometria!$L$1405/100,Geometria!$L$1444,Geometria!$L$1462),Geometria!$L$298)))*AE126+Geometria!$P$1429*AE103</f>
        <v>386.3159719292004</v>
      </c>
      <c r="AJ126" s="373">
        <f ca="1">(IF(Z126="Sim",IF(X126="Sim",IF(Y126&lt;Geometria!$L$1405/100,Geometria!$L$1435,Geometria!$L$1476),IF(Y126&lt;Geometria!$L$1409/100,Geometria!$L$1442,Geometria!$L$1460)),IF(X126="Sim",IF(Y126&lt;Geometria!$L$1405/100,Geometria!$L$1444,Geometria!$L$1462),Geometria!$L$298)))*AE126*(IF(Z126="Sim",IF(X126="Sim",IF(Y126&lt;Geometria!$L$1405/100,Geometria!$L$1436,Geometria!$L$1484),IF(Y126&lt;Geometria!$L$1409/100,Geometria!$L$1443,Geometria!$L$1461)),IF(X126="Sim",IF(Y126&lt;Geometria!$L$1405/100,Geometria!$L$1445,Geometria!$L$1463),Geometria!$L$299)))/100-Geometria!$P$1429*AE103*Geometria!$L$1438/100</f>
        <v>110.1000519998221</v>
      </c>
      <c r="AK126" s="365"/>
      <c r="AL126" s="371">
        <f ca="1">(IF(Z126="Sim",IF(X126="Sim",$E$93,EX126),IF(X126="Sim",EZ126,Geometria!$L$906)))</f>
        <v>749.9028001915608</v>
      </c>
      <c r="AM126" s="371">
        <f ca="1">(IF(Z126="Sim",IF(X126="Sim",$E$94,EY126),IF(X126="Sim",FA126,Geometria!$L$907)))</f>
        <v>213.72229805459483</v>
      </c>
      <c r="AO126" s="4" t="s">
        <v>431</v>
      </c>
      <c r="AP126" s="202">
        <f t="shared" ca="1" si="38"/>
        <v>2639.1137854309845</v>
      </c>
      <c r="AQ126" s="38" t="s">
        <v>234</v>
      </c>
      <c r="AR126" s="203">
        <f t="shared" ca="1" si="26"/>
        <v>2.6391137854309847</v>
      </c>
      <c r="AS126" s="38" t="s">
        <v>160</v>
      </c>
      <c r="AT126" s="399">
        <f t="shared" si="39"/>
        <v>0.0</v>
      </c>
      <c r="AU126" s="376" t="str">
        <f>IF(OR(AND(AV126&lt;Geometria!$L$1405/100,Geometria!$K$1405&gt;0),AND((Geometria!$L$29/100-AV126)&lt;Geometria!$R$1405/100,Geometria!$Q$1405&gt;0)),"Sim","Não")</f>
        <v>Sim</v>
      </c>
      <c r="AV126" s="395">
        <f t="shared" si="27"/>
        <v>0.7849999999999999</v>
      </c>
      <c r="AW126" s="376" t="str">
        <f>IF(OR(AND(AV126&lt;Geometria!$L$1409/100,OR(Geometria!$K$1409&gt;0,Geometria!$K$1407&gt;0)),AND((Geometria!$L$29/100-AV126)&lt;Geometria!$R$1409/100,OR(Geometria!$Q$1409&gt;0,Geometria!$Q$1407&gt;0))),"Sim","Não")</f>
        <v>Não</v>
      </c>
      <c r="AX126" s="122" t="s">
        <v>431</v>
      </c>
      <c r="AY126" s="198" t="str">
        <f ca="1">IF(Geometria!$M$437&lt;Geometria!$N$1308/100,"Reduzir","OK")</f>
        <v>Reduzir</v>
      </c>
      <c r="AZ126" s="401">
        <f t="shared" ca="1" si="28"/>
        <v>2639.1137854309845</v>
      </c>
      <c r="BA126" s="403">
        <f ca="1">-(BF126/(Geometria!$L$48/100^2))-(BG126/(Geometria!$L$53/100^3))+((Geometria!$M$416)/(Geometria!$L$53/100^3))+((Geometria!$M$427)/(Geometria!$M$53/100^3))+((Geometria!$L$76*Geometria!$M$438)/(Geometria!$M$53/100^3))</f>
        <v>2639.1137854309845</v>
      </c>
      <c r="BB126" s="400">
        <f ca="1">(Geometria!$N$368*MIN(1,(Geometria!$M$897*100)/Geometria!$N$1308))</f>
        <v>68.98499498735721</v>
      </c>
      <c r="BC126" s="751">
        <f ca="1">-((Geometria!$L$373-(Geometria!$L$373-ER126)*(1-(MIN(MIN(1,MAX(0,(AV126-Geometria!$L$1409/100)/(Geometria!$N$1307/100))),MIN(1,MAX(0,((Geometria!$L$29/100-AV126)-Geometria!$R$1409/100)/(Geometria!$N$1307/100))))))*(IF(OR(Geometria!$K$1409&gt;0,Geometria!$K$1407&gt;0,Geometria!$Q$1409&gt;0,Geometria!$Q$1407&gt;0),1,0))-(Geometria!$L$373-ET126)*(1-(MIN(MIN(1,MAX(0,(AV126-Geometria!$L$1405/100)/(Geometria!$N$1307/100))),MIN(1,MAX(0,((Geometria!$L$29/100-AV126)-Geometria!$R$1405/100)/(Geometria!$N$1307/100))))))*(IF(OR(Geometria!$K$1405&gt;0,Geometria!$K$1403&gt;0,Geometria!$Q$1405&gt;0,Geometria!$Q$1403&gt;0),1,0))))/(Geometria!$L$48/100^2)-((Geometria!$L$374-(Geometria!$L$374-ES126)*(1-(MIN(MIN(1,MAX(0,(AV126-Geometria!$L$1409/100)/(Geometria!$N$1307/100))),MIN(1,MAX(0,((Geometria!$L$29/100-AV126)-Geometria!$R$1409/100)/(Geometria!$N$1307/100))))))*(IF(OR(Geometria!$K$1409&gt;0,Geometria!$K$1407&gt;0,Geometria!$Q$1409&gt;0,Geometria!$Q$1407&gt;0),1,0))-(Geometria!$L$374-EU126)*(1-(MIN(MIN(1,MAX(0,(AV126-Geometria!$L$1405/100)/(Geometria!$N$1307/100))),MIN(1,MAX(0,((Geometria!$L$29/100-AV126)-Geometria!$R$1405/100)/(Geometria!$N$1307/100))))))*(IF(OR(Geometria!$K$1405&gt;0,Geometria!$K$1403&gt;0,Geometria!$Q$1405&gt;0,Geometria!$Q$1403&gt;0),1,0))))/(Geometria!$L$53/100^3)+((Geometria!$M$416)/(Geometria!$L$53/100^3))+((Geometria!$M$427)/(Geometria!$M$53/100^3))</f>
        <v>-7196.511752751517</v>
      </c>
      <c r="BD126" s="751"/>
      <c r="BF126" s="373">
        <f ca="1">(Geometria!$L$298-(Geometria!$L$298-IF(AV126&lt;Geometria!$L$1409/100,Geometria!$L$1442,Geometria!$L$1460))*(1-(MIN(MIN(1,MAX(0,(AV126-Geometria!$L$1409/100)/(Geometria!$N$1307/100))),MIN(1,MAX(0,((Geometria!$L$29/100-AV126)-Geometria!$R$1409/100)/(Geometria!$N$1307/100))))))*(IF(OR(Geometria!$K$1409&gt;0,Geometria!$K$1407&gt;0,Geometria!$Q$1409&gt;0,Geometria!$Q$1407&gt;0),1,0))-(Geometria!$L$298-IF(AV126&lt;Geometria!$L$1405/100,Geometria!$L$1444,Geometria!$L$1462))*(1-(MIN(MIN(1,MAX(0,(AV126-Geometria!$L$1405/100)/(Geometria!$N$1307/100))),MIN(1,MAX(0,((Geometria!$L$29/100-AV126)-Geometria!$R$1405/100)/(Geometria!$N$1307/100))))))*(IF(OR(Geometria!$K$1405&gt;0,Geometria!$K$1403&gt;0,Geometria!$Q$1405&gt;0,Geometria!$Q$1403&gt;0),1,0)))*BB126+Geometria!$P$1429*BB103</f>
        <v>386.3159719292004</v>
      </c>
      <c r="BG126" s="373">
        <f ca="1">(Geometria!$L$298-(Geometria!$L$298-IF(AV126&lt;Geometria!$L$1409/100,Geometria!$L$1442,Geometria!$L$1460))*(1-(MIN(MIN(1,MAX(0,(AV126-Geometria!$L$1409/100)/(Geometria!$N$1307/100))),MIN(1,MAX(0,((Geometria!$L$29/100-AV126)-Geometria!$R$1409/100)/(Geometria!$N$1307/100))))))*(IF(OR(Geometria!$K$1409&gt;0,Geometria!$K$1407&gt;0,Geometria!$Q$1409&gt;0,Geometria!$Q$1407&gt;0),1,0))-(Geometria!$L$298-IF(AV126&lt;Geometria!$L$1405/100,Geometria!$L$1444,Geometria!$L$1462))*(1-(MIN(MIN(1,MAX(0,(AV126-Geometria!$L$1405/100)/(Geometria!$N$1307/100))),MIN(1,MAX(0,((Geometria!$L$29/100-AV126)-Geometria!$R$1405/100)/(Geometria!$N$1307/100))))))*(IF(OR(Geometria!$K$1405&gt;0,Geometria!$K$1403&gt;0,Geometria!$Q$1405&gt;0,Geometria!$Q$1403&gt;0),1,0)))*BB126*(Geometria!$L$299-(Geometria!$L$299-IF(AV126&lt;Geometria!$L$1409/100,Geometria!$L$1443,Geometria!$L$1461))*(1-(MIN(MIN(1,MAX(0,(AV126-Geometria!$L$1409/100)/(Geometria!$N$1307/100))),MIN(1,MAX(0,((Geometria!$L$29/100-AV126)-Geometria!$R$1409/100)/(Geometria!$N$1307/100))))))*(IF(OR(Geometria!$K$1409&gt;0,Geometria!$K$1407&gt;0,Geometria!$Q$1409&gt;0,Geometria!$Q$1407&gt;0),1,0))-(Geometria!$L$299-IF(AV126&lt;Geometria!$L$1405/100,Geometria!$L$1445,Geometria!$L$1463))*(1-(MIN(MIN(1,MAX(0,(AV126-Geometria!$L$1405/100)/(Geometria!$N$1307/100))),MIN(1,MAX(0,((Geometria!$L$29/100-AV126)-Geometria!$R$1405/100)/(Geometria!$N$1307/100))))))*(IF(OR(Geometria!$K$1405&gt;0,Geometria!$K$1403&gt;0,Geometria!$Q$1405&gt;0,Geometria!$Q$1403&gt;0),1,0)))/100-Geometria!$P$1429*BB103*Geometria!$L$1438/100</f>
        <v>110.1000519998221</v>
      </c>
      <c r="BH126" s="365"/>
      <c r="BI126" s="371">
        <f ca="1">(IF(AW126="Sim",IF(AU126="Sim",$E$93,EX126),IF(AU126="Sim",EZ126,Geometria!$L$906)))</f>
        <v>749.9028001915608</v>
      </c>
      <c r="BJ126" s="371">
        <f ca="1">(IF(AW126="Sim",IF(AU126="Sim",$E$94,EY126),IF(AU126="Sim",FA126,Geometria!$L$907)))</f>
        <v>213.72229805459483</v>
      </c>
      <c r="BL126" s="4" t="s">
        <v>431</v>
      </c>
      <c r="BM126" s="202">
        <f t="shared" ca="1" si="40"/>
        <v>2639.1137854309845</v>
      </c>
      <c r="BN126" s="38" t="s">
        <v>234</v>
      </c>
      <c r="BO126" s="203">
        <f t="shared" ca="1" si="29"/>
        <v>2.6391137854309847</v>
      </c>
      <c r="BP126" s="38" t="s">
        <v>160</v>
      </c>
      <c r="BQ126" s="399">
        <f t="shared" si="41"/>
        <v>0.0</v>
      </c>
      <c r="BR126" s="376" t="str">
        <f>IF(OR(AND(BS126&lt;Geometria!$L$1405/100,Geometria!$K$1405&gt;0),AND((Geometria!$L$29/100-BS126)&lt;Geometria!$R$1405/100,Geometria!$Q$1405&gt;0)),"Sim","Não")</f>
        <v>Sim</v>
      </c>
      <c r="BS126" s="395">
        <f t="shared" si="30"/>
        <v>0.7849999999999999</v>
      </c>
      <c r="BT126" s="376" t="str">
        <f>IF(OR(AND(BS126&lt;Geometria!$L$1409/100,OR(Geometria!$K$1409&gt;0,Geometria!$K$1407&gt;0)),AND((Geometria!$L$29/100-BS126)&lt;Geometria!$R$1409/100,OR(Geometria!$Q$1409&gt;0,Geometria!$Q$1407&gt;0))),"Sim","Não")</f>
        <v>Não</v>
      </c>
      <c r="BU126" s="122" t="s">
        <v>431</v>
      </c>
      <c r="BV126" s="198" t="str">
        <f ca="1">IF(Geometria!$M$437&lt;Geometria!$N$1308/100,"Reduzir","OK")</f>
        <v>Reduzir</v>
      </c>
      <c r="BW126" s="401">
        <f t="shared" ca="1" si="31"/>
        <v>2639.1137854309845</v>
      </c>
      <c r="BX126" s="403">
        <f ca="1">-(CC126/(Geometria!$L$48/100^2))-(CD126/(Geometria!$L$53/100^3))+((Geometria!$M$416)/(Geometria!$L$53/100^3))+((Geometria!$M$427)/(Geometria!$M$53/100^3))+((Geometria!$L$76*Geometria!$M$438)/(Geometria!$M$53/100^3))</f>
        <v>2639.1137854309845</v>
      </c>
      <c r="BY126" s="400">
        <f ca="1">(Geometria!$N$368*MIN(1,(Geometria!$M$897*100)/Geometria!$N$1308))</f>
        <v>68.98499498735721</v>
      </c>
      <c r="BZ126" s="751">
        <f ca="1">-((Geometria!$L$373-(Geometria!$L$373-ER126)*(1-(MIN(MIN(1,MAX(0,(BS126-Geometria!$L$1409/100)/(Geometria!$N$1307/100))),MIN(1,MAX(0,((Geometria!$L$29/100-BS126)-Geometria!$R$1409/100)/(Geometria!$N$1307/100))))))*(IF(OR(Geometria!$K$1409&gt;0,Geometria!$K$1407&gt;0,Geometria!$Q$1409&gt;0,Geometria!$Q$1407&gt;0),1,0))-(Geometria!$L$373-ET126)*(1-(MIN(MIN(1,MAX(0,(BS126-Geometria!$L$1405/100)/(Geometria!$N$1307/100))),MIN(1,MAX(0,((Geometria!$L$29/100-BS126)-Geometria!$R$1405/100)/(Geometria!$N$1307/100))))))*(IF(OR(Geometria!$K$1405&gt;0,Geometria!$K$1403&gt;0,Geometria!$Q$1405&gt;0,Geometria!$Q$1403&gt;0),1,0))))/(Geometria!$L$48/100^2)-((Geometria!$L$374-(Geometria!$L$374-ES126)*(1-(MIN(MIN(1,MAX(0,(BS126-Geometria!$L$1409/100)/(Geometria!$N$1307/100))),MIN(1,MAX(0,((Geometria!$L$29/100-BS126)-Geometria!$R$1409/100)/(Geometria!$N$1307/100))))))*(IF(OR(Geometria!$K$1409&gt;0,Geometria!$K$1407&gt;0,Geometria!$Q$1409&gt;0,Geometria!$Q$1407&gt;0),1,0))-(Geometria!$L$374-EU126)*(1-(MIN(MIN(1,MAX(0,(BS126-Geometria!$L$1405/100)/(Geometria!$N$1307/100))),MIN(1,MAX(0,((Geometria!$L$29/100-BS126)-Geometria!$R$1405/100)/(Geometria!$N$1307/100))))))*(IF(OR(Geometria!$K$1405&gt;0,Geometria!$K$1403&gt;0,Geometria!$Q$1405&gt;0,Geometria!$Q$1403&gt;0),1,0))))/(Geometria!$L$53/100^3)+((Geometria!$M$673)/(Geometria!$L$53/100^3))+((Geometria!$M$684)/(Geometria!$M$53/100^3))+((Geometria!$L$77*Geometria!$M$695)/(Geometria!$M$53/100^3))</f>
        <v>-3996.9679940427536</v>
      </c>
      <c r="CA126" s="751"/>
      <c r="CC126" s="373">
        <f ca="1">(Geometria!$L$298-(Geometria!$L$298-IF(BS126&lt;Geometria!$L$1409/100,Geometria!$L$1442,Geometria!$L$1460))*(1-(MIN(MIN(1,MAX(0,(BS126-Geometria!$L$1409/100)/(Geometria!$N$1307/100))),MIN(1,MAX(0,((Geometria!$L$29/100-BS126)-Geometria!$R$1409/100)/(Geometria!$N$1307/100))))))*(IF(OR(Geometria!$K$1409&gt;0,Geometria!$K$1407&gt;0,Geometria!$Q$1409&gt;0,Geometria!$Q$1407&gt;0),1,0))-(Geometria!$L$298-IF(BS126&lt;Geometria!$L$1405/100,Geometria!$L$1444,Geometria!$L$1462))*(1-(MIN(MIN(1,MAX(0,(BS126-Geometria!$L$1405/100)/(Geometria!$N$1307/100))),MIN(1,MAX(0,((Geometria!$L$29/100-BS126)-Geometria!$R$1405/100)/(Geometria!$N$1307/100))))))*(IF(OR(Geometria!$K$1405&gt;0,Geometria!$K$1403&gt;0,Geometria!$Q$1405&gt;0,Geometria!$Q$1403&gt;0),1,0)))*BY126+Geometria!$P$1429*BY103</f>
        <v>386.3159719292004</v>
      </c>
      <c r="CD126" s="373">
        <f ca="1">(Geometria!$L$298-(Geometria!$L$298-IF(BS126&lt;Geometria!$L$1409/100,Geometria!$L$1442,Geometria!$L$1460))*(1-(MIN(MIN(1,MAX(0,(BS126-Geometria!$L$1409/100)/(Geometria!$N$1307/100))),MIN(1,MAX(0,((Geometria!$L$29/100-BS126)-Geometria!$R$1409/100)/(Geometria!$N$1307/100))))))*(IF(OR(Geometria!$K$1409&gt;0,Geometria!$K$1407&gt;0,Geometria!$Q$1409&gt;0,Geometria!$Q$1407&gt;0),1,0))-(Geometria!$L$298-IF(BS126&lt;Geometria!$L$1405/100,Geometria!$L$1444,Geometria!$L$1462))*(1-(MIN(MIN(1,MAX(0,(BS126-Geometria!$L$1405/100)/(Geometria!$N$1307/100))),MIN(1,MAX(0,((Geometria!$L$29/100-BS126)-Geometria!$R$1405/100)/(Geometria!$N$1307/100))))))*(IF(OR(Geometria!$K$1405&gt;0,Geometria!$K$1403&gt;0,Geometria!$Q$1405&gt;0,Geometria!$Q$1403&gt;0),1,0)))*BY126*(Geometria!$L$299-(Geometria!$L$299-IF(BS126&lt;Geometria!$L$1409/100,Geometria!$L$1443,Geometria!$L$1461))*(1-(MIN(MIN(1,MAX(0,(BS126-Geometria!$L$1409/100)/(Geometria!$N$1307/100))),MIN(1,MAX(0,((Geometria!$L$29/100-BS126)-Geometria!$R$1409/100)/(Geometria!$N$1307/100))))))*(IF(OR(Geometria!$K$1409&gt;0,Geometria!$K$1407&gt;0,Geometria!$Q$1409&gt;0,Geometria!$Q$1407&gt;0),1,0))-(Geometria!$L$299-IF(BS126&lt;Geometria!$L$1405/100,Geometria!$L$1445,Geometria!$L$1463))*(1-(MIN(MIN(1,MAX(0,(BS126-Geometria!$L$1405/100)/(Geometria!$N$1307/100))),MIN(1,MAX(0,((Geometria!$L$29/100-BS126)-Geometria!$R$1405/100)/(Geometria!$N$1307/100))))))*(IF(OR(Geometria!$K$1405&gt;0,Geometria!$K$1403&gt;0,Geometria!$Q$1405&gt;0,Geometria!$Q$1403&gt;0),1,0)))/100-Geometria!$P$1429*BY103*Geometria!$L$1438/100</f>
        <v>110.1000519998221</v>
      </c>
      <c r="CE126" s="365"/>
      <c r="CF126" s="371">
        <f ca="1">(IF(BT126="Sim",IF(BR126="Sim",$E$93,EX126),IF(BR126="Sim",EZ126,Geometria!$L$906)))</f>
        <v>749.9028001915608</v>
      </c>
      <c r="CG126" s="371">
        <f ca="1">(IF(BT126="Sim",IF(BR126="Sim",$E$94,EY126),IF(BR126="Sim",FA126,Geometria!$L$907)))</f>
        <v>213.72229805459483</v>
      </c>
      <c r="CI126" s="4" t="s">
        <v>431</v>
      </c>
      <c r="CJ126" s="202">
        <f t="shared" ca="1" si="42"/>
        <v>2639.1137854309845</v>
      </c>
      <c r="CK126" s="38" t="s">
        <v>234</v>
      </c>
      <c r="CL126" s="203">
        <f t="shared" ca="1" si="32"/>
        <v>2.6391137854309847</v>
      </c>
      <c r="CM126" s="38" t="s">
        <v>160</v>
      </c>
      <c r="CN126" s="399">
        <f t="shared" si="43"/>
        <v>0.0</v>
      </c>
      <c r="CO126" s="376" t="str">
        <f>IF(OR(AND(CP126&lt;Geometria!$L$1405/100,Geometria!$K$1405&gt;0),AND((Geometria!$L$29/100-CP126)&lt;Geometria!$R$1405/100,Geometria!$Q$1405&gt;0)),"Sim","Não")</f>
        <v>Sim</v>
      </c>
      <c r="CP126" s="395">
        <f t="shared" si="33"/>
        <v>0.7849999999999999</v>
      </c>
      <c r="CQ126" s="376" t="str">
        <f>IF(OR(AND(CP126&lt;Geometria!$L$1409/100,OR(Geometria!$K$1409&gt;0,Geometria!$K$1407&gt;0)),AND((Geometria!$L$29/100-CP126)&lt;Geometria!$R$1409/100,OR(Geometria!$Q$1409&gt;0,Geometria!$Q$1407&gt;0))),"Sim","Não")</f>
        <v>Não</v>
      </c>
      <c r="CR126" s="122" t="s">
        <v>431</v>
      </c>
      <c r="CS126" s="198" t="str">
        <f ca="1">IF(Geometria!$M$437&lt;Geometria!$N$1308/100,"Reduzir","OK")</f>
        <v>Reduzir</v>
      </c>
      <c r="CT126" s="401">
        <f t="shared" ca="1" si="34"/>
        <v>2639.1137854309845</v>
      </c>
      <c r="CU126" s="403">
        <f ca="1">-(CZ126/(Geometria!$L$48/100^2))-(DA126/(Geometria!$L$53/100^3))+((Geometria!$M$416)/(Geometria!$L$53/100^3))+((Geometria!$M$427)/(Geometria!$M$53/100^3))+((Geometria!$L$76*Geometria!$M$438)/(Geometria!$M$53/100^3))</f>
        <v>2639.1137854309845</v>
      </c>
      <c r="CV126" s="400">
        <f ca="1">(Geometria!$N$368*MIN(1,(Geometria!$M$897*100)/Geometria!$N$1308))</f>
        <v>68.98499498735721</v>
      </c>
      <c r="CW126" s="751">
        <f ca="1">-((Geometria!$L$373-(Geometria!$L$373-ER126)*(1-(MIN(MIN(1,MAX(0,(CP126-Geometria!$L$1409/100)/(Geometria!$N$1307/100))),MIN(1,MAX(0,((Geometria!$L$29/100-CP126)-Geometria!$R$1409/100)/(Geometria!$N$1307/100))))))*(IF(OR(Geometria!$K$1409&gt;0,Geometria!$K$1407&gt;0,Geometria!$Q$1409&gt;0,Geometria!$Q$1407&gt;0),1,0))-(Geometria!$L$373-ET126)*(1-(MIN(MIN(1,MAX(0,(CP126-Geometria!$L$1405/100)/(Geometria!$N$1307/100))),MIN(1,MAX(0,((Geometria!$L$29/100-CP126)-Geometria!$R$1405/100)/(Geometria!$N$1307/100))))))*(IF(OR(Geometria!$K$1405&gt;0,Geometria!$K$1403&gt;0,Geometria!$Q$1405&gt;0,Geometria!$Q$1403&gt;0),1,0))))/(Geometria!$L$48/100^2)-((Geometria!$L$374-(Geometria!$L$374-ES126)*(1-(MIN(MIN(1,MAX(0,(CP126-Geometria!$L$1409/100)/(Geometria!$N$1307/100))),MIN(1,MAX(0,((Geometria!$L$29/100-CP126)-Geometria!$R$1409/100)/(Geometria!$N$1307/100))))))*(IF(OR(Geometria!$K$1409&gt;0,Geometria!$K$1407&gt;0,Geometria!$Q$1409&gt;0,Geometria!$Q$1407&gt;0),1,0))-(Geometria!$L$374-EU126)*(1-(MIN(MIN(1,MAX(0,(CP126-Geometria!$L$1405/100)/(Geometria!$N$1307/100))),MIN(1,MAX(0,((Geometria!$L$29/100-CP126)-Geometria!$R$1405/100)/(Geometria!$N$1307/100))))))*(IF(OR(Geometria!$K$1405&gt;0,Geometria!$K$1403&gt;0,Geometria!$Q$1405&gt;0,Geometria!$Q$1403&gt;0),1,0))))/(Geometria!$L$53/100^3)+((Geometria!$M$673)/(Geometria!$L$53/100^3))+((Geometria!$M$684)/(Geometria!$M$53/100^3))</f>
        <v>-7196.511752751517</v>
      </c>
      <c r="CX126" s="751"/>
      <c r="CZ126" s="373">
        <f ca="1">(IF(CQ126="Sim",IF(CO126="Sim",IF(CP126&lt;Geometria!$L$1405/100,Geometria!$L$1435,Geometria!$L$1476),IF(CP126&lt;Geometria!$L$1409/100,Geometria!$L$1442,Geometria!$L$1460)),IF(CO126="Sim",IF(CP126&lt;Geometria!$L$1405/100,Geometria!$L$1444,Geometria!$L$1462),Geometria!$L$298)))*CV126+Geometria!$P$1429*CV103</f>
        <v>386.3159719292004</v>
      </c>
      <c r="DA126" s="373">
        <f ca="1">(IF(CQ126="Sim",IF(CO126="Sim",IF(CP126&lt;Geometria!$L$1405/100,Geometria!$L$1435,Geometria!$L$1476),IF(CP126&lt;Geometria!$L$1409/100,Geometria!$L$1442,Geometria!$L$1460)),IF(CO126="Sim",IF(CP126&lt;Geometria!$L$1405/100,Geometria!$L$1444,Geometria!$L$1462),Geometria!$L$298)))*CV126*(IF(CQ126="Sim",IF(CO126="Sim",IF(CP126&lt;Geometria!$L$1405/100,Geometria!$L$1436,Geometria!$L$1484),IF(CP126&lt;Geometria!$L$1409/100,Geometria!$L$1443,Geometria!$L$1461)),IF(CO126="Sim",IF(CP126&lt;Geometria!$L$1405/100,Geometria!$L$1445,Geometria!$L$1463),Geometria!$L$299)))/100-Geometria!$P$1429*CV103*Geometria!$L$1438/100</f>
        <v>110.1000519998221</v>
      </c>
      <c r="DB126" s="365"/>
      <c r="DC126" s="371">
        <f ca="1">(IF(CQ126="Sim",IF(CO126="Sim",$E$93,EX126),IF(CO126="Sim",EZ126,Geometria!$L$906)))</f>
        <v>749.9028001915608</v>
      </c>
      <c r="DD126" s="371">
        <f ca="1">(IF(CQ126="Sim",IF(CO126="Sim",$E$94,EY126),IF(CO126="Sim",FA126,Geometria!$L$907)))</f>
        <v>213.72229805459483</v>
      </c>
      <c r="DF126" s="4" t="s">
        <v>431</v>
      </c>
      <c r="DG126" s="202">
        <f t="shared" ca="1" si="44"/>
        <v>2639.1137854309845</v>
      </c>
      <c r="DH126" s="38" t="s">
        <v>234</v>
      </c>
      <c r="DI126" s="203">
        <f t="shared" ca="1" si="35"/>
        <v>2.6391137854309847</v>
      </c>
      <c r="DJ126" s="38" t="s">
        <v>160</v>
      </c>
      <c r="DK126" s="399">
        <f t="shared" si="45"/>
        <v>0.0</v>
      </c>
      <c r="EA126">
        <f ca="1">-L126/('Aberturas na Alma'!$M$112/100^2)-M126/('Aberturas na Alma'!$M$120/100^3)+Geometria!$L$898/('Aberturas na Alma'!$M$120/100^3)</f>
        <v>-10204.255735954863</v>
      </c>
      <c r="EB126">
        <f ca="1">-(IF(C126="Sim",IF(A126="Sim",$E$93,EX126),IF(A126="Sim",EZ126,Geometria!$L$906)))/('Aberturas na Alma'!$M$112/100^2)-(IF(C126="Sim",IF(A126="Sim",$E$94,EY126),IF(A126="Sim",FA126,Geometria!$L$907)))/('Aberturas na Alma'!$M$120/100^3)+Geometria!$M$898/('Aberturas na Alma'!$M$120/100^3)</f>
        <v>-16583.664805270553</v>
      </c>
      <c r="EC126">
        <f ca="1">IF(AND('Aberturas na Alma'!$M$18="NÃO DISPENSADO — furo deve ser verificado (cálculo abaixo)",OR(AND(B126&gt;=('Aberturas na Alma'!$M$4-'Aberturas na Alma'!$M$7/2)/100,B126&lt;=('Aberturas na Alma'!$M$4+'Aberturas na Alma'!$M$7/2)/100),ABS(B126-'Aberturas na Alma'!$M$4/100)&lt;=Geometria!$L$29/4000)),IF(E126="Reduzir",EA126,EB126),F126)</f>
        <v>-9370.46577880309</v>
      </c>
      <c r="ED126">
        <f ca="1">-(AI126/('Aberturas na Alma'!$M$112/100^2))-(AJ126/('Aberturas na Alma'!$M$120/100^3))+((Geometria!$M$416)/('Aberturas na Alma'!$M$120/100^3))+((Geometria!$M$427)/('Aberturas na Alma'!$M$120/100^3))+((Geometria!$L$76*Geometria!$M$438)/('Aberturas na Alma'!$M$120/100^3))</f>
        <v>11162.420823544986</v>
      </c>
      <c r="EE126">
        <f ca="1">-((IF(Z126="Sim",IF(X126="Sim",$AB$93,ER126),IF(X126="Sim",ET126,Geometria!$L$373)))/('Aberturas na Alma'!$M$112/100^2))-((IF(Z126="Sim",IF(X126="Sim",$AB$94,ES126),IF(X126="Sim",EU126,Geometria!$L$374)))/('Aberturas na Alma'!$M$120/100^3))+((Geometria!$M$416)/('Aberturas na Alma'!$M$120/100^3))+((Geometria!$M$427)/('Aberturas na Alma'!$M$120/100^3))+((Geometria!$L$76*Geometria!$M$438)/('Aberturas na Alma'!$M$120/100^3))</f>
        <v>5698.257088837357</v>
      </c>
      <c r="EF126" s="371">
        <f ca="1">IF(AND('Aberturas na Alma'!$M$18="NÃO DISPENSADO — furo deve ser verificado (cálculo abaixo)",OR(AND(B126&gt;=('Aberturas na Alma'!$M$4-'Aberturas na Alma'!$M$7/2)/100,B126&lt;=('Aberturas na Alma'!$M$4+'Aberturas na Alma'!$M$7/2)/100),ABS(B126-'Aberturas na Alma'!$M$4/100)&lt;=Geometria!$L$29/4000)),IF(AB126="Reduzir",ED126,EE126),AC126)</f>
        <v>2639.1137854309845</v>
      </c>
      <c r="EG126">
        <f ca="1">-(BF126/('Aberturas na Alma'!$M$112/100^2))-(BG126/('Aberturas na Alma'!$M$120/100^3))+((Geometria!$M$416)/('Aberturas na Alma'!$M$120/100^3))+((Geometria!$M$427)/('Aberturas na Alma'!$M$120/100^3))+((Geometria!$L$76*Geometria!$M$438)/('Aberturas na Alma'!$M$120/100^3))</f>
        <v>11162.420823544986</v>
      </c>
      <c r="EH126">
        <f ca="1">-((IF(AW126="Sim",IF(AU126="Sim",$AB$93,ER126),IF(AU126="Sim",ET126,Geometria!$L$373)))/('Aberturas na Alma'!$M$112/100^2))-((IF(AW126="Sim",IF(AU126="Sim",$AB$94,ES126),IF(AU126="Sim",EU126,Geometria!$L$374)))/('Aberturas na Alma'!$M$120/100^3))+((Geometria!$M$416)/('Aberturas na Alma'!$M$120/100^3))+((Geometria!$M$427)/('Aberturas na Alma'!$M$120/100^3))</f>
        <v>-7761.658544356608</v>
      </c>
      <c r="EI126" s="371">
        <f ca="1">IF(AND('Aberturas na Alma'!$M$18="NÃO DISPENSADO — furo deve ser verificado (cálculo abaixo)",OR(AND(B126&gt;=('Aberturas na Alma'!$M$4-'Aberturas na Alma'!$M$7/2)/100,B126&lt;=('Aberturas na Alma'!$M$4+'Aberturas na Alma'!$M$7/2)/100),ABS(B126-'Aberturas na Alma'!$M$4/100)&lt;=Geometria!$L$29/4000)),IF(AY126="Reduzir",EG126,EH126),AZ126)</f>
        <v>2639.1137854309845</v>
      </c>
      <c r="EJ126">
        <f ca="1">-(CC126/('Aberturas na Alma'!$M$112/100^2))-(CD126/('Aberturas na Alma'!$M$120/100^3))+((Geometria!$M$416)/('Aberturas na Alma'!$M$120/100^3))+((Geometria!$M$427)/('Aberturas na Alma'!$M$120/100^3))+((Geometria!$L$76*Geometria!$M$438)/('Aberturas na Alma'!$M$120/100^3))</f>
        <v>11162.420823544986</v>
      </c>
      <c r="EK126">
        <f ca="1">-((IF(BT126="Sim",IF(BR126="Sim",$AB$93,ER126),IF(BR126="Sim",ET126,Geometria!$L$373)))/('Aberturas na Alma'!$M$112/100^2))-((IF(BT126="Sim",IF(BR126="Sim",$AB$94,ES126),IF(BR126="Sim",EU126,Geometria!$L$374)))/('Aberturas na Alma'!$M$120/100^3))+((Geometria!$M$673)/('Aberturas na Alma'!$M$120/100^3))+((Geometria!$M$684)/('Aberturas na Alma'!$M$120/100^3))+((Geometria!$L$77*Geometria!$M$695)/('Aberturas na Alma'!$M$120/100^3))</f>
        <v>1211.6185444393695</v>
      </c>
      <c r="EL126" s="371">
        <f ca="1">IF(AND('Aberturas na Alma'!$M$18="NÃO DISPENSADO — furo deve ser verificado (cálculo abaixo)",OR(AND(B126&gt;=('Aberturas na Alma'!$M$4-'Aberturas na Alma'!$M$7/2)/100,B126&lt;=('Aberturas na Alma'!$M$4+'Aberturas na Alma'!$M$7/2)/100),ABS(B126-'Aberturas na Alma'!$M$4/100)&lt;=Geometria!$L$29/4000)),IF(BV126="Reduzir",EJ126,EK126),BW126)</f>
        <v>2639.1137854309845</v>
      </c>
      <c r="EM126">
        <f ca="1">-(CZ126/('Aberturas na Alma'!$M$112/100^2))-(DA126/('Aberturas na Alma'!$M$120/100^3))+((Geometria!$M$416)/('Aberturas na Alma'!$M$120/100^3))+((Geometria!$M$427)/('Aberturas na Alma'!$M$120/100^3))+((Geometria!$L$76*Geometria!$M$438)/('Aberturas na Alma'!$M$120/100^3))</f>
        <v>11162.420823544986</v>
      </c>
      <c r="EN126">
        <f ca="1">-((IF(CQ126="Sim",IF(CO126="Sim",$AB$93,ER126),IF(CO126="Sim",ET126,Geometria!$L$373)))/('Aberturas na Alma'!$M$112/100^2))-((IF(CQ126="Sim",IF(CO126="Sim",$AB$94,ES126),IF(CO126="Sim",EU126,Geometria!$L$374)))/('Aberturas na Alma'!$M$120/100^3))+((Geometria!$M$673)/('Aberturas na Alma'!$M$120/100^3))+((Geometria!$M$684)/('Aberturas na Alma'!$M$120/100^3))</f>
        <v>-7761.658544356608</v>
      </c>
      <c r="EO126" s="371">
        <f ca="1">IF(AND('Aberturas na Alma'!$M$18="NÃO DISPENSADO — furo deve ser verificado (cálculo abaixo)",OR(AND(B126&gt;=('Aberturas na Alma'!$M$4-'Aberturas na Alma'!$M$7/2)/100,B126&lt;=('Aberturas na Alma'!$M$4+'Aberturas na Alma'!$M$7/2)/100),ABS(B126-'Aberturas na Alma'!$M$4/100)&lt;=Geometria!$L$29/4000)),IF(CS126="Reduzir",EM126,EN126),CT126)</f>
        <v>2639.1137854309845</v>
      </c>
      <c r="EP126" t="str">
        <f>IF(AND(Y126&lt;Geometria!$L$1409/100,OR(Geometria!$K$1409&gt;0,Geometria!$K$1407&gt;0)),"ESQ",IF(AND((Geometria!$L$29/100-Y126)&lt;Geometria!$R$1409/100,OR(Geometria!$Q$1409&gt;0,Geometria!$Q$1407&gt;0)),"DIR","N/A"))</f>
        <v>N/A</v>
      </c>
      <c r="EQ126" t="str">
        <f>IF(AND(Y126&lt;Geometria!$L$1405/100,Geometria!$K$1405&gt;0),"ESQ",IF(AND((Geometria!$L$29/100-Y126)&lt;Geometria!$R$1405/100,Geometria!$Q$1405&gt;0),"DIR","N/A"))</f>
        <v>ESQ</v>
      </c>
      <c r="ER126">
        <f ca="1">IF(EP126="DIR",Geometria!$L$1470,Geometria!$L$1452)</f>
        <v>1243.5596228306003</v>
      </c>
      <c r="ES126">
        <f ca="1">IF(EP126="DIR",Geometria!$L$1471,Geometria!$L$1453)</f>
        <v>233.16742928073757</v>
      </c>
      <c r="ET126">
        <f ca="1">IF(EQ126="DIR",Geometria!$L$1472,Geometria!$L$1454)</f>
        <v>621.7798114153002</v>
      </c>
      <c r="EU126">
        <f ca="1">IF(EQ126="DIR",Geometria!$L$1473,Geometria!$L$1455)</f>
        <v>177.20724625336052</v>
      </c>
      <c r="EV126" t="str">
        <f>IF(AND(B126&lt;Geometria!$L$1409/100,OR(Geometria!$K$1409&gt;0,Geometria!$K$1407&gt;0)),"ESQ",IF(AND((Geometria!$L$29/100-B126)&lt;Geometria!$R$1409/100,OR(Geometria!$Q$1409&gt;0,Geometria!$Q$1407&gt;0)),"DIR","N/A"))</f>
        <v>N/A</v>
      </c>
      <c r="EW126" t="str">
        <f>IF(AND(B126&lt;Geometria!$L$1405/100,Geometria!$K$1405&gt;0),"ESQ",IF(AND((Geometria!$L$29/100-B126)&lt;Geometria!$R$1405/100,Geometria!$Q$1405&gt;0),"DIR","N/A"))</f>
        <v>ESQ</v>
      </c>
      <c r="EX126">
        <f ca="1">IF(EV126="DIR",Geometria!$L$1465,Geometria!$L$1447)</f>
        <v>1499.8056003831216</v>
      </c>
      <c r="EY126">
        <f ca="1">IF(EV126="DIR",Geometria!$L$1466,Geometria!$L$1448)</f>
        <v>281.2135500718353</v>
      </c>
      <c r="EZ126">
        <f ca="1">IF(EW126="DIR",Geometria!$L$1467,Geometria!$L$1449)</f>
        <v>749.9028001915608</v>
      </c>
      <c r="FA126">
        <f ca="1">IF(EW126="DIR",Geometria!$L$1468,Geometria!$L$1450)</f>
        <v>213.72229805459483</v>
      </c>
    </row>
    <row r="127" spans="1:157" x14ac:dyDescent="0.25">
      <c r="A127" s="376" t="str">
        <f>IF(OR(AND(B127&lt;Geometria!$L$1405/100,Geometria!$K$1405&gt;0),AND((Geometria!$L$29/100-B127)&lt;Geometria!$R$1405/100,Geometria!$Q$1405&gt;0)),"Sim","Não")</f>
        <v>Sim</v>
      </c>
      <c r="B127" s="395">
        <f t="shared" si="21"/>
        <v>1.1774999999999998</v>
      </c>
      <c r="C127" s="376" t="str">
        <f>IF(OR(AND(B127&lt;Geometria!$L$1409/100,OR(Geometria!$K$1409&gt;0,Geometria!$K$1407&gt;0)),AND((Geometria!$L$29/100-B127)&lt;Geometria!$R$1409/100,OR(Geometria!$Q$1409&gt;0,Geometria!$Q$1407&gt;0))),"Sim","Não")</f>
        <v>Não</v>
      </c>
      <c r="D127" s="122" t="s">
        <v>432</v>
      </c>
      <c r="E127" s="198" t="str">
        <f ca="1">IF(Geometria!$N$437&lt;Geometria!$N$1308/100,"Reduzir","OK")</f>
        <v>Reduzir</v>
      </c>
      <c r="F127" s="396">
        <f t="shared" ca="1" si="22"/>
        <v>-14272.179794506716</v>
      </c>
      <c r="G127" s="397">
        <f ca="1">-L127/(Geometria!$L$48/100^2)-M127/(Geometria!$L$53/100^3)+Geometria!$L$898/(Geometria!$L$53/100^3)</f>
        <v>-14272.179794506716</v>
      </c>
      <c r="H127" s="400">
        <f ca="1">(((IF(C127="Sim",$N$47,Geometria!$L$324))*(Geometria!$N$897*100))/Geometria!$N$1308)</f>
        <v>122.77020261966413</v>
      </c>
      <c r="I127" s="743">
        <f ca="1">-(Geometria!$L$906-(Geometria!$L$906-EX127)*(1-(MIN(MIN(1,MAX(0,(B127-Geometria!$L$1409/100)/(Geometria!$N$1307/100))),MIN(1,MAX(0,((Geometria!$L$29/100-B127)-Geometria!$R$1409/100)/(Geometria!$N$1307/100))))))*(IF(OR(Geometria!$K$1409&gt;0,Geometria!$K$1407&gt;0,Geometria!$Q$1409&gt;0,Geometria!$Q$1407&gt;0),1,0))-(Geometria!$L$906-EZ127)*(1-(MIN(MIN(1,MAX(0,(B127-Geometria!$L$1405/100)/(Geometria!$N$1307/100))),MIN(1,MAX(0,((Geometria!$L$29/100-B127)-Geometria!$R$1405/100)/(Geometria!$N$1307/100))))))*(IF(OR(Geometria!$K$1405&gt;0,Geometria!$K$1403&gt;0,Geometria!$Q$1405&gt;0,Geometria!$Q$1403&gt;0),1,0)))/(Geometria!$L$48/100^2)-(Geometria!$L$907-(Geometria!$L$907-EY127)*(1-(MIN(MIN(1,MAX(0,(B127-Geometria!$L$1409/100)/(Geometria!$N$1307/100))),MIN(1,MAX(0,((Geometria!$L$29/100-B127)-Geometria!$R$1409/100)/(Geometria!$N$1307/100))))))*(IF(OR(Geometria!$K$1409&gt;0,Geometria!$K$1407&gt;0,Geometria!$Q$1409&gt;0,Geometria!$Q$1407&gt;0),1,0))-(Geometria!$L$907-FA127)*(1-(MIN(MIN(1,MAX(0,(B127-Geometria!$L$1405/100)/(Geometria!$N$1307/100))),MIN(1,MAX(0,((Geometria!$L$29/100-B127)-Geometria!$R$1405/100)/(Geometria!$N$1307/100))))))*(IF(OR(Geometria!$K$1405&gt;0,Geometria!$K$1403&gt;0,Geometria!$Q$1405&gt;0,Geometria!$Q$1403&gt;0),1,0)))/(Geometria!$L$53/100^3)+Geometria!$N$898/(Geometria!$L$53/100^3)</f>
        <v>-14877.425834826441</v>
      </c>
      <c r="J127" s="743"/>
      <c r="L127" s="373">
        <f ca="1">(Geometria!$L$298-(Geometria!$L$298-IF(B127&lt;Geometria!$L$1409/100,Geometria!$L$1442,Geometria!$L$1460))*(1-(MIN(MIN(1,MAX(0,(B127-Geometria!$L$1409/100)/(Geometria!$N$1307/100))),MIN(1,MAX(0,((Geometria!$L$29/100-B127)-Geometria!$R$1409/100)/(Geometria!$N$1307/100))))))*(IF(OR(Geometria!$K$1409&gt;0,Geometria!$K$1407&gt;0,Geometria!$Q$1409&gt;0,Geometria!$Q$1407&gt;0),1,0))-(Geometria!$L$298-IF(B127&lt;Geometria!$L$1405/100,Geometria!$L$1444,Geometria!$L$1462))*(1-(MIN(MIN(1,MAX(0,(B127-Geometria!$L$1405/100)/(Geometria!$N$1307/100))),MIN(1,MAX(0,((Geometria!$L$29/100-B127)-Geometria!$R$1405/100)/(Geometria!$N$1307/100))))))*(IF(OR(Geometria!$K$1405&gt;0,Geometria!$K$1403&gt;0,Geometria!$Q$1405&gt;0,Geometria!$Q$1403&gt;0),1,0)))*H127+Geometria!$P$1429*H104</f>
        <v>687.5131346701191</v>
      </c>
      <c r="M127" s="373">
        <f ca="1">(Geometria!$L$298-(Geometria!$L$298-IF(B127&lt;Geometria!$L$1409/100,Geometria!$L$1442,Geometria!$L$1460))*(1-(MIN(MIN(1,MAX(0,(B127-Geometria!$L$1409/100)/(Geometria!$N$1307/100))),MIN(1,MAX(0,((Geometria!$L$29/100-B127)-Geometria!$R$1409/100)/(Geometria!$N$1307/100))))))*(IF(OR(Geometria!$K$1409&gt;0,Geometria!$K$1407&gt;0,Geometria!$Q$1409&gt;0,Geometria!$Q$1407&gt;0),1,0))-(Geometria!$L$298-IF(B127&lt;Geometria!$L$1405/100,Geometria!$L$1444,Geometria!$L$1462))*(1-(MIN(MIN(1,MAX(0,(B127-Geometria!$L$1405/100)/(Geometria!$N$1307/100))),MIN(1,MAX(0,((Geometria!$L$29/100-B127)-Geometria!$R$1405/100)/(Geometria!$N$1307/100))))))*(IF(OR(Geometria!$K$1405&gt;0,Geometria!$K$1403&gt;0,Geometria!$Q$1405&gt;0,Geometria!$Q$1403&gt;0),1,0)))*H127*(Geometria!$L$299-(Geometria!$L$299-IF(B127&lt;Geometria!$L$1409/100,Geometria!$L$1443,Geometria!$L$1461))*(1-(MIN(MIN(1,MAX(0,(B127-Geometria!$L$1409/100)/(Geometria!$N$1307/100))),MIN(1,MAX(0,((Geometria!$L$29/100-B127)-Geometria!$R$1409/100)/(Geometria!$N$1307/100))))))*(IF(OR(Geometria!$K$1409&gt;0,Geometria!$K$1407&gt;0,Geometria!$Q$1409&gt;0,Geometria!$Q$1407&gt;0),1,0))-(Geometria!$L$299-IF(B127&lt;Geometria!$L$1405/100,Geometria!$L$1445,Geometria!$L$1463))*(1-(MIN(MIN(1,MAX(0,(B127-Geometria!$L$1405/100)/(Geometria!$N$1307/100))),MIN(1,MAX(0,((Geometria!$L$29/100-B127)-Geometria!$R$1405/100)/(Geometria!$N$1307/100))))))*(IF(OR(Geometria!$K$1405&gt;0,Geometria!$K$1403&gt;0,Geometria!$Q$1405&gt;0,Geometria!$Q$1403&gt;0),1,0)))/100-Geometria!$P$1429*H104*Geometria!$L$1438/100</f>
        <v>195.94124338098393</v>
      </c>
      <c r="N127" s="365"/>
      <c r="O127" s="371">
        <f ca="1">(IF(C127="Sim",IF(A127="Sim",$E$93,EX127),IF(A127="Sim",EZ127,Geometria!$L$906)))</f>
        <v>749.9028001915608</v>
      </c>
      <c r="P127" s="371">
        <f ca="1">(IF(C127="Sim",IF(A127="Sim",$E$94,EY127),IF(A127="Sim",FA127,Geometria!$L$907)))</f>
        <v>213.72229805459483</v>
      </c>
      <c r="R127" s="4" t="s">
        <v>432</v>
      </c>
      <c r="S127" s="202">
        <f t="shared" ca="1" si="36"/>
        <v>-14272.179794506716</v>
      </c>
      <c r="T127" s="38" t="s">
        <v>234</v>
      </c>
      <c r="U127" s="203">
        <f t="shared" ca="1" si="23"/>
        <v>-14.272179794506716</v>
      </c>
      <c r="V127" s="38" t="s">
        <v>160</v>
      </c>
      <c r="W127" s="399">
        <f t="shared" si="37"/>
        <v>0.0</v>
      </c>
      <c r="X127" s="376" t="str">
        <f>IF(OR(AND(Y127&lt;Geometria!$L$1405/100,Geometria!$K$1405&gt;0),AND((Geometria!$L$29/100-Y127)&lt;Geometria!$R$1405/100,Geometria!$Q$1405&gt;0)),"Sim","Não")</f>
        <v>Sim</v>
      </c>
      <c r="Y127" s="395">
        <f t="shared" si="24"/>
        <v>1.1774999999999998</v>
      </c>
      <c r="Z127" s="376" t="str">
        <f>IF(OR(AND(Y127&lt;Geometria!$L$1409/100,OR(Geometria!$K$1409&gt;0,Geometria!$K$1407&gt;0)),AND((Geometria!$L$29/100-Y127)&lt;Geometria!$R$1409/100,OR(Geometria!$Q$1409&gt;0,Geometria!$Q$1407&gt;0))),"Sim","Não")</f>
        <v>Não</v>
      </c>
      <c r="AA127" s="122" t="s">
        <v>432</v>
      </c>
      <c r="AB127" s="198" t="str">
        <f ca="1">IF(Geometria!$N$437&lt;Geometria!$N$1308/100,"Reduzir","OK")</f>
        <v>Reduzir</v>
      </c>
      <c r="AC127" s="401">
        <f t="shared" ca="1" si="25"/>
        <v>3050.1720793941604</v>
      </c>
      <c r="AD127" s="403">
        <f ca="1">-(AI127/(Geometria!$L$48/100^2))-(AJ127/(Geometria!$L$53/100^3))+((Geometria!$N$416)/(Geometria!$L$53/100^3))+((Geometria!$N$427)/(Geometria!$M$53/100^3))+((Geometria!$L$76*Geometria!$N$438)/(Geometria!$M$53/100^3))</f>
        <v>3050.1720793941604</v>
      </c>
      <c r="AE127" s="400">
        <f ca="1">(Geometria!$N$368*MIN(1,(Geometria!$N$897*100)/Geometria!$N$1308))</f>
        <v>103.47749248103581</v>
      </c>
      <c r="AF127" s="751">
        <f ca="1">-((Geometria!$L$373-(Geometria!$L$373-ER127)*(1-(MIN(MIN(1,MAX(0,(Y127-Geometria!$L$1409/100)/(Geometria!$N$1307/100))),MIN(1,MAX(0,((Geometria!$L$29/100-Y127)-Geometria!$R$1409/100)/(Geometria!$N$1307/100))))))*(IF(OR(Geometria!$K$1409&gt;0,Geometria!$K$1407&gt;0,Geometria!$Q$1409&gt;0,Geometria!$Q$1407&gt;0),1,0))-(Geometria!$L$373-ET127)*(1-(MIN(MIN(1,MAX(0,(Y127-Geometria!$L$1405/100)/(Geometria!$N$1307/100))),MIN(1,MAX(0,((Geometria!$L$29/100-Y127)-Geometria!$R$1405/100)/(Geometria!$N$1307/100))))))*(IF(OR(Geometria!$K$1405&gt;0,Geometria!$K$1403&gt;0,Geometria!$Q$1405&gt;0,Geometria!$Q$1403&gt;0),1,0))))/(Geometria!$L$48/100^2)-((Geometria!$L$374-(Geometria!$L$374-ES127)*(1-(MIN(MIN(1,MAX(0,(Y127-Geometria!$L$1409/100)/(Geometria!$N$1307/100))),MIN(1,MAX(0,((Geometria!$L$29/100-Y127)-Geometria!$R$1409/100)/(Geometria!$N$1307/100))))))*(IF(OR(Geometria!$K$1409&gt;0,Geometria!$K$1407&gt;0,Geometria!$Q$1409&gt;0,Geometria!$Q$1407&gt;0),1,0))-(Geometria!$L$374-EU127)*(1-(MIN(MIN(1,MAX(0,(Y127-Geometria!$L$1405/100)/(Geometria!$N$1307/100))),MIN(1,MAX(0,((Geometria!$L$29/100-Y127)-Geometria!$R$1405/100)/(Geometria!$N$1307/100))))))*(IF(OR(Geometria!$K$1405&gt;0,Geometria!$K$1403&gt;0,Geometria!$Q$1405&gt;0,Geometria!$Q$1403&gt;0),1,0))))/(Geometria!$L$53/100^3)+((Geometria!$N$416)/(Geometria!$L$53/100^3))+((Geometria!$N$427)/(Geometria!$M$53/100^3))+((Geometria!$L$76*Geometria!$N$438)/(Geometria!$M$53/100^3))</f>
        <v>2145.2968790731975</v>
      </c>
      <c r="AG127" s="751"/>
      <c r="AI127" s="373">
        <f ca="1">(IF(Z127="Sim",IF(X127="Sim",IF(Y127&lt;Geometria!$L$1405/100,Geometria!$L$1435,Geometria!$L$1476),IF(Y127&lt;Geometria!$L$1409/100,Geometria!$L$1442,Geometria!$L$1460)),IF(X127="Sim",IF(Y127&lt;Geometria!$L$1405/100,Geometria!$L$1444,Geometria!$L$1462),Geometria!$L$298)))*AE127+Geometria!$P$1429*AE104</f>
        <v>579.4739578938005</v>
      </c>
      <c r="AJ127" s="373">
        <f ca="1">(IF(Z127="Sim",IF(X127="Sim",IF(Y127&lt;Geometria!$L$1405/100,Geometria!$L$1435,Geometria!$L$1476),IF(Y127&lt;Geometria!$L$1409/100,Geometria!$L$1442,Geometria!$L$1460)),IF(X127="Sim",IF(Y127&lt;Geometria!$L$1405/100,Geometria!$L$1444,Geometria!$L$1462),Geometria!$L$298)))*AE127*(IF(Z127="Sim",IF(X127="Sim",IF(Y127&lt;Geometria!$L$1405/100,Geometria!$L$1436,Geometria!$L$1484),IF(Y127&lt;Geometria!$L$1409/100,Geometria!$L$1443,Geometria!$L$1461)),IF(X127="Sim",IF(Y127&lt;Geometria!$L$1405/100,Geometria!$L$1445,Geometria!$L$1463),Geometria!$L$299)))/100-Geometria!$P$1429*AE104*Geometria!$L$1438/100</f>
        <v>165.15007799973316</v>
      </c>
      <c r="AK127" s="365"/>
      <c r="AL127" s="371">
        <f ca="1">(IF(Z127="Sim",IF(X127="Sim",$E$93,EX127),IF(X127="Sim",EZ127,Geometria!$L$906)))</f>
        <v>749.9028001915608</v>
      </c>
      <c r="AM127" s="371">
        <f ca="1">(IF(Z127="Sim",IF(X127="Sim",$E$94,EY127),IF(X127="Sim",FA127,Geometria!$L$907)))</f>
        <v>213.72229805459483</v>
      </c>
      <c r="AO127" s="4" t="s">
        <v>432</v>
      </c>
      <c r="AP127" s="202">
        <f t="shared" ca="1" si="38"/>
        <v>3050.1720793941604</v>
      </c>
      <c r="AQ127" s="38" t="s">
        <v>234</v>
      </c>
      <c r="AR127" s="203">
        <f t="shared" ca="1" si="26"/>
        <v>3.0501720793941605</v>
      </c>
      <c r="AS127" s="38" t="s">
        <v>160</v>
      </c>
      <c r="AT127" s="399">
        <f t="shared" si="39"/>
        <v>0.0</v>
      </c>
      <c r="AU127" s="376" t="str">
        <f>IF(OR(AND(AV127&lt;Geometria!$L$1405/100,Geometria!$K$1405&gt;0),AND((Geometria!$L$29/100-AV127)&lt;Geometria!$R$1405/100,Geometria!$Q$1405&gt;0)),"Sim","Não")</f>
        <v>Sim</v>
      </c>
      <c r="AV127" s="395">
        <f t="shared" si="27"/>
        <v>1.1774999999999998</v>
      </c>
      <c r="AW127" s="376" t="str">
        <f>IF(OR(AND(AV127&lt;Geometria!$L$1409/100,OR(Geometria!$K$1409&gt;0,Geometria!$K$1407&gt;0)),AND((Geometria!$L$29/100-AV127)&lt;Geometria!$R$1409/100,OR(Geometria!$Q$1409&gt;0,Geometria!$Q$1407&gt;0))),"Sim","Não")</f>
        <v>Não</v>
      </c>
      <c r="AX127" s="122" t="s">
        <v>432</v>
      </c>
      <c r="AY127" s="198" t="str">
        <f ca="1">IF(Geometria!$N$437&lt;Geometria!$N$1308/100,"Reduzir","OK")</f>
        <v>Reduzir</v>
      </c>
      <c r="AZ127" s="401">
        <f t="shared" ca="1" si="28"/>
        <v>3050.1720793941604</v>
      </c>
      <c r="BA127" s="403">
        <f ca="1">-(BF127/(Geometria!$L$48/100^2))-(BG127/(Geometria!$L$53/100^3))+((Geometria!$N$416)/(Geometria!$L$53/100^3))+((Geometria!$N$427)/(Geometria!$M$53/100^3))+((Geometria!$L$76*Geometria!$N$438)/(Geometria!$M$53/100^3))</f>
        <v>3050.1720793941604</v>
      </c>
      <c r="BB127" s="400">
        <f ca="1">(Geometria!$N$368*MIN(1,(Geometria!$N$897*100)/Geometria!$N$1308))</f>
        <v>103.47749248103581</v>
      </c>
      <c r="BC127" s="751">
        <f ca="1">-((Geometria!$L$373-(Geometria!$L$373-ER127)*(1-(MIN(MIN(1,MAX(0,(AV127-Geometria!$L$1409/100)/(Geometria!$N$1307/100))),MIN(1,MAX(0,((Geometria!$L$29/100-AV127)-Geometria!$R$1409/100)/(Geometria!$N$1307/100))))))*(IF(OR(Geometria!$K$1409&gt;0,Geometria!$K$1407&gt;0,Geometria!$Q$1409&gt;0,Geometria!$Q$1407&gt;0),1,0))-(Geometria!$L$373-ET127)*(1-(MIN(MIN(1,MAX(0,(AV127-Geometria!$L$1405/100)/(Geometria!$N$1307/100))),MIN(1,MAX(0,((Geometria!$L$29/100-AV127)-Geometria!$R$1405/100)/(Geometria!$N$1307/100))))))*(IF(OR(Geometria!$K$1405&gt;0,Geometria!$K$1403&gt;0,Geometria!$Q$1405&gt;0,Geometria!$Q$1403&gt;0),1,0))))/(Geometria!$L$48/100^2)-((Geometria!$L$374-(Geometria!$L$374-ES127)*(1-(MIN(MIN(1,MAX(0,(AV127-Geometria!$L$1409/100)/(Geometria!$N$1307/100))),MIN(1,MAX(0,((Geometria!$L$29/100-AV127)-Geometria!$R$1409/100)/(Geometria!$N$1307/100))))))*(IF(OR(Geometria!$K$1409&gt;0,Geometria!$K$1407&gt;0,Geometria!$Q$1409&gt;0,Geometria!$Q$1407&gt;0),1,0))-(Geometria!$L$374-EU127)*(1-(MIN(MIN(1,MAX(0,(AV127-Geometria!$L$1405/100)/(Geometria!$N$1307/100))),MIN(1,MAX(0,((Geometria!$L$29/100-AV127)-Geometria!$R$1405/100)/(Geometria!$N$1307/100))))))*(IF(OR(Geometria!$K$1405&gt;0,Geometria!$K$1403&gt;0,Geometria!$Q$1405&gt;0,Geometria!$Q$1403&gt;0),1,0))))/(Geometria!$L$53/100^3)+((Geometria!$N$416)/(Geometria!$L$53/100^3))+((Geometria!$N$427)/(Geometria!$M$53/100^3))</f>
        <v>-4653.733608182923</v>
      </c>
      <c r="BD127" s="751"/>
      <c r="BF127" s="373">
        <f ca="1">(Geometria!$L$298-(Geometria!$L$298-IF(AV127&lt;Geometria!$L$1409/100,Geometria!$L$1442,Geometria!$L$1460))*(1-(MIN(MIN(1,MAX(0,(AV127-Geometria!$L$1409/100)/(Geometria!$N$1307/100))),MIN(1,MAX(0,((Geometria!$L$29/100-AV127)-Geometria!$R$1409/100)/(Geometria!$N$1307/100))))))*(IF(OR(Geometria!$K$1409&gt;0,Geometria!$K$1407&gt;0,Geometria!$Q$1409&gt;0,Geometria!$Q$1407&gt;0),1,0))-(Geometria!$L$298-IF(AV127&lt;Geometria!$L$1405/100,Geometria!$L$1444,Geometria!$L$1462))*(1-(MIN(MIN(1,MAX(0,(AV127-Geometria!$L$1405/100)/(Geometria!$N$1307/100))),MIN(1,MAX(0,((Geometria!$L$29/100-AV127)-Geometria!$R$1405/100)/(Geometria!$N$1307/100))))))*(IF(OR(Geometria!$K$1405&gt;0,Geometria!$K$1403&gt;0,Geometria!$Q$1405&gt;0,Geometria!$Q$1403&gt;0),1,0)))*BB127+Geometria!$P$1429*BB104</f>
        <v>579.4739578938005</v>
      </c>
      <c r="BG127" s="373">
        <f ca="1">(Geometria!$L$298-(Geometria!$L$298-IF(AV127&lt;Geometria!$L$1409/100,Geometria!$L$1442,Geometria!$L$1460))*(1-(MIN(MIN(1,MAX(0,(AV127-Geometria!$L$1409/100)/(Geometria!$N$1307/100))),MIN(1,MAX(0,((Geometria!$L$29/100-AV127)-Geometria!$R$1409/100)/(Geometria!$N$1307/100))))))*(IF(OR(Geometria!$K$1409&gt;0,Geometria!$K$1407&gt;0,Geometria!$Q$1409&gt;0,Geometria!$Q$1407&gt;0),1,0))-(Geometria!$L$298-IF(AV127&lt;Geometria!$L$1405/100,Geometria!$L$1444,Geometria!$L$1462))*(1-(MIN(MIN(1,MAX(0,(AV127-Geometria!$L$1405/100)/(Geometria!$N$1307/100))),MIN(1,MAX(0,((Geometria!$L$29/100-AV127)-Geometria!$R$1405/100)/(Geometria!$N$1307/100))))))*(IF(OR(Geometria!$K$1405&gt;0,Geometria!$K$1403&gt;0,Geometria!$Q$1405&gt;0,Geometria!$Q$1403&gt;0),1,0)))*BB127*(Geometria!$L$299-(Geometria!$L$299-IF(AV127&lt;Geometria!$L$1409/100,Geometria!$L$1443,Geometria!$L$1461))*(1-(MIN(MIN(1,MAX(0,(AV127-Geometria!$L$1409/100)/(Geometria!$N$1307/100))),MIN(1,MAX(0,((Geometria!$L$29/100-AV127)-Geometria!$R$1409/100)/(Geometria!$N$1307/100))))))*(IF(OR(Geometria!$K$1409&gt;0,Geometria!$K$1407&gt;0,Geometria!$Q$1409&gt;0,Geometria!$Q$1407&gt;0),1,0))-(Geometria!$L$299-IF(AV127&lt;Geometria!$L$1405/100,Geometria!$L$1445,Geometria!$L$1463))*(1-(MIN(MIN(1,MAX(0,(AV127-Geometria!$L$1405/100)/(Geometria!$N$1307/100))),MIN(1,MAX(0,((Geometria!$L$29/100-AV127)-Geometria!$R$1405/100)/(Geometria!$N$1307/100))))))*(IF(OR(Geometria!$K$1405&gt;0,Geometria!$K$1403&gt;0,Geometria!$Q$1405&gt;0,Geometria!$Q$1403&gt;0),1,0)))/100-Geometria!$P$1429*BB104*Geometria!$L$1438/100</f>
        <v>165.15007799973316</v>
      </c>
      <c r="BH127" s="365"/>
      <c r="BI127" s="371">
        <f ca="1">(IF(AW127="Sim",IF(AU127="Sim",$E$93,EX127),IF(AU127="Sim",EZ127,Geometria!$L$906)))</f>
        <v>749.9028001915608</v>
      </c>
      <c r="BJ127" s="371">
        <f ca="1">(IF(AW127="Sim",IF(AU127="Sim",$E$94,EY127),IF(AU127="Sim",FA127,Geometria!$L$907)))</f>
        <v>213.72229805459483</v>
      </c>
      <c r="BL127" s="4" t="s">
        <v>432</v>
      </c>
      <c r="BM127" s="202">
        <f t="shared" ca="1" si="40"/>
        <v>3050.1720793941604</v>
      </c>
      <c r="BN127" s="38" t="s">
        <v>234</v>
      </c>
      <c r="BO127" s="203">
        <f t="shared" ca="1" si="29"/>
        <v>3.0501720793941605</v>
      </c>
      <c r="BP127" s="38" t="s">
        <v>160</v>
      </c>
      <c r="BQ127" s="399">
        <f t="shared" si="41"/>
        <v>0.0</v>
      </c>
      <c r="BR127" s="376" t="str">
        <f>IF(OR(AND(BS127&lt;Geometria!$L$1405/100,Geometria!$K$1405&gt;0),AND((Geometria!$L$29/100-BS127)&lt;Geometria!$R$1405/100,Geometria!$Q$1405&gt;0)),"Sim","Não")</f>
        <v>Sim</v>
      </c>
      <c r="BS127" s="395">
        <f t="shared" si="30"/>
        <v>1.1774999999999998</v>
      </c>
      <c r="BT127" s="376" t="str">
        <f>IF(OR(AND(BS127&lt;Geometria!$L$1409/100,OR(Geometria!$K$1409&gt;0,Geometria!$K$1407&gt;0)),AND((Geometria!$L$29/100-BS127)&lt;Geometria!$R$1409/100,OR(Geometria!$Q$1409&gt;0,Geometria!$Q$1407&gt;0))),"Sim","Não")</f>
        <v>Não</v>
      </c>
      <c r="BU127" s="122" t="s">
        <v>432</v>
      </c>
      <c r="BV127" s="198" t="str">
        <f ca="1">IF(Geometria!$N$437&lt;Geometria!$N$1308/100,"Reduzir","OK")</f>
        <v>Reduzir</v>
      </c>
      <c r="BW127" s="401">
        <f t="shared" ca="1" si="31"/>
        <v>3050.1720793941604</v>
      </c>
      <c r="BX127" s="403">
        <f ca="1">-(CC127/(Geometria!$L$48/100^2))-(CD127/(Geometria!$L$53/100^3))+((Geometria!$N$416)/(Geometria!$L$53/100^3))+((Geometria!$N$427)/(Geometria!$M$53/100^3))+((Geometria!$L$76*Geometria!$N$438)/(Geometria!$M$53/100^3))</f>
        <v>3050.1720793941604</v>
      </c>
      <c r="BY127" s="400">
        <f ca="1">(Geometria!$N$368*MIN(1,(Geometria!$N$897*100)/Geometria!$N$1308))</f>
        <v>103.47749248103581</v>
      </c>
      <c r="BZ127" s="751">
        <f ca="1">-((Geometria!$L$373-(Geometria!$L$373-ER127)*(1-(MIN(MIN(1,MAX(0,(BS127-Geometria!$L$1409/100)/(Geometria!$N$1307/100))),MIN(1,MAX(0,((Geometria!$L$29/100-BS127)-Geometria!$R$1409/100)/(Geometria!$N$1307/100))))))*(IF(OR(Geometria!$K$1409&gt;0,Geometria!$K$1407&gt;0,Geometria!$Q$1409&gt;0,Geometria!$Q$1407&gt;0),1,0))-(Geometria!$L$373-ET127)*(1-(MIN(MIN(1,MAX(0,(BS127-Geometria!$L$1405/100)/(Geometria!$N$1307/100))),MIN(1,MAX(0,((Geometria!$L$29/100-BS127)-Geometria!$R$1405/100)/(Geometria!$N$1307/100))))))*(IF(OR(Geometria!$K$1405&gt;0,Geometria!$K$1403&gt;0,Geometria!$Q$1405&gt;0,Geometria!$Q$1403&gt;0),1,0))))/(Geometria!$L$48/100^2)-((Geometria!$L$374-(Geometria!$L$374-ES127)*(1-(MIN(MIN(1,MAX(0,(BS127-Geometria!$L$1409/100)/(Geometria!$N$1307/100))),MIN(1,MAX(0,((Geometria!$L$29/100-BS127)-Geometria!$R$1409/100)/(Geometria!$N$1307/100))))))*(IF(OR(Geometria!$K$1409&gt;0,Geometria!$K$1407&gt;0,Geometria!$Q$1409&gt;0,Geometria!$Q$1407&gt;0),1,0))-(Geometria!$L$374-EU127)*(1-(MIN(MIN(1,MAX(0,(BS127-Geometria!$L$1405/100)/(Geometria!$N$1307/100))),MIN(1,MAX(0,((Geometria!$L$29/100-BS127)-Geometria!$R$1405/100)/(Geometria!$N$1307/100))))))*(IF(OR(Geometria!$K$1405&gt;0,Geometria!$K$1403&gt;0,Geometria!$Q$1405&gt;0,Geometria!$Q$1403&gt;0),1,0))))/(Geometria!$L$53/100^3)+((Geometria!$N$673)/(Geometria!$L$53/100^3))+((Geometria!$N$684)/(Geometria!$M$53/100^3))+((Geometria!$L$77*Geometria!$N$695)/(Geometria!$M$53/100^3))</f>
        <v>-121.04661667884193</v>
      </c>
      <c r="CA127" s="751"/>
      <c r="CC127" s="373">
        <f ca="1">(Geometria!$L$298-(Geometria!$L$298-IF(BS127&lt;Geometria!$L$1409/100,Geometria!$L$1442,Geometria!$L$1460))*(1-(MIN(MIN(1,MAX(0,(BS127-Geometria!$L$1409/100)/(Geometria!$N$1307/100))),MIN(1,MAX(0,((Geometria!$L$29/100-BS127)-Geometria!$R$1409/100)/(Geometria!$N$1307/100))))))*(IF(OR(Geometria!$K$1409&gt;0,Geometria!$K$1407&gt;0,Geometria!$Q$1409&gt;0,Geometria!$Q$1407&gt;0),1,0))-(Geometria!$L$298-IF(BS127&lt;Geometria!$L$1405/100,Geometria!$L$1444,Geometria!$L$1462))*(1-(MIN(MIN(1,MAX(0,(BS127-Geometria!$L$1405/100)/(Geometria!$N$1307/100))),MIN(1,MAX(0,((Geometria!$L$29/100-BS127)-Geometria!$R$1405/100)/(Geometria!$N$1307/100))))))*(IF(OR(Geometria!$K$1405&gt;0,Geometria!$K$1403&gt;0,Geometria!$Q$1405&gt;0,Geometria!$Q$1403&gt;0),1,0)))*BY127+Geometria!$P$1429*BY104</f>
        <v>579.4739578938005</v>
      </c>
      <c r="CD127" s="373">
        <f ca="1">(Geometria!$L$298-(Geometria!$L$298-IF(BS127&lt;Geometria!$L$1409/100,Geometria!$L$1442,Geometria!$L$1460))*(1-(MIN(MIN(1,MAX(0,(BS127-Geometria!$L$1409/100)/(Geometria!$N$1307/100))),MIN(1,MAX(0,((Geometria!$L$29/100-BS127)-Geometria!$R$1409/100)/(Geometria!$N$1307/100))))))*(IF(OR(Geometria!$K$1409&gt;0,Geometria!$K$1407&gt;0,Geometria!$Q$1409&gt;0,Geometria!$Q$1407&gt;0),1,0))-(Geometria!$L$298-IF(BS127&lt;Geometria!$L$1405/100,Geometria!$L$1444,Geometria!$L$1462))*(1-(MIN(MIN(1,MAX(0,(BS127-Geometria!$L$1405/100)/(Geometria!$N$1307/100))),MIN(1,MAX(0,((Geometria!$L$29/100-BS127)-Geometria!$R$1405/100)/(Geometria!$N$1307/100))))))*(IF(OR(Geometria!$K$1405&gt;0,Geometria!$K$1403&gt;0,Geometria!$Q$1405&gt;0,Geometria!$Q$1403&gt;0),1,0)))*BY127*(Geometria!$L$299-(Geometria!$L$299-IF(BS127&lt;Geometria!$L$1409/100,Geometria!$L$1443,Geometria!$L$1461))*(1-(MIN(MIN(1,MAX(0,(BS127-Geometria!$L$1409/100)/(Geometria!$N$1307/100))),MIN(1,MAX(0,((Geometria!$L$29/100-BS127)-Geometria!$R$1409/100)/(Geometria!$N$1307/100))))))*(IF(OR(Geometria!$K$1409&gt;0,Geometria!$K$1407&gt;0,Geometria!$Q$1409&gt;0,Geometria!$Q$1407&gt;0),1,0))-(Geometria!$L$299-IF(BS127&lt;Geometria!$L$1405/100,Geometria!$L$1445,Geometria!$L$1463))*(1-(MIN(MIN(1,MAX(0,(BS127-Geometria!$L$1405/100)/(Geometria!$N$1307/100))),MIN(1,MAX(0,((Geometria!$L$29/100-BS127)-Geometria!$R$1405/100)/(Geometria!$N$1307/100))))))*(IF(OR(Geometria!$K$1405&gt;0,Geometria!$K$1403&gt;0,Geometria!$Q$1405&gt;0,Geometria!$Q$1403&gt;0),1,0)))/100-Geometria!$P$1429*BY104*Geometria!$L$1438/100</f>
        <v>165.15007799973316</v>
      </c>
      <c r="CE127" s="365"/>
      <c r="CF127" s="371">
        <f ca="1">(IF(BT127="Sim",IF(BR127="Sim",$E$93,EX127),IF(BR127="Sim",EZ127,Geometria!$L$906)))</f>
        <v>749.9028001915608</v>
      </c>
      <c r="CG127" s="371">
        <f ca="1">(IF(BT127="Sim",IF(BR127="Sim",$E$94,EY127),IF(BR127="Sim",FA127,Geometria!$L$907)))</f>
        <v>213.72229805459483</v>
      </c>
      <c r="CI127" s="4" t="s">
        <v>432</v>
      </c>
      <c r="CJ127" s="202">
        <f t="shared" ca="1" si="42"/>
        <v>3050.1720793941604</v>
      </c>
      <c r="CK127" s="38" t="s">
        <v>234</v>
      </c>
      <c r="CL127" s="203">
        <f t="shared" ca="1" si="32"/>
        <v>3.0501720793941605</v>
      </c>
      <c r="CM127" s="38" t="s">
        <v>160</v>
      </c>
      <c r="CN127" s="399">
        <f t="shared" si="43"/>
        <v>0.0</v>
      </c>
      <c r="CO127" s="376" t="str">
        <f>IF(OR(AND(CP127&lt;Geometria!$L$1405/100,Geometria!$K$1405&gt;0),AND((Geometria!$L$29/100-CP127)&lt;Geometria!$R$1405/100,Geometria!$Q$1405&gt;0)),"Sim","Não")</f>
        <v>Sim</v>
      </c>
      <c r="CP127" s="395">
        <f t="shared" si="33"/>
        <v>1.1774999999999998</v>
      </c>
      <c r="CQ127" s="376" t="str">
        <f>IF(OR(AND(CP127&lt;Geometria!$L$1409/100,OR(Geometria!$K$1409&gt;0,Geometria!$K$1407&gt;0)),AND((Geometria!$L$29/100-CP127)&lt;Geometria!$R$1409/100,OR(Geometria!$Q$1409&gt;0,Geometria!$Q$1407&gt;0))),"Sim","Não")</f>
        <v>Não</v>
      </c>
      <c r="CR127" s="122" t="s">
        <v>432</v>
      </c>
      <c r="CS127" s="198" t="str">
        <f ca="1">IF(Geometria!$N$437&lt;Geometria!$N$1308/100,"Reduzir","OK")</f>
        <v>Reduzir</v>
      </c>
      <c r="CT127" s="401">
        <f t="shared" ca="1" si="34"/>
        <v>3050.1720793941604</v>
      </c>
      <c r="CU127" s="403">
        <f ca="1">-(CZ127/(Geometria!$L$48/100^2))-(DA127/(Geometria!$L$53/100^3))+((Geometria!$N$416)/(Geometria!$L$53/100^3))+((Geometria!$N$427)/(Geometria!$M$53/100^3))+((Geometria!$L$76*Geometria!$N$438)/(Geometria!$M$53/100^3))</f>
        <v>3050.1720793941604</v>
      </c>
      <c r="CV127" s="400">
        <f ca="1">(Geometria!$N$368*MIN(1,(Geometria!$N$897*100)/Geometria!$N$1308))</f>
        <v>103.47749248103581</v>
      </c>
      <c r="CW127" s="751">
        <f ca="1">-((Geometria!$L$373-(Geometria!$L$373-ER127)*(1-(MIN(MIN(1,MAX(0,(CP127-Geometria!$L$1409/100)/(Geometria!$N$1307/100))),MIN(1,MAX(0,((Geometria!$L$29/100-CP127)-Geometria!$R$1409/100)/(Geometria!$N$1307/100))))))*(IF(OR(Geometria!$K$1409&gt;0,Geometria!$K$1407&gt;0,Geometria!$Q$1409&gt;0,Geometria!$Q$1407&gt;0),1,0))-(Geometria!$L$373-ET127)*(1-(MIN(MIN(1,MAX(0,(CP127-Geometria!$L$1405/100)/(Geometria!$N$1307/100))),MIN(1,MAX(0,((Geometria!$L$29/100-CP127)-Geometria!$R$1405/100)/(Geometria!$N$1307/100))))))*(IF(OR(Geometria!$K$1405&gt;0,Geometria!$K$1403&gt;0,Geometria!$Q$1405&gt;0,Geometria!$Q$1403&gt;0),1,0))))/(Geometria!$L$48/100^2)-((Geometria!$L$374-(Geometria!$L$374-ES127)*(1-(MIN(MIN(1,MAX(0,(CP127-Geometria!$L$1409/100)/(Geometria!$N$1307/100))),MIN(1,MAX(0,((Geometria!$L$29/100-CP127)-Geometria!$R$1409/100)/(Geometria!$N$1307/100))))))*(IF(OR(Geometria!$K$1409&gt;0,Geometria!$K$1407&gt;0,Geometria!$Q$1409&gt;0,Geometria!$Q$1407&gt;0),1,0))-(Geometria!$L$374-EU127)*(1-(MIN(MIN(1,MAX(0,(CP127-Geometria!$L$1405/100)/(Geometria!$N$1307/100))),MIN(1,MAX(0,((Geometria!$L$29/100-CP127)-Geometria!$R$1405/100)/(Geometria!$N$1307/100))))))*(IF(OR(Geometria!$K$1405&gt;0,Geometria!$K$1403&gt;0,Geometria!$Q$1405&gt;0,Geometria!$Q$1403&gt;0),1,0))))/(Geometria!$L$53/100^3)+((Geometria!$N$673)/(Geometria!$L$53/100^3))+((Geometria!$N$684)/(Geometria!$M$53/100^3))</f>
        <v>-4653.733608182923</v>
      </c>
      <c r="CX127" s="751"/>
      <c r="CZ127" s="373">
        <f ca="1">(IF(CQ127="Sim",IF(CO127="Sim",IF(CP127&lt;Geometria!$L$1405/100,Geometria!$L$1435,Geometria!$L$1476),IF(CP127&lt;Geometria!$L$1409/100,Geometria!$L$1442,Geometria!$L$1460)),IF(CO127="Sim",IF(CP127&lt;Geometria!$L$1405/100,Geometria!$L$1444,Geometria!$L$1462),Geometria!$L$298)))*CV127+Geometria!$P$1429*CV104</f>
        <v>579.4739578938005</v>
      </c>
      <c r="DA127" s="373">
        <f ca="1">(IF(CQ127="Sim",IF(CO127="Sim",IF(CP127&lt;Geometria!$L$1405/100,Geometria!$L$1435,Geometria!$L$1476),IF(CP127&lt;Geometria!$L$1409/100,Geometria!$L$1442,Geometria!$L$1460)),IF(CO127="Sim",IF(CP127&lt;Geometria!$L$1405/100,Geometria!$L$1444,Geometria!$L$1462),Geometria!$L$298)))*CV127*(IF(CQ127="Sim",IF(CO127="Sim",IF(CP127&lt;Geometria!$L$1405/100,Geometria!$L$1436,Geometria!$L$1484),IF(CP127&lt;Geometria!$L$1409/100,Geometria!$L$1443,Geometria!$L$1461)),IF(CO127="Sim",IF(CP127&lt;Geometria!$L$1405/100,Geometria!$L$1445,Geometria!$L$1463),Geometria!$L$299)))/100-Geometria!$P$1429*CV104*Geometria!$L$1438/100</f>
        <v>165.15007799973316</v>
      </c>
      <c r="DB127" s="365"/>
      <c r="DC127" s="371">
        <f ca="1">(IF(CQ127="Sim",IF(CO127="Sim",$E$93,EX127),IF(CO127="Sim",EZ127,Geometria!$L$906)))</f>
        <v>749.9028001915608</v>
      </c>
      <c r="DD127" s="371">
        <f ca="1">(IF(CQ127="Sim",IF(CO127="Sim",$E$94,EY127),IF(CO127="Sim",FA127,Geometria!$L$907)))</f>
        <v>213.72229805459483</v>
      </c>
      <c r="DF127" s="4" t="s">
        <v>432</v>
      </c>
      <c r="DG127" s="202">
        <f t="shared" ca="1" si="44"/>
        <v>3050.1720793941604</v>
      </c>
      <c r="DH127" s="38" t="s">
        <v>234</v>
      </c>
      <c r="DI127" s="203">
        <f t="shared" ca="1" si="35"/>
        <v>3.0501720793941605</v>
      </c>
      <c r="DJ127" s="38" t="s">
        <v>160</v>
      </c>
      <c r="DK127" s="399">
        <f t="shared" si="45"/>
        <v>0.0</v>
      </c>
      <c r="EA127">
        <f ca="1">-L127/('Aberturas na Alma'!$M$112/100^2)-M127/('Aberturas na Alma'!$M$120/100^3)+Geometria!$L$898/('Aberturas na Alma'!$M$120/100^3)</f>
        <v>-15522.3891498421</v>
      </c>
      <c r="EB127">
        <f ca="1">-(IF(C127="Sim",IF(A127="Sim",$E$93,EX127),IF(A127="Sim",EZ127,Geometria!$L$906)))/('Aberturas na Alma'!$M$112/100^2)-(IF(C127="Sim",IF(A127="Sim",$E$94,EY127),IF(A127="Sim",FA127,Geometria!$L$907)))/('Aberturas na Alma'!$M$120/100^3)+Geometria!$N$898/('Aberturas na Alma'!$M$120/100^3)</f>
        <v>-16242.603416991906</v>
      </c>
      <c r="EC127">
        <f ca="1">IF(AND('Aberturas na Alma'!$M$18="NÃO DISPENSADO — furo deve ser verificado (cálculo abaixo)",OR(AND(B127&gt;=('Aberturas na Alma'!$M$4-'Aberturas na Alma'!$M$7/2)/100,B127&lt;=('Aberturas na Alma'!$M$4+'Aberturas na Alma'!$M$7/2)/100),ABS(B127-'Aberturas na Alma'!$M$4/100)&lt;=Geometria!$L$29/4000)),IF(E127="Reduzir",EA127,EB127),F127)</f>
        <v>-14272.179794506716</v>
      </c>
      <c r="ED127">
        <f ca="1">-(AI127/('Aberturas na Alma'!$M$112/100^2))-(AJ127/('Aberturas na Alma'!$M$120/100^3))+((Geometria!$N$416)/('Aberturas na Alma'!$M$120/100^3))+((Geometria!$N$427)/('Aberturas na Alma'!$M$120/100^3))+((Geometria!$L$76*Geometria!$N$438)/('Aberturas na Alma'!$M$120/100^3))</f>
        <v>15066.36018053161</v>
      </c>
      <c r="EE127">
        <f ca="1">-((IF(Z127="Sim",IF(X127="Sim",$AB$93,ER127),IF(X127="Sim",ET127,Geometria!$L$373)))/('Aberturas na Alma'!$M$112/100^2))-((IF(Z127="Sim",IF(X127="Sim",$AB$94,ES127),IF(X127="Sim",EU127,Geometria!$L$374)))/('Aberturas na Alma'!$M$120/100^3))+((Geometria!$N$416)/('Aberturas na Alma'!$M$120/100^3))+((Geometria!$N$427)/('Aberturas na Alma'!$M$120/100^3))+((Geometria!$L$76*Geometria!$N$438)/('Aberturas na Alma'!$M$120/100^3))</f>
        <v>14084.612362766678</v>
      </c>
      <c r="EF127" s="371">
        <f ca="1">IF(AND('Aberturas na Alma'!$M$18="NÃO DISPENSADO — furo deve ser verificado (cálculo abaixo)",OR(AND(B127&gt;=('Aberturas na Alma'!$M$4-'Aberturas na Alma'!$M$7/2)/100,B127&lt;=('Aberturas na Alma'!$M$4+'Aberturas na Alma'!$M$7/2)/100),ABS(B127-'Aberturas na Alma'!$M$4/100)&lt;=Geometria!$L$29/4000)),IF(AB127="Reduzir",ED127,EE127),AC127)</f>
        <v>3050.1720793941604</v>
      </c>
      <c r="EG127">
        <f ca="1">-(BF127/('Aberturas na Alma'!$M$112/100^2))-(BG127/('Aberturas na Alma'!$M$120/100^3))+((Geometria!$N$416)/('Aberturas na Alma'!$M$120/100^3))+((Geometria!$N$427)/('Aberturas na Alma'!$M$120/100^3))+((Geometria!$L$76*Geometria!$N$438)/('Aberturas na Alma'!$M$120/100^3))</f>
        <v>15066.36018053161</v>
      </c>
      <c r="EH127">
        <f ca="1">-((IF(AW127="Sim",IF(AU127="Sim",$AB$93,ER127),IF(AU127="Sim",ET127,Geometria!$L$373)))/('Aberturas na Alma'!$M$112/100^2))-((IF(AW127="Sim",IF(AU127="Sim",$AB$94,ES127),IF(AU127="Sim",EU127,Geometria!$L$374)))/('Aberturas na Alma'!$M$120/100^3))+((Geometria!$N$416)/('Aberturas na Alma'!$M$120/100^3))+((Geometria!$N$427)/('Aberturas na Alma'!$M$120/100^3))</f>
        <v>-4983.60145092477</v>
      </c>
      <c r="EI127" s="371">
        <f ca="1">IF(AND('Aberturas na Alma'!$M$18="NÃO DISPENSADO — furo deve ser verificado (cálculo abaixo)",OR(AND(B127&gt;=('Aberturas na Alma'!$M$4-'Aberturas na Alma'!$M$7/2)/100,B127&lt;=('Aberturas na Alma'!$M$4+'Aberturas na Alma'!$M$7/2)/100),ABS(B127-'Aberturas na Alma'!$M$4/100)&lt;=Geometria!$L$29/4000)),IF(AY127="Reduzir",EG127,EH127),AZ127)</f>
        <v>3050.1720793941604</v>
      </c>
      <c r="EJ127">
        <f ca="1">-(CC127/('Aberturas na Alma'!$M$112/100^2))-(CD127/('Aberturas na Alma'!$M$120/100^3))+((Geometria!$N$416)/('Aberturas na Alma'!$M$120/100^3))+((Geometria!$N$427)/('Aberturas na Alma'!$M$120/100^3))+((Geometria!$L$76*Geometria!$N$438)/('Aberturas na Alma'!$M$120/100^3))</f>
        <v>15066.36018053161</v>
      </c>
      <c r="EK127">
        <f ca="1">-((IF(BT127="Sim",IF(BR127="Sim",$AB$93,ER127),IF(BR127="Sim",ET127,Geometria!$L$373)))/('Aberturas na Alma'!$M$112/100^2))-((IF(BT127="Sim",IF(BR127="Sim",$AB$94,ES127),IF(BR127="Sim",EU127,Geometria!$L$374)))/('Aberturas na Alma'!$M$120/100^3))+((Geometria!$N$673)/('Aberturas na Alma'!$M$120/100^3))+((Geometria!$N$684)/('Aberturas na Alma'!$M$120/100^3))+((Geometria!$L$77*Geometria!$N$695)/('Aberturas na Alma'!$M$120/100^3))</f>
        <v>7728.541091536196</v>
      </c>
      <c r="EL127" s="371">
        <f ca="1">IF(AND('Aberturas na Alma'!$M$18="NÃO DISPENSADO — furo deve ser verificado (cálculo abaixo)",OR(AND(B127&gt;=('Aberturas na Alma'!$M$4-'Aberturas na Alma'!$M$7/2)/100,B127&lt;=('Aberturas na Alma'!$M$4+'Aberturas na Alma'!$M$7/2)/100),ABS(B127-'Aberturas na Alma'!$M$4/100)&lt;=Geometria!$L$29/4000)),IF(BV127="Reduzir",EJ127,EK127),BW127)</f>
        <v>3050.1720793941604</v>
      </c>
      <c r="EM127">
        <f ca="1">-(CZ127/('Aberturas na Alma'!$M$112/100^2))-(DA127/('Aberturas na Alma'!$M$120/100^3))+((Geometria!$N$416)/('Aberturas na Alma'!$M$120/100^3))+((Geometria!$N$427)/('Aberturas na Alma'!$M$120/100^3))+((Geometria!$L$76*Geometria!$N$438)/('Aberturas na Alma'!$M$120/100^3))</f>
        <v>15066.36018053161</v>
      </c>
      <c r="EN127">
        <f ca="1">-((IF(CQ127="Sim",IF(CO127="Sim",$AB$93,ER127),IF(CO127="Sim",ET127,Geometria!$L$373)))/('Aberturas na Alma'!$M$112/100^2))-((IF(CQ127="Sim",IF(CO127="Sim",$AB$94,ES127),IF(CO127="Sim",EU127,Geometria!$L$374)))/('Aberturas na Alma'!$M$120/100^3))+((Geometria!$N$673)/('Aberturas na Alma'!$M$120/100^3))+((Geometria!$N$684)/('Aberturas na Alma'!$M$120/100^3))</f>
        <v>-4983.60145092477</v>
      </c>
      <c r="EO127" s="371">
        <f ca="1">IF(AND('Aberturas na Alma'!$M$18="NÃO DISPENSADO — furo deve ser verificado (cálculo abaixo)",OR(AND(B127&gt;=('Aberturas na Alma'!$M$4-'Aberturas na Alma'!$M$7/2)/100,B127&lt;=('Aberturas na Alma'!$M$4+'Aberturas na Alma'!$M$7/2)/100),ABS(B127-'Aberturas na Alma'!$M$4/100)&lt;=Geometria!$L$29/4000)),IF(CS127="Reduzir",EM127,EN127),CT127)</f>
        <v>3050.1720793941604</v>
      </c>
      <c r="EP127" t="str">
        <f>IF(AND(Y127&lt;Geometria!$L$1409/100,OR(Geometria!$K$1409&gt;0,Geometria!$K$1407&gt;0)),"ESQ",IF(AND((Geometria!$L$29/100-Y127)&lt;Geometria!$R$1409/100,OR(Geometria!$Q$1409&gt;0,Geometria!$Q$1407&gt;0)),"DIR","N/A"))</f>
        <v>N/A</v>
      </c>
      <c r="EQ127" t="str">
        <f>IF(AND(Y127&lt;Geometria!$L$1405/100,Geometria!$K$1405&gt;0),"ESQ",IF(AND((Geometria!$L$29/100-Y127)&lt;Geometria!$R$1405/100,Geometria!$Q$1405&gt;0),"DIR","N/A"))</f>
        <v>ESQ</v>
      </c>
      <c r="ER127">
        <f ca="1">IF(EP127="DIR",Geometria!$L$1470,Geometria!$L$1452)</f>
        <v>1243.5596228306003</v>
      </c>
      <c r="ES127">
        <f ca="1">IF(EP127="DIR",Geometria!$L$1471,Geometria!$L$1453)</f>
        <v>233.16742928073757</v>
      </c>
      <c r="ET127">
        <f ca="1">IF(EQ127="DIR",Geometria!$L$1472,Geometria!$L$1454)</f>
        <v>621.7798114153002</v>
      </c>
      <c r="EU127">
        <f ca="1">IF(EQ127="DIR",Geometria!$L$1473,Geometria!$L$1455)</f>
        <v>177.20724625336052</v>
      </c>
      <c r="EV127" t="str">
        <f>IF(AND(B127&lt;Geometria!$L$1409/100,OR(Geometria!$K$1409&gt;0,Geometria!$K$1407&gt;0)),"ESQ",IF(AND((Geometria!$L$29/100-B127)&lt;Geometria!$R$1409/100,OR(Geometria!$Q$1409&gt;0,Geometria!$Q$1407&gt;0)),"DIR","N/A"))</f>
        <v>N/A</v>
      </c>
      <c r="EW127" t="str">
        <f>IF(AND(B127&lt;Geometria!$L$1405/100,Geometria!$K$1405&gt;0),"ESQ",IF(AND((Geometria!$L$29/100-B127)&lt;Geometria!$R$1405/100,Geometria!$Q$1405&gt;0),"DIR","N/A"))</f>
        <v>ESQ</v>
      </c>
      <c r="EX127">
        <f ca="1">IF(EV127="DIR",Geometria!$L$1465,Geometria!$L$1447)</f>
        <v>1499.8056003831216</v>
      </c>
      <c r="EY127">
        <f ca="1">IF(EV127="DIR",Geometria!$L$1466,Geometria!$L$1448)</f>
        <v>281.2135500718353</v>
      </c>
      <c r="EZ127">
        <f ca="1">IF(EW127="DIR",Geometria!$L$1467,Geometria!$L$1449)</f>
        <v>749.9028001915608</v>
      </c>
      <c r="FA127">
        <f ca="1">IF(EW127="DIR",Geometria!$L$1468,Geometria!$L$1450)</f>
        <v>213.72229805459483</v>
      </c>
    </row>
    <row r="128" spans="1:157" x14ac:dyDescent="0.25">
      <c r="A128" s="376" t="str">
        <f>IF(OR(AND(B128&lt;Geometria!$L$1405/100,Geometria!$K$1405&gt;0),AND((Geometria!$L$29/100-B128)&lt;Geometria!$R$1405/100,Geometria!$Q$1405&gt;0)),"Sim","Não")</f>
        <v>Sim</v>
      </c>
      <c r="B128" s="395">
        <f t="shared" si="21"/>
        <v>1.5699999999999998</v>
      </c>
      <c r="C128" s="376" t="str">
        <f>IF(OR(AND(B128&lt;Geometria!$L$1409/100,OR(Geometria!$K$1409&gt;0,Geometria!$K$1407&gt;0)),AND((Geometria!$L$29/100-B128)&lt;Geometria!$R$1409/100,OR(Geometria!$Q$1409&gt;0,Geometria!$Q$1407&gt;0))),"Sim","Não")</f>
        <v>Não</v>
      </c>
      <c r="D128" s="122" t="s">
        <v>433</v>
      </c>
      <c r="E128" s="198" t="str">
        <f ca="1">IF(Geometria!$O$437&lt;Geometria!$N$1308/100,"Reduzir","OK")</f>
        <v>OK</v>
      </c>
      <c r="F128" s="396">
        <f t="shared" ca="1" si="22"/>
        <v>-14581.188504097274</v>
      </c>
      <c r="G128" s="397">
        <f ca="1">-L128/(Geometria!$L$48/100^2)-M128/(Geometria!$L$53/100^3)+Geometria!$L$898/(Geometria!$L$53/100^3)</f>
        <v>-19173.893810210346</v>
      </c>
      <c r="H128" s="400">
        <f ca="1">(((IF(C128="Sim",$N$47,Geometria!$L$324))*(Geometria!$O$897*100))/Geometria!$N$1308)</f>
        <v>163.69360349288556</v>
      </c>
      <c r="I128" s="743">
        <f ca="1">-(Geometria!$L$906-(Geometria!$L$906-EX128)*(1-(MIN(MIN(1,MAX(0,(B128-Geometria!$L$1409/100)/(Geometria!$N$1307/100))),MIN(1,MAX(0,((Geometria!$L$29/100-B128)-Geometria!$R$1409/100)/(Geometria!$N$1307/100))))))*(IF(OR(Geometria!$K$1409&gt;0,Geometria!$K$1407&gt;0,Geometria!$Q$1409&gt;0,Geometria!$Q$1407&gt;0),1,0))-(Geometria!$L$906-EZ128)*(1-(MIN(MIN(1,MAX(0,(B128-Geometria!$L$1405/100)/(Geometria!$N$1307/100))),MIN(1,MAX(0,((Geometria!$L$29/100-B128)-Geometria!$R$1405/100)/(Geometria!$N$1307/100))))))*(IF(OR(Geometria!$K$1405&gt;0,Geometria!$K$1403&gt;0,Geometria!$Q$1405&gt;0,Geometria!$Q$1403&gt;0),1,0)))/(Geometria!$L$48/100^2)-(Geometria!$L$907-(Geometria!$L$907-EY128)*(1-(MIN(MIN(1,MAX(0,(B128-Geometria!$L$1409/100)/(Geometria!$N$1307/100))),MIN(1,MAX(0,((Geometria!$L$29/100-B128)-Geometria!$R$1409/100)/(Geometria!$N$1307/100))))))*(IF(OR(Geometria!$K$1409&gt;0,Geometria!$K$1407&gt;0,Geometria!$Q$1409&gt;0,Geometria!$Q$1407&gt;0),1,0))-(Geometria!$L$907-FA128)*(1-(MIN(MIN(1,MAX(0,(B128-Geometria!$L$1405/100)/(Geometria!$N$1307/100))),MIN(1,MAX(0,((Geometria!$L$29/100-B128)-Geometria!$R$1405/100)/(Geometria!$N$1307/100))))))*(IF(OR(Geometria!$K$1405&gt;0,Geometria!$K$1403&gt;0,Geometria!$Q$1405&gt;0,Geometria!$Q$1403&gt;0),1,0)))/(Geometria!$L$53/100^3)+Geometria!$O$898/(Geometria!$L$53/100^3)</f>
        <v>-14581.188504097274</v>
      </c>
      <c r="J128" s="743"/>
      <c r="L128" s="373">
        <f ca="1">(Geometria!$L$298-(Geometria!$L$298-IF(B128&lt;Geometria!$L$1409/100,Geometria!$L$1442,Geometria!$L$1460))*(1-(MIN(MIN(1,MAX(0,(B128-Geometria!$L$1409/100)/(Geometria!$N$1307/100))),MIN(1,MAX(0,((Geometria!$L$29/100-B128)-Geometria!$R$1409/100)/(Geometria!$N$1307/100))))))*(IF(OR(Geometria!$K$1409&gt;0,Geometria!$K$1407&gt;0,Geometria!$Q$1409&gt;0,Geometria!$Q$1407&gt;0),1,0))-(Geometria!$L$298-IF(B128&lt;Geometria!$L$1405/100,Geometria!$L$1444,Geometria!$L$1462))*(1-(MIN(MIN(1,MAX(0,(B128-Geometria!$L$1405/100)/(Geometria!$N$1307/100))),MIN(1,MAX(0,((Geometria!$L$29/100-B128)-Geometria!$R$1405/100)/(Geometria!$N$1307/100))))))*(IF(OR(Geometria!$K$1405&gt;0,Geometria!$K$1403&gt;0,Geometria!$Q$1405&gt;0,Geometria!$Q$1403&gt;0),1,0)))*H128+Geometria!$P$1429*H105</f>
        <v>916.684179560159</v>
      </c>
      <c r="M128" s="373">
        <f ca="1">(Geometria!$L$298-(Geometria!$L$298-IF(B128&lt;Geometria!$L$1409/100,Geometria!$L$1442,Geometria!$L$1460))*(1-(MIN(MIN(1,MAX(0,(B128-Geometria!$L$1409/100)/(Geometria!$N$1307/100))),MIN(1,MAX(0,((Geometria!$L$29/100-B128)-Geometria!$R$1409/100)/(Geometria!$N$1307/100))))))*(IF(OR(Geometria!$K$1409&gt;0,Geometria!$K$1407&gt;0,Geometria!$Q$1409&gt;0,Geometria!$Q$1407&gt;0),1,0))-(Geometria!$L$298-IF(B128&lt;Geometria!$L$1405/100,Geometria!$L$1444,Geometria!$L$1462))*(1-(MIN(MIN(1,MAX(0,(B128-Geometria!$L$1405/100)/(Geometria!$N$1307/100))),MIN(1,MAX(0,((Geometria!$L$29/100-B128)-Geometria!$R$1405/100)/(Geometria!$N$1307/100))))))*(IF(OR(Geometria!$K$1405&gt;0,Geometria!$K$1403&gt;0,Geometria!$Q$1405&gt;0,Geometria!$Q$1403&gt;0),1,0)))*H128*(Geometria!$L$299-(Geometria!$L$299-IF(B128&lt;Geometria!$L$1409/100,Geometria!$L$1443,Geometria!$L$1461))*(1-(MIN(MIN(1,MAX(0,(B128-Geometria!$L$1409/100)/(Geometria!$N$1307/100))),MIN(1,MAX(0,((Geometria!$L$29/100-B128)-Geometria!$R$1409/100)/(Geometria!$N$1307/100))))))*(IF(OR(Geometria!$K$1409&gt;0,Geometria!$K$1407&gt;0,Geometria!$Q$1409&gt;0,Geometria!$Q$1407&gt;0),1,0))-(Geometria!$L$299-IF(B128&lt;Geometria!$L$1405/100,Geometria!$L$1445,Geometria!$L$1463))*(1-(MIN(MIN(1,MAX(0,(B128-Geometria!$L$1405/100)/(Geometria!$N$1307/100))),MIN(1,MAX(0,((Geometria!$L$29/100-B128)-Geometria!$R$1405/100)/(Geometria!$N$1307/100))))))*(IF(OR(Geometria!$K$1405&gt;0,Geometria!$K$1403&gt;0,Geometria!$Q$1405&gt;0,Geometria!$Q$1403&gt;0),1,0)))/100-Geometria!$P$1429*H105*Geometria!$L$1438/100</f>
        <v>261.25499117464534</v>
      </c>
      <c r="N128" s="365"/>
      <c r="O128" s="371">
        <f ca="1">(IF(C128="Sim",IF(A128="Sim",$E$93,EX128),IF(A128="Sim",EZ128,Geometria!$L$906)))</f>
        <v>749.9028001915608</v>
      </c>
      <c r="P128" s="371">
        <f ca="1">(IF(C128="Sim",IF(A128="Sim",$E$94,EY128),IF(A128="Sim",FA128,Geometria!$L$907)))</f>
        <v>213.72229805459483</v>
      </c>
      <c r="R128" s="4" t="s">
        <v>433</v>
      </c>
      <c r="S128" s="202">
        <f t="shared" ca="1" si="36"/>
        <v>-14581.188504097274</v>
      </c>
      <c r="T128" s="38" t="s">
        <v>234</v>
      </c>
      <c r="U128" s="203">
        <f t="shared" ca="1" si="23"/>
        <v>-14.581188504097273</v>
      </c>
      <c r="V128" s="38" t="s">
        <v>160</v>
      </c>
      <c r="W128" s="399">
        <f t="shared" si="37"/>
        <v>0.0</v>
      </c>
      <c r="X128" s="376" t="str">
        <f>IF(OR(AND(Y128&lt;Geometria!$L$1405/100,Geometria!$K$1405&gt;0),AND((Geometria!$L$29/100-Y128)&lt;Geometria!$R$1405/100,Geometria!$Q$1405&gt;0)),"Sim","Não")</f>
        <v>Sim</v>
      </c>
      <c r="Y128" s="395">
        <f t="shared" si="24"/>
        <v>1.5699999999999998</v>
      </c>
      <c r="Z128" s="376" t="str">
        <f>IF(OR(AND(Y128&lt;Geometria!$L$1409/100,OR(Geometria!$K$1409&gt;0,Geometria!$K$1407&gt;0)),AND((Geometria!$L$29/100-Y128)&lt;Geometria!$R$1409/100,OR(Geometria!$Q$1409&gt;0,Geometria!$Q$1407&gt;0))),"Sim","Não")</f>
        <v>Não</v>
      </c>
      <c r="AA128" s="122" t="s">
        <v>433</v>
      </c>
      <c r="AB128" s="198" t="str">
        <f ca="1">IF(Geometria!$O$437&lt;Geometria!$N$1308/100,"Reduzir","OK")</f>
        <v>OK</v>
      </c>
      <c r="AC128" s="401">
        <f t="shared" ca="1" si="25"/>
        <v>6082.124140333226</v>
      </c>
      <c r="AD128" s="403">
        <f ca="1">-(AI128/(Geometria!$L$48/100^2))-(AJ128/(Geometria!$L$53/100^3))+((Geometria!$O$416)/(Geometria!$L$53/100^3))+((Geometria!$O$427)/(Geometria!$M$53/100^3))+((Geometria!$L$76*Geometria!$O$438)/(Geometria!$M$53/100^3))</f>
        <v>6082.124140333226</v>
      </c>
      <c r="AE128" s="400">
        <f ca="1">(Geometria!$N$368*MIN(1,(Geometria!$O$897*100)/Geometria!$N$1308))</f>
        <v>111.03210918130361</v>
      </c>
      <c r="AF128" s="751">
        <f ca="1">-((Geometria!$L$373-(Geometria!$L$373-ER128)*(1-(MIN(MIN(1,MAX(0,(Y128-Geometria!$L$1409/100)/(Geometria!$N$1307/100))),MIN(1,MAX(0,((Geometria!$L$29/100-Y128)-Geometria!$R$1409/100)/(Geometria!$N$1307/100))))))*(IF(OR(Geometria!$K$1409&gt;0,Geometria!$K$1407&gt;0,Geometria!$Q$1409&gt;0,Geometria!$Q$1407&gt;0),1,0))-(Geometria!$L$373-ET128)*(1-(MIN(MIN(1,MAX(0,(Y128-Geometria!$L$1405/100)/(Geometria!$N$1307/100))),MIN(1,MAX(0,((Geometria!$L$29/100-Y128)-Geometria!$R$1405/100)/(Geometria!$N$1307/100))))))*(IF(OR(Geometria!$K$1405&gt;0,Geometria!$K$1403&gt;0,Geometria!$Q$1405&gt;0,Geometria!$Q$1403&gt;0),1,0))))/(Geometria!$L$48/100^2)-((Geometria!$L$374-(Geometria!$L$374-ES128)*(1-(MIN(MIN(1,MAX(0,(Y128-Geometria!$L$1409/100)/(Geometria!$N$1307/100))),MIN(1,MAX(0,((Geometria!$L$29/100-Y128)-Geometria!$R$1409/100)/(Geometria!$N$1307/100))))))*(IF(OR(Geometria!$K$1409&gt;0,Geometria!$K$1407&gt;0,Geometria!$Q$1409&gt;0,Geometria!$Q$1407&gt;0),1,0))-(Geometria!$L$374-EU128)*(1-(MIN(MIN(1,MAX(0,(Y128-Geometria!$L$1405/100)/(Geometria!$N$1307/100))),MIN(1,MAX(0,((Geometria!$L$29/100-Y128)-Geometria!$R$1405/100)/(Geometria!$N$1307/100))))))*(IF(OR(Geometria!$K$1405&gt;0,Geometria!$K$1403&gt;0,Geometria!$Q$1405&gt;0,Geometria!$Q$1403&gt;0),1,0))))/(Geometria!$L$53/100^3)+((Geometria!$O$416)/(Geometria!$L$53/100^3))+((Geometria!$O$427)/(Geometria!$M$53/100^3))+((Geometria!$L$76*Geometria!$O$438)/(Geometria!$M$53/100^3))</f>
        <v>6082.124140333226</v>
      </c>
      <c r="AG128" s="751"/>
      <c r="AI128" s="373">
        <f ca="1">(IF(Z128="Sim",IF(X128="Sim",IF(Y128&lt;Geometria!$L$1405/100,Geometria!$L$1435,Geometria!$L$1476),IF(Y128&lt;Geometria!$L$1409/100,Geometria!$L$1442,Geometria!$L$1460)),IF(X128="Sim",IF(Y128&lt;Geometria!$L$1405/100,Geometria!$L$1444,Geometria!$L$1462),Geometria!$L$298)))*AE128+Geometria!$P$1429*AE105</f>
        <v>621.7798114153002</v>
      </c>
      <c r="AJ128" s="373">
        <f ca="1">(IF(Z128="Sim",IF(X128="Sim",IF(Y128&lt;Geometria!$L$1405/100,Geometria!$L$1435,Geometria!$L$1476),IF(Y128&lt;Geometria!$L$1409/100,Geometria!$L$1442,Geometria!$L$1460)),IF(X128="Sim",IF(Y128&lt;Geometria!$L$1405/100,Geometria!$L$1444,Geometria!$L$1462),Geometria!$L$298)))*AE128*(IF(Z128="Sim",IF(X128="Sim",IF(Y128&lt;Geometria!$L$1405/100,Geometria!$L$1436,Geometria!$L$1484),IF(Y128&lt;Geometria!$L$1409/100,Geometria!$L$1443,Geometria!$L$1461)),IF(X128="Sim",IF(Y128&lt;Geometria!$L$1405/100,Geometria!$L$1445,Geometria!$L$1463),Geometria!$L$299)))/100-Geometria!$P$1429*AE105*Geometria!$L$1438/100</f>
        <v>177.20724625336052</v>
      </c>
      <c r="AK128" s="365"/>
      <c r="AL128" s="371">
        <f ca="1">(IF(Z128="Sim",IF(X128="Sim",$E$93,EX128),IF(X128="Sim",EZ128,Geometria!$L$906)))</f>
        <v>749.9028001915608</v>
      </c>
      <c r="AM128" s="371">
        <f ca="1">(IF(Z128="Sim",IF(X128="Sim",$E$94,EY128),IF(X128="Sim",FA128,Geometria!$L$907)))</f>
        <v>213.72229805459483</v>
      </c>
      <c r="AO128" s="4" t="s">
        <v>433</v>
      </c>
      <c r="AP128" s="202">
        <f t="shared" ca="1" si="38"/>
        <v>6082.124140333226</v>
      </c>
      <c r="AQ128" s="38" t="s">
        <v>234</v>
      </c>
      <c r="AR128" s="203">
        <f t="shared" ca="1" si="26"/>
        <v>6.082124140333226</v>
      </c>
      <c r="AS128" s="38" t="s">
        <v>160</v>
      </c>
      <c r="AT128" s="399">
        <f t="shared" si="39"/>
        <v>0.0</v>
      </c>
      <c r="AU128" s="376" t="str">
        <f>IF(OR(AND(AV128&lt;Geometria!$L$1405/100,Geometria!$K$1405&gt;0),AND((Geometria!$L$29/100-AV128)&lt;Geometria!$R$1405/100,Geometria!$Q$1405&gt;0)),"Sim","Não")</f>
        <v>Sim</v>
      </c>
      <c r="AV128" s="395">
        <f t="shared" si="27"/>
        <v>1.5699999999999998</v>
      </c>
      <c r="AW128" s="376" t="str">
        <f>IF(OR(AND(AV128&lt;Geometria!$L$1409/100,OR(Geometria!$K$1409&gt;0,Geometria!$K$1407&gt;0)),AND((Geometria!$L$29/100-AV128)&lt;Geometria!$R$1409/100,OR(Geometria!$Q$1409&gt;0,Geometria!$Q$1407&gt;0))),"Sim","Não")</f>
        <v>Não</v>
      </c>
      <c r="AX128" s="122" t="s">
        <v>433</v>
      </c>
      <c r="AY128" s="198" t="str">
        <f ca="1">IF(Geometria!$O$437&lt;Geometria!$N$1308/100,"Reduzir","OK")</f>
        <v>OK</v>
      </c>
      <c r="AZ128" s="401">
        <f t="shared" ca="1" si="28"/>
        <v>-2449.9925495568073</v>
      </c>
      <c r="BA128" s="403">
        <f ca="1">-(BF128/(Geometria!$L$48/100^2))-(BG128/(Geometria!$L$53/100^3))+((Geometria!$O$416)/(Geometria!$L$53/100^3))+((Geometria!$O$427)/(Geometria!$M$53/100^3))+((Geometria!$L$76*Geometria!$O$438)/(Geometria!$M$53/100^3))</f>
        <v>6082.124140333226</v>
      </c>
      <c r="BB128" s="400">
        <f ca="1">(Geometria!$N$368*MIN(1,(Geometria!$O$897*100)/Geometria!$N$1308))</f>
        <v>111.03210918130361</v>
      </c>
      <c r="BC128" s="751">
        <f ca="1">-((Geometria!$L$373-(Geometria!$L$373-ER128)*(1-(MIN(MIN(1,MAX(0,(AV128-Geometria!$L$1409/100)/(Geometria!$N$1307/100))),MIN(1,MAX(0,((Geometria!$L$29/100-AV128)-Geometria!$R$1409/100)/(Geometria!$N$1307/100))))))*(IF(OR(Geometria!$K$1409&gt;0,Geometria!$K$1407&gt;0,Geometria!$Q$1409&gt;0,Geometria!$Q$1407&gt;0),1,0))-(Geometria!$L$373-ET128)*(1-(MIN(MIN(1,MAX(0,(AV128-Geometria!$L$1405/100)/(Geometria!$N$1307/100))),MIN(1,MAX(0,((Geometria!$L$29/100-AV128)-Geometria!$R$1405/100)/(Geometria!$N$1307/100))))))*(IF(OR(Geometria!$K$1405&gt;0,Geometria!$K$1403&gt;0,Geometria!$Q$1405&gt;0,Geometria!$Q$1403&gt;0),1,0))))/(Geometria!$L$48/100^2)-((Geometria!$L$374-(Geometria!$L$374-ES128)*(1-(MIN(MIN(1,MAX(0,(AV128-Geometria!$L$1409/100)/(Geometria!$N$1307/100))),MIN(1,MAX(0,((Geometria!$L$29/100-AV128)-Geometria!$R$1409/100)/(Geometria!$N$1307/100))))))*(IF(OR(Geometria!$K$1409&gt;0,Geometria!$K$1407&gt;0,Geometria!$Q$1409&gt;0,Geometria!$Q$1407&gt;0),1,0))-(Geometria!$L$374-EU128)*(1-(MIN(MIN(1,MAX(0,(AV128-Geometria!$L$1405/100)/(Geometria!$N$1307/100))),MIN(1,MAX(0,((Geometria!$L$29/100-AV128)-Geometria!$R$1405/100)/(Geometria!$N$1307/100))))))*(IF(OR(Geometria!$K$1405&gt;0,Geometria!$K$1403&gt;0,Geometria!$Q$1405&gt;0,Geometria!$Q$1403&gt;0),1,0))))/(Geometria!$L$53/100^3)+((Geometria!$O$416)/(Geometria!$L$53/100^3))+((Geometria!$O$427)/(Geometria!$M$53/100^3))</f>
        <v>-2449.9925495568073</v>
      </c>
      <c r="BD128" s="751"/>
      <c r="BF128" s="373">
        <f ca="1">(Geometria!$L$298-(Geometria!$L$298-IF(AV128&lt;Geometria!$L$1409/100,Geometria!$L$1442,Geometria!$L$1460))*(1-(MIN(MIN(1,MAX(0,(AV128-Geometria!$L$1409/100)/(Geometria!$N$1307/100))),MIN(1,MAX(0,((Geometria!$L$29/100-AV128)-Geometria!$R$1409/100)/(Geometria!$N$1307/100))))))*(IF(OR(Geometria!$K$1409&gt;0,Geometria!$K$1407&gt;0,Geometria!$Q$1409&gt;0,Geometria!$Q$1407&gt;0),1,0))-(Geometria!$L$298-IF(AV128&lt;Geometria!$L$1405/100,Geometria!$L$1444,Geometria!$L$1462))*(1-(MIN(MIN(1,MAX(0,(AV128-Geometria!$L$1405/100)/(Geometria!$N$1307/100))),MIN(1,MAX(0,((Geometria!$L$29/100-AV128)-Geometria!$R$1405/100)/(Geometria!$N$1307/100))))))*(IF(OR(Geometria!$K$1405&gt;0,Geometria!$K$1403&gt;0,Geometria!$Q$1405&gt;0,Geometria!$Q$1403&gt;0),1,0)))*BB128+Geometria!$P$1429*BB105</f>
        <v>621.7798114153002</v>
      </c>
      <c r="BG128" s="373">
        <f ca="1">(Geometria!$L$298-(Geometria!$L$298-IF(AV128&lt;Geometria!$L$1409/100,Geometria!$L$1442,Geometria!$L$1460))*(1-(MIN(MIN(1,MAX(0,(AV128-Geometria!$L$1409/100)/(Geometria!$N$1307/100))),MIN(1,MAX(0,((Geometria!$L$29/100-AV128)-Geometria!$R$1409/100)/(Geometria!$N$1307/100))))))*(IF(OR(Geometria!$K$1409&gt;0,Geometria!$K$1407&gt;0,Geometria!$Q$1409&gt;0,Geometria!$Q$1407&gt;0),1,0))-(Geometria!$L$298-IF(AV128&lt;Geometria!$L$1405/100,Geometria!$L$1444,Geometria!$L$1462))*(1-(MIN(MIN(1,MAX(0,(AV128-Geometria!$L$1405/100)/(Geometria!$N$1307/100))),MIN(1,MAX(0,((Geometria!$L$29/100-AV128)-Geometria!$R$1405/100)/(Geometria!$N$1307/100))))))*(IF(OR(Geometria!$K$1405&gt;0,Geometria!$K$1403&gt;0,Geometria!$Q$1405&gt;0,Geometria!$Q$1403&gt;0),1,0)))*BB128*(Geometria!$L$299-(Geometria!$L$299-IF(AV128&lt;Geometria!$L$1409/100,Geometria!$L$1443,Geometria!$L$1461))*(1-(MIN(MIN(1,MAX(0,(AV128-Geometria!$L$1409/100)/(Geometria!$N$1307/100))),MIN(1,MAX(0,((Geometria!$L$29/100-AV128)-Geometria!$R$1409/100)/(Geometria!$N$1307/100))))))*(IF(OR(Geometria!$K$1409&gt;0,Geometria!$K$1407&gt;0,Geometria!$Q$1409&gt;0,Geometria!$Q$1407&gt;0),1,0))-(Geometria!$L$299-IF(AV128&lt;Geometria!$L$1405/100,Geometria!$L$1445,Geometria!$L$1463))*(1-(MIN(MIN(1,MAX(0,(AV128-Geometria!$L$1405/100)/(Geometria!$N$1307/100))),MIN(1,MAX(0,((Geometria!$L$29/100-AV128)-Geometria!$R$1405/100)/(Geometria!$N$1307/100))))))*(IF(OR(Geometria!$K$1405&gt;0,Geometria!$K$1403&gt;0,Geometria!$Q$1405&gt;0,Geometria!$Q$1403&gt;0),1,0)))/100-Geometria!$P$1429*BB105*Geometria!$L$1438/100</f>
        <v>177.20724625336052</v>
      </c>
      <c r="BH128" s="365"/>
      <c r="BI128" s="371">
        <f ca="1">(IF(AW128="Sim",IF(AU128="Sim",$E$93,EX128),IF(AU128="Sim",EZ128,Geometria!$L$906)))</f>
        <v>749.9028001915608</v>
      </c>
      <c r="BJ128" s="371">
        <f ca="1">(IF(AW128="Sim",IF(AU128="Sim",$E$94,EY128),IF(AU128="Sim",FA128,Geometria!$L$907)))</f>
        <v>213.72229805459483</v>
      </c>
      <c r="BL128" s="4" t="s">
        <v>433</v>
      </c>
      <c r="BM128" s="202">
        <f t="shared" ca="1" si="40"/>
        <v>-2449.9925495568073</v>
      </c>
      <c r="BN128" s="38" t="s">
        <v>234</v>
      </c>
      <c r="BO128" s="203">
        <f t="shared" ca="1" si="29"/>
        <v>-2.449992549556807</v>
      </c>
      <c r="BP128" s="38" t="s">
        <v>160</v>
      </c>
      <c r="BQ128" s="399">
        <f t="shared" si="41"/>
        <v>0.0</v>
      </c>
      <c r="BR128" s="376" t="str">
        <f>IF(OR(AND(BS128&lt;Geometria!$L$1405/100,Geometria!$K$1405&gt;0),AND((Geometria!$L$29/100-BS128)&lt;Geometria!$R$1405/100,Geometria!$Q$1405&gt;0)),"Sim","Não")</f>
        <v>Sim</v>
      </c>
      <c r="BS128" s="395">
        <f t="shared" si="30"/>
        <v>1.5699999999999998</v>
      </c>
      <c r="BT128" s="376" t="str">
        <f>IF(OR(AND(BS128&lt;Geometria!$L$1409/100,OR(Geometria!$K$1409&gt;0,Geometria!$K$1407&gt;0)),AND((Geometria!$L$29/100-BS128)&lt;Geometria!$R$1409/100,OR(Geometria!$Q$1409&gt;0,Geometria!$Q$1407&gt;0))),"Sim","Não")</f>
        <v>Não</v>
      </c>
      <c r="BU128" s="122" t="s">
        <v>433</v>
      </c>
      <c r="BV128" s="198" t="str">
        <f ca="1">IF(Geometria!$O$437&lt;Geometria!$N$1308/100,"Reduzir","OK")</f>
        <v>OK</v>
      </c>
      <c r="BW128" s="401">
        <f t="shared" ca="1" si="31"/>
        <v>3238.085243703216</v>
      </c>
      <c r="BX128" s="403">
        <f ca="1">-(CC128/(Geometria!$L$48/100^2))-(CD128/(Geometria!$L$53/100^3))+((Geometria!$O$416)/(Geometria!$L$53/100^3))+((Geometria!$O$427)/(Geometria!$M$53/100^3))+((Geometria!$L$76*Geometria!$O$438)/(Geometria!$M$53/100^3))</f>
        <v>6082.124140333226</v>
      </c>
      <c r="BY128" s="400">
        <f ca="1">(Geometria!$N$368*MIN(1,(Geometria!$O$897*100)/Geometria!$N$1308))</f>
        <v>111.03210918130361</v>
      </c>
      <c r="BZ128" s="751">
        <f ca="1">-((Geometria!$L$373-(Geometria!$L$373-ER128)*(1-(MIN(MIN(1,MAX(0,(BS128-Geometria!$L$1409/100)/(Geometria!$N$1307/100))),MIN(1,MAX(0,((Geometria!$L$29/100-BS128)-Geometria!$R$1409/100)/(Geometria!$N$1307/100))))))*(IF(OR(Geometria!$K$1409&gt;0,Geometria!$K$1407&gt;0,Geometria!$Q$1409&gt;0,Geometria!$Q$1407&gt;0),1,0))-(Geometria!$L$373-ET128)*(1-(MIN(MIN(1,MAX(0,(BS128-Geometria!$L$1405/100)/(Geometria!$N$1307/100))),MIN(1,MAX(0,((Geometria!$L$29/100-BS128)-Geometria!$R$1405/100)/(Geometria!$N$1307/100))))))*(IF(OR(Geometria!$K$1405&gt;0,Geometria!$K$1403&gt;0,Geometria!$Q$1405&gt;0,Geometria!$Q$1403&gt;0),1,0))))/(Geometria!$L$48/100^2)-((Geometria!$L$374-(Geometria!$L$374-ES128)*(1-(MIN(MIN(1,MAX(0,(BS128-Geometria!$L$1409/100)/(Geometria!$N$1307/100))),MIN(1,MAX(0,((Geometria!$L$29/100-BS128)-Geometria!$R$1409/100)/(Geometria!$N$1307/100))))))*(IF(OR(Geometria!$K$1409&gt;0,Geometria!$K$1407&gt;0,Geometria!$Q$1409&gt;0,Geometria!$Q$1407&gt;0),1,0))-(Geometria!$L$374-EU128)*(1-(MIN(MIN(1,MAX(0,(BS128-Geometria!$L$1405/100)/(Geometria!$N$1307/100))),MIN(1,MAX(0,((Geometria!$L$29/100-BS128)-Geometria!$R$1405/100)/(Geometria!$N$1307/100))))))*(IF(OR(Geometria!$K$1405&gt;0,Geometria!$K$1403&gt;0,Geometria!$Q$1405&gt;0,Geometria!$Q$1403&gt;0),1,0))))/(Geometria!$L$53/100^3)+((Geometria!$O$673)/(Geometria!$L$53/100^3))+((Geometria!$O$684)/(Geometria!$M$53/100^3))+((Geometria!$L$77*Geometria!$O$695)/(Geometria!$M$53/100^3))</f>
        <v>3238.085243703216</v>
      </c>
      <c r="CA128" s="751"/>
      <c r="CC128" s="373">
        <f ca="1">(Geometria!$L$298-(Geometria!$L$298-IF(BS128&lt;Geometria!$L$1409/100,Geometria!$L$1442,Geometria!$L$1460))*(1-(MIN(MIN(1,MAX(0,(BS128-Geometria!$L$1409/100)/(Geometria!$N$1307/100))),MIN(1,MAX(0,((Geometria!$L$29/100-BS128)-Geometria!$R$1409/100)/(Geometria!$N$1307/100))))))*(IF(OR(Geometria!$K$1409&gt;0,Geometria!$K$1407&gt;0,Geometria!$Q$1409&gt;0,Geometria!$Q$1407&gt;0),1,0))-(Geometria!$L$298-IF(BS128&lt;Geometria!$L$1405/100,Geometria!$L$1444,Geometria!$L$1462))*(1-(MIN(MIN(1,MAX(0,(BS128-Geometria!$L$1405/100)/(Geometria!$N$1307/100))),MIN(1,MAX(0,((Geometria!$L$29/100-BS128)-Geometria!$R$1405/100)/(Geometria!$N$1307/100))))))*(IF(OR(Geometria!$K$1405&gt;0,Geometria!$K$1403&gt;0,Geometria!$Q$1405&gt;0,Geometria!$Q$1403&gt;0),1,0)))*BY128+Geometria!$P$1429*BY105</f>
        <v>621.7798114153002</v>
      </c>
      <c r="CD128" s="373">
        <f ca="1">(Geometria!$L$298-(Geometria!$L$298-IF(BS128&lt;Geometria!$L$1409/100,Geometria!$L$1442,Geometria!$L$1460))*(1-(MIN(MIN(1,MAX(0,(BS128-Geometria!$L$1409/100)/(Geometria!$N$1307/100))),MIN(1,MAX(0,((Geometria!$L$29/100-BS128)-Geometria!$R$1409/100)/(Geometria!$N$1307/100))))))*(IF(OR(Geometria!$K$1409&gt;0,Geometria!$K$1407&gt;0,Geometria!$Q$1409&gt;0,Geometria!$Q$1407&gt;0),1,0))-(Geometria!$L$298-IF(BS128&lt;Geometria!$L$1405/100,Geometria!$L$1444,Geometria!$L$1462))*(1-(MIN(MIN(1,MAX(0,(BS128-Geometria!$L$1405/100)/(Geometria!$N$1307/100))),MIN(1,MAX(0,((Geometria!$L$29/100-BS128)-Geometria!$R$1405/100)/(Geometria!$N$1307/100))))))*(IF(OR(Geometria!$K$1405&gt;0,Geometria!$K$1403&gt;0,Geometria!$Q$1405&gt;0,Geometria!$Q$1403&gt;0),1,0)))*BY128*(Geometria!$L$299-(Geometria!$L$299-IF(BS128&lt;Geometria!$L$1409/100,Geometria!$L$1443,Geometria!$L$1461))*(1-(MIN(MIN(1,MAX(0,(BS128-Geometria!$L$1409/100)/(Geometria!$N$1307/100))),MIN(1,MAX(0,((Geometria!$L$29/100-BS128)-Geometria!$R$1409/100)/(Geometria!$N$1307/100))))))*(IF(OR(Geometria!$K$1409&gt;0,Geometria!$K$1407&gt;0,Geometria!$Q$1409&gt;0,Geometria!$Q$1407&gt;0),1,0))-(Geometria!$L$299-IF(BS128&lt;Geometria!$L$1405/100,Geometria!$L$1445,Geometria!$L$1463))*(1-(MIN(MIN(1,MAX(0,(BS128-Geometria!$L$1405/100)/(Geometria!$N$1307/100))),MIN(1,MAX(0,((Geometria!$L$29/100-BS128)-Geometria!$R$1405/100)/(Geometria!$N$1307/100))))))*(IF(OR(Geometria!$K$1405&gt;0,Geometria!$K$1403&gt;0,Geometria!$Q$1405&gt;0,Geometria!$Q$1403&gt;0),1,0)))/100-Geometria!$P$1429*BY105*Geometria!$L$1438/100</f>
        <v>177.20724625336052</v>
      </c>
      <c r="CE128" s="365"/>
      <c r="CF128" s="371">
        <f ca="1">(IF(BT128="Sim",IF(BR128="Sim",$E$93,EX128),IF(BR128="Sim",EZ128,Geometria!$L$906)))</f>
        <v>749.9028001915608</v>
      </c>
      <c r="CG128" s="371">
        <f ca="1">(IF(BT128="Sim",IF(BR128="Sim",$E$94,EY128),IF(BR128="Sim",FA128,Geometria!$L$907)))</f>
        <v>213.72229805459483</v>
      </c>
      <c r="CI128" s="4" t="s">
        <v>433</v>
      </c>
      <c r="CJ128" s="202">
        <f t="shared" ca="1" si="42"/>
        <v>3238.085243703216</v>
      </c>
      <c r="CK128" s="38" t="s">
        <v>234</v>
      </c>
      <c r="CL128" s="203">
        <f t="shared" ca="1" si="32"/>
        <v>3.2380852437032157</v>
      </c>
      <c r="CM128" s="38" t="s">
        <v>160</v>
      </c>
      <c r="CN128" s="399">
        <f t="shared" si="43"/>
        <v>0.0</v>
      </c>
      <c r="CO128" s="376" t="str">
        <f>IF(OR(AND(CP128&lt;Geometria!$L$1405/100,Geometria!$K$1405&gt;0),AND((Geometria!$L$29/100-CP128)&lt;Geometria!$R$1405/100,Geometria!$Q$1405&gt;0)),"Sim","Não")</f>
        <v>Sim</v>
      </c>
      <c r="CP128" s="395">
        <f t="shared" si="33"/>
        <v>1.5699999999999998</v>
      </c>
      <c r="CQ128" s="376" t="str">
        <f>IF(OR(AND(CP128&lt;Geometria!$L$1409/100,OR(Geometria!$K$1409&gt;0,Geometria!$K$1407&gt;0)),AND((Geometria!$L$29/100-CP128)&lt;Geometria!$R$1409/100,OR(Geometria!$Q$1409&gt;0,Geometria!$Q$1407&gt;0))),"Sim","Não")</f>
        <v>Não</v>
      </c>
      <c r="CR128" s="122" t="s">
        <v>433</v>
      </c>
      <c r="CS128" s="198" t="str">
        <f ca="1">IF(Geometria!$O$437&lt;Geometria!$N$1308/100,"Reduzir","OK")</f>
        <v>OK</v>
      </c>
      <c r="CT128" s="401">
        <f t="shared" ca="1" si="34"/>
        <v>-2449.9925495568073</v>
      </c>
      <c r="CU128" s="403">
        <f ca="1">-(CZ128/(Geometria!$L$48/100^2))-(DA128/(Geometria!$L$53/100^3))+((Geometria!$O$416)/(Geometria!$L$53/100^3))+((Geometria!$O$427)/(Geometria!$M$53/100^3))+((Geometria!$L$76*Geometria!$O$438)/(Geometria!$M$53/100^3))</f>
        <v>6082.124140333226</v>
      </c>
      <c r="CV128" s="400">
        <f ca="1">(Geometria!$N$368*MIN(1,(Geometria!$O$897*100)/Geometria!$N$1308))</f>
        <v>111.03210918130361</v>
      </c>
      <c r="CW128" s="751">
        <f ca="1">-((Geometria!$L$373-(Geometria!$L$373-ER128)*(1-(MIN(MIN(1,MAX(0,(CP128-Geometria!$L$1409/100)/(Geometria!$N$1307/100))),MIN(1,MAX(0,((Geometria!$L$29/100-CP128)-Geometria!$R$1409/100)/(Geometria!$N$1307/100))))))*(IF(OR(Geometria!$K$1409&gt;0,Geometria!$K$1407&gt;0,Geometria!$Q$1409&gt;0,Geometria!$Q$1407&gt;0),1,0))-(Geometria!$L$373-ET128)*(1-(MIN(MIN(1,MAX(0,(CP128-Geometria!$L$1405/100)/(Geometria!$N$1307/100))),MIN(1,MAX(0,((Geometria!$L$29/100-CP128)-Geometria!$R$1405/100)/(Geometria!$N$1307/100))))))*(IF(OR(Geometria!$K$1405&gt;0,Geometria!$K$1403&gt;0,Geometria!$Q$1405&gt;0,Geometria!$Q$1403&gt;0),1,0))))/(Geometria!$L$48/100^2)-((Geometria!$L$374-(Geometria!$L$374-ES128)*(1-(MIN(MIN(1,MAX(0,(CP128-Geometria!$L$1409/100)/(Geometria!$N$1307/100))),MIN(1,MAX(0,((Geometria!$L$29/100-CP128)-Geometria!$R$1409/100)/(Geometria!$N$1307/100))))))*(IF(OR(Geometria!$K$1409&gt;0,Geometria!$K$1407&gt;0,Geometria!$Q$1409&gt;0,Geometria!$Q$1407&gt;0),1,0))-(Geometria!$L$374-EU128)*(1-(MIN(MIN(1,MAX(0,(CP128-Geometria!$L$1405/100)/(Geometria!$N$1307/100))),MIN(1,MAX(0,((Geometria!$L$29/100-CP128)-Geometria!$R$1405/100)/(Geometria!$N$1307/100))))))*(IF(OR(Geometria!$K$1405&gt;0,Geometria!$K$1403&gt;0,Geometria!$Q$1405&gt;0,Geometria!$Q$1403&gt;0),1,0))))/(Geometria!$L$53/100^3)+((Geometria!$O$673)/(Geometria!$L$53/100^3))+((Geometria!$O$684)/(Geometria!$M$53/100^3))</f>
        <v>-2449.9925495568073</v>
      </c>
      <c r="CX128" s="751"/>
      <c r="CZ128" s="373">
        <f ca="1">(IF(CQ128="Sim",IF(CO128="Sim",IF(CP128&lt;Geometria!$L$1405/100,Geometria!$L$1435,Geometria!$L$1476),IF(CP128&lt;Geometria!$L$1409/100,Geometria!$L$1442,Geometria!$L$1460)),IF(CO128="Sim",IF(CP128&lt;Geometria!$L$1405/100,Geometria!$L$1444,Geometria!$L$1462),Geometria!$L$298)))*CV128+Geometria!$P$1429*CV105</f>
        <v>621.7798114153002</v>
      </c>
      <c r="DA128" s="373">
        <f ca="1">(IF(CQ128="Sim",IF(CO128="Sim",IF(CP128&lt;Geometria!$L$1405/100,Geometria!$L$1435,Geometria!$L$1476),IF(CP128&lt;Geometria!$L$1409/100,Geometria!$L$1442,Geometria!$L$1460)),IF(CO128="Sim",IF(CP128&lt;Geometria!$L$1405/100,Geometria!$L$1444,Geometria!$L$1462),Geometria!$L$298)))*CV128*(IF(CQ128="Sim",IF(CO128="Sim",IF(CP128&lt;Geometria!$L$1405/100,Geometria!$L$1436,Geometria!$L$1484),IF(CP128&lt;Geometria!$L$1409/100,Geometria!$L$1443,Geometria!$L$1461)),IF(CO128="Sim",IF(CP128&lt;Geometria!$L$1405/100,Geometria!$L$1445,Geometria!$L$1463),Geometria!$L$299)))/100-Geometria!$P$1429*CV105*Geometria!$L$1438/100</f>
        <v>177.20724625336052</v>
      </c>
      <c r="DB128" s="365"/>
      <c r="DC128" s="371">
        <f ca="1">(IF(CQ128="Sim",IF(CO128="Sim",$E$93,EX128),IF(CO128="Sim",EZ128,Geometria!$L$906)))</f>
        <v>749.9028001915608</v>
      </c>
      <c r="DD128" s="371">
        <f ca="1">(IF(CQ128="Sim",IF(CO128="Sim",$E$94,EY128),IF(CO128="Sim",FA128,Geometria!$L$907)))</f>
        <v>213.72229805459483</v>
      </c>
      <c r="DF128" s="4" t="s">
        <v>433</v>
      </c>
      <c r="DG128" s="202">
        <f t="shared" ca="1" si="44"/>
        <v>-2449.9925495568073</v>
      </c>
      <c r="DH128" s="38" t="s">
        <v>234</v>
      </c>
      <c r="DI128" s="203">
        <f t="shared" ca="1" si="35"/>
        <v>-2.449992549556807</v>
      </c>
      <c r="DJ128" s="38" t="s">
        <v>160</v>
      </c>
      <c r="DK128" s="399">
        <f t="shared" si="45"/>
        <v>0.0</v>
      </c>
      <c r="EA128">
        <f ca="1">-L128/('Aberturas na Alma'!$M$112/100^2)-M128/('Aberturas na Alma'!$M$120/100^3)+Geometria!$L$898/('Aberturas na Alma'!$M$120/100^3)</f>
        <v>-20840.522563729348</v>
      </c>
      <c r="EB128">
        <f ca="1">-(IF(C128="Sim",IF(A128="Sim",$E$93,EX128),IF(A128="Sim",EZ128,Geometria!$L$906)))/('Aberturas na Alma'!$M$112/100^2)-(IF(C128="Sim",IF(A128="Sim",$E$94,EY128),IF(A128="Sim",FA128,Geometria!$L$907)))/('Aberturas na Alma'!$M$120/100^3)+Geometria!$O$898/('Aberturas na Alma'!$M$120/100^3)</f>
        <v>-15947.016880483745</v>
      </c>
      <c r="EC128">
        <f ca="1">IF(AND('Aberturas na Alma'!$M$18="NÃO DISPENSADO — furo deve ser verificado (cálculo abaixo)",OR(AND(B128&gt;=('Aberturas na Alma'!$M$4-'Aberturas na Alma'!$M$7/2)/100,B128&lt;=('Aberturas na Alma'!$M$4+'Aberturas na Alma'!$M$7/2)/100),ABS(B128-'Aberturas na Alma'!$M$4/100)&lt;=Geometria!$L$29/4000)),IF(E128="Reduzir",EA128,EB128),F128)</f>
        <v>-14581.188504097274</v>
      </c>
      <c r="ED128">
        <f ca="1">-(AI128/('Aberturas na Alma'!$M$112/100^2))-(AJ128/('Aberturas na Alma'!$M$120/100^3))+((Geometria!$O$416)/('Aberturas na Alma'!$M$120/100^3))+((Geometria!$O$427)/('Aberturas na Alma'!$M$120/100^3))+((Geometria!$L$76*Geometria!$O$438)/('Aberturas na Alma'!$M$120/100^3))</f>
        <v>21352.786933505427</v>
      </c>
      <c r="EE128">
        <f ca="1">-((IF(Z128="Sim",IF(X128="Sim",$AB$93,ER128),IF(X128="Sim",ET128,Geometria!$L$373)))/('Aberturas na Alma'!$M$112/100^2))-((IF(Z128="Sim",IF(X128="Sim",$AB$94,ES128),IF(X128="Sim",EU128,Geometria!$L$374)))/('Aberturas na Alma'!$M$120/100^3))+((Geometria!$O$416)/('Aberturas na Alma'!$M$120/100^3))+((Geometria!$O$427)/('Aberturas na Alma'!$M$120/100^3))+((Geometria!$L$76*Geometria!$O$438)/('Aberturas na Alma'!$M$120/100^3))</f>
        <v>21352.786933505427</v>
      </c>
      <c r="EF128" s="371">
        <f ca="1">IF(AND('Aberturas na Alma'!$M$18="NÃO DISPENSADO — furo deve ser verificado (cálculo abaixo)",OR(AND(B128&gt;=('Aberturas na Alma'!$M$4-'Aberturas na Alma'!$M$7/2)/100,B128&lt;=('Aberturas na Alma'!$M$4+'Aberturas na Alma'!$M$7/2)/100),ABS(B128-'Aberturas na Alma'!$M$4/100)&lt;=Geometria!$L$29/4000)),IF(AB128="Reduzir",ED128,EE128),AC128)</f>
        <v>6082.124140333226</v>
      </c>
      <c r="EG128">
        <f ca="1">-(BF128/('Aberturas na Alma'!$M$112/100^2))-(BG128/('Aberturas na Alma'!$M$120/100^3))+((Geometria!$O$416)/('Aberturas na Alma'!$M$120/100^3))+((Geometria!$O$427)/('Aberturas na Alma'!$M$120/100^3))+((Geometria!$L$76*Geometria!$O$438)/('Aberturas na Alma'!$M$120/100^3))</f>
        <v>21352.786933505427</v>
      </c>
      <c r="EH128">
        <f ca="1">-((IF(AW128="Sim",IF(AU128="Sim",$AB$93,ER128),IF(AU128="Sim",ET128,Geometria!$L$373)))/('Aberturas na Alma'!$M$112/100^2))-((IF(AW128="Sim",IF(AU128="Sim",$AB$94,ES128),IF(AU128="Sim",EU128,Geometria!$L$374)))/('Aberturas na Alma'!$M$120/100^3))+((Geometria!$O$416)/('Aberturas na Alma'!$M$120/100^3))+((Geometria!$O$427)/('Aberturas na Alma'!$M$120/100^3))</f>
        <v>-2575.951969950509</v>
      </c>
      <c r="EI128" s="371">
        <f ca="1">IF(AND('Aberturas na Alma'!$M$18="NÃO DISPENSADO — furo deve ser verificado (cálculo abaixo)",OR(AND(B128&gt;=('Aberturas na Alma'!$M$4-'Aberturas na Alma'!$M$7/2)/100,B128&lt;=('Aberturas na Alma'!$M$4+'Aberturas na Alma'!$M$7/2)/100),ABS(B128-'Aberturas na Alma'!$M$4/100)&lt;=Geometria!$L$29/4000)),IF(AY128="Reduzir",EG128,EH128),AZ128)</f>
        <v>-2449.9925495568073</v>
      </c>
      <c r="EJ128">
        <f ca="1">-(CC128/('Aberturas na Alma'!$M$112/100^2))-(CD128/('Aberturas na Alma'!$M$120/100^3))+((Geometria!$O$416)/('Aberturas na Alma'!$M$120/100^3))+((Geometria!$O$427)/('Aberturas na Alma'!$M$120/100^3))+((Geometria!$L$76*Geometria!$O$438)/('Aberturas na Alma'!$M$120/100^3))</f>
        <v>21352.786933505427</v>
      </c>
      <c r="EK128">
        <f ca="1">-((IF(BT128="Sim",IF(BR128="Sim",$AB$93,ER128),IF(BR128="Sim",ET128,Geometria!$L$373)))/('Aberturas na Alma'!$M$112/100^2))-((IF(BT128="Sim",IF(BR128="Sim",$AB$94,ES128),IF(BR128="Sim",EU128,Geometria!$L$374)))/('Aberturas na Alma'!$M$120/100^3))+((Geometria!$O$673)/('Aberturas na Alma'!$M$120/100^3))+((Geometria!$O$684)/('Aberturas na Alma'!$M$120/100^3))+((Geometria!$L$77*Geometria!$O$695)/('Aberturas na Alma'!$M$120/100^3))</f>
        <v>13376.54063235345</v>
      </c>
      <c r="EL128" s="371">
        <f ca="1">IF(AND('Aberturas na Alma'!$M$18="NÃO DISPENSADO — furo deve ser verificado (cálculo abaixo)",OR(AND(B128&gt;=('Aberturas na Alma'!$M$4-'Aberturas na Alma'!$M$7/2)/100,B128&lt;=('Aberturas na Alma'!$M$4+'Aberturas na Alma'!$M$7/2)/100),ABS(B128-'Aberturas na Alma'!$M$4/100)&lt;=Geometria!$L$29/4000)),IF(BV128="Reduzir",EJ128,EK128),BW128)</f>
        <v>3238.085243703216</v>
      </c>
      <c r="EM128">
        <f ca="1">-(CZ128/('Aberturas na Alma'!$M$112/100^2))-(DA128/('Aberturas na Alma'!$M$120/100^3))+((Geometria!$O$416)/('Aberturas na Alma'!$M$120/100^3))+((Geometria!$O$427)/('Aberturas na Alma'!$M$120/100^3))+((Geometria!$L$76*Geometria!$O$438)/('Aberturas na Alma'!$M$120/100^3))</f>
        <v>21352.786933505427</v>
      </c>
      <c r="EN128">
        <f ca="1">-((IF(CQ128="Sim",IF(CO128="Sim",$AB$93,ER128),IF(CO128="Sim",ET128,Geometria!$L$373)))/('Aberturas na Alma'!$M$112/100^2))-((IF(CQ128="Sim",IF(CO128="Sim",$AB$94,ES128),IF(CO128="Sim",EU128,Geometria!$L$374)))/('Aberturas na Alma'!$M$120/100^3))+((Geometria!$O$673)/('Aberturas na Alma'!$M$120/100^3))+((Geometria!$O$684)/('Aberturas na Alma'!$M$120/100^3))</f>
        <v>-2575.951969950509</v>
      </c>
      <c r="EO128" s="371">
        <f ca="1">IF(AND('Aberturas na Alma'!$M$18="NÃO DISPENSADO — furo deve ser verificado (cálculo abaixo)",OR(AND(B128&gt;=('Aberturas na Alma'!$M$4-'Aberturas na Alma'!$M$7/2)/100,B128&lt;=('Aberturas na Alma'!$M$4+'Aberturas na Alma'!$M$7/2)/100),ABS(B128-'Aberturas na Alma'!$M$4/100)&lt;=Geometria!$L$29/4000)),IF(CS128="Reduzir",EM128,EN128),CT128)</f>
        <v>-2449.9925495568073</v>
      </c>
      <c r="EP128" t="str">
        <f>IF(AND(Y128&lt;Geometria!$L$1409/100,OR(Geometria!$K$1409&gt;0,Geometria!$K$1407&gt;0)),"ESQ",IF(AND((Geometria!$L$29/100-Y128)&lt;Geometria!$R$1409/100,OR(Geometria!$Q$1409&gt;0,Geometria!$Q$1407&gt;0)),"DIR","N/A"))</f>
        <v>N/A</v>
      </c>
      <c r="EQ128" t="str">
        <f>IF(AND(Y128&lt;Geometria!$L$1405/100,Geometria!$K$1405&gt;0),"ESQ",IF(AND((Geometria!$L$29/100-Y128)&lt;Geometria!$R$1405/100,Geometria!$Q$1405&gt;0),"DIR","N/A"))</f>
        <v>ESQ</v>
      </c>
      <c r="ER128">
        <f ca="1">IF(EP128="DIR",Geometria!$L$1470,Geometria!$L$1452)</f>
        <v>1243.5596228306003</v>
      </c>
      <c r="ES128">
        <f ca="1">IF(EP128="DIR",Geometria!$L$1471,Geometria!$L$1453)</f>
        <v>233.16742928073757</v>
      </c>
      <c r="ET128">
        <f ca="1">IF(EQ128="DIR",Geometria!$L$1472,Geometria!$L$1454)</f>
        <v>621.7798114153002</v>
      </c>
      <c r="EU128">
        <f ca="1">IF(EQ128="DIR",Geometria!$L$1473,Geometria!$L$1455)</f>
        <v>177.20724625336052</v>
      </c>
      <c r="EV128" t="str">
        <f>IF(AND(B128&lt;Geometria!$L$1409/100,OR(Geometria!$K$1409&gt;0,Geometria!$K$1407&gt;0)),"ESQ",IF(AND((Geometria!$L$29/100-B128)&lt;Geometria!$R$1409/100,OR(Geometria!$Q$1409&gt;0,Geometria!$Q$1407&gt;0)),"DIR","N/A"))</f>
        <v>N/A</v>
      </c>
      <c r="EW128" t="str">
        <f>IF(AND(B128&lt;Geometria!$L$1405/100,Geometria!$K$1405&gt;0),"ESQ",IF(AND((Geometria!$L$29/100-B128)&lt;Geometria!$R$1405/100,Geometria!$Q$1405&gt;0),"DIR","N/A"))</f>
        <v>ESQ</v>
      </c>
      <c r="EX128">
        <f ca="1">IF(EV128="DIR",Geometria!$L$1465,Geometria!$L$1447)</f>
        <v>1499.8056003831216</v>
      </c>
      <c r="EY128">
        <f ca="1">IF(EV128="DIR",Geometria!$L$1466,Geometria!$L$1448)</f>
        <v>281.2135500718353</v>
      </c>
      <c r="EZ128">
        <f ca="1">IF(EW128="DIR",Geometria!$L$1467,Geometria!$L$1449)</f>
        <v>749.9028001915608</v>
      </c>
      <c r="FA128">
        <f ca="1">IF(EW128="DIR",Geometria!$L$1468,Geometria!$L$1450)</f>
        <v>213.72229805459483</v>
      </c>
    </row>
    <row r="129" spans="1:157" x14ac:dyDescent="0.25">
      <c r="A129" s="376" t="str">
        <f>IF(OR(AND(B129&lt;Geometria!$L$1405/100,Geometria!$K$1405&gt;0),AND((Geometria!$L$29/100-B129)&lt;Geometria!$R$1405/100,Geometria!$Q$1405&gt;0)),"Sim","Não")</f>
        <v>Não</v>
      </c>
      <c r="B129" s="395">
        <f t="shared" si="21"/>
        <v>1.9625</v>
      </c>
      <c r="C129" s="376" t="str">
        <f>IF(OR(AND(B129&lt;Geometria!$L$1409/100,OR(Geometria!$K$1409&gt;0,Geometria!$K$1407&gt;0)),AND((Geometria!$L$29/100-B129)&lt;Geometria!$R$1409/100,OR(Geometria!$Q$1409&gt;0,Geometria!$Q$1407&gt;0))),"Sim","Não")</f>
        <v>Não</v>
      </c>
      <c r="D129" s="122" t="s">
        <v>434</v>
      </c>
      <c r="E129" s="198" t="str">
        <f ca="1">IF(Geometria!$P$437&lt;Geometria!$N$1308/100,"Reduzir","OK")</f>
        <v>OK</v>
      </c>
      <c r="F129" s="396">
        <f t="shared" ca="1" si="22"/>
        <v>-16665.431726428</v>
      </c>
      <c r="G129" s="397">
        <f ca="1">-L129/(Geometria!$L$48/100^2)-M129/(Geometria!$L$53/100^3)+Geometria!$L$898/(Geometria!$L$53/100^3)</f>
        <v>-29156.236814661603</v>
      </c>
      <c r="H129" s="400">
        <f ca="1">(((IF(C129="Sim",$N$47,Geometria!$L$324))*(Geometria!$P$897*100))/Geometria!$N$1308)</f>
        <v>204.61700436610695</v>
      </c>
      <c r="I129" s="743">
        <f ca="1">-(Geometria!$L$906-(Geometria!$L$906-EX129)*(1-(MIN(MIN(1,MAX(0,(B129-Geometria!$L$1409/100)/(Geometria!$N$1307/100))),MIN(1,MAX(0,((Geometria!$L$29/100-B129)-Geometria!$R$1409/100)/(Geometria!$N$1307/100))))))*(IF(OR(Geometria!$K$1409&gt;0,Geometria!$K$1407&gt;0,Geometria!$Q$1409&gt;0,Geometria!$Q$1407&gt;0),1,0))-(Geometria!$L$906-EZ129)*(1-(MIN(MIN(1,MAX(0,(B129-Geometria!$L$1405/100)/(Geometria!$N$1307/100))),MIN(1,MAX(0,((Geometria!$L$29/100-B129)-Geometria!$R$1405/100)/(Geometria!$N$1307/100))))))*(IF(OR(Geometria!$K$1405&gt;0,Geometria!$K$1403&gt;0,Geometria!$Q$1405&gt;0,Geometria!$Q$1403&gt;0),1,0)))/(Geometria!$L$48/100^2)-(Geometria!$L$907-(Geometria!$L$907-EY129)*(1-(MIN(MIN(1,MAX(0,(B129-Geometria!$L$1409/100)/(Geometria!$N$1307/100))),MIN(1,MAX(0,((Geometria!$L$29/100-B129)-Geometria!$R$1409/100)/(Geometria!$N$1307/100))))))*(IF(OR(Geometria!$K$1409&gt;0,Geometria!$K$1407&gt;0,Geometria!$Q$1409&gt;0,Geometria!$Q$1407&gt;0),1,0))-(Geometria!$L$907-FA129)*(1-(MIN(MIN(1,MAX(0,(B129-Geometria!$L$1405/100)/(Geometria!$N$1307/100))),MIN(1,MAX(0,((Geometria!$L$29/100-B129)-Geometria!$R$1405/100)/(Geometria!$N$1307/100))))))*(IF(OR(Geometria!$K$1405&gt;0,Geometria!$K$1403&gt;0,Geometria!$Q$1405&gt;0,Geometria!$Q$1403&gt;0),1,0)))/(Geometria!$L$53/100^3)+Geometria!$P$898/(Geometria!$L$53/100^3)</f>
        <v>-16665.431726428</v>
      </c>
      <c r="J129" s="743"/>
      <c r="L129" s="373">
        <f ca="1">(Geometria!$L$298-(Geometria!$L$298-IF(B129&lt;Geometria!$L$1409/100,Geometria!$L$1442,Geometria!$L$1460))*(1-(MIN(MIN(1,MAX(0,(B129-Geometria!$L$1409/100)/(Geometria!$N$1307/100))),MIN(1,MAX(0,((Geometria!$L$29/100-B129)-Geometria!$R$1409/100)/(Geometria!$N$1307/100))))))*(IF(OR(Geometria!$K$1409&gt;0,Geometria!$K$1407&gt;0,Geometria!$Q$1409&gt;0,Geometria!$Q$1407&gt;0),1,0))-(Geometria!$L$298-IF(B129&lt;Geometria!$L$1405/100,Geometria!$L$1444,Geometria!$L$1462))*(1-(MIN(MIN(1,MAX(0,(B129-Geometria!$L$1405/100)/(Geometria!$N$1307/100))),MIN(1,MAX(0,((Geometria!$L$29/100-B129)-Geometria!$R$1405/100)/(Geometria!$N$1307/100))))))*(IF(OR(Geometria!$K$1405&gt;0,Geometria!$K$1403&gt;0,Geometria!$Q$1405&gt;0,Geometria!$Q$1403&gt;0),1,0)))*H129+Geometria!$P$1429*H106</f>
        <v>1501.3493950470825</v>
      </c>
      <c r="M129" s="373">
        <f ca="1">(Geometria!$L$298-(Geometria!$L$298-IF(B129&lt;Geometria!$L$1409/100,Geometria!$L$1442,Geometria!$L$1460))*(1-(MIN(MIN(1,MAX(0,(B129-Geometria!$L$1409/100)/(Geometria!$N$1307/100))),MIN(1,MAX(0,((Geometria!$L$29/100-B129)-Geometria!$R$1409/100)/(Geometria!$N$1307/100))))))*(IF(OR(Geometria!$K$1409&gt;0,Geometria!$K$1407&gt;0,Geometria!$Q$1409&gt;0,Geometria!$Q$1407&gt;0),1,0))-(Geometria!$L$298-IF(B129&lt;Geometria!$L$1405/100,Geometria!$L$1444,Geometria!$L$1462))*(1-(MIN(MIN(1,MAX(0,(B129-Geometria!$L$1405/100)/(Geometria!$N$1307/100))),MIN(1,MAX(0,((Geometria!$L$29/100-B129)-Geometria!$R$1405/100)/(Geometria!$N$1307/100))))))*(IF(OR(Geometria!$K$1405&gt;0,Geometria!$K$1403&gt;0,Geometria!$Q$1405&gt;0,Geometria!$Q$1403&gt;0),1,0)))*H129*(Geometria!$L$299-(Geometria!$L$299-IF(B129&lt;Geometria!$L$1409/100,Geometria!$L$1443,Geometria!$L$1461))*(1-(MIN(MIN(1,MAX(0,(B129-Geometria!$L$1409/100)/(Geometria!$N$1307/100))),MIN(1,MAX(0,((Geometria!$L$29/100-B129)-Geometria!$R$1409/100)/(Geometria!$N$1307/100))))))*(IF(OR(Geometria!$K$1409&gt;0,Geometria!$K$1407&gt;0,Geometria!$Q$1409&gt;0,Geometria!$Q$1407&gt;0),1,0))-(Geometria!$L$299-IF(B129&lt;Geometria!$L$1405/100,Geometria!$L$1445,Geometria!$L$1463))*(1-(MIN(MIN(1,MAX(0,(B129-Geometria!$L$1405/100)/(Geometria!$N$1307/100))),MIN(1,MAX(0,((Geometria!$L$29/100-B129)-Geometria!$R$1405/100)/(Geometria!$N$1307/100))))))*(IF(OR(Geometria!$K$1405&gt;0,Geometria!$K$1403&gt;0,Geometria!$Q$1405&gt;0,Geometria!$Q$1403&gt;0),1,0)))/100-Geometria!$P$1429*H106*Geometria!$L$1438/100</f>
        <v>382.4706437060756</v>
      </c>
      <c r="N129" s="365"/>
      <c r="O129" s="371">
        <f ca="1">(IF(C129="Sim",IF(A129="Sim",$E$93,EX129),IF(A129="Sim",EZ129,Geometria!$L$906)))</f>
        <v>1475.413282676191</v>
      </c>
      <c r="P129" s="371">
        <f ca="1">(IF(C129="Sim",IF(A129="Sim",$E$94,EY129),IF(A129="Sim",FA129,Geometria!$L$907)))</f>
        <v>276.63999050178586</v>
      </c>
      <c r="R129" s="4" t="s">
        <v>434</v>
      </c>
      <c r="S129" s="202">
        <f t="shared" ca="1" si="36"/>
        <v>-16665.431726428</v>
      </c>
      <c r="T129" s="38" t="s">
        <v>234</v>
      </c>
      <c r="U129" s="203">
        <f t="shared" ca="1" si="23"/>
        <v>-16.665431726428</v>
      </c>
      <c r="V129" s="38" t="s">
        <v>160</v>
      </c>
      <c r="W129" s="399">
        <f t="shared" si="37"/>
        <v>0.0</v>
      </c>
      <c r="X129" s="376" t="str">
        <f>IF(OR(AND(Y129&lt;Geometria!$L$1405/100,Geometria!$K$1405&gt;0),AND((Geometria!$L$29/100-Y129)&lt;Geometria!$R$1405/100,Geometria!$Q$1405&gt;0)),"Sim","Não")</f>
        <v>Não</v>
      </c>
      <c r="Y129" s="395">
        <f t="shared" si="24"/>
        <v>1.9625</v>
      </c>
      <c r="Z129" s="376" t="str">
        <f>IF(OR(AND(Y129&lt;Geometria!$L$1409/100,OR(Geometria!$K$1409&gt;0,Geometria!$K$1407&gt;0)),AND((Geometria!$L$29/100-Y129)&lt;Geometria!$R$1409/100,OR(Geometria!$Q$1409&gt;0,Geometria!$Q$1407&gt;0))),"Sim","Não")</f>
        <v>Não</v>
      </c>
      <c r="AA129" s="122" t="s">
        <v>434</v>
      </c>
      <c r="AB129" s="198" t="str">
        <f ca="1">IF(Geometria!$P$437&lt;Geometria!$N$1308/100,"Reduzir","OK")</f>
        <v>OK</v>
      </c>
      <c r="AC129" s="401">
        <f t="shared" ca="1" si="25"/>
        <v>7377.085603996947</v>
      </c>
      <c r="AD129" s="403">
        <f ca="1">-(AI129/(Geometria!$L$48/100^2))-(AJ129/(Geometria!$L$53/100^3))+((Geometria!$P$416)/(Geometria!$L$53/100^3))+((Geometria!$P$427)/(Geometria!$M$53/100^3))+((Geometria!$L$76*Geometria!$P$438)/(Geometria!$M$53/100^3))</f>
        <v>2850.0543263746576</v>
      </c>
      <c r="AE129" s="400">
        <f ca="1">(Geometria!$N$368*MIN(1,(Geometria!$P$897*100)/Geometria!$N$1308))</f>
        <v>111.03210918130361</v>
      </c>
      <c r="AF129" s="751">
        <f ca="1">-((Geometria!$L$373-(Geometria!$L$373-ER129)*(1-(MIN(MIN(1,MAX(0,(Y129-Geometria!$L$1409/100)/(Geometria!$N$1307/100))),MIN(1,MAX(0,((Geometria!$L$29/100-Y129)-Geometria!$R$1409/100)/(Geometria!$N$1307/100))))))*(IF(OR(Geometria!$K$1409&gt;0,Geometria!$K$1407&gt;0,Geometria!$Q$1409&gt;0,Geometria!$Q$1407&gt;0),1,0))-(Geometria!$L$373-ET129)*(1-(MIN(MIN(1,MAX(0,(Y129-Geometria!$L$1405/100)/(Geometria!$N$1307/100))),MIN(1,MAX(0,((Geometria!$L$29/100-Y129)-Geometria!$R$1405/100)/(Geometria!$N$1307/100))))))*(IF(OR(Geometria!$K$1405&gt;0,Geometria!$K$1403&gt;0,Geometria!$Q$1405&gt;0,Geometria!$Q$1403&gt;0),1,0))))/(Geometria!$L$48/100^2)-((Geometria!$L$374-(Geometria!$L$374-ES129)*(1-(MIN(MIN(1,MAX(0,(Y129-Geometria!$L$1409/100)/(Geometria!$N$1307/100))),MIN(1,MAX(0,((Geometria!$L$29/100-Y129)-Geometria!$R$1409/100)/(Geometria!$N$1307/100))))))*(IF(OR(Geometria!$K$1409&gt;0,Geometria!$K$1407&gt;0,Geometria!$Q$1409&gt;0,Geometria!$Q$1407&gt;0),1,0))-(Geometria!$L$374-EU129)*(1-(MIN(MIN(1,MAX(0,(Y129-Geometria!$L$1405/100)/(Geometria!$N$1307/100))),MIN(1,MAX(0,((Geometria!$L$29/100-Y129)-Geometria!$R$1405/100)/(Geometria!$N$1307/100))))))*(IF(OR(Geometria!$K$1405&gt;0,Geometria!$K$1403&gt;0,Geometria!$Q$1405&gt;0,Geometria!$Q$1403&gt;0),1,0))))/(Geometria!$L$53/100^3)+((Geometria!$P$416)/(Geometria!$L$53/100^3))+((Geometria!$P$427)/(Geometria!$M$53/100^3))+((Geometria!$L$76*Geometria!$P$438)/(Geometria!$M$53/100^3))</f>
        <v>7377.085603996947</v>
      </c>
      <c r="AG129" s="751"/>
      <c r="AI129" s="373">
        <f ca="1">(IF(Z129="Sim",IF(X129="Sim",IF(Y129&lt;Geometria!$L$1405/100,Geometria!$L$1435,Geometria!$L$1476),IF(Y129&lt;Geometria!$L$1409/100,Geometria!$L$1442,Geometria!$L$1460)),IF(X129="Sim",IF(Y129&lt;Geometria!$L$1405/100,Geometria!$L$1444,Geometria!$L$1462),Geometria!$L$298)))*AE129+Geometria!$P$1429*AE106</f>
        <v>1243.5596228306003</v>
      </c>
      <c r="AJ129" s="373">
        <f ca="1">(IF(Z129="Sim",IF(X129="Sim",IF(Y129&lt;Geometria!$L$1405/100,Geometria!$L$1435,Geometria!$L$1476),IF(Y129&lt;Geometria!$L$1409/100,Geometria!$L$1442,Geometria!$L$1460)),IF(X129="Sim",IF(Y129&lt;Geometria!$L$1405/100,Geometria!$L$1444,Geometria!$L$1462),Geometria!$L$298)))*AE129*(IF(Z129="Sim",IF(X129="Sim",IF(Y129&lt;Geometria!$L$1405/100,Geometria!$L$1436,Geometria!$L$1484),IF(Y129&lt;Geometria!$L$1409/100,Geometria!$L$1443,Geometria!$L$1461)),IF(X129="Sim",IF(Y129&lt;Geometria!$L$1405/100,Geometria!$L$1445,Geometria!$L$1463),Geometria!$L$299)))/100-Geometria!$P$1429*AE106*Geometria!$L$1438/100</f>
        <v>233.16742928073757</v>
      </c>
      <c r="AK129" s="365"/>
      <c r="AL129" s="371">
        <f ca="1">(IF(Z129="Sim",IF(X129="Sim",$E$93,EX129),IF(X129="Sim",EZ129,Geometria!$L$906)))</f>
        <v>1475.413282676191</v>
      </c>
      <c r="AM129" s="371">
        <f ca="1">(IF(Z129="Sim",IF(X129="Sim",$E$94,EY129),IF(X129="Sim",FA129,Geometria!$L$907)))</f>
        <v>276.63999050178586</v>
      </c>
      <c r="AO129" s="4" t="s">
        <v>434</v>
      </c>
      <c r="AP129" s="202">
        <f t="shared" ca="1" si="38"/>
        <v>7377.085603996947</v>
      </c>
      <c r="AQ129" s="38" t="s">
        <v>234</v>
      </c>
      <c r="AR129" s="203">
        <f t="shared" ca="1" si="26"/>
        <v>7.377085603996947</v>
      </c>
      <c r="AS129" s="38" t="s">
        <v>160</v>
      </c>
      <c r="AT129" s="399">
        <f t="shared" si="39"/>
        <v>0.0</v>
      </c>
      <c r="AU129" s="376" t="str">
        <f>IF(OR(AND(AV129&lt;Geometria!$L$1405/100,Geometria!$K$1405&gt;0),AND((Geometria!$L$29/100-AV129)&lt;Geometria!$R$1405/100,Geometria!$Q$1405&gt;0)),"Sim","Não")</f>
        <v>Não</v>
      </c>
      <c r="AV129" s="395">
        <f t="shared" si="27"/>
        <v>1.9625</v>
      </c>
      <c r="AW129" s="376" t="str">
        <f>IF(OR(AND(AV129&lt;Geometria!$L$1409/100,OR(Geometria!$K$1409&gt;0,Geometria!$K$1407&gt;0)),AND((Geometria!$L$29/100-AV129)&lt;Geometria!$R$1409/100,OR(Geometria!$Q$1409&gt;0,Geometria!$Q$1407&gt;0))),"Sim","Não")</f>
        <v>Não</v>
      </c>
      <c r="AX129" s="122" t="s">
        <v>434</v>
      </c>
      <c r="AY129" s="198" t="str">
        <f ca="1">IF(Geometria!$P$437&lt;Geometria!$N$1308/100,"Reduzir","OK")</f>
        <v>OK</v>
      </c>
      <c r="AZ129" s="401">
        <f t="shared" ca="1" si="28"/>
        <v>-2621.488641967936</v>
      </c>
      <c r="BA129" s="403">
        <f ca="1">-(BF129/(Geometria!$L$48/100^2))-(BG129/(Geometria!$L$53/100^3))+((Geometria!$P$416)/(Geometria!$L$53/100^3))+((Geometria!$P$427)/(Geometria!$M$53/100^3))+((Geometria!$L$76*Geometria!$P$438)/(Geometria!$M$53/100^3))</f>
        <v>6656.364491714906</v>
      </c>
      <c r="BB129" s="400">
        <f ca="1">(Geometria!$N$368*MIN(1,(Geometria!$P$897*100)/Geometria!$N$1308))</f>
        <v>111.03210918130361</v>
      </c>
      <c r="BC129" s="751">
        <f ca="1">-((Geometria!$L$373-(Geometria!$L$373-ER129)*(1-(MIN(MIN(1,MAX(0,(AV129-Geometria!$L$1409/100)/(Geometria!$N$1307/100))),MIN(1,MAX(0,((Geometria!$L$29/100-AV129)-Geometria!$R$1409/100)/(Geometria!$N$1307/100))))))*(IF(OR(Geometria!$K$1409&gt;0,Geometria!$K$1407&gt;0,Geometria!$Q$1409&gt;0,Geometria!$Q$1407&gt;0),1,0))-(Geometria!$L$373-ET129)*(1-(MIN(MIN(1,MAX(0,(AV129-Geometria!$L$1405/100)/(Geometria!$N$1307/100))),MIN(1,MAX(0,((Geometria!$L$29/100-AV129)-Geometria!$R$1405/100)/(Geometria!$N$1307/100))))))*(IF(OR(Geometria!$K$1405&gt;0,Geometria!$K$1403&gt;0,Geometria!$Q$1405&gt;0,Geometria!$Q$1403&gt;0),1,0))))/(Geometria!$L$48/100^2)-((Geometria!$L$374-(Geometria!$L$374-ES129)*(1-(MIN(MIN(1,MAX(0,(AV129-Geometria!$L$1409/100)/(Geometria!$N$1307/100))),MIN(1,MAX(0,((Geometria!$L$29/100-AV129)-Geometria!$R$1409/100)/(Geometria!$N$1307/100))))))*(IF(OR(Geometria!$K$1409&gt;0,Geometria!$K$1407&gt;0,Geometria!$Q$1409&gt;0,Geometria!$Q$1407&gt;0),1,0))-(Geometria!$L$374-EU129)*(1-(MIN(MIN(1,MAX(0,(AV129-Geometria!$L$1405/100)/(Geometria!$N$1307/100))),MIN(1,MAX(0,((Geometria!$L$29/100-AV129)-Geometria!$R$1405/100)/(Geometria!$N$1307/100))))))*(IF(OR(Geometria!$K$1405&gt;0,Geometria!$K$1403&gt;0,Geometria!$Q$1405&gt;0,Geometria!$Q$1403&gt;0),1,0))))/(Geometria!$L$53/100^3)+((Geometria!$P$416)/(Geometria!$L$53/100^3))+((Geometria!$P$427)/(Geometria!$M$53/100^3))</f>
        <v>-2621.488641967936</v>
      </c>
      <c r="BD129" s="751"/>
      <c r="BF129" s="373">
        <f ca="1">(Geometria!$L$298-(Geometria!$L$298-IF(AV129&lt;Geometria!$L$1409/100,Geometria!$L$1442,Geometria!$L$1460))*(1-(MIN(MIN(1,MAX(0,(AV129-Geometria!$L$1409/100)/(Geometria!$N$1307/100))),MIN(1,MAX(0,((Geometria!$L$29/100-AV129)-Geometria!$R$1409/100)/(Geometria!$N$1307/100))))))*(IF(OR(Geometria!$K$1409&gt;0,Geometria!$K$1407&gt;0,Geometria!$Q$1409&gt;0,Geometria!$Q$1407&gt;0),1,0))-(Geometria!$L$298-IF(AV129&lt;Geometria!$L$1405/100,Geometria!$L$1444,Geometria!$L$1462))*(1-(MIN(MIN(1,MAX(0,(AV129-Geometria!$L$1405/100)/(Geometria!$N$1307/100))),MIN(1,MAX(0,((Geometria!$L$29/100-AV129)-Geometria!$R$1405/100)/(Geometria!$N$1307/100))))))*(IF(OR(Geometria!$K$1405&gt;0,Geometria!$K$1403&gt;0,Geometria!$Q$1405&gt;0,Geometria!$Q$1403&gt;0),1,0)))*BB129+Geometria!$P$1429*BB106</f>
        <v>814.6829754769095</v>
      </c>
      <c r="BG129" s="373">
        <f ca="1">(Geometria!$L$298-(Geometria!$L$298-IF(AV129&lt;Geometria!$L$1409/100,Geometria!$L$1442,Geometria!$L$1460))*(1-(MIN(MIN(1,MAX(0,(AV129-Geometria!$L$1409/100)/(Geometria!$N$1307/100))),MIN(1,MAX(0,((Geometria!$L$29/100-AV129)-Geometria!$R$1409/100)/(Geometria!$N$1307/100))))))*(IF(OR(Geometria!$K$1409&gt;0,Geometria!$K$1407&gt;0,Geometria!$Q$1409&gt;0,Geometria!$Q$1407&gt;0),1,0))-(Geometria!$L$298-IF(AV129&lt;Geometria!$L$1405/100,Geometria!$L$1444,Geometria!$L$1462))*(1-(MIN(MIN(1,MAX(0,(AV129-Geometria!$L$1405/100)/(Geometria!$N$1307/100))),MIN(1,MAX(0,((Geometria!$L$29/100-AV129)-Geometria!$R$1405/100)/(Geometria!$N$1307/100))))))*(IF(OR(Geometria!$K$1405&gt;0,Geometria!$K$1403&gt;0,Geometria!$Q$1405&gt;0,Geometria!$Q$1403&gt;0),1,0)))*BB129*(Geometria!$L$299-(Geometria!$L$299-IF(AV129&lt;Geometria!$L$1409/100,Geometria!$L$1443,Geometria!$L$1461))*(1-(MIN(MIN(1,MAX(0,(AV129-Geometria!$L$1409/100)/(Geometria!$N$1307/100))),MIN(1,MAX(0,((Geometria!$L$29/100-AV129)-Geometria!$R$1409/100)/(Geometria!$N$1307/100))))))*(IF(OR(Geometria!$K$1409&gt;0,Geometria!$K$1407&gt;0,Geometria!$Q$1409&gt;0,Geometria!$Q$1407&gt;0),1,0))-(Geometria!$L$299-IF(AV129&lt;Geometria!$L$1405/100,Geometria!$L$1445,Geometria!$L$1463))*(1-(MIN(MIN(1,MAX(0,(AV129-Geometria!$L$1405/100)/(Geometria!$N$1307/100))),MIN(1,MAX(0,((Geometria!$L$29/100-AV129)-Geometria!$R$1405/100)/(Geometria!$N$1307/100))))))*(IF(OR(Geometria!$K$1405&gt;0,Geometria!$K$1403&gt;0,Geometria!$Q$1405&gt;0,Geometria!$Q$1403&gt;0),1,0)))/100-Geometria!$P$1429*BB106*Geometria!$L$1438/100</f>
        <v>207.54151103998214</v>
      </c>
      <c r="BH129" s="365"/>
      <c r="BI129" s="371">
        <f ca="1">(IF(AW129="Sim",IF(AU129="Sim",$E$93,EX129),IF(AU129="Sim",EZ129,Geometria!$L$906)))</f>
        <v>1475.413282676191</v>
      </c>
      <c r="BJ129" s="371">
        <f ca="1">(IF(AW129="Sim",IF(AU129="Sim",$E$94,EY129),IF(AU129="Sim",FA129,Geometria!$L$907)))</f>
        <v>276.63999050178586</v>
      </c>
      <c r="BL129" s="4" t="s">
        <v>434</v>
      </c>
      <c r="BM129" s="202">
        <f t="shared" ca="1" si="40"/>
        <v>-2621.488641967936</v>
      </c>
      <c r="BN129" s="38" t="s">
        <v>234</v>
      </c>
      <c r="BO129" s="203">
        <f t="shared" ca="1" si="29"/>
        <v>-2.621488641967936</v>
      </c>
      <c r="BP129" s="38" t="s">
        <v>160</v>
      </c>
      <c r="BQ129" s="399">
        <f t="shared" si="41"/>
        <v>0.0</v>
      </c>
      <c r="BR129" s="376" t="str">
        <f>IF(OR(AND(BS129&lt;Geometria!$L$1405/100,Geometria!$K$1405&gt;0),AND((Geometria!$L$29/100-BS129)&lt;Geometria!$R$1405/100,Geometria!$Q$1405&gt;0)),"Sim","Não")</f>
        <v>Não</v>
      </c>
      <c r="BS129" s="395">
        <f t="shared" si="30"/>
        <v>1.9625</v>
      </c>
      <c r="BT129" s="376" t="str">
        <f>IF(OR(AND(BS129&lt;Geometria!$L$1409/100,OR(Geometria!$K$1409&gt;0,Geometria!$K$1407&gt;0)),AND((Geometria!$L$29/100-BS129)&lt;Geometria!$R$1409/100,OR(Geometria!$Q$1409&gt;0,Geometria!$Q$1407&gt;0))),"Sim","Não")</f>
        <v>Não</v>
      </c>
      <c r="BU129" s="122" t="s">
        <v>434</v>
      </c>
      <c r="BV129" s="198" t="str">
        <f ca="1">IF(Geometria!$P$437&lt;Geometria!$N$1308/100,"Reduzir","OK")</f>
        <v>OK</v>
      </c>
      <c r="BW129" s="401">
        <f t="shared" ca="1" si="31"/>
        <v>4044.227522008654</v>
      </c>
      <c r="BX129" s="403">
        <f ca="1">-(CC129/(Geometria!$L$48/100^2))-(CD129/(Geometria!$L$53/100^3))+((Geometria!$P$416)/(Geometria!$L$53/100^3))+((Geometria!$P$427)/(Geometria!$M$53/100^3))+((Geometria!$L$76*Geometria!$P$438)/(Geometria!$M$53/100^3))</f>
        <v>6656.364491714906</v>
      </c>
      <c r="BY129" s="400">
        <f ca="1">(Geometria!$N$368*MIN(1,(Geometria!$P$897*100)/Geometria!$N$1308))</f>
        <v>111.03210918130361</v>
      </c>
      <c r="BZ129" s="751">
        <f ca="1">-((Geometria!$L$373-(Geometria!$L$373-ER129)*(1-(MIN(MIN(1,MAX(0,(BS129-Geometria!$L$1409/100)/(Geometria!$N$1307/100))),MIN(1,MAX(0,((Geometria!$L$29/100-BS129)-Geometria!$R$1409/100)/(Geometria!$N$1307/100))))))*(IF(OR(Geometria!$K$1409&gt;0,Geometria!$K$1407&gt;0,Geometria!$Q$1409&gt;0,Geometria!$Q$1407&gt;0),1,0))-(Geometria!$L$373-ET129)*(1-(MIN(MIN(1,MAX(0,(BS129-Geometria!$L$1405/100)/(Geometria!$N$1307/100))),MIN(1,MAX(0,((Geometria!$L$29/100-BS129)-Geometria!$R$1405/100)/(Geometria!$N$1307/100))))))*(IF(OR(Geometria!$K$1405&gt;0,Geometria!$K$1403&gt;0,Geometria!$Q$1405&gt;0,Geometria!$Q$1403&gt;0),1,0))))/(Geometria!$L$48/100^2)-((Geometria!$L$374-(Geometria!$L$374-ES129)*(1-(MIN(MIN(1,MAX(0,(BS129-Geometria!$L$1409/100)/(Geometria!$N$1307/100))),MIN(1,MAX(0,((Geometria!$L$29/100-BS129)-Geometria!$R$1409/100)/(Geometria!$N$1307/100))))))*(IF(OR(Geometria!$K$1409&gt;0,Geometria!$K$1407&gt;0,Geometria!$Q$1409&gt;0,Geometria!$Q$1407&gt;0),1,0))-(Geometria!$L$374-EU129)*(1-(MIN(MIN(1,MAX(0,(BS129-Geometria!$L$1405/100)/(Geometria!$N$1307/100))),MIN(1,MAX(0,((Geometria!$L$29/100-BS129)-Geometria!$R$1405/100)/(Geometria!$N$1307/100))))))*(IF(OR(Geometria!$K$1405&gt;0,Geometria!$K$1403&gt;0,Geometria!$Q$1405&gt;0,Geometria!$Q$1403&gt;0),1,0))))/(Geometria!$L$53/100^3)+((Geometria!$P$673)/(Geometria!$L$53/100^3))+((Geometria!$P$684)/(Geometria!$M$53/100^3))+((Geometria!$L$77*Geometria!$P$695)/(Geometria!$M$53/100^3))</f>
        <v>4044.227522008654</v>
      </c>
      <c r="CA129" s="751"/>
      <c r="CC129" s="373">
        <f ca="1">(Geometria!$L$298-(Geometria!$L$298-IF(BS129&lt;Geometria!$L$1409/100,Geometria!$L$1442,Geometria!$L$1460))*(1-(MIN(MIN(1,MAX(0,(BS129-Geometria!$L$1409/100)/(Geometria!$N$1307/100))),MIN(1,MAX(0,((Geometria!$L$29/100-BS129)-Geometria!$R$1409/100)/(Geometria!$N$1307/100))))))*(IF(OR(Geometria!$K$1409&gt;0,Geometria!$K$1407&gt;0,Geometria!$Q$1409&gt;0,Geometria!$Q$1407&gt;0),1,0))-(Geometria!$L$298-IF(BS129&lt;Geometria!$L$1405/100,Geometria!$L$1444,Geometria!$L$1462))*(1-(MIN(MIN(1,MAX(0,(BS129-Geometria!$L$1405/100)/(Geometria!$N$1307/100))),MIN(1,MAX(0,((Geometria!$L$29/100-BS129)-Geometria!$R$1405/100)/(Geometria!$N$1307/100))))))*(IF(OR(Geometria!$K$1405&gt;0,Geometria!$K$1403&gt;0,Geometria!$Q$1405&gt;0,Geometria!$Q$1403&gt;0),1,0)))*BY129+Geometria!$P$1429*BY106</f>
        <v>814.6829754769095</v>
      </c>
      <c r="CD129" s="373">
        <f ca="1">(Geometria!$L$298-(Geometria!$L$298-IF(BS129&lt;Geometria!$L$1409/100,Geometria!$L$1442,Geometria!$L$1460))*(1-(MIN(MIN(1,MAX(0,(BS129-Geometria!$L$1409/100)/(Geometria!$N$1307/100))),MIN(1,MAX(0,((Geometria!$L$29/100-BS129)-Geometria!$R$1409/100)/(Geometria!$N$1307/100))))))*(IF(OR(Geometria!$K$1409&gt;0,Geometria!$K$1407&gt;0,Geometria!$Q$1409&gt;0,Geometria!$Q$1407&gt;0),1,0))-(Geometria!$L$298-IF(BS129&lt;Geometria!$L$1405/100,Geometria!$L$1444,Geometria!$L$1462))*(1-(MIN(MIN(1,MAX(0,(BS129-Geometria!$L$1405/100)/(Geometria!$N$1307/100))),MIN(1,MAX(0,((Geometria!$L$29/100-BS129)-Geometria!$R$1405/100)/(Geometria!$N$1307/100))))))*(IF(OR(Geometria!$K$1405&gt;0,Geometria!$K$1403&gt;0,Geometria!$Q$1405&gt;0,Geometria!$Q$1403&gt;0),1,0)))*BY129*(Geometria!$L$299-(Geometria!$L$299-IF(BS129&lt;Geometria!$L$1409/100,Geometria!$L$1443,Geometria!$L$1461))*(1-(MIN(MIN(1,MAX(0,(BS129-Geometria!$L$1409/100)/(Geometria!$N$1307/100))),MIN(1,MAX(0,((Geometria!$L$29/100-BS129)-Geometria!$R$1409/100)/(Geometria!$N$1307/100))))))*(IF(OR(Geometria!$K$1409&gt;0,Geometria!$K$1407&gt;0,Geometria!$Q$1409&gt;0,Geometria!$Q$1407&gt;0),1,0))-(Geometria!$L$299-IF(BS129&lt;Geometria!$L$1405/100,Geometria!$L$1445,Geometria!$L$1463))*(1-(MIN(MIN(1,MAX(0,(BS129-Geometria!$L$1405/100)/(Geometria!$N$1307/100))),MIN(1,MAX(0,((Geometria!$L$29/100-BS129)-Geometria!$R$1405/100)/(Geometria!$N$1307/100))))))*(IF(OR(Geometria!$K$1405&gt;0,Geometria!$K$1403&gt;0,Geometria!$Q$1405&gt;0,Geometria!$Q$1403&gt;0),1,0)))/100-Geometria!$P$1429*BY106*Geometria!$L$1438/100</f>
        <v>207.54151103998214</v>
      </c>
      <c r="CE129" s="365"/>
      <c r="CF129" s="371">
        <f ca="1">(IF(BT129="Sim",IF(BR129="Sim",$E$93,EX129),IF(BR129="Sim",EZ129,Geometria!$L$906)))</f>
        <v>1475.413282676191</v>
      </c>
      <c r="CG129" s="371">
        <f ca="1">(IF(BT129="Sim",IF(BR129="Sim",$E$94,EY129),IF(BR129="Sim",FA129,Geometria!$L$907)))</f>
        <v>276.63999050178586</v>
      </c>
      <c r="CI129" s="4" t="s">
        <v>434</v>
      </c>
      <c r="CJ129" s="202">
        <f t="shared" ca="1" si="42"/>
        <v>4044.227522008654</v>
      </c>
      <c r="CK129" s="38" t="s">
        <v>234</v>
      </c>
      <c r="CL129" s="203">
        <f t="shared" ca="1" si="32"/>
        <v>4.044227522008654</v>
      </c>
      <c r="CM129" s="38" t="s">
        <v>160</v>
      </c>
      <c r="CN129" s="399">
        <f t="shared" si="43"/>
        <v>0.0</v>
      </c>
      <c r="CO129" s="376" t="str">
        <f>IF(OR(AND(CP129&lt;Geometria!$L$1405/100,Geometria!$K$1405&gt;0),AND((Geometria!$L$29/100-CP129)&lt;Geometria!$R$1405/100,Geometria!$Q$1405&gt;0)),"Sim","Não")</f>
        <v>Não</v>
      </c>
      <c r="CP129" s="395">
        <f t="shared" si="33"/>
        <v>1.9625</v>
      </c>
      <c r="CQ129" s="376" t="str">
        <f>IF(OR(AND(CP129&lt;Geometria!$L$1409/100,OR(Geometria!$K$1409&gt;0,Geometria!$K$1407&gt;0)),AND((Geometria!$L$29/100-CP129)&lt;Geometria!$R$1409/100,OR(Geometria!$Q$1409&gt;0,Geometria!$Q$1407&gt;0))),"Sim","Não")</f>
        <v>Não</v>
      </c>
      <c r="CR129" s="122" t="s">
        <v>434</v>
      </c>
      <c r="CS129" s="198" t="str">
        <f ca="1">IF(Geometria!$P$437&lt;Geometria!$N$1308/100,"Reduzir","OK")</f>
        <v>OK</v>
      </c>
      <c r="CT129" s="401">
        <f t="shared" ca="1" si="34"/>
        <v>-2621.488641967936</v>
      </c>
      <c r="CU129" s="403">
        <f ca="1">-(CZ129/(Geometria!$L$48/100^2))-(DA129/(Geometria!$L$53/100^3))+((Geometria!$P$416)/(Geometria!$L$53/100^3))+((Geometria!$P$427)/(Geometria!$M$53/100^3))+((Geometria!$L$76*Geometria!$P$438)/(Geometria!$M$53/100^3))</f>
        <v>2850.0543263746576</v>
      </c>
      <c r="CV129" s="400">
        <f ca="1">(Geometria!$N$368*MIN(1,(Geometria!$P$897*100)/Geometria!$N$1308))</f>
        <v>111.03210918130361</v>
      </c>
      <c r="CW129" s="751">
        <f ca="1">-((Geometria!$L$373-(Geometria!$L$373-ER129)*(1-(MIN(MIN(1,MAX(0,(CP129-Geometria!$L$1409/100)/(Geometria!$N$1307/100))),MIN(1,MAX(0,((Geometria!$L$29/100-CP129)-Geometria!$R$1409/100)/(Geometria!$N$1307/100))))))*(IF(OR(Geometria!$K$1409&gt;0,Geometria!$K$1407&gt;0,Geometria!$Q$1409&gt;0,Geometria!$Q$1407&gt;0),1,0))-(Geometria!$L$373-ET129)*(1-(MIN(MIN(1,MAX(0,(CP129-Geometria!$L$1405/100)/(Geometria!$N$1307/100))),MIN(1,MAX(0,((Geometria!$L$29/100-CP129)-Geometria!$R$1405/100)/(Geometria!$N$1307/100))))))*(IF(OR(Geometria!$K$1405&gt;0,Geometria!$K$1403&gt;0,Geometria!$Q$1405&gt;0,Geometria!$Q$1403&gt;0),1,0))))/(Geometria!$L$48/100^2)-((Geometria!$L$374-(Geometria!$L$374-ES129)*(1-(MIN(MIN(1,MAX(0,(CP129-Geometria!$L$1409/100)/(Geometria!$N$1307/100))),MIN(1,MAX(0,((Geometria!$L$29/100-CP129)-Geometria!$R$1409/100)/(Geometria!$N$1307/100))))))*(IF(OR(Geometria!$K$1409&gt;0,Geometria!$K$1407&gt;0,Geometria!$Q$1409&gt;0,Geometria!$Q$1407&gt;0),1,0))-(Geometria!$L$374-EU129)*(1-(MIN(MIN(1,MAX(0,(CP129-Geometria!$L$1405/100)/(Geometria!$N$1307/100))),MIN(1,MAX(0,((Geometria!$L$29/100-CP129)-Geometria!$R$1405/100)/(Geometria!$N$1307/100))))))*(IF(OR(Geometria!$K$1405&gt;0,Geometria!$K$1403&gt;0,Geometria!$Q$1405&gt;0,Geometria!$Q$1403&gt;0),1,0))))/(Geometria!$L$53/100^3)+((Geometria!$P$673)/(Geometria!$L$53/100^3))+((Geometria!$P$684)/(Geometria!$M$53/100^3))</f>
        <v>-2621.488641967936</v>
      </c>
      <c r="CX129" s="751"/>
      <c r="CZ129" s="373">
        <f ca="1">(IF(CQ129="Sim",IF(CO129="Sim",IF(CP129&lt;Geometria!$L$1405/100,Geometria!$L$1435,Geometria!$L$1476),IF(CP129&lt;Geometria!$L$1409/100,Geometria!$L$1442,Geometria!$L$1460)),IF(CO129="Sim",IF(CP129&lt;Geometria!$L$1405/100,Geometria!$L$1444,Geometria!$L$1462),Geometria!$L$298)))*CV129+Geometria!$P$1429*CV106</f>
        <v>1243.5596228306003</v>
      </c>
      <c r="DA129" s="373">
        <f ca="1">(IF(CQ129="Sim",IF(CO129="Sim",IF(CP129&lt;Geometria!$L$1405/100,Geometria!$L$1435,Geometria!$L$1476),IF(CP129&lt;Geometria!$L$1409/100,Geometria!$L$1442,Geometria!$L$1460)),IF(CO129="Sim",IF(CP129&lt;Geometria!$L$1405/100,Geometria!$L$1444,Geometria!$L$1462),Geometria!$L$298)))*CV129*(IF(CQ129="Sim",IF(CO129="Sim",IF(CP129&lt;Geometria!$L$1405/100,Geometria!$L$1436,Geometria!$L$1484),IF(CP129&lt;Geometria!$L$1409/100,Geometria!$L$1443,Geometria!$L$1461)),IF(CO129="Sim",IF(CP129&lt;Geometria!$L$1405/100,Geometria!$L$1445,Geometria!$L$1463),Geometria!$L$299)))/100-Geometria!$P$1429*CV106*Geometria!$L$1438/100</f>
        <v>233.16742928073757</v>
      </c>
      <c r="DB129" s="365"/>
      <c r="DC129" s="371">
        <f ca="1">(IF(CQ129="Sim",IF(CO129="Sim",$E$93,EX129),IF(CO129="Sim",EZ129,Geometria!$L$906)))</f>
        <v>1475.413282676191</v>
      </c>
      <c r="DD129" s="371">
        <f ca="1">(IF(CQ129="Sim",IF(CO129="Sim",$E$94,EY129),IF(CO129="Sim",FA129,Geometria!$L$907)))</f>
        <v>276.63999050178586</v>
      </c>
      <c r="DF129" s="4" t="s">
        <v>434</v>
      </c>
      <c r="DG129" s="202">
        <f t="shared" ca="1" si="44"/>
        <v>-2621.488641967936</v>
      </c>
      <c r="DH129" s="38" t="s">
        <v>234</v>
      </c>
      <c r="DI129" s="203">
        <f t="shared" ca="1" si="35"/>
        <v>-2.621488641967936</v>
      </c>
      <c r="DJ129" s="38" t="s">
        <v>160</v>
      </c>
      <c r="DK129" s="399">
        <f t="shared" si="45"/>
        <v>0.0</v>
      </c>
      <c r="EA129">
        <f ca="1">-L129/('Aberturas na Alma'!$M$112/100^2)-M129/('Aberturas na Alma'!$M$120/100^3)+Geometria!$L$898/('Aberturas na Alma'!$M$120/100^3)</f>
        <v>-31890.784777371457</v>
      </c>
      <c r="EB129">
        <f ca="1">-(IF(C129="Sim",IF(A129="Sim",$E$93,EX129),IF(A129="Sim",EZ129,Geometria!$L$906)))/('Aberturas na Alma'!$M$112/100^2)-(IF(C129="Sim",IF(A129="Sim",$E$94,EY129),IF(A129="Sim",FA129,Geometria!$L$907)))/('Aberturas na Alma'!$M$120/100^3)+Geometria!$P$898/('Aberturas na Alma'!$M$120/100^3)</f>
        <v>-24558.805284599257</v>
      </c>
      <c r="EC129">
        <f ca="1">IF(AND('Aberturas na Alma'!$M$18="NÃO DISPENSADO — furo deve ser verificado (cálculo abaixo)",OR(AND(B129&gt;=('Aberturas na Alma'!$M$4-'Aberturas na Alma'!$M$7/2)/100,B129&lt;=('Aberturas na Alma'!$M$4+'Aberturas na Alma'!$M$7/2)/100),ABS(B129-'Aberturas na Alma'!$M$4/100)&lt;=Geometria!$L$29/4000)),IF(E129="Reduzir",EA129,EB129),F129)</f>
        <v>-16665.431726428</v>
      </c>
      <c r="ED129">
        <f ca="1">-(AI129/('Aberturas na Alma'!$M$112/100^2))-(AJ129/('Aberturas na Alma'!$M$120/100^3))+((Geometria!$P$416)/('Aberturas na Alma'!$M$120/100^3))+((Geometria!$P$427)/('Aberturas na Alma'!$M$120/100^3))+((Geometria!$L$76*Geometria!$P$438)/('Aberturas na Alma'!$M$120/100^3))</f>
        <v>19794.935203018802</v>
      </c>
      <c r="EE129">
        <f ca="1">-((IF(Z129="Sim",IF(X129="Sim",$AB$93,ER129),IF(X129="Sim",ET129,Geometria!$L$373)))/('Aberturas na Alma'!$M$112/100^2))-((IF(Z129="Sim",IF(X129="Sim",$AB$94,ES129),IF(X129="Sim",EU129,Geometria!$L$374)))/('Aberturas na Alma'!$M$120/100^3))+((Geometria!$P$416)/('Aberturas na Alma'!$M$120/100^3))+((Geometria!$P$427)/('Aberturas na Alma'!$M$120/100^3))+((Geometria!$L$76*Geometria!$P$438)/('Aberturas na Alma'!$M$120/100^3))</f>
        <v>19794.935203018802</v>
      </c>
      <c r="EF129" s="371">
        <f ca="1">IF(AND('Aberturas na Alma'!$M$18="NÃO DISPENSADO — furo deve ser verificado (cálculo abaixo)",OR(AND(B129&gt;=('Aberturas na Alma'!$M$4-'Aberturas na Alma'!$M$7/2)/100,B129&lt;=('Aberturas na Alma'!$M$4+'Aberturas na Alma'!$M$7/2)/100),ABS(B129-'Aberturas na Alma'!$M$4/100)&lt;=Geometria!$L$29/4000)),IF(AB129="Reduzir",ED129,EE129),AC129)</f>
        <v>7377.085603996947</v>
      </c>
      <c r="EG129">
        <f ca="1">-(BF129/('Aberturas na Alma'!$M$112/100^2))-(BG129/('Aberturas na Alma'!$M$120/100^3))+((Geometria!$P$416)/('Aberturas na Alma'!$M$120/100^3))+((Geometria!$P$427)/('Aberturas na Alma'!$M$120/100^3))+((Geometria!$L$76*Geometria!$P$438)/('Aberturas na Alma'!$M$120/100^3))</f>
        <v>24392.33378465157</v>
      </c>
      <c r="EH129">
        <f ca="1">-((IF(AW129="Sim",IF(AU129="Sim",$AB$93,ER129),IF(AU129="Sim",ET129,Geometria!$L$373)))/('Aberturas na Alma'!$M$112/100^2))-((IF(AW129="Sim",IF(AU129="Sim",$AB$94,ES129),IF(AU129="Sim",EU129,Geometria!$L$374)))/('Aberturas na Alma'!$M$120/100^3))+((Geometria!$P$416)/('Aberturas na Alma'!$M$120/100^3))+((Geometria!$P$427)/('Aberturas na Alma'!$M$120/100^3))</f>
        <v>-8246.555699468621</v>
      </c>
      <c r="EI129" s="371">
        <f ca="1">IF(AND('Aberturas na Alma'!$M$18="NÃO DISPENSADO — furo deve ser verificado (cálculo abaixo)",OR(AND(B129&gt;=('Aberturas na Alma'!$M$4-'Aberturas na Alma'!$M$7/2)/100,B129&lt;=('Aberturas na Alma'!$M$4+'Aberturas na Alma'!$M$7/2)/100),ABS(B129-'Aberturas na Alma'!$M$4/100)&lt;=Geometria!$L$29/4000)),IF(AY129="Reduzir",EG129,EH129),AZ129)</f>
        <v>-2621.488641967936</v>
      </c>
      <c r="EJ129">
        <f ca="1">-(CC129/('Aberturas na Alma'!$M$112/100^2))-(CD129/('Aberturas na Alma'!$M$120/100^3))+((Geometria!$P$416)/('Aberturas na Alma'!$M$120/100^3))+((Geometria!$P$427)/('Aberturas na Alma'!$M$120/100^3))+((Geometria!$L$76*Geometria!$P$438)/('Aberturas na Alma'!$M$120/100^3))</f>
        <v>24392.33378465157</v>
      </c>
      <c r="EK129">
        <f ca="1">-((IF(BT129="Sim",IF(BR129="Sim",$AB$93,ER129),IF(BR129="Sim",ET129,Geometria!$L$373)))/('Aberturas na Alma'!$M$112/100^2))-((IF(BT129="Sim",IF(BR129="Sim",$AB$94,ES129),IF(BR129="Sim",EU129,Geometria!$L$374)))/('Aberturas na Alma'!$M$120/100^3))+((Geometria!$P$673)/('Aberturas na Alma'!$M$120/100^3))+((Geometria!$P$684)/('Aberturas na Alma'!$M$120/100^3))+((Geometria!$L$77*Geometria!$P$695)/('Aberturas na Alma'!$M$120/100^3))</f>
        <v>10447.771568856331</v>
      </c>
      <c r="EL129" s="371">
        <f ca="1">IF(AND('Aberturas na Alma'!$M$18="NÃO DISPENSADO — furo deve ser verificado (cálculo abaixo)",OR(AND(B129&gt;=('Aberturas na Alma'!$M$4-'Aberturas na Alma'!$M$7/2)/100,B129&lt;=('Aberturas na Alma'!$M$4+'Aberturas na Alma'!$M$7/2)/100),ABS(B129-'Aberturas na Alma'!$M$4/100)&lt;=Geometria!$L$29/4000)),IF(BV129="Reduzir",EJ129,EK129),BW129)</f>
        <v>4044.227522008654</v>
      </c>
      <c r="EM129">
        <f ca="1">-(CZ129/('Aberturas na Alma'!$M$112/100^2))-(DA129/('Aberturas na Alma'!$M$120/100^3))+((Geometria!$P$416)/('Aberturas na Alma'!$M$120/100^3))+((Geometria!$P$427)/('Aberturas na Alma'!$M$120/100^3))+((Geometria!$L$76*Geometria!$P$438)/('Aberturas na Alma'!$M$120/100^3))</f>
        <v>19794.935203018802</v>
      </c>
      <c r="EN129">
        <f ca="1">-((IF(CQ129="Sim",IF(CO129="Sim",$AB$93,ER129),IF(CO129="Sim",ET129,Geometria!$L$373)))/('Aberturas na Alma'!$M$112/100^2))-((IF(CQ129="Sim",IF(CO129="Sim",$AB$94,ES129),IF(CO129="Sim",EU129,Geometria!$L$374)))/('Aberturas na Alma'!$M$120/100^3))+((Geometria!$P$673)/('Aberturas na Alma'!$M$120/100^3))+((Geometria!$P$684)/('Aberturas na Alma'!$M$120/100^3))</f>
        <v>-8246.555699468621</v>
      </c>
      <c r="EO129" s="371">
        <f ca="1">IF(AND('Aberturas na Alma'!$M$18="NÃO DISPENSADO — furo deve ser verificado (cálculo abaixo)",OR(AND(B129&gt;=('Aberturas na Alma'!$M$4-'Aberturas na Alma'!$M$7/2)/100,B129&lt;=('Aberturas na Alma'!$M$4+'Aberturas na Alma'!$M$7/2)/100),ABS(B129-'Aberturas na Alma'!$M$4/100)&lt;=Geometria!$L$29/4000)),IF(CS129="Reduzir",EM129,EN129),CT129)</f>
        <v>-2621.488641967936</v>
      </c>
      <c r="EP129" t="str">
        <f>IF(AND(Y129&lt;Geometria!$L$1409/100,OR(Geometria!$K$1409&gt;0,Geometria!$K$1407&gt;0)),"ESQ",IF(AND((Geometria!$L$29/100-Y129)&lt;Geometria!$R$1409/100,OR(Geometria!$Q$1409&gt;0,Geometria!$Q$1407&gt;0)),"DIR","N/A"))</f>
        <v>N/A</v>
      </c>
      <c r="EQ129" t="str">
        <f>IF(AND(Y129&lt;Geometria!$L$1405/100,Geometria!$K$1405&gt;0),"ESQ",IF(AND((Geometria!$L$29/100-Y129)&lt;Geometria!$R$1405/100,Geometria!$Q$1405&gt;0),"DIR","N/A"))</f>
        <v>N/A</v>
      </c>
      <c r="ER129">
        <f ca="1">IF(EP129="DIR",Geometria!$L$1470,Geometria!$L$1452)</f>
        <v>1243.5596228306003</v>
      </c>
      <c r="ES129">
        <f ca="1">IF(EP129="DIR",Geometria!$L$1471,Geometria!$L$1453)</f>
        <v>233.16742928073757</v>
      </c>
      <c r="ET129">
        <f ca="1">IF(EQ129="DIR",Geometria!$L$1472,Geometria!$L$1454)</f>
        <v>621.7798114153002</v>
      </c>
      <c r="EU129">
        <f ca="1">IF(EQ129="DIR",Geometria!$L$1473,Geometria!$L$1455)</f>
        <v>177.20724625336052</v>
      </c>
      <c r="EV129" t="str">
        <f>IF(AND(B129&lt;Geometria!$L$1409/100,OR(Geometria!$K$1409&gt;0,Geometria!$K$1407&gt;0)),"ESQ",IF(AND((Geometria!$L$29/100-B129)&lt;Geometria!$R$1409/100,OR(Geometria!$Q$1409&gt;0,Geometria!$Q$1407&gt;0)),"DIR","N/A"))</f>
        <v>N/A</v>
      </c>
      <c r="EW129" t="str">
        <f>IF(AND(B129&lt;Geometria!$L$1405/100,Geometria!$K$1405&gt;0),"ESQ",IF(AND((Geometria!$L$29/100-B129)&lt;Geometria!$R$1405/100,Geometria!$Q$1405&gt;0),"DIR","N/A"))</f>
        <v>N/A</v>
      </c>
      <c r="EX129">
        <f ca="1">IF(EV129="DIR",Geometria!$L$1465,Geometria!$L$1447)</f>
        <v>1499.8056003831216</v>
      </c>
      <c r="EY129">
        <f ca="1">IF(EV129="DIR",Geometria!$L$1466,Geometria!$L$1448)</f>
        <v>281.2135500718353</v>
      </c>
      <c r="EZ129">
        <f ca="1">IF(EW129="DIR",Geometria!$L$1467,Geometria!$L$1449)</f>
        <v>749.9028001915608</v>
      </c>
      <c r="FA129">
        <f ca="1">IF(EW129="DIR",Geometria!$L$1468,Geometria!$L$1450)</f>
        <v>213.72229805459483</v>
      </c>
    </row>
    <row r="130" spans="1:157" x14ac:dyDescent="0.25">
      <c r="A130" s="376" t="str">
        <f>IF(OR(AND(B130&lt;Geometria!$L$1405/100,Geometria!$K$1405&gt;0),AND((Geometria!$L$29/100-B130)&lt;Geometria!$R$1405/100,Geometria!$Q$1405&gt;0)),"Sim","Não")</f>
        <v>Não</v>
      </c>
      <c r="B130" s="395">
        <f t="shared" si="21"/>
        <v>2.355</v>
      </c>
      <c r="C130" s="376" t="str">
        <f>IF(OR(AND(B130&lt;Geometria!$L$1409/100,OR(Geometria!$K$1409&gt;0,Geometria!$K$1407&gt;0)),AND((Geometria!$L$29/100-B130)&lt;Geometria!$R$1409/100,OR(Geometria!$Q$1409&gt;0,Geometria!$Q$1407&gt;0))),"Sim","Não")</f>
        <v>Não</v>
      </c>
      <c r="D130" s="122" t="s">
        <v>435</v>
      </c>
      <c r="E130" s="198" t="str">
        <f ca="1">IF(Geometria!$Q$437&lt;Geometria!$N$1308/100,"Reduzir","OK")</f>
        <v>OK</v>
      </c>
      <c r="F130" s="396">
        <f t="shared" ca="1" si="22"/>
        <v>-18988.48348788408</v>
      </c>
      <c r="G130" s="397">
        <f ca="1">-L130/(Geometria!$L$48/100^2)-M130/(Geometria!$L$53/100^3)+Geometria!$L$898/(Geometria!$L$53/100^3)</f>
        <v>-40058.7286727539</v>
      </c>
      <c r="H130" s="400">
        <f ca="1">(((IF(C130="Sim",$N$47,Geometria!$L$324))*(Geometria!$Q$897*100))/Geometria!$N$1308)</f>
        <v>245.54040523932832</v>
      </c>
      <c r="I130" s="743">
        <f ca="1">-(Geometria!$L$906-(Geometria!$L$906-EX130)*(1-(MIN(MIN(1,MAX(0,(B130-Geometria!$L$1409/100)/(Geometria!$N$1307/100))),MIN(1,MAX(0,((Geometria!$L$29/100-B130)-Geometria!$R$1409/100)/(Geometria!$N$1307/100))))))*(IF(OR(Geometria!$K$1409&gt;0,Geometria!$K$1407&gt;0,Geometria!$Q$1409&gt;0,Geometria!$Q$1407&gt;0),1,0))-(Geometria!$L$906-EZ130)*(1-(MIN(MIN(1,MAX(0,(B130-Geometria!$L$1405/100)/(Geometria!$N$1307/100))),MIN(1,MAX(0,((Geometria!$L$29/100-B130)-Geometria!$R$1405/100)/(Geometria!$N$1307/100))))))*(IF(OR(Geometria!$K$1405&gt;0,Geometria!$K$1403&gt;0,Geometria!$Q$1405&gt;0,Geometria!$Q$1403&gt;0),1,0)))/(Geometria!$L$48/100^2)-(Geometria!$L$907-(Geometria!$L$907-EY130)*(1-(MIN(MIN(1,MAX(0,(B130-Geometria!$L$1409/100)/(Geometria!$N$1307/100))),MIN(1,MAX(0,((Geometria!$L$29/100-B130)-Geometria!$R$1409/100)/(Geometria!$N$1307/100))))))*(IF(OR(Geometria!$K$1409&gt;0,Geometria!$K$1407&gt;0,Geometria!$Q$1409&gt;0,Geometria!$Q$1407&gt;0),1,0))-(Geometria!$L$907-FA130)*(1-(MIN(MIN(1,MAX(0,(B130-Geometria!$L$1405/100)/(Geometria!$N$1307/100))),MIN(1,MAX(0,((Geometria!$L$29/100-B130)-Geometria!$R$1405/100)/(Geometria!$N$1307/100))))))*(IF(OR(Geometria!$K$1405&gt;0,Geometria!$K$1403&gt;0,Geometria!$Q$1405&gt;0,Geometria!$Q$1403&gt;0),1,0)))/(Geometria!$L$53/100^3)+Geometria!$Q$898/(Geometria!$L$53/100^3)</f>
        <v>-18988.48348788408</v>
      </c>
      <c r="J130" s="743"/>
      <c r="L130" s="373">
        <f ca="1">(Geometria!$L$298-(Geometria!$L$298-IF(B130&lt;Geometria!$L$1409/100,Geometria!$L$1442,Geometria!$L$1460))*(1-(MIN(MIN(1,MAX(0,(B130-Geometria!$L$1409/100)/(Geometria!$N$1307/100))),MIN(1,MAX(0,((Geometria!$L$29/100-B130)-Geometria!$R$1409/100)/(Geometria!$N$1307/100))))))*(IF(OR(Geometria!$K$1409&gt;0,Geometria!$K$1407&gt;0,Geometria!$Q$1409&gt;0,Geometria!$Q$1407&gt;0),1,0))-(Geometria!$L$298-IF(B130&lt;Geometria!$L$1405/100,Geometria!$L$1444,Geometria!$L$1462))*(1-(MIN(MIN(1,MAX(0,(B130-Geometria!$L$1405/100)/(Geometria!$N$1307/100))),MIN(1,MAX(0,((Geometria!$L$29/100-B130)-Geometria!$R$1405/100)/(Geometria!$N$1307/100))))))*(IF(OR(Geometria!$K$1405&gt;0,Geometria!$K$1403&gt;0,Geometria!$Q$1405&gt;0,Geometria!$Q$1403&gt;0),1,0)))*H130+Geometria!$P$1429*H107</f>
        <v>2263.5165274389333</v>
      </c>
      <c r="M130" s="373">
        <f ca="1">(Geometria!$L$298-(Geometria!$L$298-IF(B130&lt;Geometria!$L$1409/100,Geometria!$L$1442,Geometria!$L$1460))*(1-(MIN(MIN(1,MAX(0,(B130-Geometria!$L$1409/100)/(Geometria!$N$1307/100))),MIN(1,MAX(0,((Geometria!$L$29/100-B130)-Geometria!$R$1409/100)/(Geometria!$N$1307/100))))))*(IF(OR(Geometria!$K$1409&gt;0,Geometria!$K$1407&gt;0,Geometria!$Q$1409&gt;0,Geometria!$Q$1407&gt;0),1,0))-(Geometria!$L$298-IF(B130&lt;Geometria!$L$1405/100,Geometria!$L$1444,Geometria!$L$1462))*(1-(MIN(MIN(1,MAX(0,(B130-Geometria!$L$1405/100)/(Geometria!$N$1307/100))),MIN(1,MAX(0,((Geometria!$L$29/100-B130)-Geometria!$R$1405/100)/(Geometria!$N$1307/100))))))*(IF(OR(Geometria!$K$1405&gt;0,Geometria!$K$1403&gt;0,Geometria!$Q$1405&gt;0,Geometria!$Q$1403&gt;0),1,0)))*H130*(Geometria!$L$299-(Geometria!$L$299-IF(B130&lt;Geometria!$L$1409/100,Geometria!$L$1443,Geometria!$L$1461))*(1-(MIN(MIN(1,MAX(0,(B130-Geometria!$L$1409/100)/(Geometria!$N$1307/100))),MIN(1,MAX(0,((Geometria!$L$29/100-B130)-Geometria!$R$1409/100)/(Geometria!$N$1307/100))))))*(IF(OR(Geometria!$K$1409&gt;0,Geometria!$K$1407&gt;0,Geometria!$Q$1409&gt;0,Geometria!$Q$1407&gt;0),1,0))-(Geometria!$L$299-IF(B130&lt;Geometria!$L$1405/100,Geometria!$L$1445,Geometria!$L$1463))*(1-(MIN(MIN(1,MAX(0,(B130-Geometria!$L$1405/100)/(Geometria!$N$1307/100))),MIN(1,MAX(0,((Geometria!$L$29/100-B130)-Geometria!$R$1405/100)/(Geometria!$N$1307/100))))))*(IF(OR(Geometria!$K$1405&gt;0,Geometria!$K$1403&gt;0,Geometria!$Q$1405&gt;0,Geometria!$Q$1403&gt;0),1,0)))/100-Geometria!$P$1429*H107*Geometria!$L$1438/100</f>
        <v>502.4987839125518</v>
      </c>
      <c r="N130" s="365"/>
      <c r="O130" s="371">
        <f ca="1">(IF(C130="Sim",IF(A130="Sim",$E$93,EX130),IF(A130="Sim",EZ130,Geometria!$L$906)))</f>
        <v>1475.413282676191</v>
      </c>
      <c r="P130" s="371">
        <f ca="1">(IF(C130="Sim",IF(A130="Sim",$E$94,EY130),IF(A130="Sim",FA130,Geometria!$L$907)))</f>
        <v>276.63999050178586</v>
      </c>
      <c r="R130" s="4" t="s">
        <v>435</v>
      </c>
      <c r="S130" s="202">
        <f t="shared" ca="1" si="36"/>
        <v>-18988.48348788408</v>
      </c>
      <c r="T130" s="38" t="s">
        <v>234</v>
      </c>
      <c r="U130" s="203">
        <f t="shared" ca="1" si="23"/>
        <v>-18.988483487884082</v>
      </c>
      <c r="V130" s="38" t="s">
        <v>160</v>
      </c>
      <c r="W130" s="399">
        <f t="shared" si="37"/>
        <v>0.0</v>
      </c>
      <c r="X130" s="376" t="str">
        <f>IF(OR(AND(Y130&lt;Geometria!$L$1405/100,Geometria!$K$1405&gt;0),AND((Geometria!$L$29/100-Y130)&lt;Geometria!$R$1405/100,Geometria!$Q$1405&gt;0)),"Sim","Não")</f>
        <v>Não</v>
      </c>
      <c r="Y130" s="395">
        <f t="shared" si="24"/>
        <v>2.355</v>
      </c>
      <c r="Z130" s="376" t="str">
        <f>IF(OR(AND(Y130&lt;Geometria!$L$1409/100,OR(Geometria!$K$1409&gt;0,Geometria!$K$1407&gt;0)),AND((Geometria!$L$29/100-Y130)&lt;Geometria!$R$1409/100,OR(Geometria!$Q$1409&gt;0,Geometria!$Q$1407&gt;0))),"Sim","Não")</f>
        <v>Não</v>
      </c>
      <c r="AA130" s="122" t="s">
        <v>435</v>
      </c>
      <c r="AB130" s="198" t="str">
        <f ca="1">IF(Geometria!$Q$437&lt;Geometria!$N$1308/100,"Reduzir","OK")</f>
        <v>OK</v>
      </c>
      <c r="AC130" s="401">
        <f t="shared" ca="1" si="25"/>
        <v>7897.868226323695</v>
      </c>
      <c r="AD130" s="403">
        <f ca="1">-(AI130/(Geometria!$L$48/100^2))-(AJ130/(Geometria!$L$53/100^3))+((Geometria!$Q$416)/(Geometria!$L$53/100^3))+((Geometria!$Q$427)/(Geometria!$M$53/100^3))+((Geometria!$L$76*Geometria!$Q$438)/(Geometria!$M$53/100^3))</f>
        <v>5575.550122631601</v>
      </c>
      <c r="AE130" s="400">
        <f ca="1">(Geometria!$N$368*MIN(1,(Geometria!$Q$897*100)/Geometria!$N$1308))</f>
        <v>111.03210918130361</v>
      </c>
      <c r="AF130" s="751">
        <f ca="1">-((Geometria!$L$373-(Geometria!$L$373-ER130)*(1-(MIN(MIN(1,MAX(0,(Y130-Geometria!$L$1409/100)/(Geometria!$N$1307/100))),MIN(1,MAX(0,((Geometria!$L$29/100-Y130)-Geometria!$R$1409/100)/(Geometria!$N$1307/100))))))*(IF(OR(Geometria!$K$1409&gt;0,Geometria!$K$1407&gt;0,Geometria!$Q$1409&gt;0,Geometria!$Q$1407&gt;0),1,0))-(Geometria!$L$373-ET130)*(1-(MIN(MIN(1,MAX(0,(Y130-Geometria!$L$1405/100)/(Geometria!$N$1307/100))),MIN(1,MAX(0,((Geometria!$L$29/100-Y130)-Geometria!$R$1405/100)/(Geometria!$N$1307/100))))))*(IF(OR(Geometria!$K$1405&gt;0,Geometria!$K$1403&gt;0,Geometria!$Q$1405&gt;0,Geometria!$Q$1403&gt;0),1,0))))/(Geometria!$L$48/100^2)-((Geometria!$L$374-(Geometria!$L$374-ES130)*(1-(MIN(MIN(1,MAX(0,(Y130-Geometria!$L$1409/100)/(Geometria!$N$1307/100))),MIN(1,MAX(0,((Geometria!$L$29/100-Y130)-Geometria!$R$1409/100)/(Geometria!$N$1307/100))))))*(IF(OR(Geometria!$K$1409&gt;0,Geometria!$K$1407&gt;0,Geometria!$Q$1409&gt;0,Geometria!$Q$1407&gt;0),1,0))-(Geometria!$L$374-EU130)*(1-(MIN(MIN(1,MAX(0,(Y130-Geometria!$L$1405/100)/(Geometria!$N$1307/100))),MIN(1,MAX(0,((Geometria!$L$29/100-Y130)-Geometria!$R$1405/100)/(Geometria!$N$1307/100))))))*(IF(OR(Geometria!$K$1405&gt;0,Geometria!$K$1403&gt;0,Geometria!$Q$1405&gt;0,Geometria!$Q$1403&gt;0),1,0))))/(Geometria!$L$53/100^3)+((Geometria!$Q$416)/(Geometria!$L$53/100^3))+((Geometria!$Q$427)/(Geometria!$M$53/100^3))+((Geometria!$L$76*Geometria!$Q$438)/(Geometria!$M$53/100^3))</f>
        <v>7897.868226323695</v>
      </c>
      <c r="AG130" s="751"/>
      <c r="AI130" s="373">
        <f ca="1">(IF(Z130="Sim",IF(X130="Sim",IF(Y130&lt;Geometria!$L$1405/100,Geometria!$L$1435,Geometria!$L$1476),IF(Y130&lt;Geometria!$L$1409/100,Geometria!$L$1442,Geometria!$L$1460)),IF(X130="Sim",IF(Y130&lt;Geometria!$L$1405/100,Geometria!$L$1444,Geometria!$L$1462),Geometria!$L$298)))*AE130+Geometria!$P$1429*AE107</f>
        <v>1243.5596228306003</v>
      </c>
      <c r="AJ130" s="373">
        <f ca="1">(IF(Z130="Sim",IF(X130="Sim",IF(Y130&lt;Geometria!$L$1405/100,Geometria!$L$1435,Geometria!$L$1476),IF(Y130&lt;Geometria!$L$1409/100,Geometria!$L$1442,Geometria!$L$1460)),IF(X130="Sim",IF(Y130&lt;Geometria!$L$1405/100,Geometria!$L$1444,Geometria!$L$1462),Geometria!$L$298)))*AE130*(IF(Z130="Sim",IF(X130="Sim",IF(Y130&lt;Geometria!$L$1405/100,Geometria!$L$1436,Geometria!$L$1484),IF(Y130&lt;Geometria!$L$1409/100,Geometria!$L$1443,Geometria!$L$1461)),IF(X130="Sim",IF(Y130&lt;Geometria!$L$1405/100,Geometria!$L$1445,Geometria!$L$1463),Geometria!$L$299)))/100-Geometria!$P$1429*AE107*Geometria!$L$1438/100</f>
        <v>233.16742928073757</v>
      </c>
      <c r="AK130" s="365"/>
      <c r="AL130" s="371">
        <f ca="1">(IF(Z130="Sim",IF(X130="Sim",$E$93,EX130),IF(X130="Sim",EZ130,Geometria!$L$906)))</f>
        <v>1475.413282676191</v>
      </c>
      <c r="AM130" s="371">
        <f ca="1">(IF(Z130="Sim",IF(X130="Sim",$E$94,EY130),IF(X130="Sim",FA130,Geometria!$L$907)))</f>
        <v>276.63999050178586</v>
      </c>
      <c r="AO130" s="4" t="s">
        <v>435</v>
      </c>
      <c r="AP130" s="202">
        <f t="shared" ca="1" si="38"/>
        <v>7897.868226323695</v>
      </c>
      <c r="AQ130" s="38" t="s">
        <v>234</v>
      </c>
      <c r="AR130" s="203">
        <f t="shared" ca="1" si="26"/>
        <v>7.897868226323695</v>
      </c>
      <c r="AS130" s="38" t="s">
        <v>160</v>
      </c>
      <c r="AT130" s="399">
        <f t="shared" si="39"/>
        <v>0.0</v>
      </c>
      <c r="AU130" s="376" t="str">
        <f>IF(OR(AND(AV130&lt;Geometria!$L$1405/100,Geometria!$K$1405&gt;0),AND((Geometria!$L$29/100-AV130)&lt;Geometria!$R$1405/100,Geometria!$Q$1405&gt;0)),"Sim","Não")</f>
        <v>Não</v>
      </c>
      <c r="AV130" s="395">
        <f t="shared" si="27"/>
        <v>2.355</v>
      </c>
      <c r="AW130" s="376" t="str">
        <f>IF(OR(AND(AV130&lt;Geometria!$L$1409/100,OR(Geometria!$K$1409&gt;0,Geometria!$K$1407&gt;0)),AND((Geometria!$L$29/100-AV130)&lt;Geometria!$R$1409/100,OR(Geometria!$Q$1409&gt;0,Geometria!$Q$1407&gt;0))),"Sim","Não")</f>
        <v>Não</v>
      </c>
      <c r="AX130" s="122" t="s">
        <v>435</v>
      </c>
      <c r="AY130" s="198" t="str">
        <f ca="1">IF(Geometria!$Q$437&lt;Geometria!$N$1308/100,"Reduzir","OK")</f>
        <v>OK</v>
      </c>
      <c r="AZ130" s="401">
        <f t="shared" ca="1" si="28"/>
        <v>-3300.534929156975</v>
      </c>
      <c r="BA130" s="403">
        <f ca="1">-(BF130/(Geometria!$L$48/100^2))-(BG130/(Geometria!$L$53/100^3))+((Geometria!$Q$416)/(Geometria!$L$53/100^3))+((Geometria!$Q$427)/(Geometria!$M$53/100^3))+((Geometria!$L$76*Geometria!$Q$438)/(Geometria!$M$53/100^3))</f>
        <v>7127.826254299362</v>
      </c>
      <c r="BB130" s="400">
        <f ca="1">(Geometria!$N$368*MIN(1,(Geometria!$Q$897*100)/Geometria!$N$1308))</f>
        <v>111.03210918130361</v>
      </c>
      <c r="BC130" s="751">
        <f ca="1">-((Geometria!$L$373-(Geometria!$L$373-ER130)*(1-(MIN(MIN(1,MAX(0,(AV130-Geometria!$L$1409/100)/(Geometria!$N$1307/100))),MIN(1,MAX(0,((Geometria!$L$29/100-AV130)-Geometria!$R$1409/100)/(Geometria!$N$1307/100))))))*(IF(OR(Geometria!$K$1409&gt;0,Geometria!$K$1407&gt;0,Geometria!$Q$1409&gt;0,Geometria!$Q$1407&gt;0),1,0))-(Geometria!$L$373-ET130)*(1-(MIN(MIN(1,MAX(0,(AV130-Geometria!$L$1405/100)/(Geometria!$N$1307/100))),MIN(1,MAX(0,((Geometria!$L$29/100-AV130)-Geometria!$R$1405/100)/(Geometria!$N$1307/100))))))*(IF(OR(Geometria!$K$1405&gt;0,Geometria!$K$1403&gt;0,Geometria!$Q$1405&gt;0,Geometria!$Q$1403&gt;0),1,0))))/(Geometria!$L$48/100^2)-((Geometria!$L$374-(Geometria!$L$374-ES130)*(1-(MIN(MIN(1,MAX(0,(AV130-Geometria!$L$1409/100)/(Geometria!$N$1307/100))),MIN(1,MAX(0,((Geometria!$L$29/100-AV130)-Geometria!$R$1409/100)/(Geometria!$N$1307/100))))))*(IF(OR(Geometria!$K$1409&gt;0,Geometria!$K$1407&gt;0,Geometria!$Q$1409&gt;0,Geometria!$Q$1407&gt;0),1,0))-(Geometria!$L$374-EU130)*(1-(MIN(MIN(1,MAX(0,(AV130-Geometria!$L$1405/100)/(Geometria!$N$1307/100))),MIN(1,MAX(0,((Geometria!$L$29/100-AV130)-Geometria!$R$1405/100)/(Geometria!$N$1307/100))))))*(IF(OR(Geometria!$K$1405&gt;0,Geometria!$K$1403&gt;0,Geometria!$Q$1405&gt;0,Geometria!$Q$1403&gt;0),1,0))))/(Geometria!$L$53/100^3)+((Geometria!$Q$416)/(Geometria!$L$53/100^3))+((Geometria!$Q$427)/(Geometria!$M$53/100^3))</f>
        <v>-3300.534929156975</v>
      </c>
      <c r="BD130" s="751"/>
      <c r="BF130" s="373">
        <f ca="1">(Geometria!$L$298-(Geometria!$L$298-IF(AV130&lt;Geometria!$L$1409/100,Geometria!$L$1442,Geometria!$L$1460))*(1-(MIN(MIN(1,MAX(0,(AV130-Geometria!$L$1409/100)/(Geometria!$N$1307/100))),MIN(1,MAX(0,((Geometria!$L$29/100-AV130)-Geometria!$R$1409/100)/(Geometria!$N$1307/100))))))*(IF(OR(Geometria!$K$1409&gt;0,Geometria!$K$1407&gt;0,Geometria!$Q$1409&gt;0,Geometria!$Q$1407&gt;0),1,0))-(Geometria!$L$298-IF(AV130&lt;Geometria!$L$1405/100,Geometria!$L$1444,Geometria!$L$1462))*(1-(MIN(MIN(1,MAX(0,(AV130-Geometria!$L$1405/100)/(Geometria!$N$1307/100))),MIN(1,MAX(0,((Geometria!$L$29/100-AV130)-Geometria!$R$1405/100)/(Geometria!$N$1307/100))))))*(IF(OR(Geometria!$K$1405&gt;0,Geometria!$K$1403&gt;0,Geometria!$Q$1405&gt;0,Geometria!$Q$1403&gt;0),1,0)))*BB130+Geometria!$P$1429*BB107</f>
        <v>1023.5505393229281</v>
      </c>
      <c r="BG130" s="373">
        <f ca="1">(Geometria!$L$298-(Geometria!$L$298-IF(AV130&lt;Geometria!$L$1409/100,Geometria!$L$1442,Geometria!$L$1460))*(1-(MIN(MIN(1,MAX(0,(AV130-Geometria!$L$1409/100)/(Geometria!$N$1307/100))),MIN(1,MAX(0,((Geometria!$L$29/100-AV130)-Geometria!$R$1409/100)/(Geometria!$N$1307/100))))))*(IF(OR(Geometria!$K$1409&gt;0,Geometria!$K$1407&gt;0,Geometria!$Q$1409&gt;0,Geometria!$Q$1407&gt;0),1,0))-(Geometria!$L$298-IF(AV130&lt;Geometria!$L$1405/100,Geometria!$L$1444,Geometria!$L$1462))*(1-(MIN(MIN(1,MAX(0,(AV130-Geometria!$L$1405/100)/(Geometria!$N$1307/100))),MIN(1,MAX(0,((Geometria!$L$29/100-AV130)-Geometria!$R$1405/100)/(Geometria!$N$1307/100))))))*(IF(OR(Geometria!$K$1405&gt;0,Geometria!$K$1403&gt;0,Geometria!$Q$1405&gt;0,Geometria!$Q$1403&gt;0),1,0)))*BB130*(Geometria!$L$299-(Geometria!$L$299-IF(AV130&lt;Geometria!$L$1409/100,Geometria!$L$1443,Geometria!$L$1461))*(1-(MIN(MIN(1,MAX(0,(AV130-Geometria!$L$1409/100)/(Geometria!$N$1307/100))),MIN(1,MAX(0,((Geometria!$L$29/100-AV130)-Geometria!$R$1409/100)/(Geometria!$N$1307/100))))))*(IF(OR(Geometria!$K$1409&gt;0,Geometria!$K$1407&gt;0,Geometria!$Q$1409&gt;0,Geometria!$Q$1407&gt;0),1,0))-(Geometria!$L$299-IF(AV130&lt;Geometria!$L$1405/100,Geometria!$L$1445,Geometria!$L$1463))*(1-(MIN(MIN(1,MAX(0,(AV130-Geometria!$L$1405/100)/(Geometria!$N$1307/100))),MIN(1,MAX(0,((Geometria!$L$29/100-AV130)-Geometria!$R$1405/100)/(Geometria!$N$1307/100))))))*(IF(OR(Geometria!$K$1405&gt;0,Geometria!$K$1403&gt;0,Geometria!$Q$1405&gt;0,Geometria!$Q$1403&gt;0),1,0)))/100-Geometria!$P$1429*BB107*Geometria!$L$1438/100</f>
        <v>227.22736726148509</v>
      </c>
      <c r="BH130" s="365"/>
      <c r="BI130" s="371">
        <f ca="1">(IF(AW130="Sim",IF(AU130="Sim",$E$93,EX130),IF(AU130="Sim",EZ130,Geometria!$L$906)))</f>
        <v>1475.413282676191</v>
      </c>
      <c r="BJ130" s="371">
        <f ca="1">(IF(AW130="Sim",IF(AU130="Sim",$E$94,EY130),IF(AU130="Sim",FA130,Geometria!$L$907)))</f>
        <v>276.63999050178586</v>
      </c>
      <c r="BL130" s="4" t="s">
        <v>435</v>
      </c>
      <c r="BM130" s="202">
        <f t="shared" ca="1" si="40"/>
        <v>-3300.534929156975</v>
      </c>
      <c r="BN130" s="38" t="s">
        <v>234</v>
      </c>
      <c r="BO130" s="203">
        <f t="shared" ca="1" si="29"/>
        <v>-3.300534929156975</v>
      </c>
      <c r="BP130" s="38" t="s">
        <v>160</v>
      </c>
      <c r="BQ130" s="399">
        <f t="shared" si="41"/>
        <v>0.0</v>
      </c>
      <c r="BR130" s="376" t="str">
        <f>IF(OR(AND(BS130&lt;Geometria!$L$1405/100,Geometria!$K$1405&gt;0),AND((Geometria!$L$29/100-BS130)&lt;Geometria!$R$1405/100,Geometria!$Q$1405&gt;0)),"Sim","Não")</f>
        <v>Não</v>
      </c>
      <c r="BS130" s="395">
        <f t="shared" si="30"/>
        <v>2.355</v>
      </c>
      <c r="BT130" s="376" t="str">
        <f>IF(OR(AND(BS130&lt;Geometria!$L$1409/100,OR(Geometria!$K$1409&gt;0,Geometria!$K$1407&gt;0)),AND((Geometria!$L$29/100-BS130)&lt;Geometria!$R$1409/100,OR(Geometria!$Q$1409&gt;0,Geometria!$Q$1407&gt;0))),"Sim","Não")</f>
        <v>Não</v>
      </c>
      <c r="BU130" s="122" t="s">
        <v>435</v>
      </c>
      <c r="BV130" s="198" t="str">
        <f ca="1">IF(Geometria!$Q$437&lt;Geometria!$N$1308/100,"Reduzir","OK")</f>
        <v>OK</v>
      </c>
      <c r="BW130" s="401">
        <f t="shared" ca="1" si="31"/>
        <v>4165.067174496806</v>
      </c>
      <c r="BX130" s="403">
        <f ca="1">-(CC130/(Geometria!$L$48/100^2))-(CD130/(Geometria!$L$53/100^3))+((Geometria!$Q$416)/(Geometria!$L$53/100^3))+((Geometria!$Q$427)/(Geometria!$M$53/100^3))+((Geometria!$L$76*Geometria!$Q$438)/(Geometria!$M$53/100^3))</f>
        <v>7127.826254299362</v>
      </c>
      <c r="BY130" s="400">
        <f ca="1">(Geometria!$N$368*MIN(1,(Geometria!$Q$897*100)/Geometria!$N$1308))</f>
        <v>111.03210918130361</v>
      </c>
      <c r="BZ130" s="751">
        <f ca="1">-((Geometria!$L$373-(Geometria!$L$373-ER130)*(1-(MIN(MIN(1,MAX(0,(BS130-Geometria!$L$1409/100)/(Geometria!$N$1307/100))),MIN(1,MAX(0,((Geometria!$L$29/100-BS130)-Geometria!$R$1409/100)/(Geometria!$N$1307/100))))))*(IF(OR(Geometria!$K$1409&gt;0,Geometria!$K$1407&gt;0,Geometria!$Q$1409&gt;0,Geometria!$Q$1407&gt;0),1,0))-(Geometria!$L$373-ET130)*(1-(MIN(MIN(1,MAX(0,(BS130-Geometria!$L$1405/100)/(Geometria!$N$1307/100))),MIN(1,MAX(0,((Geometria!$L$29/100-BS130)-Geometria!$R$1405/100)/(Geometria!$N$1307/100))))))*(IF(OR(Geometria!$K$1405&gt;0,Geometria!$K$1403&gt;0,Geometria!$Q$1405&gt;0,Geometria!$Q$1403&gt;0),1,0))))/(Geometria!$L$48/100^2)-((Geometria!$L$374-(Geometria!$L$374-ES130)*(1-(MIN(MIN(1,MAX(0,(BS130-Geometria!$L$1409/100)/(Geometria!$N$1307/100))),MIN(1,MAX(0,((Geometria!$L$29/100-BS130)-Geometria!$R$1409/100)/(Geometria!$N$1307/100))))))*(IF(OR(Geometria!$K$1409&gt;0,Geometria!$K$1407&gt;0,Geometria!$Q$1409&gt;0,Geometria!$Q$1407&gt;0),1,0))-(Geometria!$L$374-EU130)*(1-(MIN(MIN(1,MAX(0,(BS130-Geometria!$L$1405/100)/(Geometria!$N$1307/100))),MIN(1,MAX(0,((Geometria!$L$29/100-BS130)-Geometria!$R$1405/100)/(Geometria!$N$1307/100))))))*(IF(OR(Geometria!$K$1405&gt;0,Geometria!$K$1403&gt;0,Geometria!$Q$1405&gt;0,Geometria!$Q$1403&gt;0),1,0))))/(Geometria!$L$53/100^3)+((Geometria!$Q$673)/(Geometria!$L$53/100^3))+((Geometria!$Q$684)/(Geometria!$M$53/100^3))+((Geometria!$L$77*Geometria!$Q$695)/(Geometria!$M$53/100^3))</f>
        <v>4165.067174496806</v>
      </c>
      <c r="CA130" s="751"/>
      <c r="CC130" s="373">
        <f ca="1">(Geometria!$L$298-(Geometria!$L$298-IF(BS130&lt;Geometria!$L$1409/100,Geometria!$L$1442,Geometria!$L$1460))*(1-(MIN(MIN(1,MAX(0,(BS130-Geometria!$L$1409/100)/(Geometria!$N$1307/100))),MIN(1,MAX(0,((Geometria!$L$29/100-BS130)-Geometria!$R$1409/100)/(Geometria!$N$1307/100))))))*(IF(OR(Geometria!$K$1409&gt;0,Geometria!$K$1407&gt;0,Geometria!$Q$1409&gt;0,Geometria!$Q$1407&gt;0),1,0))-(Geometria!$L$298-IF(BS130&lt;Geometria!$L$1405/100,Geometria!$L$1444,Geometria!$L$1462))*(1-(MIN(MIN(1,MAX(0,(BS130-Geometria!$L$1405/100)/(Geometria!$N$1307/100))),MIN(1,MAX(0,((Geometria!$L$29/100-BS130)-Geometria!$R$1405/100)/(Geometria!$N$1307/100))))))*(IF(OR(Geometria!$K$1405&gt;0,Geometria!$K$1403&gt;0,Geometria!$Q$1405&gt;0,Geometria!$Q$1403&gt;0),1,0)))*BY130+Geometria!$P$1429*BY107</f>
        <v>1023.5505393229281</v>
      </c>
      <c r="CD130" s="373">
        <f ca="1">(Geometria!$L$298-(Geometria!$L$298-IF(BS130&lt;Geometria!$L$1409/100,Geometria!$L$1442,Geometria!$L$1460))*(1-(MIN(MIN(1,MAX(0,(BS130-Geometria!$L$1409/100)/(Geometria!$N$1307/100))),MIN(1,MAX(0,((Geometria!$L$29/100-BS130)-Geometria!$R$1409/100)/(Geometria!$N$1307/100))))))*(IF(OR(Geometria!$K$1409&gt;0,Geometria!$K$1407&gt;0,Geometria!$Q$1409&gt;0,Geometria!$Q$1407&gt;0),1,0))-(Geometria!$L$298-IF(BS130&lt;Geometria!$L$1405/100,Geometria!$L$1444,Geometria!$L$1462))*(1-(MIN(MIN(1,MAX(0,(BS130-Geometria!$L$1405/100)/(Geometria!$N$1307/100))),MIN(1,MAX(0,((Geometria!$L$29/100-BS130)-Geometria!$R$1405/100)/(Geometria!$N$1307/100))))))*(IF(OR(Geometria!$K$1405&gt;0,Geometria!$K$1403&gt;0,Geometria!$Q$1405&gt;0,Geometria!$Q$1403&gt;0),1,0)))*BY130*(Geometria!$L$299-(Geometria!$L$299-IF(BS130&lt;Geometria!$L$1409/100,Geometria!$L$1443,Geometria!$L$1461))*(1-(MIN(MIN(1,MAX(0,(BS130-Geometria!$L$1409/100)/(Geometria!$N$1307/100))),MIN(1,MAX(0,((Geometria!$L$29/100-BS130)-Geometria!$R$1409/100)/(Geometria!$N$1307/100))))))*(IF(OR(Geometria!$K$1409&gt;0,Geometria!$K$1407&gt;0,Geometria!$Q$1409&gt;0,Geometria!$Q$1407&gt;0),1,0))-(Geometria!$L$299-IF(BS130&lt;Geometria!$L$1405/100,Geometria!$L$1445,Geometria!$L$1463))*(1-(MIN(MIN(1,MAX(0,(BS130-Geometria!$L$1405/100)/(Geometria!$N$1307/100))),MIN(1,MAX(0,((Geometria!$L$29/100-BS130)-Geometria!$R$1405/100)/(Geometria!$N$1307/100))))))*(IF(OR(Geometria!$K$1405&gt;0,Geometria!$K$1403&gt;0,Geometria!$Q$1405&gt;0,Geometria!$Q$1403&gt;0),1,0)))/100-Geometria!$P$1429*BY107*Geometria!$L$1438/100</f>
        <v>227.22736726148509</v>
      </c>
      <c r="CE130" s="365"/>
      <c r="CF130" s="371">
        <f ca="1">(IF(BT130="Sim",IF(BR130="Sim",$E$93,EX130),IF(BR130="Sim",EZ130,Geometria!$L$906)))</f>
        <v>1475.413282676191</v>
      </c>
      <c r="CG130" s="371">
        <f ca="1">(IF(BT130="Sim",IF(BR130="Sim",$E$94,EY130),IF(BR130="Sim",FA130,Geometria!$L$907)))</f>
        <v>276.63999050178586</v>
      </c>
      <c r="CI130" s="4" t="s">
        <v>435</v>
      </c>
      <c r="CJ130" s="202">
        <f t="shared" ca="1" si="42"/>
        <v>4165.067174496806</v>
      </c>
      <c r="CK130" s="38" t="s">
        <v>234</v>
      </c>
      <c r="CL130" s="203">
        <f t="shared" ca="1" si="32"/>
        <v>4.165067174496806</v>
      </c>
      <c r="CM130" s="38" t="s">
        <v>160</v>
      </c>
      <c r="CN130" s="399">
        <f t="shared" si="43"/>
        <v>0.0</v>
      </c>
      <c r="CO130" s="376" t="str">
        <f>IF(OR(AND(CP130&lt;Geometria!$L$1405/100,Geometria!$K$1405&gt;0),AND((Geometria!$L$29/100-CP130)&lt;Geometria!$R$1405/100,Geometria!$Q$1405&gt;0)),"Sim","Não")</f>
        <v>Não</v>
      </c>
      <c r="CP130" s="395">
        <f t="shared" si="33"/>
        <v>2.355</v>
      </c>
      <c r="CQ130" s="376" t="str">
        <f>IF(OR(AND(CP130&lt;Geometria!$L$1409/100,OR(Geometria!$K$1409&gt;0,Geometria!$K$1407&gt;0)),AND((Geometria!$L$29/100-CP130)&lt;Geometria!$R$1409/100,OR(Geometria!$Q$1409&gt;0,Geometria!$Q$1407&gt;0))),"Sim","Não")</f>
        <v>Não</v>
      </c>
      <c r="CR130" s="122" t="s">
        <v>435</v>
      </c>
      <c r="CS130" s="198" t="str">
        <f ca="1">IF(Geometria!$Q$437&lt;Geometria!$N$1308/100,"Reduzir","OK")</f>
        <v>OK</v>
      </c>
      <c r="CT130" s="401">
        <f t="shared" ca="1" si="34"/>
        <v>-3300.534929156975</v>
      </c>
      <c r="CU130" s="403">
        <f ca="1">-(CZ130/(Geometria!$L$48/100^2))-(DA130/(Geometria!$L$53/100^3))+((Geometria!$Q$416)/(Geometria!$L$53/100^3))+((Geometria!$Q$427)/(Geometria!$M$53/100^3))+((Geometria!$L$76*Geometria!$Q$438)/(Geometria!$M$53/100^3))</f>
        <v>5575.550122631601</v>
      </c>
      <c r="CV130" s="400">
        <f ca="1">(Geometria!$N$368*MIN(1,(Geometria!$Q$897*100)/Geometria!$N$1308))</f>
        <v>111.03210918130361</v>
      </c>
      <c r="CW130" s="751">
        <f ca="1">-((Geometria!$L$373-(Geometria!$L$373-ER130)*(1-(MIN(MIN(1,MAX(0,(CP130-Geometria!$L$1409/100)/(Geometria!$N$1307/100))),MIN(1,MAX(0,((Geometria!$L$29/100-CP130)-Geometria!$R$1409/100)/(Geometria!$N$1307/100))))))*(IF(OR(Geometria!$K$1409&gt;0,Geometria!$K$1407&gt;0,Geometria!$Q$1409&gt;0,Geometria!$Q$1407&gt;0),1,0))-(Geometria!$L$373-ET130)*(1-(MIN(MIN(1,MAX(0,(CP130-Geometria!$L$1405/100)/(Geometria!$N$1307/100))),MIN(1,MAX(0,((Geometria!$L$29/100-CP130)-Geometria!$R$1405/100)/(Geometria!$N$1307/100))))))*(IF(OR(Geometria!$K$1405&gt;0,Geometria!$K$1403&gt;0,Geometria!$Q$1405&gt;0,Geometria!$Q$1403&gt;0),1,0))))/(Geometria!$L$48/100^2)-((Geometria!$L$374-(Geometria!$L$374-ES130)*(1-(MIN(MIN(1,MAX(0,(CP130-Geometria!$L$1409/100)/(Geometria!$N$1307/100))),MIN(1,MAX(0,((Geometria!$L$29/100-CP130)-Geometria!$R$1409/100)/(Geometria!$N$1307/100))))))*(IF(OR(Geometria!$K$1409&gt;0,Geometria!$K$1407&gt;0,Geometria!$Q$1409&gt;0,Geometria!$Q$1407&gt;0),1,0))-(Geometria!$L$374-EU130)*(1-(MIN(MIN(1,MAX(0,(CP130-Geometria!$L$1405/100)/(Geometria!$N$1307/100))),MIN(1,MAX(0,((Geometria!$L$29/100-CP130)-Geometria!$R$1405/100)/(Geometria!$N$1307/100))))))*(IF(OR(Geometria!$K$1405&gt;0,Geometria!$K$1403&gt;0,Geometria!$Q$1405&gt;0,Geometria!$Q$1403&gt;0),1,0))))/(Geometria!$L$53/100^3)+((Geometria!$Q$673)/(Geometria!$L$53/100^3))+((Geometria!$Q$684)/(Geometria!$M$53/100^3))</f>
        <v>-3300.534929156975</v>
      </c>
      <c r="CX130" s="751"/>
      <c r="CZ130" s="373">
        <f ca="1">(IF(CQ130="Sim",IF(CO130="Sim",IF(CP130&lt;Geometria!$L$1405/100,Geometria!$L$1435,Geometria!$L$1476),IF(CP130&lt;Geometria!$L$1409/100,Geometria!$L$1442,Geometria!$L$1460)),IF(CO130="Sim",IF(CP130&lt;Geometria!$L$1405/100,Geometria!$L$1444,Geometria!$L$1462),Geometria!$L$298)))*CV130+Geometria!$P$1429*CV107</f>
        <v>1243.5596228306003</v>
      </c>
      <c r="DA130" s="373">
        <f ca="1">(IF(CQ130="Sim",IF(CO130="Sim",IF(CP130&lt;Geometria!$L$1405/100,Geometria!$L$1435,Geometria!$L$1476),IF(CP130&lt;Geometria!$L$1409/100,Geometria!$L$1442,Geometria!$L$1460)),IF(CO130="Sim",IF(CP130&lt;Geometria!$L$1405/100,Geometria!$L$1444,Geometria!$L$1462),Geometria!$L$298)))*CV130*(IF(CQ130="Sim",IF(CO130="Sim",IF(CP130&lt;Geometria!$L$1405/100,Geometria!$L$1436,Geometria!$L$1484),IF(CP130&lt;Geometria!$L$1409/100,Geometria!$L$1443,Geometria!$L$1461)),IF(CO130="Sim",IF(CP130&lt;Geometria!$L$1405/100,Geometria!$L$1445,Geometria!$L$1463),Geometria!$L$299)))/100-Geometria!$P$1429*CV107*Geometria!$L$1438/100</f>
        <v>233.16742928073757</v>
      </c>
      <c r="DB130" s="365"/>
      <c r="DC130" s="371">
        <f ca="1">(IF(CQ130="Sim",IF(CO130="Sim",$E$93,EX130),IF(CO130="Sim",EZ130,Geometria!$L$906)))</f>
        <v>1475.413282676191</v>
      </c>
      <c r="DD130" s="371">
        <f ca="1">(IF(CQ130="Sim",IF(CO130="Sim",$E$94,EY130),IF(CO130="Sim",FA130,Geometria!$L$907)))</f>
        <v>276.63999050178586</v>
      </c>
      <c r="DF130" s="4" t="s">
        <v>435</v>
      </c>
      <c r="DG130" s="202">
        <f t="shared" ca="1" si="44"/>
        <v>-3300.534929156975</v>
      </c>
      <c r="DH130" s="38" t="s">
        <v>234</v>
      </c>
      <c r="DI130" s="203">
        <f t="shared" ca="1" si="35"/>
        <v>-3.300534929156975</v>
      </c>
      <c r="DJ130" s="38" t="s">
        <v>160</v>
      </c>
      <c r="DK130" s="399">
        <f t="shared" si="45"/>
        <v>0.0</v>
      </c>
      <c r="EA130">
        <f ca="1">-L130/('Aberturas na Alma'!$M$112/100^2)-M130/('Aberturas na Alma'!$M$120/100^3)+Geometria!$L$898/('Aberturas na Alma'!$M$120/100^3)</f>
        <v>-44190.04803193005</v>
      </c>
      <c r="EB130">
        <f ca="1">-(IF(C130="Sim",IF(A130="Sim",$E$93,EX130),IF(A130="Sim",EZ130,Geometria!$L$906)))/('Aberturas na Alma'!$M$112/100^2)-(IF(C130="Sim",IF(A130="Sim",$E$94,EY130),IF(A130="Sim",FA130,Geometria!$L$907)))/('Aberturas na Alma'!$M$120/100^3)+Geometria!$Q$898/('Aberturas na Alma'!$M$120/100^3)</f>
        <v>-24354.168451632067</v>
      </c>
      <c r="EC130">
        <f ca="1">IF(AND('Aberturas na Alma'!$M$18="NÃO DISPENSADO — furo deve ser verificado (cálculo abaixo)",OR(AND(B130&gt;=('Aberturas na Alma'!$M$4-'Aberturas na Alma'!$M$7/2)/100,B130&lt;=('Aberturas na Alma'!$M$4+'Aberturas na Alma'!$M$7/2)/100),ABS(B130-'Aberturas na Alma'!$M$4/100)&lt;=Geometria!$L$29/4000)),IF(E130="Reduzir",EA130,EB130),F130)</f>
        <v>-18988.48348788408</v>
      </c>
      <c r="ED130">
        <f ca="1">-(AI130/('Aberturas na Alma'!$M$112/100^2))-(AJ130/('Aberturas na Alma'!$M$120/100^3))+((Geometria!$Q$416)/('Aberturas na Alma'!$M$120/100^3))+((Geometria!$Q$427)/('Aberturas na Alma'!$M$120/100^3))+((Geometria!$L$76*Geometria!$Q$438)/('Aberturas na Alma'!$M$120/100^3))</f>
        <v>24826.748367376396</v>
      </c>
      <c r="EE130">
        <f ca="1">-((IF(Z130="Sim",IF(X130="Sim",$AB$93,ER130),IF(X130="Sim",ET130,Geometria!$L$373)))/('Aberturas na Alma'!$M$112/100^2))-((IF(Z130="Sim",IF(X130="Sim",$AB$94,ES130),IF(X130="Sim",EU130,Geometria!$L$374)))/('Aberturas na Alma'!$M$120/100^3))+((Geometria!$Q$416)/('Aberturas na Alma'!$M$120/100^3))+((Geometria!$Q$427)/('Aberturas na Alma'!$M$120/100^3))+((Geometria!$L$76*Geometria!$Q$438)/('Aberturas na Alma'!$M$120/100^3))</f>
        <v>24826.748367376396</v>
      </c>
      <c r="EF130" s="371">
        <f ca="1">IF(AND('Aberturas na Alma'!$M$18="NÃO DISPENSADO — furo deve ser verificado (cálculo abaixo)",OR(AND(B130&gt;=('Aberturas na Alma'!$M$4-'Aberturas na Alma'!$M$7/2)/100,B130&lt;=('Aberturas na Alma'!$M$4+'Aberturas na Alma'!$M$7/2)/100),ABS(B130-'Aberturas na Alma'!$M$4/100)&lt;=Geometria!$L$29/4000)),IF(AB130="Reduzir",ED130,EE130),AC130)</f>
        <v>7897.868226323695</v>
      </c>
      <c r="EG130">
        <f ca="1">-(BF130/('Aberturas na Alma'!$M$112/100^2))-(BG130/('Aberturas na Alma'!$M$120/100^3))+((Geometria!$Q$416)/('Aberturas na Alma'!$M$120/100^3))+((Geometria!$Q$427)/('Aberturas na Alma'!$M$120/100^3))+((Geometria!$L$76*Geometria!$Q$438)/('Aberturas na Alma'!$M$120/100^3))</f>
        <v>26785.72375385441</v>
      </c>
      <c r="EH130">
        <f ca="1">-((IF(AW130="Sim",IF(AU130="Sim",$AB$93,ER130),IF(AU130="Sim",ET130,Geometria!$L$373)))/('Aberturas na Alma'!$M$112/100^2))-((IF(AW130="Sim",IF(AU130="Sim",$AB$94,ES130),IF(AU130="Sim",EU130,Geometria!$L$374)))/('Aberturas na Alma'!$M$120/100^3))+((Geometria!$Q$416)/('Aberturas na Alma'!$M$120/100^3))+((Geometria!$Q$427)/('Aberturas na Alma'!$M$120/100^3))</f>
        <v>-6579.721443409518</v>
      </c>
      <c r="EI130" s="371">
        <f ca="1">IF(AND('Aberturas na Alma'!$M$18="NÃO DISPENSADO — furo deve ser verificado (cálculo abaixo)",OR(AND(B130&gt;=('Aberturas na Alma'!$M$4-'Aberturas na Alma'!$M$7/2)/100,B130&lt;=('Aberturas na Alma'!$M$4+'Aberturas na Alma'!$M$7/2)/100),ABS(B130-'Aberturas na Alma'!$M$4/100)&lt;=Geometria!$L$29/4000)),IF(AY130="Reduzir",EG130,EH130),AZ130)</f>
        <v>-3300.534929156975</v>
      </c>
      <c r="EJ130">
        <f ca="1">-(CC130/('Aberturas na Alma'!$M$112/100^2))-(CD130/('Aberturas na Alma'!$M$120/100^3))+((Geometria!$Q$416)/('Aberturas na Alma'!$M$120/100^3))+((Geometria!$Q$427)/('Aberturas na Alma'!$M$120/100^3))+((Geometria!$L$76*Geometria!$Q$438)/('Aberturas na Alma'!$M$120/100^3))</f>
        <v>26785.72375385441</v>
      </c>
      <c r="EK130">
        <f ca="1">-((IF(BT130="Sim",IF(BR130="Sim",$AB$93,ER130),IF(BR130="Sim",ET130,Geometria!$L$373)))/('Aberturas na Alma'!$M$112/100^2))-((IF(BT130="Sim",IF(BR130="Sim",$AB$94,ES130),IF(BR130="Sim",EU130,Geometria!$L$374)))/('Aberturas na Alma'!$M$120/100^3))+((Geometria!$Q$673)/('Aberturas na Alma'!$M$120/100^3))+((Geometria!$Q$684)/('Aberturas na Alma'!$M$120/100^3))+((Geometria!$L$77*Geometria!$Q$695)/('Aberturas na Alma'!$M$120/100^3))</f>
        <v>14357.925097114428</v>
      </c>
      <c r="EL130" s="371">
        <f ca="1">IF(AND('Aberturas na Alma'!$M$18="NÃO DISPENSADO — furo deve ser verificado (cálculo abaixo)",OR(AND(B130&gt;=('Aberturas na Alma'!$M$4-'Aberturas na Alma'!$M$7/2)/100,B130&lt;=('Aberturas na Alma'!$M$4+'Aberturas na Alma'!$M$7/2)/100),ABS(B130-'Aberturas na Alma'!$M$4/100)&lt;=Geometria!$L$29/4000)),IF(BV130="Reduzir",EJ130,EK130),BW130)</f>
        <v>4165.067174496806</v>
      </c>
      <c r="EM130">
        <f ca="1">-(CZ130/('Aberturas na Alma'!$M$112/100^2))-(DA130/('Aberturas na Alma'!$M$120/100^3))+((Geometria!$Q$416)/('Aberturas na Alma'!$M$120/100^3))+((Geometria!$Q$427)/('Aberturas na Alma'!$M$120/100^3))+((Geometria!$L$76*Geometria!$Q$438)/('Aberturas na Alma'!$M$120/100^3))</f>
        <v>24826.748367376396</v>
      </c>
      <c r="EN130">
        <f ca="1">-((IF(CQ130="Sim",IF(CO130="Sim",$AB$93,ER130),IF(CO130="Sim",ET130,Geometria!$L$373)))/('Aberturas na Alma'!$M$112/100^2))-((IF(CQ130="Sim",IF(CO130="Sim",$AB$94,ES130),IF(CO130="Sim",EU130,Geometria!$L$374)))/('Aberturas na Alma'!$M$120/100^3))+((Geometria!$Q$673)/('Aberturas na Alma'!$M$120/100^3))+((Geometria!$Q$684)/('Aberturas na Alma'!$M$120/100^3))</f>
        <v>-6579.721443409518</v>
      </c>
      <c r="EO130" s="371">
        <f ca="1">IF(AND('Aberturas na Alma'!$M$18="NÃO DISPENSADO — furo deve ser verificado (cálculo abaixo)",OR(AND(B130&gt;=('Aberturas na Alma'!$M$4-'Aberturas na Alma'!$M$7/2)/100,B130&lt;=('Aberturas na Alma'!$M$4+'Aberturas na Alma'!$M$7/2)/100),ABS(B130-'Aberturas na Alma'!$M$4/100)&lt;=Geometria!$L$29/4000)),IF(CS130="Reduzir",EM130,EN130),CT130)</f>
        <v>-3300.534929156975</v>
      </c>
      <c r="EP130" t="str">
        <f>IF(AND(Y130&lt;Geometria!$L$1409/100,OR(Geometria!$K$1409&gt;0,Geometria!$K$1407&gt;0)),"ESQ",IF(AND((Geometria!$L$29/100-Y130)&lt;Geometria!$R$1409/100,OR(Geometria!$Q$1409&gt;0,Geometria!$Q$1407&gt;0)),"DIR","N/A"))</f>
        <v>N/A</v>
      </c>
      <c r="EQ130" t="str">
        <f>IF(AND(Y130&lt;Geometria!$L$1405/100,Geometria!$K$1405&gt;0),"ESQ",IF(AND((Geometria!$L$29/100-Y130)&lt;Geometria!$R$1405/100,Geometria!$Q$1405&gt;0),"DIR","N/A"))</f>
        <v>N/A</v>
      </c>
      <c r="ER130">
        <f ca="1">IF(EP130="DIR",Geometria!$L$1470,Geometria!$L$1452)</f>
        <v>1243.5596228306003</v>
      </c>
      <c r="ES130">
        <f ca="1">IF(EP130="DIR",Geometria!$L$1471,Geometria!$L$1453)</f>
        <v>233.16742928073757</v>
      </c>
      <c r="ET130">
        <f ca="1">IF(EQ130="DIR",Geometria!$L$1472,Geometria!$L$1454)</f>
        <v>621.7798114153002</v>
      </c>
      <c r="EU130">
        <f ca="1">IF(EQ130="DIR",Geometria!$L$1473,Geometria!$L$1455)</f>
        <v>177.20724625336052</v>
      </c>
      <c r="EV130" t="str">
        <f>IF(AND(B130&lt;Geometria!$L$1409/100,OR(Geometria!$K$1409&gt;0,Geometria!$K$1407&gt;0)),"ESQ",IF(AND((Geometria!$L$29/100-B130)&lt;Geometria!$R$1409/100,OR(Geometria!$Q$1409&gt;0,Geometria!$Q$1407&gt;0)),"DIR","N/A"))</f>
        <v>N/A</v>
      </c>
      <c r="EW130" t="str">
        <f>IF(AND(B130&lt;Geometria!$L$1405/100,Geometria!$K$1405&gt;0),"ESQ",IF(AND((Geometria!$L$29/100-B130)&lt;Geometria!$R$1405/100,Geometria!$Q$1405&gt;0),"DIR","N/A"))</f>
        <v>N/A</v>
      </c>
      <c r="EX130">
        <f ca="1">IF(EV130="DIR",Geometria!$L$1465,Geometria!$L$1447)</f>
        <v>1499.8056003831216</v>
      </c>
      <c r="EY130">
        <f ca="1">IF(EV130="DIR",Geometria!$L$1466,Geometria!$L$1448)</f>
        <v>281.2135500718353</v>
      </c>
      <c r="EZ130">
        <f ca="1">IF(EW130="DIR",Geometria!$L$1467,Geometria!$L$1449)</f>
        <v>749.9028001915608</v>
      </c>
      <c r="FA130">
        <f ca="1">IF(EW130="DIR",Geometria!$L$1468,Geometria!$L$1450)</f>
        <v>213.72229805459483</v>
      </c>
    </row>
    <row r="131" spans="1:157" x14ac:dyDescent="0.25">
      <c r="A131" s="376" t="str">
        <f>IF(OR(AND(B131&lt;Geometria!$L$1405/100,Geometria!$K$1405&gt;0),AND((Geometria!$L$29/100-B131)&lt;Geometria!$R$1405/100,Geometria!$Q$1405&gt;0)),"Sim","Não")</f>
        <v>Não</v>
      </c>
      <c r="B131" s="395">
        <f t="shared" si="21"/>
        <v>2.7475</v>
      </c>
      <c r="C131" s="376" t="str">
        <f>IF(OR(AND(B131&lt;Geometria!$L$1409/100,OR(Geometria!$K$1409&gt;0,Geometria!$K$1407&gt;0)),AND((Geometria!$L$29/100-B131)&lt;Geometria!$R$1409/100,OR(Geometria!$Q$1409&gt;0,Geometria!$Q$1407&gt;0))),"Sim","Não")</f>
        <v>Não</v>
      </c>
      <c r="D131" s="122" t="s">
        <v>436</v>
      </c>
      <c r="E131" s="198" t="str">
        <f ca="1">IF(Geometria!$R$437&lt;Geometria!$N$1308/100,"Reduzir","OK")</f>
        <v>OK</v>
      </c>
      <c r="F131" s="396">
        <f t="shared" ca="1" si="22"/>
        <v>-21357.1102232985</v>
      </c>
      <c r="G131" s="397">
        <f ca="1">-L131/(Geometria!$L$48/100^2)-M131/(Geometria!$L$53/100^3)+Geometria!$L$898/(Geometria!$L$53/100^3)</f>
        <v>-50661.72124243666</v>
      </c>
      <c r="H131" s="400">
        <f ca="1">(((IF(C131="Sim",$N$47,Geometria!$L$324))*(Geometria!$R$897*100))/Geometria!$N$1308)</f>
        <v>286.4638061125497</v>
      </c>
      <c r="I131" s="743">
        <f ca="1">-(Geometria!$L$906-(Geometria!$L$906-EX131)*(1-(MIN(MIN(1,MAX(0,(B131-Geometria!$L$1409/100)/(Geometria!$N$1307/100))),MIN(1,MAX(0,((Geometria!$L$29/100-B131)-Geometria!$R$1409/100)/(Geometria!$N$1307/100))))))*(IF(OR(Geometria!$K$1409&gt;0,Geometria!$K$1407&gt;0,Geometria!$Q$1409&gt;0,Geometria!$Q$1407&gt;0),1,0))-(Geometria!$L$906-EZ131)*(1-(MIN(MIN(1,MAX(0,(B131-Geometria!$L$1405/100)/(Geometria!$N$1307/100))),MIN(1,MAX(0,((Geometria!$L$29/100-B131)-Geometria!$R$1405/100)/(Geometria!$N$1307/100))))))*(IF(OR(Geometria!$K$1405&gt;0,Geometria!$K$1403&gt;0,Geometria!$Q$1405&gt;0,Geometria!$Q$1403&gt;0),1,0)))/(Geometria!$L$48/100^2)-(Geometria!$L$907-(Geometria!$L$907-EY131)*(1-(MIN(MIN(1,MAX(0,(B131-Geometria!$L$1409/100)/(Geometria!$N$1307/100))),MIN(1,MAX(0,((Geometria!$L$29/100-B131)-Geometria!$R$1409/100)/(Geometria!$N$1307/100))))))*(IF(OR(Geometria!$K$1409&gt;0,Geometria!$K$1407&gt;0,Geometria!$Q$1409&gt;0,Geometria!$Q$1407&gt;0),1,0))-(Geometria!$L$907-FA131)*(1-(MIN(MIN(1,MAX(0,(B131-Geometria!$L$1405/100)/(Geometria!$N$1307/100))),MIN(1,MAX(0,((Geometria!$L$29/100-B131)-Geometria!$R$1405/100)/(Geometria!$N$1307/100))))))*(IF(OR(Geometria!$K$1405&gt;0,Geometria!$K$1403&gt;0,Geometria!$Q$1405&gt;0,Geometria!$Q$1403&gt;0),1,0)))/(Geometria!$L$53/100^3)+Geometria!$R$898/(Geometria!$L$53/100^3)</f>
        <v>-21357.1102232985</v>
      </c>
      <c r="J131" s="743"/>
      <c r="L131" s="373">
        <f ca="1">(Geometria!$L$298-(Geometria!$L$298-IF(B131&lt;Geometria!$L$1409/100,Geometria!$L$1442,Geometria!$L$1460))*(1-(MIN(MIN(1,MAX(0,(B131-Geometria!$L$1409/100)/(Geometria!$N$1307/100))),MIN(1,MAX(0,((Geometria!$L$29/100-B131)-Geometria!$R$1409/100)/(Geometria!$N$1307/100))))))*(IF(OR(Geometria!$K$1409&gt;0,Geometria!$K$1407&gt;0,Geometria!$Q$1409&gt;0,Geometria!$Q$1407&gt;0),1,0))-(Geometria!$L$298-IF(B131&lt;Geometria!$L$1405/100,Geometria!$L$1444,Geometria!$L$1462))*(1-(MIN(MIN(1,MAX(0,(B131-Geometria!$L$1405/100)/(Geometria!$N$1307/100))),MIN(1,MAX(0,((Geometria!$L$29/100-B131)-Geometria!$R$1405/100)/(Geometria!$N$1307/100))))))*(IF(OR(Geometria!$K$1405&gt;0,Geometria!$K$1403&gt;0,Geometria!$Q$1405&gt;0,Geometria!$Q$1403&gt;0),1,0)))*H131+Geometria!$P$1429*H108</f>
        <v>3179.649410958262</v>
      </c>
      <c r="M131" s="373">
        <f ca="1">(Geometria!$L$298-(Geometria!$L$298-IF(B131&lt;Geometria!$L$1409/100,Geometria!$L$1442,Geometria!$L$1460))*(1-(MIN(MIN(1,MAX(0,(B131-Geometria!$L$1409/100)/(Geometria!$N$1307/100))),MIN(1,MAX(0,((Geometria!$L$29/100-B131)-Geometria!$R$1409/100)/(Geometria!$N$1307/100))))))*(IF(OR(Geometria!$K$1409&gt;0,Geometria!$K$1407&gt;0,Geometria!$Q$1409&gt;0,Geometria!$Q$1407&gt;0),1,0))-(Geometria!$L$298-IF(B131&lt;Geometria!$L$1405/100,Geometria!$L$1444,Geometria!$L$1462))*(1-(MIN(MIN(1,MAX(0,(B131-Geometria!$L$1405/100)/(Geometria!$N$1307/100))),MIN(1,MAX(0,((Geometria!$L$29/100-B131)-Geometria!$R$1405/100)/(Geometria!$N$1307/100))))))*(IF(OR(Geometria!$K$1405&gt;0,Geometria!$K$1403&gt;0,Geometria!$Q$1405&gt;0,Geometria!$Q$1403&gt;0),1,0)))*H131*(Geometria!$L$299-(Geometria!$L$299-IF(B131&lt;Geometria!$L$1409/100,Geometria!$L$1443,Geometria!$L$1461))*(1-(MIN(MIN(1,MAX(0,(B131-Geometria!$L$1409/100)/(Geometria!$N$1307/100))),MIN(1,MAX(0,((Geometria!$L$29/100-B131)-Geometria!$R$1409/100)/(Geometria!$N$1307/100))))))*(IF(OR(Geometria!$K$1409&gt;0,Geometria!$K$1407&gt;0,Geometria!$Q$1409&gt;0,Geometria!$Q$1407&gt;0),1,0))-(Geometria!$L$299-IF(B131&lt;Geometria!$L$1405/100,Geometria!$L$1445,Geometria!$L$1463))*(1-(MIN(MIN(1,MAX(0,(B131-Geometria!$L$1405/100)/(Geometria!$N$1307/100))),MIN(1,MAX(0,((Geometria!$L$29/100-B131)-Geometria!$R$1405/100)/(Geometria!$N$1307/100))))))*(IF(OR(Geometria!$K$1405&gt;0,Geometria!$K$1403&gt;0,Geometria!$Q$1405&gt;0,Geometria!$Q$1403&gt;0),1,0)))/100-Geometria!$P$1429*H108*Geometria!$L$1438/100</f>
        <v>601.7393618149086</v>
      </c>
      <c r="N131" s="365"/>
      <c r="O131" s="371">
        <f ca="1">(IF(C131="Sim",IF(A131="Sim",$E$93,EX131),IF(A131="Sim",EZ131,Geometria!$L$906)))</f>
        <v>1475.413282676191</v>
      </c>
      <c r="P131" s="371">
        <f ca="1">(IF(C131="Sim",IF(A131="Sim",$E$94,EY131),IF(A131="Sim",FA131,Geometria!$L$907)))</f>
        <v>276.63999050178586</v>
      </c>
      <c r="R131" s="4" t="s">
        <v>436</v>
      </c>
      <c r="S131" s="202">
        <f t="shared" ca="1" si="36"/>
        <v>-21357.1102232985</v>
      </c>
      <c r="T131" s="38" t="s">
        <v>234</v>
      </c>
      <c r="U131" s="203">
        <f t="shared" ca="1" si="23"/>
        <v>-21.3571102232985</v>
      </c>
      <c r="V131" s="38" t="s">
        <v>160</v>
      </c>
      <c r="W131" s="399">
        <f t="shared" si="37"/>
        <v>0.0</v>
      </c>
      <c r="X131" s="376" t="str">
        <f>IF(OR(AND(Y131&lt;Geometria!$L$1405/100,Geometria!$K$1405&gt;0),AND((Geometria!$L$29/100-Y131)&lt;Geometria!$R$1405/100,Geometria!$Q$1405&gt;0)),"Sim","Não")</f>
        <v>Não</v>
      </c>
      <c r="Y131" s="395">
        <f t="shared" si="24"/>
        <v>2.7475</v>
      </c>
      <c r="Z131" s="376" t="str">
        <f>IF(OR(AND(Y131&lt;Geometria!$L$1409/100,OR(Geometria!$K$1409&gt;0,Geometria!$K$1407&gt;0)),AND((Geometria!$L$29/100-Y131)&lt;Geometria!$R$1409/100,OR(Geometria!$Q$1409&gt;0,Geometria!$Q$1407&gt;0))),"Sim","Não")</f>
        <v>Não</v>
      </c>
      <c r="AA131" s="122" t="s">
        <v>436</v>
      </c>
      <c r="AB131" s="198" t="str">
        <f ca="1">IF(Geometria!$R$437&lt;Geometria!$N$1308/100,"Reduzir","OK")</f>
        <v>OK</v>
      </c>
      <c r="AC131" s="401">
        <f t="shared" ca="1" si="25"/>
        <v>7812.985116148896</v>
      </c>
      <c r="AD131" s="403">
        <f ca="1">-(AI131/(Geometria!$L$48/100^2))-(AJ131/(Geometria!$L$53/100^3))+((Geometria!$R$416)/(Geometria!$L$53/100^3))+((Geometria!$R$427)/(Geometria!$M$53/100^3))+((Geometria!$L$76*Geometria!$R$438)/(Geometria!$M$53/100^3))</f>
        <v>7695.380186387</v>
      </c>
      <c r="AE131" s="400">
        <f ca="1">(Geometria!$N$368*MIN(1,(Geometria!$R$897*100)/Geometria!$N$1308))</f>
        <v>111.03210918130361</v>
      </c>
      <c r="AF131" s="751">
        <f ca="1">-((Geometria!$L$373-(Geometria!$L$373-ER131)*(1-(MIN(MIN(1,MAX(0,(Y131-Geometria!$L$1409/100)/(Geometria!$N$1307/100))),MIN(1,MAX(0,((Geometria!$L$29/100-Y131)-Geometria!$R$1409/100)/(Geometria!$N$1307/100))))))*(IF(OR(Geometria!$K$1409&gt;0,Geometria!$K$1407&gt;0,Geometria!$Q$1409&gt;0,Geometria!$Q$1407&gt;0),1,0))-(Geometria!$L$373-ET131)*(1-(MIN(MIN(1,MAX(0,(Y131-Geometria!$L$1405/100)/(Geometria!$N$1307/100))),MIN(1,MAX(0,((Geometria!$L$29/100-Y131)-Geometria!$R$1405/100)/(Geometria!$N$1307/100))))))*(IF(OR(Geometria!$K$1405&gt;0,Geometria!$K$1403&gt;0,Geometria!$Q$1405&gt;0,Geometria!$Q$1403&gt;0),1,0))))/(Geometria!$L$48/100^2)-((Geometria!$L$374-(Geometria!$L$374-ES131)*(1-(MIN(MIN(1,MAX(0,(Y131-Geometria!$L$1409/100)/(Geometria!$N$1307/100))),MIN(1,MAX(0,((Geometria!$L$29/100-Y131)-Geometria!$R$1409/100)/(Geometria!$N$1307/100))))))*(IF(OR(Geometria!$K$1409&gt;0,Geometria!$K$1407&gt;0,Geometria!$Q$1409&gt;0,Geometria!$Q$1407&gt;0),1,0))-(Geometria!$L$374-EU131)*(1-(MIN(MIN(1,MAX(0,(Y131-Geometria!$L$1405/100)/(Geometria!$N$1307/100))),MIN(1,MAX(0,((Geometria!$L$29/100-Y131)-Geometria!$R$1405/100)/(Geometria!$N$1307/100))))))*(IF(OR(Geometria!$K$1405&gt;0,Geometria!$K$1403&gt;0,Geometria!$Q$1405&gt;0,Geometria!$Q$1403&gt;0),1,0))))/(Geometria!$L$53/100^3)+((Geometria!$R$416)/(Geometria!$L$53/100^3))+((Geometria!$R$427)/(Geometria!$M$53/100^3))+((Geometria!$L$76*Geometria!$R$438)/(Geometria!$M$53/100^3))</f>
        <v>7812.985116148896</v>
      </c>
      <c r="AG131" s="751"/>
      <c r="AI131" s="373">
        <f ca="1">(IF(Z131="Sim",IF(X131="Sim",IF(Y131&lt;Geometria!$L$1405/100,Geometria!$L$1435,Geometria!$L$1476),IF(Y131&lt;Geometria!$L$1409/100,Geometria!$L$1442,Geometria!$L$1460)),IF(X131="Sim",IF(Y131&lt;Geometria!$L$1405/100,Geometria!$L$1444,Geometria!$L$1462),Geometria!$L$298)))*AE131+Geometria!$P$1429*AE108</f>
        <v>1243.5596228306003</v>
      </c>
      <c r="AJ131" s="373">
        <f ca="1">(IF(Z131="Sim",IF(X131="Sim",IF(Y131&lt;Geometria!$L$1405/100,Geometria!$L$1435,Geometria!$L$1476),IF(Y131&lt;Geometria!$L$1409/100,Geometria!$L$1442,Geometria!$L$1460)),IF(X131="Sim",IF(Y131&lt;Geometria!$L$1405/100,Geometria!$L$1444,Geometria!$L$1462),Geometria!$L$298)))*AE131*(IF(Z131="Sim",IF(X131="Sim",IF(Y131&lt;Geometria!$L$1405/100,Geometria!$L$1436,Geometria!$L$1484),IF(Y131&lt;Geometria!$L$1409/100,Geometria!$L$1443,Geometria!$L$1461)),IF(X131="Sim",IF(Y131&lt;Geometria!$L$1405/100,Geometria!$L$1445,Geometria!$L$1463),Geometria!$L$299)))/100-Geometria!$P$1429*AE108*Geometria!$L$1438/100</f>
        <v>233.16742928073757</v>
      </c>
      <c r="AK131" s="365"/>
      <c r="AL131" s="371">
        <f ca="1">(IF(Z131="Sim",IF(X131="Sim",$E$93,EX131),IF(X131="Sim",EZ131,Geometria!$L$906)))</f>
        <v>1475.413282676191</v>
      </c>
      <c r="AM131" s="371">
        <f ca="1">(IF(Z131="Sim",IF(X131="Sim",$E$94,EY131),IF(X131="Sim",FA131,Geometria!$L$907)))</f>
        <v>276.63999050178586</v>
      </c>
      <c r="AO131" s="4" t="s">
        <v>436</v>
      </c>
      <c r="AP131" s="202">
        <f t="shared" ca="1" si="38"/>
        <v>7812.985116148896</v>
      </c>
      <c r="AQ131" s="38" t="s">
        <v>234</v>
      </c>
      <c r="AR131" s="203">
        <f t="shared" ca="1" si="26"/>
        <v>7.812985116148896</v>
      </c>
      <c r="AS131" s="38" t="s">
        <v>160</v>
      </c>
      <c r="AT131" s="399">
        <f t="shared" si="39"/>
        <v>0.0</v>
      </c>
      <c r="AU131" s="376" t="str">
        <f>IF(OR(AND(AV131&lt;Geometria!$L$1405/100,Geometria!$K$1405&gt;0),AND((Geometria!$L$29/100-AV131)&lt;Geometria!$R$1405/100,Geometria!$Q$1405&gt;0)),"Sim","Não")</f>
        <v>Não</v>
      </c>
      <c r="AV131" s="395">
        <f t="shared" si="27"/>
        <v>2.7475</v>
      </c>
      <c r="AW131" s="376" t="str">
        <f>IF(OR(AND(AV131&lt;Geometria!$L$1409/100,OR(Geometria!$K$1409&gt;0,Geometria!$K$1407&gt;0)),AND((Geometria!$L$29/100-AV131)&lt;Geometria!$R$1409/100,OR(Geometria!$Q$1409&gt;0,Geometria!$Q$1407&gt;0))),"Sim","Não")</f>
        <v>Não</v>
      </c>
      <c r="AX131" s="122" t="s">
        <v>436</v>
      </c>
      <c r="AY131" s="198" t="str">
        <f ca="1">IF(Geometria!$R$437&lt;Geometria!$N$1308/100,"Reduzir","OK")</f>
        <v>OK</v>
      </c>
      <c r="AZ131" s="401">
        <f t="shared" ca="1" si="28"/>
        <v>-4318.618302288497</v>
      </c>
      <c r="BA131" s="403">
        <f ca="1">-(BF131/(Geometria!$L$48/100^2))-(BG131/(Geometria!$L$53/100^3))+((Geometria!$R$416)/(Geometria!$L$53/100^3))+((Geometria!$R$427)/(Geometria!$M$53/100^3))+((Geometria!$L$76*Geometria!$R$438)/(Geometria!$M$53/100^3))</f>
        <v>7753.716612978137</v>
      </c>
      <c r="BB131" s="400">
        <f ca="1">(Geometria!$N$368*MIN(1,(Geometria!$R$897*100)/Geometria!$N$1308))</f>
        <v>111.03210918130361</v>
      </c>
      <c r="BC131" s="751">
        <f ca="1">-((Geometria!$L$373-(Geometria!$L$373-ER131)*(1-(MIN(MIN(1,MAX(0,(AV131-Geometria!$L$1409/100)/(Geometria!$N$1307/100))),MIN(1,MAX(0,((Geometria!$L$29/100-AV131)-Geometria!$R$1409/100)/(Geometria!$N$1307/100))))))*(IF(OR(Geometria!$K$1409&gt;0,Geometria!$K$1407&gt;0,Geometria!$Q$1409&gt;0,Geometria!$Q$1407&gt;0),1,0))-(Geometria!$L$373-ET131)*(1-(MIN(MIN(1,MAX(0,(AV131-Geometria!$L$1405/100)/(Geometria!$N$1307/100))),MIN(1,MAX(0,((Geometria!$L$29/100-AV131)-Geometria!$R$1405/100)/(Geometria!$N$1307/100))))))*(IF(OR(Geometria!$K$1405&gt;0,Geometria!$K$1403&gt;0,Geometria!$Q$1405&gt;0,Geometria!$Q$1403&gt;0),1,0))))/(Geometria!$L$48/100^2)-((Geometria!$L$374-(Geometria!$L$374-ES131)*(1-(MIN(MIN(1,MAX(0,(AV131-Geometria!$L$1409/100)/(Geometria!$N$1307/100))),MIN(1,MAX(0,((Geometria!$L$29/100-AV131)-Geometria!$R$1409/100)/(Geometria!$N$1307/100))))))*(IF(OR(Geometria!$K$1409&gt;0,Geometria!$K$1407&gt;0,Geometria!$Q$1409&gt;0,Geometria!$Q$1407&gt;0),1,0))-(Geometria!$L$374-EU131)*(1-(MIN(MIN(1,MAX(0,(AV131-Geometria!$L$1405/100)/(Geometria!$N$1307/100))),MIN(1,MAX(0,((Geometria!$L$29/100-AV131)-Geometria!$R$1405/100)/(Geometria!$N$1307/100))))))*(IF(OR(Geometria!$K$1405&gt;0,Geometria!$K$1403&gt;0,Geometria!$Q$1405&gt;0,Geometria!$Q$1403&gt;0),1,0))))/(Geometria!$L$53/100^3)+((Geometria!$R$416)/(Geometria!$L$53/100^3))+((Geometria!$R$427)/(Geometria!$M$53/100^3))</f>
        <v>-4318.618302288497</v>
      </c>
      <c r="BD131" s="751"/>
      <c r="BF131" s="373">
        <f ca="1">(Geometria!$L$298-(Geometria!$L$298-IF(AV131&lt;Geometria!$L$1409/100,Geometria!$L$1442,Geometria!$L$1460))*(1-(MIN(MIN(1,MAX(0,(AV131-Geometria!$L$1409/100)/(Geometria!$N$1307/100))),MIN(1,MAX(0,((Geometria!$L$29/100-AV131)-Geometria!$R$1409/100)/(Geometria!$N$1307/100))))))*(IF(OR(Geometria!$K$1409&gt;0,Geometria!$K$1407&gt;0,Geometria!$Q$1409&gt;0,Geometria!$Q$1407&gt;0),1,0))-(Geometria!$L$298-IF(AV131&lt;Geometria!$L$1405/100,Geometria!$L$1444,Geometria!$L$1462))*(1-(MIN(MIN(1,MAX(0,(AV131-Geometria!$L$1405/100)/(Geometria!$N$1307/100))),MIN(1,MAX(0,((Geometria!$L$29/100-AV131)-Geometria!$R$1405/100)/(Geometria!$N$1307/100))))))*(IF(OR(Geometria!$K$1405&gt;0,Geometria!$K$1403&gt;0,Geometria!$Q$1405&gt;0,Geometria!$Q$1403&gt;0),1,0)))*BB131+Geometria!$P$1429*BB108</f>
        <v>1232.4181031689468</v>
      </c>
      <c r="BG131" s="373">
        <f ca="1">(Geometria!$L$298-(Geometria!$L$298-IF(AV131&lt;Geometria!$L$1409/100,Geometria!$L$1442,Geometria!$L$1460))*(1-(MIN(MIN(1,MAX(0,(AV131-Geometria!$L$1409/100)/(Geometria!$N$1307/100))),MIN(1,MAX(0,((Geometria!$L$29/100-AV131)-Geometria!$R$1409/100)/(Geometria!$N$1307/100))))))*(IF(OR(Geometria!$K$1409&gt;0,Geometria!$K$1407&gt;0,Geometria!$Q$1409&gt;0,Geometria!$Q$1407&gt;0),1,0))-(Geometria!$L$298-IF(AV131&lt;Geometria!$L$1405/100,Geometria!$L$1444,Geometria!$L$1462))*(1-(MIN(MIN(1,MAX(0,(AV131-Geometria!$L$1405/100)/(Geometria!$N$1307/100))),MIN(1,MAX(0,((Geometria!$L$29/100-AV131)-Geometria!$R$1405/100)/(Geometria!$N$1307/100))))))*(IF(OR(Geometria!$K$1405&gt;0,Geometria!$K$1403&gt;0,Geometria!$Q$1405&gt;0,Geometria!$Q$1403&gt;0),1,0)))*BB131*(Geometria!$L$299-(Geometria!$L$299-IF(AV131&lt;Geometria!$L$1409/100,Geometria!$L$1443,Geometria!$L$1461))*(1-(MIN(MIN(1,MAX(0,(AV131-Geometria!$L$1409/100)/(Geometria!$N$1307/100))),MIN(1,MAX(0,((Geometria!$L$29/100-AV131)-Geometria!$R$1409/100)/(Geometria!$N$1307/100))))))*(IF(OR(Geometria!$K$1409&gt;0,Geometria!$K$1407&gt;0,Geometria!$Q$1409&gt;0,Geometria!$Q$1407&gt;0),1,0))-(Geometria!$L$299-IF(AV131&lt;Geometria!$L$1405/100,Geometria!$L$1445,Geometria!$L$1463))*(1-(MIN(MIN(1,MAX(0,(AV131-Geometria!$L$1405/100)/(Geometria!$N$1307/100))),MIN(1,MAX(0,((Geometria!$L$29/100-AV131)-Geometria!$R$1405/100)/(Geometria!$N$1307/100))))))*(IF(OR(Geometria!$K$1405&gt;0,Geometria!$K$1403&gt;0,Geometria!$Q$1405&gt;0,Geometria!$Q$1403&gt;0),1,0)))/100-Geometria!$P$1429*BB108*Geometria!$L$1438/100</f>
        <v>233.2315255682624</v>
      </c>
      <c r="BH131" s="365"/>
      <c r="BI131" s="371">
        <f ca="1">(IF(AW131="Sim",IF(AU131="Sim",$E$93,EX131),IF(AU131="Sim",EZ131,Geometria!$L$906)))</f>
        <v>1475.413282676191</v>
      </c>
      <c r="BJ131" s="371">
        <f ca="1">(IF(AW131="Sim",IF(AU131="Sim",$E$94,EY131),IF(AU131="Sim",FA131,Geometria!$L$907)))</f>
        <v>276.63999050178586</v>
      </c>
      <c r="BL131" s="4" t="s">
        <v>436</v>
      </c>
      <c r="BM131" s="202">
        <f t="shared" ca="1" si="40"/>
        <v>-4318.618302288497</v>
      </c>
      <c r="BN131" s="38" t="s">
        <v>234</v>
      </c>
      <c r="BO131" s="203">
        <f t="shared" ca="1" si="29"/>
        <v>-4.318618302288497</v>
      </c>
      <c r="BP131" s="38" t="s">
        <v>160</v>
      </c>
      <c r="BQ131" s="399">
        <f t="shared" si="41"/>
        <v>0.0</v>
      </c>
      <c r="BR131" s="376" t="str">
        <f>IF(OR(AND(BS131&lt;Geometria!$L$1405/100,Geometria!$K$1405&gt;0),AND((Geometria!$L$29/100-BS131)&lt;Geometria!$R$1405/100,Geometria!$Q$1405&gt;0)),"Sim","Não")</f>
        <v>Não</v>
      </c>
      <c r="BS131" s="395">
        <f t="shared" si="30"/>
        <v>2.7475</v>
      </c>
      <c r="BT131" s="376" t="str">
        <f>IF(OR(AND(BS131&lt;Geometria!$L$1409/100,OR(Geometria!$K$1409&gt;0,Geometria!$K$1407&gt;0)),AND((Geometria!$L$29/100-BS131)&lt;Geometria!$R$1409/100,OR(Geometria!$Q$1409&gt;0,Geometria!$Q$1407&gt;0))),"Sim","Não")</f>
        <v>Não</v>
      </c>
      <c r="BU131" s="122" t="s">
        <v>436</v>
      </c>
      <c r="BV131" s="198" t="str">
        <f ca="1">IF(Geometria!$R$437&lt;Geometria!$N$1308/100,"Reduzir","OK")</f>
        <v>OK</v>
      </c>
      <c r="BW131" s="401">
        <f t="shared" ca="1" si="31"/>
        <v>3769.117310003099</v>
      </c>
      <c r="BX131" s="403">
        <f ca="1">-(CC131/(Geometria!$L$48/100^2))-(CD131/(Geometria!$L$53/100^3))+((Geometria!$R$416)/(Geometria!$L$53/100^3))+((Geometria!$R$427)/(Geometria!$M$53/100^3))+((Geometria!$L$76*Geometria!$R$438)/(Geometria!$M$53/100^3))</f>
        <v>7753.716612978137</v>
      </c>
      <c r="BY131" s="400">
        <f ca="1">(Geometria!$N$368*MIN(1,(Geometria!$R$897*100)/Geometria!$N$1308))</f>
        <v>111.03210918130361</v>
      </c>
      <c r="BZ131" s="751">
        <f ca="1">-((Geometria!$L$373-(Geometria!$L$373-ER131)*(1-(MIN(MIN(1,MAX(0,(BS131-Geometria!$L$1409/100)/(Geometria!$N$1307/100))),MIN(1,MAX(0,((Geometria!$L$29/100-BS131)-Geometria!$R$1409/100)/(Geometria!$N$1307/100))))))*(IF(OR(Geometria!$K$1409&gt;0,Geometria!$K$1407&gt;0,Geometria!$Q$1409&gt;0,Geometria!$Q$1407&gt;0),1,0))-(Geometria!$L$373-ET131)*(1-(MIN(MIN(1,MAX(0,(BS131-Geometria!$L$1405/100)/(Geometria!$N$1307/100))),MIN(1,MAX(0,((Geometria!$L$29/100-BS131)-Geometria!$R$1405/100)/(Geometria!$N$1307/100))))))*(IF(OR(Geometria!$K$1405&gt;0,Geometria!$K$1403&gt;0,Geometria!$Q$1405&gt;0,Geometria!$Q$1403&gt;0),1,0))))/(Geometria!$L$48/100^2)-((Geometria!$L$374-(Geometria!$L$374-ES131)*(1-(MIN(MIN(1,MAX(0,(BS131-Geometria!$L$1409/100)/(Geometria!$N$1307/100))),MIN(1,MAX(0,((Geometria!$L$29/100-BS131)-Geometria!$R$1409/100)/(Geometria!$N$1307/100))))))*(IF(OR(Geometria!$K$1409&gt;0,Geometria!$K$1407&gt;0,Geometria!$Q$1409&gt;0,Geometria!$Q$1407&gt;0),1,0))-(Geometria!$L$374-EU131)*(1-(MIN(MIN(1,MAX(0,(BS131-Geometria!$L$1405/100)/(Geometria!$N$1307/100))),MIN(1,MAX(0,((Geometria!$L$29/100-BS131)-Geometria!$R$1405/100)/(Geometria!$N$1307/100))))))*(IF(OR(Geometria!$K$1405&gt;0,Geometria!$K$1403&gt;0,Geometria!$Q$1405&gt;0,Geometria!$Q$1403&gt;0),1,0))))/(Geometria!$L$53/100^3)+((Geometria!$R$673)/(Geometria!$L$53/100^3))+((Geometria!$R$684)/(Geometria!$M$53/100^3))+((Geometria!$L$77*Geometria!$R$695)/(Geometria!$M$53/100^3))</f>
        <v>3769.117310003099</v>
      </c>
      <c r="CA131" s="751"/>
      <c r="CC131" s="373">
        <f ca="1">(Geometria!$L$298-(Geometria!$L$298-IF(BS131&lt;Geometria!$L$1409/100,Geometria!$L$1442,Geometria!$L$1460))*(1-(MIN(MIN(1,MAX(0,(BS131-Geometria!$L$1409/100)/(Geometria!$N$1307/100))),MIN(1,MAX(0,((Geometria!$L$29/100-BS131)-Geometria!$R$1409/100)/(Geometria!$N$1307/100))))))*(IF(OR(Geometria!$K$1409&gt;0,Geometria!$K$1407&gt;0,Geometria!$Q$1409&gt;0,Geometria!$Q$1407&gt;0),1,0))-(Geometria!$L$298-IF(BS131&lt;Geometria!$L$1405/100,Geometria!$L$1444,Geometria!$L$1462))*(1-(MIN(MIN(1,MAX(0,(BS131-Geometria!$L$1405/100)/(Geometria!$N$1307/100))),MIN(1,MAX(0,((Geometria!$L$29/100-BS131)-Geometria!$R$1405/100)/(Geometria!$N$1307/100))))))*(IF(OR(Geometria!$K$1405&gt;0,Geometria!$K$1403&gt;0,Geometria!$Q$1405&gt;0,Geometria!$Q$1403&gt;0),1,0)))*BY131+Geometria!$P$1429*BY108</f>
        <v>1232.4181031689468</v>
      </c>
      <c r="CD131" s="373">
        <f ca="1">(Geometria!$L$298-(Geometria!$L$298-IF(BS131&lt;Geometria!$L$1409/100,Geometria!$L$1442,Geometria!$L$1460))*(1-(MIN(MIN(1,MAX(0,(BS131-Geometria!$L$1409/100)/(Geometria!$N$1307/100))),MIN(1,MAX(0,((Geometria!$L$29/100-BS131)-Geometria!$R$1409/100)/(Geometria!$N$1307/100))))))*(IF(OR(Geometria!$K$1409&gt;0,Geometria!$K$1407&gt;0,Geometria!$Q$1409&gt;0,Geometria!$Q$1407&gt;0),1,0))-(Geometria!$L$298-IF(BS131&lt;Geometria!$L$1405/100,Geometria!$L$1444,Geometria!$L$1462))*(1-(MIN(MIN(1,MAX(0,(BS131-Geometria!$L$1405/100)/(Geometria!$N$1307/100))),MIN(1,MAX(0,((Geometria!$L$29/100-BS131)-Geometria!$R$1405/100)/(Geometria!$N$1307/100))))))*(IF(OR(Geometria!$K$1405&gt;0,Geometria!$K$1403&gt;0,Geometria!$Q$1405&gt;0,Geometria!$Q$1403&gt;0),1,0)))*BY131*(Geometria!$L$299-(Geometria!$L$299-IF(BS131&lt;Geometria!$L$1409/100,Geometria!$L$1443,Geometria!$L$1461))*(1-(MIN(MIN(1,MAX(0,(BS131-Geometria!$L$1409/100)/(Geometria!$N$1307/100))),MIN(1,MAX(0,((Geometria!$L$29/100-BS131)-Geometria!$R$1409/100)/(Geometria!$N$1307/100))))))*(IF(OR(Geometria!$K$1409&gt;0,Geometria!$K$1407&gt;0,Geometria!$Q$1409&gt;0,Geometria!$Q$1407&gt;0),1,0))-(Geometria!$L$299-IF(BS131&lt;Geometria!$L$1405/100,Geometria!$L$1445,Geometria!$L$1463))*(1-(MIN(MIN(1,MAX(0,(BS131-Geometria!$L$1405/100)/(Geometria!$N$1307/100))),MIN(1,MAX(0,((Geometria!$L$29/100-BS131)-Geometria!$R$1405/100)/(Geometria!$N$1307/100))))))*(IF(OR(Geometria!$K$1405&gt;0,Geometria!$K$1403&gt;0,Geometria!$Q$1405&gt;0,Geometria!$Q$1403&gt;0),1,0)))/100-Geometria!$P$1429*BY108*Geometria!$L$1438/100</f>
        <v>233.2315255682624</v>
      </c>
      <c r="CE131" s="365"/>
      <c r="CF131" s="371">
        <f ca="1">(IF(BT131="Sim",IF(BR131="Sim",$E$93,EX131),IF(BR131="Sim",EZ131,Geometria!$L$906)))</f>
        <v>1475.413282676191</v>
      </c>
      <c r="CG131" s="371">
        <f ca="1">(IF(BT131="Sim",IF(BR131="Sim",$E$94,EY131),IF(BR131="Sim",FA131,Geometria!$L$907)))</f>
        <v>276.63999050178586</v>
      </c>
      <c r="CI131" s="4" t="s">
        <v>436</v>
      </c>
      <c r="CJ131" s="202">
        <f t="shared" ca="1" si="42"/>
        <v>3769.117310003099</v>
      </c>
      <c r="CK131" s="38" t="s">
        <v>234</v>
      </c>
      <c r="CL131" s="203">
        <f t="shared" ca="1" si="32"/>
        <v>3.7691173100030992</v>
      </c>
      <c r="CM131" s="38" t="s">
        <v>160</v>
      </c>
      <c r="CN131" s="399">
        <f t="shared" si="43"/>
        <v>0.0</v>
      </c>
      <c r="CO131" s="376" t="str">
        <f>IF(OR(AND(CP131&lt;Geometria!$L$1405/100,Geometria!$K$1405&gt;0),AND((Geometria!$L$29/100-CP131)&lt;Geometria!$R$1405/100,Geometria!$Q$1405&gt;0)),"Sim","Não")</f>
        <v>Não</v>
      </c>
      <c r="CP131" s="395">
        <f t="shared" si="33"/>
        <v>2.7475</v>
      </c>
      <c r="CQ131" s="376" t="str">
        <f>IF(OR(AND(CP131&lt;Geometria!$L$1409/100,OR(Geometria!$K$1409&gt;0,Geometria!$K$1407&gt;0)),AND((Geometria!$L$29/100-CP131)&lt;Geometria!$R$1409/100,OR(Geometria!$Q$1409&gt;0,Geometria!$Q$1407&gt;0))),"Sim","Não")</f>
        <v>Não</v>
      </c>
      <c r="CR131" s="122" t="s">
        <v>436</v>
      </c>
      <c r="CS131" s="198" t="str">
        <f ca="1">IF(Geometria!$R$437&lt;Geometria!$N$1308/100,"Reduzir","OK")</f>
        <v>OK</v>
      </c>
      <c r="CT131" s="401">
        <f t="shared" ca="1" si="34"/>
        <v>-4318.618302288497</v>
      </c>
      <c r="CU131" s="403">
        <f ca="1">-(CZ131/(Geometria!$L$48/100^2))-(DA131/(Geometria!$L$53/100^3))+((Geometria!$R$416)/(Geometria!$L$53/100^3))+((Geometria!$R$427)/(Geometria!$M$53/100^3))+((Geometria!$L$76*Geometria!$R$438)/(Geometria!$M$53/100^3))</f>
        <v>7695.380186387</v>
      </c>
      <c r="CV131" s="400">
        <f ca="1">(Geometria!$N$368*MIN(1,(Geometria!$R$897*100)/Geometria!$N$1308))</f>
        <v>111.03210918130361</v>
      </c>
      <c r="CW131" s="751">
        <f ca="1">-((Geometria!$L$373-(Geometria!$L$373-ER131)*(1-(MIN(MIN(1,MAX(0,(CP131-Geometria!$L$1409/100)/(Geometria!$N$1307/100))),MIN(1,MAX(0,((Geometria!$L$29/100-CP131)-Geometria!$R$1409/100)/(Geometria!$N$1307/100))))))*(IF(OR(Geometria!$K$1409&gt;0,Geometria!$K$1407&gt;0,Geometria!$Q$1409&gt;0,Geometria!$Q$1407&gt;0),1,0))-(Geometria!$L$373-ET131)*(1-(MIN(MIN(1,MAX(0,(CP131-Geometria!$L$1405/100)/(Geometria!$N$1307/100))),MIN(1,MAX(0,((Geometria!$L$29/100-CP131)-Geometria!$R$1405/100)/(Geometria!$N$1307/100))))))*(IF(OR(Geometria!$K$1405&gt;0,Geometria!$K$1403&gt;0,Geometria!$Q$1405&gt;0,Geometria!$Q$1403&gt;0),1,0))))/(Geometria!$L$48/100^2)-((Geometria!$L$374-(Geometria!$L$374-ES131)*(1-(MIN(MIN(1,MAX(0,(CP131-Geometria!$L$1409/100)/(Geometria!$N$1307/100))),MIN(1,MAX(0,((Geometria!$L$29/100-CP131)-Geometria!$R$1409/100)/(Geometria!$N$1307/100))))))*(IF(OR(Geometria!$K$1409&gt;0,Geometria!$K$1407&gt;0,Geometria!$Q$1409&gt;0,Geometria!$Q$1407&gt;0),1,0))-(Geometria!$L$374-EU131)*(1-(MIN(MIN(1,MAX(0,(CP131-Geometria!$L$1405/100)/(Geometria!$N$1307/100))),MIN(1,MAX(0,((Geometria!$L$29/100-CP131)-Geometria!$R$1405/100)/(Geometria!$N$1307/100))))))*(IF(OR(Geometria!$K$1405&gt;0,Geometria!$K$1403&gt;0,Geometria!$Q$1405&gt;0,Geometria!$Q$1403&gt;0),1,0))))/(Geometria!$L$53/100^3)+((Geometria!$R$673)/(Geometria!$L$53/100^3))+((Geometria!$R$684)/(Geometria!$M$53/100^3))</f>
        <v>-4318.618302288497</v>
      </c>
      <c r="CX131" s="751"/>
      <c r="CZ131" s="373">
        <f ca="1">(IF(CQ131="Sim",IF(CO131="Sim",IF(CP131&lt;Geometria!$L$1405/100,Geometria!$L$1435,Geometria!$L$1476),IF(CP131&lt;Geometria!$L$1409/100,Geometria!$L$1442,Geometria!$L$1460)),IF(CO131="Sim",IF(CP131&lt;Geometria!$L$1405/100,Geometria!$L$1444,Geometria!$L$1462),Geometria!$L$298)))*CV131+Geometria!$P$1429*CV108</f>
        <v>1243.5596228306003</v>
      </c>
      <c r="DA131" s="373">
        <f ca="1">(IF(CQ131="Sim",IF(CO131="Sim",IF(CP131&lt;Geometria!$L$1405/100,Geometria!$L$1435,Geometria!$L$1476),IF(CP131&lt;Geometria!$L$1409/100,Geometria!$L$1442,Geometria!$L$1460)),IF(CO131="Sim",IF(CP131&lt;Geometria!$L$1405/100,Geometria!$L$1444,Geometria!$L$1462),Geometria!$L$298)))*CV131*(IF(CQ131="Sim",IF(CO131="Sim",IF(CP131&lt;Geometria!$L$1405/100,Geometria!$L$1436,Geometria!$L$1484),IF(CP131&lt;Geometria!$L$1409/100,Geometria!$L$1443,Geometria!$L$1461)),IF(CO131="Sim",IF(CP131&lt;Geometria!$L$1405/100,Geometria!$L$1445,Geometria!$L$1463),Geometria!$L$299)))/100-Geometria!$P$1429*CV108*Geometria!$L$1438/100</f>
        <v>233.16742928073757</v>
      </c>
      <c r="DB131" s="365"/>
      <c r="DC131" s="371">
        <f ca="1">(IF(CQ131="Sim",IF(CO131="Sim",$E$93,EX131),IF(CO131="Sim",EZ131,Geometria!$L$906)))</f>
        <v>1475.413282676191</v>
      </c>
      <c r="DD131" s="371">
        <f ca="1">(IF(CQ131="Sim",IF(CO131="Sim",$E$94,EY131),IF(CO131="Sim",FA131,Geometria!$L$907)))</f>
        <v>276.63999050178586</v>
      </c>
      <c r="DF131" s="4" t="s">
        <v>436</v>
      </c>
      <c r="DG131" s="202">
        <f t="shared" ca="1" si="44"/>
        <v>-4318.618302288497</v>
      </c>
      <c r="DH131" s="38" t="s">
        <v>234</v>
      </c>
      <c r="DI131" s="203">
        <f t="shared" ca="1" si="35"/>
        <v>-4.318618302288497</v>
      </c>
      <c r="DJ131" s="38" t="s">
        <v>160</v>
      </c>
      <c r="DK131" s="399">
        <f t="shared" si="45"/>
        <v>0.0</v>
      </c>
      <c r="EA131">
        <f ca="1">-L131/('Aberturas na Alma'!$M$112/100^2)-M131/('Aberturas na Alma'!$M$120/100^3)+Geometria!$L$898/('Aberturas na Alma'!$M$120/100^3)</f>
        <v>-56477.47084409399</v>
      </c>
      <c r="EB131">
        <f ca="1">-(IF(C131="Sim",IF(A131="Sim",$E$93,EX131),IF(A131="Sim",EZ131,Geometria!$L$906)))/('Aberturas na Alma'!$M$112/100^2)-(IF(C131="Sim",IF(A131="Sim",$E$94,EY131),IF(A131="Sim",FA131,Geometria!$L$907)))/('Aberturas na Alma'!$M$120/100^3)+Geometria!$R$898/('Aberturas na Alma'!$M$120/100^3)</f>
        <v>-24195.006470435368</v>
      </c>
      <c r="EC131">
        <f ca="1">IF(AND('Aberturas na Alma'!$M$18="NÃO DISPENSADO — furo deve ser verificado (cálculo abaixo)",OR(AND(B131&gt;=('Aberturas na Alma'!$M$4-'Aberturas na Alma'!$M$7/2)/100,B131&lt;=('Aberturas na Alma'!$M$4+'Aberturas na Alma'!$M$7/2)/100),ABS(B131-'Aberturas na Alma'!$M$4/100)&lt;=Geometria!$L$29/4000)),IF(E131="Reduzir",EA131,EB131),F131)</f>
        <v>-21357.1102232985</v>
      </c>
      <c r="ED131">
        <f ca="1">-(AI131/('Aberturas na Alma'!$M$112/100^2))-(AJ131/('Aberturas na Alma'!$M$120/100^3))+((Geometria!$R$416)/('Aberturas na Alma'!$M$120/100^3))+((Geometria!$R$427)/('Aberturas na Alma'!$M$120/100^3))+((Geometria!$L$76*Geometria!$R$438)/('Aberturas na Alma'!$M$120/100^3))</f>
        <v>28740.380828543417</v>
      </c>
      <c r="EE131">
        <f ca="1">-((IF(Z131="Sim",IF(X131="Sim",$AB$93,ER131),IF(X131="Sim",ET131,Geometria!$L$373)))/('Aberturas na Alma'!$M$112/100^2))-((IF(Z131="Sim",IF(X131="Sim",$AB$94,ES131),IF(X131="Sim",EU131,Geometria!$L$374)))/('Aberturas na Alma'!$M$120/100^3))+((Geometria!$R$416)/('Aberturas na Alma'!$M$120/100^3))+((Geometria!$R$427)/('Aberturas na Alma'!$M$120/100^3))+((Geometria!$L$76*Geometria!$R$438)/('Aberturas na Alma'!$M$120/100^3))</f>
        <v>28740.380828543417</v>
      </c>
      <c r="EF131" s="371">
        <f ca="1">IF(AND('Aberturas na Alma'!$M$18="NÃO DISPENSADO — furo deve ser verificado (cálculo abaixo)",OR(AND(B131&gt;=('Aberturas na Alma'!$M$4-'Aberturas na Alma'!$M$7/2)/100,B131&lt;=('Aberturas na Alma'!$M$4+'Aberturas na Alma'!$M$7/2)/100),ABS(B131-'Aberturas na Alma'!$M$4/100)&lt;=Geometria!$L$29/4000)),IF(AB131="Reduzir",ED131,EE131),AC131)</f>
        <v>7812.985116148896</v>
      </c>
      <c r="EG131">
        <f ca="1">-(BF131/('Aberturas na Alma'!$M$112/100^2))-(BG131/('Aberturas na Alma'!$M$120/100^3))+((Geometria!$R$416)/('Aberturas na Alma'!$M$120/100^3))+((Geometria!$R$427)/('Aberturas na Alma'!$M$120/100^3))+((Geometria!$L$76*Geometria!$R$438)/('Aberturas na Alma'!$M$120/100^3))</f>
        <v>28819.357521789276</v>
      </c>
      <c r="EH131">
        <f ca="1">-((IF(AW131="Sim",IF(AU131="Sim",$AB$93,ER131),IF(AU131="Sim",ET131,Geometria!$L$373)))/('Aberturas na Alma'!$M$112/100^2))-((IF(AW131="Sim",IF(AU131="Sim",$AB$94,ES131),IF(AU131="Sim",EU131,Geometria!$L$374)))/('Aberturas na Alma'!$M$120/100^3))+((Geometria!$R$416)/('Aberturas na Alma'!$M$120/100^3))+((Geometria!$R$427)/('Aberturas na Alma'!$M$120/100^3))</f>
        <v>-5283.294799807994</v>
      </c>
      <c r="EI131" s="371">
        <f ca="1">IF(AND('Aberturas na Alma'!$M$18="NÃO DISPENSADO — furo deve ser verificado (cálculo abaixo)",OR(AND(B131&gt;=('Aberturas na Alma'!$M$4-'Aberturas na Alma'!$M$7/2)/100,B131&lt;=('Aberturas na Alma'!$M$4+'Aberturas na Alma'!$M$7/2)/100),ABS(B131-'Aberturas na Alma'!$M$4/100)&lt;=Geometria!$L$29/4000)),IF(AY131="Reduzir",EG131,EH131),AZ131)</f>
        <v>-4318.618302288497</v>
      </c>
      <c r="EJ131">
        <f ca="1">-(CC131/('Aberturas na Alma'!$M$112/100^2))-(CD131/('Aberturas na Alma'!$M$120/100^3))+((Geometria!$R$416)/('Aberturas na Alma'!$M$120/100^3))+((Geometria!$R$427)/('Aberturas na Alma'!$M$120/100^3))+((Geometria!$L$76*Geometria!$R$438)/('Aberturas na Alma'!$M$120/100^3))</f>
        <v>28819.357521789276</v>
      </c>
      <c r="EK131">
        <f ca="1">-((IF(BT131="Sim",IF(BR131="Sim",$AB$93,ER131),IF(BR131="Sim",ET131,Geometria!$L$373)))/('Aberturas na Alma'!$M$112/100^2))-((IF(BT131="Sim",IF(BR131="Sim",$AB$94,ES131),IF(BR131="Sim",EU131,Geometria!$L$374)))/('Aberturas na Alma'!$M$120/100^3))+((Geometria!$R$673)/('Aberturas na Alma'!$M$120/100^3))+((Geometria!$R$684)/('Aberturas na Alma'!$M$120/100^3))+((Geometria!$L$77*Geometria!$R$695)/('Aberturas na Alma'!$M$120/100^3))</f>
        <v>17399.155619092948</v>
      </c>
      <c r="EL131" s="371">
        <f ca="1">IF(AND('Aberturas na Alma'!$M$18="NÃO DISPENSADO — furo deve ser verificado (cálculo abaixo)",OR(AND(B131&gt;=('Aberturas na Alma'!$M$4-'Aberturas na Alma'!$M$7/2)/100,B131&lt;=('Aberturas na Alma'!$M$4+'Aberturas na Alma'!$M$7/2)/100),ABS(B131-'Aberturas na Alma'!$M$4/100)&lt;=Geometria!$L$29/4000)),IF(BV131="Reduzir",EJ131,EK131),BW131)</f>
        <v>3769.117310003099</v>
      </c>
      <c r="EM131">
        <f ca="1">-(CZ131/('Aberturas na Alma'!$M$112/100^2))-(DA131/('Aberturas na Alma'!$M$120/100^3))+((Geometria!$R$416)/('Aberturas na Alma'!$M$120/100^3))+((Geometria!$R$427)/('Aberturas na Alma'!$M$120/100^3))+((Geometria!$L$76*Geometria!$R$438)/('Aberturas na Alma'!$M$120/100^3))</f>
        <v>28740.380828543417</v>
      </c>
      <c r="EN131">
        <f ca="1">-((IF(CQ131="Sim",IF(CO131="Sim",$AB$93,ER131),IF(CO131="Sim",ET131,Geometria!$L$373)))/('Aberturas na Alma'!$M$112/100^2))-((IF(CQ131="Sim",IF(CO131="Sim",$AB$94,ES131),IF(CO131="Sim",EU131,Geometria!$L$374)))/('Aberturas na Alma'!$M$120/100^3))+((Geometria!$R$673)/('Aberturas na Alma'!$M$120/100^3))+((Geometria!$R$684)/('Aberturas na Alma'!$M$120/100^3))</f>
        <v>-5283.294799807994</v>
      </c>
      <c r="EO131" s="371">
        <f ca="1">IF(AND('Aberturas na Alma'!$M$18="NÃO DISPENSADO — furo deve ser verificado (cálculo abaixo)",OR(AND(B131&gt;=('Aberturas na Alma'!$M$4-'Aberturas na Alma'!$M$7/2)/100,B131&lt;=('Aberturas na Alma'!$M$4+'Aberturas na Alma'!$M$7/2)/100),ABS(B131-'Aberturas na Alma'!$M$4/100)&lt;=Geometria!$L$29/4000)),IF(CS131="Reduzir",EM131,EN131),CT131)</f>
        <v>-4318.618302288497</v>
      </c>
      <c r="EP131" t="str">
        <f>IF(AND(Y131&lt;Geometria!$L$1409/100,OR(Geometria!$K$1409&gt;0,Geometria!$K$1407&gt;0)),"ESQ",IF(AND((Geometria!$L$29/100-Y131)&lt;Geometria!$R$1409/100,OR(Geometria!$Q$1409&gt;0,Geometria!$Q$1407&gt;0)),"DIR","N/A"))</f>
        <v>N/A</v>
      </c>
      <c r="EQ131" t="str">
        <f>IF(AND(Y131&lt;Geometria!$L$1405/100,Geometria!$K$1405&gt;0),"ESQ",IF(AND((Geometria!$L$29/100-Y131)&lt;Geometria!$R$1405/100,Geometria!$Q$1405&gt;0),"DIR","N/A"))</f>
        <v>N/A</v>
      </c>
      <c r="ER131">
        <f ca="1">IF(EP131="DIR",Geometria!$L$1470,Geometria!$L$1452)</f>
        <v>1243.5596228306003</v>
      </c>
      <c r="ES131">
        <f ca="1">IF(EP131="DIR",Geometria!$L$1471,Geometria!$L$1453)</f>
        <v>233.16742928073757</v>
      </c>
      <c r="ET131">
        <f ca="1">IF(EQ131="DIR",Geometria!$L$1472,Geometria!$L$1454)</f>
        <v>621.7798114153002</v>
      </c>
      <c r="EU131">
        <f ca="1">IF(EQ131="DIR",Geometria!$L$1473,Geometria!$L$1455)</f>
        <v>177.20724625336052</v>
      </c>
      <c r="EV131" t="str">
        <f>IF(AND(B131&lt;Geometria!$L$1409/100,OR(Geometria!$K$1409&gt;0,Geometria!$K$1407&gt;0)),"ESQ",IF(AND((Geometria!$L$29/100-B131)&lt;Geometria!$R$1409/100,OR(Geometria!$Q$1409&gt;0,Geometria!$Q$1407&gt;0)),"DIR","N/A"))</f>
        <v>N/A</v>
      </c>
      <c r="EW131" t="str">
        <f>IF(AND(B131&lt;Geometria!$L$1405/100,Geometria!$K$1405&gt;0),"ESQ",IF(AND((Geometria!$L$29/100-B131)&lt;Geometria!$R$1405/100,Geometria!$Q$1405&gt;0),"DIR","N/A"))</f>
        <v>N/A</v>
      </c>
      <c r="EX131">
        <f ca="1">IF(EV131="DIR",Geometria!$L$1465,Geometria!$L$1447)</f>
        <v>1499.8056003831216</v>
      </c>
      <c r="EY131">
        <f ca="1">IF(EV131="DIR",Geometria!$L$1466,Geometria!$L$1448)</f>
        <v>281.2135500718353</v>
      </c>
      <c r="EZ131">
        <f ca="1">IF(EW131="DIR",Geometria!$L$1467,Geometria!$L$1449)</f>
        <v>749.9028001915608</v>
      </c>
      <c r="FA131">
        <f ca="1">IF(EW131="DIR",Geometria!$L$1468,Geometria!$L$1450)</f>
        <v>213.72229805459483</v>
      </c>
    </row>
    <row r="132" spans="1:157" x14ac:dyDescent="0.25">
      <c r="A132" s="376" t="str">
        <f>IF(OR(AND(B132&lt;Geometria!$L$1405/100,Geometria!$K$1405&gt;0),AND((Geometria!$L$29/100-B132)&lt;Geometria!$R$1405/100,Geometria!$Q$1405&gt;0)),"Sim","Não")</f>
        <v>Não</v>
      </c>
      <c r="B132" s="395">
        <f t="shared" si="21"/>
        <v>3.14</v>
      </c>
      <c r="C132" s="376" t="str">
        <f>IF(OR(AND(B132&lt;Geometria!$L$1409/100,OR(Geometria!$K$1409&gt;0,Geometria!$K$1407&gt;0)),AND((Geometria!$L$29/100-B132)&lt;Geometria!$R$1409/100,OR(Geometria!$Q$1409&gt;0,Geometria!$Q$1407&gt;0))),"Sim","Não")</f>
        <v>Não</v>
      </c>
      <c r="D132" s="122" t="s">
        <v>437</v>
      </c>
      <c r="E132" s="198" t="str">
        <f ca="1">IF(Geometria!$K$440&lt;Geometria!$N$1308/100,"Reduzir","OK")</f>
        <v>OK</v>
      </c>
      <c r="F132" s="396">
        <f t="shared" ca="1" si="22"/>
        <v>-21378.0300705225</v>
      </c>
      <c r="G132" s="397">
        <f ca="1">-L132/(Geometria!$L$48/100^2)-M132/(Geometria!$L$53/100^3)+Geometria!$L$898/(Geometria!$L$53/100^3)</f>
        <v>-58132.97144151713</v>
      </c>
      <c r="H132" s="400">
        <f ca="1">(((IF(C132="Sim",$N$47,Geometria!$L$324))*(Geometria!$K$900*100))/Geometria!$N$1308)</f>
        <v>327.3872069857712</v>
      </c>
      <c r="I132" s="743">
        <f ca="1">-(Geometria!$L$906-(Geometria!$L$906-EX132)*(1-(MIN(MIN(1,MAX(0,(B132-Geometria!$L$1409/100)/(Geometria!$N$1307/100))),MIN(1,MAX(0,((Geometria!$L$29/100-B132)-Geometria!$R$1409/100)/(Geometria!$N$1307/100))))))*(IF(OR(Geometria!$K$1409&gt;0,Geometria!$K$1407&gt;0,Geometria!$Q$1409&gt;0,Geometria!$Q$1407&gt;0),1,0))-(Geometria!$L$906-EZ132)*(1-(MIN(MIN(1,MAX(0,(B132-Geometria!$L$1405/100)/(Geometria!$N$1307/100))),MIN(1,MAX(0,((Geometria!$L$29/100-B132)-Geometria!$R$1405/100)/(Geometria!$N$1307/100))))))*(IF(OR(Geometria!$K$1405&gt;0,Geometria!$K$1403&gt;0,Geometria!$Q$1405&gt;0,Geometria!$Q$1403&gt;0),1,0)))/(Geometria!$L$48/100^2)-(Geometria!$L$907-(Geometria!$L$907-EY132)*(1-(MIN(MIN(1,MAX(0,(B132-Geometria!$L$1409/100)/(Geometria!$N$1307/100))),MIN(1,MAX(0,((Geometria!$L$29/100-B132)-Geometria!$R$1409/100)/(Geometria!$N$1307/100))))))*(IF(OR(Geometria!$K$1409&gt;0,Geometria!$K$1407&gt;0,Geometria!$Q$1409&gt;0,Geometria!$Q$1407&gt;0),1,0))-(Geometria!$L$907-FA132)*(1-(MIN(MIN(1,MAX(0,(B132-Geometria!$L$1405/100)/(Geometria!$N$1307/100))),MIN(1,MAX(0,((Geometria!$L$29/100-B132)-Geometria!$R$1405/100)/(Geometria!$N$1307/100))))))*(IF(OR(Geometria!$K$1405&gt;0,Geometria!$K$1403&gt;0,Geometria!$Q$1405&gt;0,Geometria!$Q$1403&gt;0),1,0)))/(Geometria!$L$53/100^3)+Geometria!$K$901/(Geometria!$L$53/100^3)</f>
        <v>-21378.0300705225</v>
      </c>
      <c r="J132" s="743"/>
      <c r="L132" s="373">
        <f ca="1">(Geometria!$L$298-(Geometria!$L$298-IF(B132&lt;Geometria!$L$1409/100,Geometria!$L$1442,Geometria!$L$1460))*(1-(MIN(MIN(1,MAX(0,(B132-Geometria!$L$1409/100)/(Geometria!$N$1307/100))),MIN(1,MAX(0,((Geometria!$L$29/100-B132)-Geometria!$R$1409/100)/(Geometria!$N$1307/100))))))*(IF(OR(Geometria!$K$1409&gt;0,Geometria!$K$1407&gt;0,Geometria!$Q$1409&gt;0,Geometria!$Q$1407&gt;0),1,0))-(Geometria!$L$298-IF(B132&lt;Geometria!$L$1405/100,Geometria!$L$1444,Geometria!$L$1462))*(1-(MIN(MIN(1,MAX(0,(B132-Geometria!$L$1405/100)/(Geometria!$N$1307/100))),MIN(1,MAX(0,((Geometria!$L$29/100-B132)-Geometria!$R$1405/100)/(Geometria!$N$1307/100))))))*(IF(OR(Geometria!$K$1405&gt;0,Geometria!$K$1403&gt;0,Geometria!$Q$1405&gt;0,Geometria!$Q$1403&gt;0),1,0)))*H132+Geometria!$P$1429*H109</f>
        <v>3666.736718240637</v>
      </c>
      <c r="M132" s="373">
        <f ca="1">(Geometria!$L$298-(Geometria!$L$298-IF(B132&lt;Geometria!$L$1409/100,Geometria!$L$1442,Geometria!$L$1460))*(1-(MIN(MIN(1,MAX(0,(B132-Geometria!$L$1409/100)/(Geometria!$N$1307/100))),MIN(1,MAX(0,((Geometria!$L$29/100-B132)-Geometria!$R$1409/100)/(Geometria!$N$1307/100))))))*(IF(OR(Geometria!$K$1409&gt;0,Geometria!$K$1407&gt;0,Geometria!$Q$1409&gt;0,Geometria!$Q$1407&gt;0),1,0))-(Geometria!$L$298-IF(B132&lt;Geometria!$L$1405/100,Geometria!$L$1444,Geometria!$L$1462))*(1-(MIN(MIN(1,MAX(0,(B132-Geometria!$L$1405/100)/(Geometria!$N$1307/100))),MIN(1,MAX(0,((Geometria!$L$29/100-B132)-Geometria!$R$1405/100)/(Geometria!$N$1307/100))))))*(IF(OR(Geometria!$K$1405&gt;0,Geometria!$K$1403&gt;0,Geometria!$Q$1405&gt;0,Geometria!$Q$1403&gt;0),1,0)))*H132*(Geometria!$L$299-(Geometria!$L$299-IF(B132&lt;Geometria!$L$1409/100,Geometria!$L$1443,Geometria!$L$1461))*(1-(MIN(MIN(1,MAX(0,(B132-Geometria!$L$1409/100)/(Geometria!$N$1307/100))),MIN(1,MAX(0,((Geometria!$L$29/100-B132)-Geometria!$R$1409/100)/(Geometria!$N$1307/100))))))*(IF(OR(Geometria!$K$1409&gt;0,Geometria!$K$1407&gt;0,Geometria!$Q$1409&gt;0,Geometria!$Q$1407&gt;0),1,0))-(Geometria!$L$299-IF(B132&lt;Geometria!$L$1405/100,Geometria!$L$1445,Geometria!$L$1463))*(1-(MIN(MIN(1,MAX(0,(B132-Geometria!$L$1405/100)/(Geometria!$N$1307/100))),MIN(1,MAX(0,((Geometria!$L$29/100-B132)-Geometria!$R$1405/100)/(Geometria!$N$1307/100))))))*(IF(OR(Geometria!$K$1405&gt;0,Geometria!$K$1403&gt;0,Geometria!$Q$1405&gt;0,Geometria!$Q$1403&gt;0),1,0)))/100-Geometria!$P$1429*H109*Geometria!$L$1438/100</f>
        <v>687.5131346701195</v>
      </c>
      <c r="N132" s="365"/>
      <c r="O132" s="371">
        <f ca="1">(IF(C132="Sim",IF(A132="Sim",$E$93,EX132),IF(A132="Sim",EZ132,Geometria!$L$906)))</f>
        <v>1475.413282676191</v>
      </c>
      <c r="P132" s="371">
        <f ca="1">(IF(C132="Sim",IF(A132="Sim",$E$94,EY132),IF(A132="Sim",FA132,Geometria!$L$907)))</f>
        <v>276.63999050178586</v>
      </c>
      <c r="R132" s="4" t="s">
        <v>437</v>
      </c>
      <c r="S132" s="202">
        <f t="shared" ca="1" si="36"/>
        <v>-21378.0300705225</v>
      </c>
      <c r="T132" s="38" t="s">
        <v>234</v>
      </c>
      <c r="U132" s="203">
        <f t="shared" ca="1" si="23"/>
        <v>-21.378030070522502</v>
      </c>
      <c r="V132" s="38" t="s">
        <v>160</v>
      </c>
      <c r="W132" s="399">
        <f t="shared" si="37"/>
        <v>0.0</v>
      </c>
      <c r="X132" s="376" t="str">
        <f>IF(OR(AND(Y132&lt;Geometria!$L$1405/100,Geometria!$K$1405&gt;0),AND((Geometria!$L$29/100-Y132)&lt;Geometria!$R$1405/100,Geometria!$Q$1405&gt;0)),"Sim","Não")</f>
        <v>Não</v>
      </c>
      <c r="Y132" s="395">
        <f t="shared" si="24"/>
        <v>3.14</v>
      </c>
      <c r="Z132" s="376" t="str">
        <f>IF(OR(AND(Y132&lt;Geometria!$L$1409/100,OR(Geometria!$K$1409&gt;0,Geometria!$K$1407&gt;0)),AND((Geometria!$L$29/100-Y132)&lt;Geometria!$R$1409/100,OR(Geometria!$Q$1409&gt;0,Geometria!$Q$1407&gt;0))),"Sim","Não")</f>
        <v>Não</v>
      </c>
      <c r="AA132" s="122" t="s">
        <v>437</v>
      </c>
      <c r="AB132" s="198" t="str">
        <f ca="1">IF(Geometria!$K$440&lt;Geometria!$N$1308/100,"Reduzir","OK")</f>
        <v>OK</v>
      </c>
      <c r="AC132" s="401">
        <f t="shared" ca="1" si="25"/>
        <v>9209.544517640856</v>
      </c>
      <c r="AD132" s="403">
        <f ca="1">-(AI132/(Geometria!$L$48/100^2))-(AJ132/(Geometria!$L$53/100^3))+((Geometria!$K$419)/(Geometria!$L$53/100^3))+((Geometria!$K$430)/(Geometria!$M$53/100^3))+((Geometria!$L$76*Geometria!$K$441)/(Geometria!$M$53/100^3))</f>
        <v>9209.544517640856</v>
      </c>
      <c r="AE132" s="400">
        <f ca="1">(Geometria!$N$368*MIN(1,(Geometria!$K$900*100)/Geometria!$N$1308))</f>
        <v>111.03210918130361</v>
      </c>
      <c r="AF132" s="751">
        <f ca="1">-((Geometria!$L$373-(Geometria!$L$373-ER132)*(1-(MIN(MIN(1,MAX(0,(Y132-Geometria!$L$1409/100)/(Geometria!$N$1307/100))),MIN(1,MAX(0,((Geometria!$L$29/100-Y132)-Geometria!$R$1409/100)/(Geometria!$N$1307/100))))))*(IF(OR(Geometria!$K$1409&gt;0,Geometria!$K$1407&gt;0,Geometria!$Q$1409&gt;0,Geometria!$Q$1407&gt;0),1,0))-(Geometria!$L$373-ET132)*(1-(MIN(MIN(1,MAX(0,(Y132-Geometria!$L$1405/100)/(Geometria!$N$1307/100))),MIN(1,MAX(0,((Geometria!$L$29/100-Y132)-Geometria!$R$1405/100)/(Geometria!$N$1307/100))))))*(IF(OR(Geometria!$K$1405&gt;0,Geometria!$K$1403&gt;0,Geometria!$Q$1405&gt;0,Geometria!$Q$1403&gt;0),1,0))))/(Geometria!$L$48/100^2)-((Geometria!$L$374-(Geometria!$L$374-ES132)*(1-(MIN(MIN(1,MAX(0,(Y132-Geometria!$L$1409/100)/(Geometria!$N$1307/100))),MIN(1,MAX(0,((Geometria!$L$29/100-Y132)-Geometria!$R$1409/100)/(Geometria!$N$1307/100))))))*(IF(OR(Geometria!$K$1409&gt;0,Geometria!$K$1407&gt;0,Geometria!$Q$1409&gt;0,Geometria!$Q$1407&gt;0),1,0))-(Geometria!$L$374-EU132)*(1-(MIN(MIN(1,MAX(0,(Y132-Geometria!$L$1405/100)/(Geometria!$N$1307/100))),MIN(1,MAX(0,((Geometria!$L$29/100-Y132)-Geometria!$R$1405/100)/(Geometria!$N$1307/100))))))*(IF(OR(Geometria!$K$1405&gt;0,Geometria!$K$1403&gt;0,Geometria!$Q$1405&gt;0,Geometria!$Q$1403&gt;0),1,0))))/(Geometria!$L$53/100^3)+((Geometria!$K$419)/(Geometria!$L$53/100^3))+((Geometria!$K$430)/(Geometria!$M$53/100^3))+((Geometria!$L$76*Geometria!$K$441)/(Geometria!$M$53/100^3))</f>
        <v>9209.544517640856</v>
      </c>
      <c r="AG132" s="751"/>
      <c r="AI132" s="373">
        <f ca="1">(IF(Z132="Sim",IF(X132="Sim",IF(Y132&lt;Geometria!$L$1405/100,Geometria!$L$1435,Geometria!$L$1476),IF(Y132&lt;Geometria!$L$1409/100,Geometria!$L$1442,Geometria!$L$1460)),IF(X132="Sim",IF(Y132&lt;Geometria!$L$1405/100,Geometria!$L$1444,Geometria!$L$1462),Geometria!$L$298)))*AE132+Geometria!$P$1429*AE109</f>
        <v>1243.5596228306003</v>
      </c>
      <c r="AJ132" s="373">
        <f ca="1">(IF(Z132="Sim",IF(X132="Sim",IF(Y132&lt;Geometria!$L$1405/100,Geometria!$L$1435,Geometria!$L$1476),IF(Y132&lt;Geometria!$L$1409/100,Geometria!$L$1442,Geometria!$L$1460)),IF(X132="Sim",IF(Y132&lt;Geometria!$L$1405/100,Geometria!$L$1444,Geometria!$L$1462),Geometria!$L$298)))*AE132*(IF(Z132="Sim",IF(X132="Sim",IF(Y132&lt;Geometria!$L$1405/100,Geometria!$L$1436,Geometria!$L$1484),IF(Y132&lt;Geometria!$L$1409/100,Geometria!$L$1443,Geometria!$L$1461)),IF(X132="Sim",IF(Y132&lt;Geometria!$L$1405/100,Geometria!$L$1445,Geometria!$L$1463),Geometria!$L$299)))/100-Geometria!$P$1429*AE109*Geometria!$L$1438/100</f>
        <v>233.16742928073757</v>
      </c>
      <c r="AK132" s="365"/>
      <c r="AL132" s="371">
        <f ca="1">(IF(Z132="Sim",IF(X132="Sim",$E$93,EX132),IF(X132="Sim",EZ132,Geometria!$L$906)))</f>
        <v>1475.413282676191</v>
      </c>
      <c r="AM132" s="371">
        <f ca="1">(IF(Z132="Sim",IF(X132="Sim",$E$94,EY132),IF(X132="Sim",FA132,Geometria!$L$907)))</f>
        <v>276.63999050178586</v>
      </c>
      <c r="AO132" s="4" t="s">
        <v>437</v>
      </c>
      <c r="AP132" s="202">
        <f t="shared" ca="1" si="38"/>
        <v>9209.544517640856</v>
      </c>
      <c r="AQ132" s="38" t="s">
        <v>234</v>
      </c>
      <c r="AR132" s="203">
        <f t="shared" ca="1" si="26"/>
        <v>9.209544517640856</v>
      </c>
      <c r="AS132" s="38" t="s">
        <v>160</v>
      </c>
      <c r="AT132" s="399">
        <f t="shared" si="39"/>
        <v>0.0</v>
      </c>
      <c r="AU132" s="376" t="str">
        <f>IF(OR(AND(AV132&lt;Geometria!$L$1405/100,Geometria!$K$1405&gt;0),AND((Geometria!$L$29/100-AV132)&lt;Geometria!$R$1405/100,Geometria!$Q$1405&gt;0)),"Sim","Não")</f>
        <v>Não</v>
      </c>
      <c r="AV132" s="395">
        <f t="shared" si="27"/>
        <v>3.14</v>
      </c>
      <c r="AW132" s="376" t="str">
        <f>IF(OR(AND(AV132&lt;Geometria!$L$1409/100,OR(Geometria!$K$1409&gt;0,Geometria!$K$1407&gt;0)),AND((Geometria!$L$29/100-AV132)&lt;Geometria!$R$1409/100,OR(Geometria!$Q$1409&gt;0,Geometria!$Q$1407&gt;0))),"Sim","Não")</f>
        <v>Não</v>
      </c>
      <c r="AX132" s="122" t="s">
        <v>437</v>
      </c>
      <c r="AY132" s="198" t="str">
        <f ca="1">IF(Geometria!$K$440&lt;Geometria!$N$1308/100,"Reduzir","OK")</f>
        <v>OK</v>
      </c>
      <c r="AZ132" s="401">
        <f t="shared" ca="1" si="28"/>
        <v>-3588.6305171941945</v>
      </c>
      <c r="BA132" s="403">
        <f ca="1">-(BF132/(Geometria!$L$48/100^2))-(BG132/(Geometria!$L$53/100^3))+((Geometria!$K$419)/(Geometria!$L$53/100^3))+((Geometria!$K$430)/(Geometria!$M$53/100^3))+((Geometria!$L$76*Geometria!$K$441)/(Geometria!$M$53/100^3))</f>
        <v>9209.544517640856</v>
      </c>
      <c r="BB132" s="400">
        <f ca="1">(Geometria!$N$368*MIN(1,(Geometria!$K$900*100)/Geometria!$N$1308))</f>
        <v>111.03210918130361</v>
      </c>
      <c r="BC132" s="751">
        <f ca="1">-((Geometria!$L$373-(Geometria!$L$373-ER132)*(1-(MIN(MIN(1,MAX(0,(AV132-Geometria!$L$1409/100)/(Geometria!$N$1307/100))),MIN(1,MAX(0,((Geometria!$L$29/100-AV132)-Geometria!$R$1409/100)/(Geometria!$N$1307/100))))))*(IF(OR(Geometria!$K$1409&gt;0,Geometria!$K$1407&gt;0,Geometria!$Q$1409&gt;0,Geometria!$Q$1407&gt;0),1,0))-(Geometria!$L$373-ET132)*(1-(MIN(MIN(1,MAX(0,(AV132-Geometria!$L$1405/100)/(Geometria!$N$1307/100))),MIN(1,MAX(0,((Geometria!$L$29/100-AV132)-Geometria!$R$1405/100)/(Geometria!$N$1307/100))))))*(IF(OR(Geometria!$K$1405&gt;0,Geometria!$K$1403&gt;0,Geometria!$Q$1405&gt;0,Geometria!$Q$1403&gt;0),1,0))))/(Geometria!$L$48/100^2)-((Geometria!$L$374-(Geometria!$L$374-ES132)*(1-(MIN(MIN(1,MAX(0,(AV132-Geometria!$L$1409/100)/(Geometria!$N$1307/100))),MIN(1,MAX(0,((Geometria!$L$29/100-AV132)-Geometria!$R$1409/100)/(Geometria!$N$1307/100))))))*(IF(OR(Geometria!$K$1409&gt;0,Geometria!$K$1407&gt;0,Geometria!$Q$1409&gt;0,Geometria!$Q$1407&gt;0),1,0))-(Geometria!$L$374-EU132)*(1-(MIN(MIN(1,MAX(0,(AV132-Geometria!$L$1405/100)/(Geometria!$N$1307/100))),MIN(1,MAX(0,((Geometria!$L$29/100-AV132)-Geometria!$R$1405/100)/(Geometria!$N$1307/100))))))*(IF(OR(Geometria!$K$1405&gt;0,Geometria!$K$1403&gt;0,Geometria!$Q$1405&gt;0,Geometria!$Q$1403&gt;0),1,0))))/(Geometria!$L$53/100^3)+((Geometria!$K$419)/(Geometria!$L$53/100^3))+((Geometria!$K$430)/(Geometria!$M$53/100^3))</f>
        <v>-3588.6305171941945</v>
      </c>
      <c r="BD132" s="751"/>
      <c r="BF132" s="373">
        <f ca="1">(Geometria!$L$298-(Geometria!$L$298-IF(AV132&lt;Geometria!$L$1409/100,Geometria!$L$1442,Geometria!$L$1460))*(1-(MIN(MIN(1,MAX(0,(AV132-Geometria!$L$1409/100)/(Geometria!$N$1307/100))),MIN(1,MAX(0,((Geometria!$L$29/100-AV132)-Geometria!$R$1409/100)/(Geometria!$N$1307/100))))))*(IF(OR(Geometria!$K$1409&gt;0,Geometria!$K$1407&gt;0,Geometria!$Q$1409&gt;0,Geometria!$Q$1407&gt;0),1,0))-(Geometria!$L$298-IF(AV132&lt;Geometria!$L$1405/100,Geometria!$L$1444,Geometria!$L$1462))*(1-(MIN(MIN(1,MAX(0,(AV132-Geometria!$L$1405/100)/(Geometria!$N$1307/100))),MIN(1,MAX(0,((Geometria!$L$29/100-AV132)-Geometria!$R$1405/100)/(Geometria!$N$1307/100))))))*(IF(OR(Geometria!$K$1405&gt;0,Geometria!$K$1403&gt;0,Geometria!$Q$1405&gt;0,Geometria!$Q$1403&gt;0),1,0)))*BB132+Geometria!$P$1429*BB109</f>
        <v>1243.5596228306003</v>
      </c>
      <c r="BG132" s="373">
        <f ca="1">(Geometria!$L$298-(Geometria!$L$298-IF(AV132&lt;Geometria!$L$1409/100,Geometria!$L$1442,Geometria!$L$1460))*(1-(MIN(MIN(1,MAX(0,(AV132-Geometria!$L$1409/100)/(Geometria!$N$1307/100))),MIN(1,MAX(0,((Geometria!$L$29/100-AV132)-Geometria!$R$1409/100)/(Geometria!$N$1307/100))))))*(IF(OR(Geometria!$K$1409&gt;0,Geometria!$K$1407&gt;0,Geometria!$Q$1409&gt;0,Geometria!$Q$1407&gt;0),1,0))-(Geometria!$L$298-IF(AV132&lt;Geometria!$L$1405/100,Geometria!$L$1444,Geometria!$L$1462))*(1-(MIN(MIN(1,MAX(0,(AV132-Geometria!$L$1405/100)/(Geometria!$N$1307/100))),MIN(1,MAX(0,((Geometria!$L$29/100-AV132)-Geometria!$R$1405/100)/(Geometria!$N$1307/100))))))*(IF(OR(Geometria!$K$1405&gt;0,Geometria!$K$1403&gt;0,Geometria!$Q$1405&gt;0,Geometria!$Q$1403&gt;0),1,0)))*BB132*(Geometria!$L$299-(Geometria!$L$299-IF(AV132&lt;Geometria!$L$1409/100,Geometria!$L$1443,Geometria!$L$1461))*(1-(MIN(MIN(1,MAX(0,(AV132-Geometria!$L$1409/100)/(Geometria!$N$1307/100))),MIN(1,MAX(0,((Geometria!$L$29/100-AV132)-Geometria!$R$1409/100)/(Geometria!$N$1307/100))))))*(IF(OR(Geometria!$K$1409&gt;0,Geometria!$K$1407&gt;0,Geometria!$Q$1409&gt;0,Geometria!$Q$1407&gt;0),1,0))-(Geometria!$L$299-IF(AV132&lt;Geometria!$L$1405/100,Geometria!$L$1445,Geometria!$L$1463))*(1-(MIN(MIN(1,MAX(0,(AV132-Geometria!$L$1405/100)/(Geometria!$N$1307/100))),MIN(1,MAX(0,((Geometria!$L$29/100-AV132)-Geometria!$R$1405/100)/(Geometria!$N$1307/100))))))*(IF(OR(Geometria!$K$1405&gt;0,Geometria!$K$1403&gt;0,Geometria!$Q$1405&gt;0,Geometria!$Q$1403&gt;0),1,0)))/100-Geometria!$P$1429*BB109*Geometria!$L$1438/100</f>
        <v>233.16742928073757</v>
      </c>
      <c r="BH132" s="365"/>
      <c r="BI132" s="371">
        <f ca="1">(IF(AW132="Sim",IF(AU132="Sim",$E$93,EX132),IF(AU132="Sim",EZ132,Geometria!$L$906)))</f>
        <v>1475.413282676191</v>
      </c>
      <c r="BJ132" s="371">
        <f ca="1">(IF(AW132="Sim",IF(AU132="Sim",$E$94,EY132),IF(AU132="Sim",FA132,Geometria!$L$907)))</f>
        <v>276.63999050178586</v>
      </c>
      <c r="BL132" s="4" t="s">
        <v>437</v>
      </c>
      <c r="BM132" s="202">
        <f t="shared" ca="1" si="40"/>
        <v>-3588.6305171941945</v>
      </c>
      <c r="BN132" s="38" t="s">
        <v>234</v>
      </c>
      <c r="BO132" s="203">
        <f t="shared" ca="1" si="29"/>
        <v>-3.5886305171941943</v>
      </c>
      <c r="BP132" s="38" t="s">
        <v>160</v>
      </c>
      <c r="BQ132" s="399">
        <f t="shared" si="41"/>
        <v>0.0</v>
      </c>
      <c r="BR132" s="376" t="str">
        <f>IF(OR(AND(BS132&lt;Geometria!$L$1405/100,Geometria!$K$1405&gt;0),AND((Geometria!$L$29/100-BS132)&lt;Geometria!$R$1405/100,Geometria!$Q$1405&gt;0)),"Sim","Não")</f>
        <v>Não</v>
      </c>
      <c r="BS132" s="395">
        <f t="shared" si="30"/>
        <v>3.14</v>
      </c>
      <c r="BT132" s="376" t="str">
        <f>IF(OR(AND(BS132&lt;Geometria!$L$1409/100,OR(Geometria!$K$1409&gt;0,Geometria!$K$1407&gt;0)),AND((Geometria!$L$29/100-BS132)&lt;Geometria!$R$1409/100,OR(Geometria!$Q$1409&gt;0,Geometria!$Q$1407&gt;0))),"Sim","Não")</f>
        <v>Não</v>
      </c>
      <c r="BU132" s="122" t="s">
        <v>437</v>
      </c>
      <c r="BV132" s="198" t="str">
        <f ca="1">IF(Geometria!$K$440&lt;Geometria!$N$1308/100,"Reduzir","OK")</f>
        <v>OK</v>
      </c>
      <c r="BW132" s="401">
        <f t="shared" ca="1" si="31"/>
        <v>4943.486172695841</v>
      </c>
      <c r="BX132" s="403">
        <f ca="1">-(CC132/(Geometria!$L$48/100^2))-(CD132/(Geometria!$L$53/100^3))+((Geometria!$K$419)/(Geometria!$L$53/100^3))+((Geometria!$K$430)/(Geometria!$M$53/100^3))+((Geometria!$L$76*Geometria!$K$441)/(Geometria!$M$53/100^3))</f>
        <v>9209.544517640856</v>
      </c>
      <c r="BY132" s="400">
        <f ca="1">(Geometria!$N$368*MIN(1,(Geometria!$K$900*100)/Geometria!$N$1308))</f>
        <v>111.03210918130361</v>
      </c>
      <c r="BZ132" s="751">
        <f ca="1">-((Geometria!$L$373-(Geometria!$L$373-ER132)*(1-(MIN(MIN(1,MAX(0,(BS132-Geometria!$L$1409/100)/(Geometria!$N$1307/100))),MIN(1,MAX(0,((Geometria!$L$29/100-BS132)-Geometria!$R$1409/100)/(Geometria!$N$1307/100))))))*(IF(OR(Geometria!$K$1409&gt;0,Geometria!$K$1407&gt;0,Geometria!$Q$1409&gt;0,Geometria!$Q$1407&gt;0),1,0))-(Geometria!$L$373-ET132)*(1-(MIN(MIN(1,MAX(0,(BS132-Geometria!$L$1405/100)/(Geometria!$N$1307/100))),MIN(1,MAX(0,((Geometria!$L$29/100-BS132)-Geometria!$R$1405/100)/(Geometria!$N$1307/100))))))*(IF(OR(Geometria!$K$1405&gt;0,Geometria!$K$1403&gt;0,Geometria!$Q$1405&gt;0,Geometria!$Q$1403&gt;0),1,0))))/(Geometria!$L$48/100^2)-((Geometria!$L$374-(Geometria!$L$374-ES132)*(1-(MIN(MIN(1,MAX(0,(BS132-Geometria!$L$1409/100)/(Geometria!$N$1307/100))),MIN(1,MAX(0,((Geometria!$L$29/100-BS132)-Geometria!$R$1409/100)/(Geometria!$N$1307/100))))))*(IF(OR(Geometria!$K$1409&gt;0,Geometria!$K$1407&gt;0,Geometria!$Q$1409&gt;0,Geometria!$Q$1407&gt;0),1,0))-(Geometria!$L$374-EU132)*(1-(MIN(MIN(1,MAX(0,(BS132-Geometria!$L$1405/100)/(Geometria!$N$1307/100))),MIN(1,MAX(0,((Geometria!$L$29/100-BS132)-Geometria!$R$1405/100)/(Geometria!$N$1307/100))))))*(IF(OR(Geometria!$K$1405&gt;0,Geometria!$K$1403&gt;0,Geometria!$Q$1405&gt;0,Geometria!$Q$1403&gt;0),1,0))))/(Geometria!$L$53/100^3)+((Geometria!$K$676)/(Geometria!$L$53/100^3))+((Geometria!$K$687)/(Geometria!$M$53/100^3))+((Geometria!$L$77*Geometria!$K$698)/(Geometria!$M$53/100^3))</f>
        <v>4943.486172695841</v>
      </c>
      <c r="CA132" s="751"/>
      <c r="CC132" s="373">
        <f ca="1">(Geometria!$L$298-(Geometria!$L$298-IF(BS132&lt;Geometria!$L$1409/100,Geometria!$L$1442,Geometria!$L$1460))*(1-(MIN(MIN(1,MAX(0,(BS132-Geometria!$L$1409/100)/(Geometria!$N$1307/100))),MIN(1,MAX(0,((Geometria!$L$29/100-BS132)-Geometria!$R$1409/100)/(Geometria!$N$1307/100))))))*(IF(OR(Geometria!$K$1409&gt;0,Geometria!$K$1407&gt;0,Geometria!$Q$1409&gt;0,Geometria!$Q$1407&gt;0),1,0))-(Geometria!$L$298-IF(BS132&lt;Geometria!$L$1405/100,Geometria!$L$1444,Geometria!$L$1462))*(1-(MIN(MIN(1,MAX(0,(BS132-Geometria!$L$1405/100)/(Geometria!$N$1307/100))),MIN(1,MAX(0,((Geometria!$L$29/100-BS132)-Geometria!$R$1405/100)/(Geometria!$N$1307/100))))))*(IF(OR(Geometria!$K$1405&gt;0,Geometria!$K$1403&gt;0,Geometria!$Q$1405&gt;0,Geometria!$Q$1403&gt;0),1,0)))*BY132+Geometria!$P$1429*BY109</f>
        <v>1243.5596228306003</v>
      </c>
      <c r="CD132" s="373">
        <f ca="1">(Geometria!$L$298-(Geometria!$L$298-IF(BS132&lt;Geometria!$L$1409/100,Geometria!$L$1442,Geometria!$L$1460))*(1-(MIN(MIN(1,MAX(0,(BS132-Geometria!$L$1409/100)/(Geometria!$N$1307/100))),MIN(1,MAX(0,((Geometria!$L$29/100-BS132)-Geometria!$R$1409/100)/(Geometria!$N$1307/100))))))*(IF(OR(Geometria!$K$1409&gt;0,Geometria!$K$1407&gt;0,Geometria!$Q$1409&gt;0,Geometria!$Q$1407&gt;0),1,0))-(Geometria!$L$298-IF(BS132&lt;Geometria!$L$1405/100,Geometria!$L$1444,Geometria!$L$1462))*(1-(MIN(MIN(1,MAX(0,(BS132-Geometria!$L$1405/100)/(Geometria!$N$1307/100))),MIN(1,MAX(0,((Geometria!$L$29/100-BS132)-Geometria!$R$1405/100)/(Geometria!$N$1307/100))))))*(IF(OR(Geometria!$K$1405&gt;0,Geometria!$K$1403&gt;0,Geometria!$Q$1405&gt;0,Geometria!$Q$1403&gt;0),1,0)))*BY132*(Geometria!$L$299-(Geometria!$L$299-IF(BS132&lt;Geometria!$L$1409/100,Geometria!$L$1443,Geometria!$L$1461))*(1-(MIN(MIN(1,MAX(0,(BS132-Geometria!$L$1409/100)/(Geometria!$N$1307/100))),MIN(1,MAX(0,((Geometria!$L$29/100-BS132)-Geometria!$R$1409/100)/(Geometria!$N$1307/100))))))*(IF(OR(Geometria!$K$1409&gt;0,Geometria!$K$1407&gt;0,Geometria!$Q$1409&gt;0,Geometria!$Q$1407&gt;0),1,0))-(Geometria!$L$299-IF(BS132&lt;Geometria!$L$1405/100,Geometria!$L$1445,Geometria!$L$1463))*(1-(MIN(MIN(1,MAX(0,(BS132-Geometria!$L$1405/100)/(Geometria!$N$1307/100))),MIN(1,MAX(0,((Geometria!$L$29/100-BS132)-Geometria!$R$1405/100)/(Geometria!$N$1307/100))))))*(IF(OR(Geometria!$K$1405&gt;0,Geometria!$K$1403&gt;0,Geometria!$Q$1405&gt;0,Geometria!$Q$1403&gt;0),1,0)))/100-Geometria!$P$1429*BY109*Geometria!$L$1438/100</f>
        <v>233.16742928073757</v>
      </c>
      <c r="CE132" s="365"/>
      <c r="CF132" s="371">
        <f ca="1">(IF(BT132="Sim",IF(BR132="Sim",$E$93,EX132),IF(BR132="Sim",EZ132,Geometria!$L$906)))</f>
        <v>1475.413282676191</v>
      </c>
      <c r="CG132" s="371">
        <f ca="1">(IF(BT132="Sim",IF(BR132="Sim",$E$94,EY132),IF(BR132="Sim",FA132,Geometria!$L$907)))</f>
        <v>276.63999050178586</v>
      </c>
      <c r="CI132" s="4" t="s">
        <v>437</v>
      </c>
      <c r="CJ132" s="202">
        <f t="shared" ca="1" si="42"/>
        <v>4943.486172695841</v>
      </c>
      <c r="CK132" s="38" t="s">
        <v>234</v>
      </c>
      <c r="CL132" s="203">
        <f t="shared" ca="1" si="32"/>
        <v>4.943486172695841</v>
      </c>
      <c r="CM132" s="38" t="s">
        <v>160</v>
      </c>
      <c r="CN132" s="399">
        <f t="shared" si="43"/>
        <v>0.0</v>
      </c>
      <c r="CO132" s="376" t="str">
        <f>IF(OR(AND(CP132&lt;Geometria!$L$1405/100,Geometria!$K$1405&gt;0),AND((Geometria!$L$29/100-CP132)&lt;Geometria!$R$1405/100,Geometria!$Q$1405&gt;0)),"Sim","Não")</f>
        <v>Não</v>
      </c>
      <c r="CP132" s="395">
        <f t="shared" si="33"/>
        <v>3.14</v>
      </c>
      <c r="CQ132" s="376" t="str">
        <f>IF(OR(AND(CP132&lt;Geometria!$L$1409/100,OR(Geometria!$K$1409&gt;0,Geometria!$K$1407&gt;0)),AND((Geometria!$L$29/100-CP132)&lt;Geometria!$R$1409/100,OR(Geometria!$Q$1409&gt;0,Geometria!$Q$1407&gt;0))),"Sim","Não")</f>
        <v>Não</v>
      </c>
      <c r="CR132" s="122" t="s">
        <v>437</v>
      </c>
      <c r="CS132" s="198" t="str">
        <f ca="1">IF(Geometria!$K$440&lt;Geometria!$N$1308/100,"Reduzir","OK")</f>
        <v>OK</v>
      </c>
      <c r="CT132" s="401">
        <f t="shared" ca="1" si="34"/>
        <v>-3588.6305171941945</v>
      </c>
      <c r="CU132" s="403">
        <f ca="1">-(CZ132/(Geometria!$L$48/100^2))-(DA132/(Geometria!$L$53/100^3))+((Geometria!$K$419)/(Geometria!$L$53/100^3))+((Geometria!$K$430)/(Geometria!$M$53/100^3))+((Geometria!$L$76*Geometria!$K$441)/(Geometria!$M$53/100^3))</f>
        <v>9209.544517640856</v>
      </c>
      <c r="CV132" s="400">
        <f ca="1">(Geometria!$N$368*MIN(1,(Geometria!$K$900*100)/Geometria!$N$1308))</f>
        <v>111.03210918130361</v>
      </c>
      <c r="CW132" s="751">
        <f ca="1">-((Geometria!$L$373-(Geometria!$L$373-ER132)*(1-(MIN(MIN(1,MAX(0,(CP132-Geometria!$L$1409/100)/(Geometria!$N$1307/100))),MIN(1,MAX(0,((Geometria!$L$29/100-CP132)-Geometria!$R$1409/100)/(Geometria!$N$1307/100))))))*(IF(OR(Geometria!$K$1409&gt;0,Geometria!$K$1407&gt;0,Geometria!$Q$1409&gt;0,Geometria!$Q$1407&gt;0),1,0))-(Geometria!$L$373-ET132)*(1-(MIN(MIN(1,MAX(0,(CP132-Geometria!$L$1405/100)/(Geometria!$N$1307/100))),MIN(1,MAX(0,((Geometria!$L$29/100-CP132)-Geometria!$R$1405/100)/(Geometria!$N$1307/100))))))*(IF(OR(Geometria!$K$1405&gt;0,Geometria!$K$1403&gt;0,Geometria!$Q$1405&gt;0,Geometria!$Q$1403&gt;0),1,0))))/(Geometria!$L$48/100^2)-((Geometria!$L$374-(Geometria!$L$374-ES132)*(1-(MIN(MIN(1,MAX(0,(CP132-Geometria!$L$1409/100)/(Geometria!$N$1307/100))),MIN(1,MAX(0,((Geometria!$L$29/100-CP132)-Geometria!$R$1409/100)/(Geometria!$N$1307/100))))))*(IF(OR(Geometria!$K$1409&gt;0,Geometria!$K$1407&gt;0,Geometria!$Q$1409&gt;0,Geometria!$Q$1407&gt;0),1,0))-(Geometria!$L$374-EU132)*(1-(MIN(MIN(1,MAX(0,(CP132-Geometria!$L$1405/100)/(Geometria!$N$1307/100))),MIN(1,MAX(0,((Geometria!$L$29/100-CP132)-Geometria!$R$1405/100)/(Geometria!$N$1307/100))))))*(IF(OR(Geometria!$K$1405&gt;0,Geometria!$K$1403&gt;0,Geometria!$Q$1405&gt;0,Geometria!$Q$1403&gt;0),1,0))))/(Geometria!$L$53/100^3)+((Geometria!$K$676)/(Geometria!$L$53/100^3))+((Geometria!$K$687)/(Geometria!$M$53/100^3))</f>
        <v>-3588.6305171941945</v>
      </c>
      <c r="CX132" s="751"/>
      <c r="CZ132" s="373">
        <f ca="1">(IF(CQ132="Sim",IF(CO132="Sim",IF(CP132&lt;Geometria!$L$1405/100,Geometria!$L$1435,Geometria!$L$1476),IF(CP132&lt;Geometria!$L$1409/100,Geometria!$L$1442,Geometria!$L$1460)),IF(CO132="Sim",IF(CP132&lt;Geometria!$L$1405/100,Geometria!$L$1444,Geometria!$L$1462),Geometria!$L$298)))*CV132+Geometria!$P$1429*CV109</f>
        <v>1243.5596228306003</v>
      </c>
      <c r="DA132" s="373">
        <f ca="1">(IF(CQ132="Sim",IF(CO132="Sim",IF(CP132&lt;Geometria!$L$1405/100,Geometria!$L$1435,Geometria!$L$1476),IF(CP132&lt;Geometria!$L$1409/100,Geometria!$L$1442,Geometria!$L$1460)),IF(CO132="Sim",IF(CP132&lt;Geometria!$L$1405/100,Geometria!$L$1444,Geometria!$L$1462),Geometria!$L$298)))*CV132*(IF(CQ132="Sim",IF(CO132="Sim",IF(CP132&lt;Geometria!$L$1405/100,Geometria!$L$1436,Geometria!$L$1484),IF(CP132&lt;Geometria!$L$1409/100,Geometria!$L$1443,Geometria!$L$1461)),IF(CO132="Sim",IF(CP132&lt;Geometria!$L$1405/100,Geometria!$L$1445,Geometria!$L$1463),Geometria!$L$299)))/100-Geometria!$P$1429*CV109*Geometria!$L$1438/100</f>
        <v>233.16742928073757</v>
      </c>
      <c r="DB132" s="365"/>
      <c r="DC132" s="371">
        <f ca="1">(IF(CQ132="Sim",IF(CO132="Sim",$E$93,EX132),IF(CO132="Sim",EZ132,Geometria!$L$906)))</f>
        <v>1475.413282676191</v>
      </c>
      <c r="DD132" s="371">
        <f ca="1">(IF(CQ132="Sim",IF(CO132="Sim",$E$94,EY132),IF(CO132="Sim",FA132,Geometria!$L$907)))</f>
        <v>276.63999050178586</v>
      </c>
      <c r="DF132" s="4" t="s">
        <v>437</v>
      </c>
      <c r="DG132" s="202">
        <f t="shared" ca="1" si="44"/>
        <v>-3588.6305171941945</v>
      </c>
      <c r="DH132" s="38" t="s">
        <v>234</v>
      </c>
      <c r="DI132" s="203">
        <f t="shared" ca="1" si="35"/>
        <v>-3.5886305171941943</v>
      </c>
      <c r="DJ132" s="38" t="s">
        <v>160</v>
      </c>
      <c r="DK132" s="399">
        <f t="shared" si="45"/>
        <v>0.0</v>
      </c>
      <c r="EA132">
        <f ca="1">-L132/('Aberturas na Alma'!$M$112/100^2)-M132/('Aberturas na Alma'!$M$120/100^3)+Geometria!$L$898/('Aberturas na Alma'!$M$120/100^3)</f>
        <v>-64840.266040156865</v>
      </c>
      <c r="EB132">
        <f ca="1">-(IF(C132="Sim",IF(A132="Sim",$E$93,EX132),IF(A132="Sim",EZ132,Geometria!$L$906)))/('Aberturas na Alma'!$M$112/100^2)-(IF(C132="Sim",IF(A132="Sim",$E$94,EY132),IF(A132="Sim",FA132,Geometria!$L$907)))/('Aberturas na Alma'!$M$120/100^3)+Geometria!$K$901/('Aberturas na Alma'!$M$120/100^3)</f>
        <v>-24081.31934100915</v>
      </c>
      <c r="EC132">
        <f ca="1">IF(AND('Aberturas na Alma'!$M$18="NÃO DISPENSADO — furo deve ser verificado (cálculo abaixo)",OR(AND(B132&gt;=('Aberturas na Alma'!$M$4-'Aberturas na Alma'!$M$7/2)/100,B132&lt;=('Aberturas na Alma'!$M$4+'Aberturas na Alma'!$M$7/2)/100),ABS(B132-'Aberturas na Alma'!$M$4/100)&lt;=Geometria!$L$29/4000)),IF(E132="Reduzir",EA132,EB132),F132)</f>
        <v>-24081.31934100915</v>
      </c>
      <c r="ED132">
        <f ca="1">-(AI132/('Aberturas na Alma'!$M$112/100^2))-(AJ132/('Aberturas na Alma'!$M$120/100^3))+((Geometria!$K$419)/('Aberturas na Alma'!$M$120/100^3))+((Geometria!$K$430)/('Aberturas na Alma'!$M$120/100^3))+((Geometria!$L$76*Geometria!$K$441)/('Aberturas na Alma'!$M$120/100^3))</f>
        <v>31535.832586519857</v>
      </c>
      <c r="EE132">
        <f ca="1">-((IF(Z132="Sim",IF(X132="Sim",$AB$93,ER132),IF(X132="Sim",ET132,Geometria!$L$373)))/('Aberturas na Alma'!$M$112/100^2))-((IF(Z132="Sim",IF(X132="Sim",$AB$94,ES132),IF(X132="Sim",EU132,Geometria!$L$374)))/('Aberturas na Alma'!$M$120/100^3))+((Geometria!$K$419)/('Aberturas na Alma'!$M$120/100^3))+((Geometria!$K$430)/('Aberturas na Alma'!$M$120/100^3))+((Geometria!$L$76*Geometria!$K$441)/('Aberturas na Alma'!$M$120/100^3))</f>
        <v>31535.832586519857</v>
      </c>
      <c r="EF132">
        <f ca="1">IF(AND('Aberturas na Alma'!$M$18="NÃO DISPENSADO — furo deve ser verificado (cálculo abaixo)",OR(AND(B132&gt;=('Aberturas na Alma'!$M$4-'Aberturas na Alma'!$M$7/2)/100,B132&lt;=('Aberturas na Alma'!$M$4+'Aberturas na Alma'!$M$7/2)/100),ABS(B132-'Aberturas na Alma'!$M$4/100)&lt;=Geometria!$L$29/4000)),IF(AB132="Reduzir",ED132,EE132),AC132)</f>
        <v>31535.832586519857</v>
      </c>
      <c r="EG132">
        <f ca="1">-(BF132/('Aberturas na Alma'!$M$112/100^2))-(BG132/('Aberturas na Alma'!$M$120/100^3))+((Geometria!$K$419)/('Aberturas na Alma'!$M$120/100^3))+((Geometria!$K$430)/('Aberturas na Alma'!$M$120/100^3))+((Geometria!$L$76*Geometria!$K$441)/('Aberturas na Alma'!$M$120/100^3))</f>
        <v>31535.832586519857</v>
      </c>
      <c r="EH132">
        <f ca="1">-((IF(AW132="Sim",IF(AU132="Sim",$AB$93,ER132),IF(AU132="Sim",ET132,Geometria!$L$373)))/('Aberturas na Alma'!$M$112/100^2))-((IF(AW132="Sim",IF(AU132="Sim",$AB$94,ES132),IF(AU132="Sim",EU132,Geometria!$L$374)))/('Aberturas na Alma'!$M$120/100^3))+((Geometria!$K$419)/('Aberturas na Alma'!$M$120/100^3))+((Geometria!$K$430)/('Aberturas na Alma'!$M$120/100^3))</f>
        <v>-4357.275768664049</v>
      </c>
      <c r="EI132">
        <f ca="1">IF(AND('Aberturas na Alma'!$M$18="NÃO DISPENSADO — furo deve ser verificado (cálculo abaixo)",OR(AND(B132&gt;=('Aberturas na Alma'!$M$4-'Aberturas na Alma'!$M$7/2)/100,B132&lt;=('Aberturas na Alma'!$M$4+'Aberturas na Alma'!$M$7/2)/100),ABS(B132-'Aberturas na Alma'!$M$4/100)&lt;=Geometria!$L$29/4000)),IF(AY132="Reduzir",EG132,EH132),AZ132)</f>
        <v>-4357.275768664049</v>
      </c>
      <c r="EJ132">
        <f ca="1">-(CC132/('Aberturas na Alma'!$M$112/100^2))-(CD132/('Aberturas na Alma'!$M$120/100^3))+((Geometria!$K$419)/('Aberturas na Alma'!$M$120/100^3))+((Geometria!$K$430)/('Aberturas na Alma'!$M$120/100^3))+((Geometria!$L$76*Geometria!$K$441)/('Aberturas na Alma'!$M$120/100^3))</f>
        <v>31535.832586519857</v>
      </c>
      <c r="EK132">
        <f ca="1">-((IF(BT132="Sim",IF(BR132="Sim",$AB$93,ER132),IF(BR132="Sim",ET132,Geometria!$L$373)))/('Aberturas na Alma'!$M$112/100^2))-((IF(BT132="Sim",IF(BR132="Sim",$AB$94,ES132),IF(BR132="Sim",EU132,Geometria!$L$374)))/('Aberturas na Alma'!$M$120/100^3))+((Geometria!$K$676)/('Aberturas na Alma'!$M$120/100^3))+((Geometria!$K$687)/('Aberturas na Alma'!$M$120/100^3))+((Geometria!$L$77*Geometria!$K$698)/('Aberturas na Alma'!$M$120/100^3))</f>
        <v>19571.46313479189</v>
      </c>
      <c r="EL132">
        <f ca="1">IF(AND('Aberturas na Alma'!$M$18="NÃO DISPENSADO — furo deve ser verificado (cálculo abaixo)",OR(AND(B132&gt;=('Aberturas na Alma'!$M$4-'Aberturas na Alma'!$M$7/2)/100,B132&lt;=('Aberturas na Alma'!$M$4+'Aberturas na Alma'!$M$7/2)/100),ABS(B132-'Aberturas na Alma'!$M$4/100)&lt;=Geometria!$L$29/4000)),IF(BV132="Reduzir",EJ132,EK132),BW132)</f>
        <v>19571.46313479189</v>
      </c>
      <c r="EM132">
        <f ca="1">-(CZ132/('Aberturas na Alma'!$M$112/100^2))-(DA132/('Aberturas na Alma'!$M$120/100^3))+((Geometria!$K$419)/('Aberturas na Alma'!$M$120/100^3))+((Geometria!$K$430)/('Aberturas na Alma'!$M$120/100^3))+((Geometria!$L$76*Geometria!$K$441)/('Aberturas na Alma'!$M$120/100^3))</f>
        <v>31535.832586519857</v>
      </c>
      <c r="EN132">
        <f ca="1">-((IF(CQ132="Sim",IF(CO132="Sim",$AB$93,ER132),IF(CO132="Sim",ET132,Geometria!$L$373)))/('Aberturas na Alma'!$M$112/100^2))-((IF(CQ132="Sim",IF(CO132="Sim",$AB$94,ES132),IF(CO132="Sim",EU132,Geometria!$L$374)))/('Aberturas na Alma'!$M$120/100^3))+((Geometria!$K$676)/('Aberturas na Alma'!$M$120/100^3))+((Geometria!$K$687)/('Aberturas na Alma'!$M$120/100^3))</f>
        <v>-4357.275768664049</v>
      </c>
      <c r="EO132">
        <f ca="1">IF(AND('Aberturas na Alma'!$M$18="NÃO DISPENSADO — furo deve ser verificado (cálculo abaixo)",OR(AND(B132&gt;=('Aberturas na Alma'!$M$4-'Aberturas na Alma'!$M$7/2)/100,B132&lt;=('Aberturas na Alma'!$M$4+'Aberturas na Alma'!$M$7/2)/100),ABS(B132-'Aberturas na Alma'!$M$4/100)&lt;=Geometria!$L$29/4000)),IF(CS132="Reduzir",EM132,EN132),CT132)</f>
        <v>-4357.275768664049</v>
      </c>
      <c r="EP132" t="str">
        <f>IF(AND(Y132&lt;Geometria!$L$1409/100,OR(Geometria!$K$1409&gt;0,Geometria!$K$1407&gt;0)),"ESQ",IF(AND((Geometria!$L$29/100-Y132)&lt;Geometria!$R$1409/100,OR(Geometria!$Q$1409&gt;0,Geometria!$Q$1407&gt;0)),"DIR","N/A"))</f>
        <v>N/A</v>
      </c>
      <c r="EQ132" t="str">
        <f>IF(AND(Y132&lt;Geometria!$L$1405/100,Geometria!$K$1405&gt;0),"ESQ",IF(AND((Geometria!$L$29/100-Y132)&lt;Geometria!$R$1405/100,Geometria!$Q$1405&gt;0),"DIR","N/A"))</f>
        <v>N/A</v>
      </c>
      <c r="ER132">
        <f ca="1">IF(EP132="DIR",Geometria!$L$1470,Geometria!$L$1452)</f>
        <v>1243.5596228306003</v>
      </c>
      <c r="ES132">
        <f ca="1">IF(EP132="DIR",Geometria!$L$1471,Geometria!$L$1453)</f>
        <v>233.16742928073757</v>
      </c>
      <c r="ET132">
        <f ca="1">IF(EQ132="DIR",Geometria!$L$1472,Geometria!$L$1454)</f>
        <v>621.7798114153002</v>
      </c>
      <c r="EU132">
        <f ca="1">IF(EQ132="DIR",Geometria!$L$1473,Geometria!$L$1455)</f>
        <v>177.20724625336052</v>
      </c>
      <c r="EV132" t="str">
        <f>IF(AND(B132&lt;Geometria!$L$1409/100,OR(Geometria!$K$1409&gt;0,Geometria!$K$1407&gt;0)),"ESQ",IF(AND((Geometria!$L$29/100-B132)&lt;Geometria!$R$1409/100,OR(Geometria!$Q$1409&gt;0,Geometria!$Q$1407&gt;0)),"DIR","N/A"))</f>
        <v>N/A</v>
      </c>
      <c r="EW132" t="str">
        <f>IF(AND(B132&lt;Geometria!$L$1405/100,Geometria!$K$1405&gt;0),"ESQ",IF(AND((Geometria!$L$29/100-B132)&lt;Geometria!$R$1405/100,Geometria!$Q$1405&gt;0),"DIR","N/A"))</f>
        <v>N/A</v>
      </c>
      <c r="EX132">
        <f ca="1">IF(EV132="DIR",Geometria!$L$1465,Geometria!$L$1447)</f>
        <v>1499.8056003831216</v>
      </c>
      <c r="EY132">
        <f ca="1">IF(EV132="DIR",Geometria!$L$1466,Geometria!$L$1448)</f>
        <v>281.2135500718353</v>
      </c>
      <c r="EZ132">
        <f ca="1">IF(EW132="DIR",Geometria!$L$1467,Geometria!$L$1449)</f>
        <v>749.9028001915608</v>
      </c>
      <c r="FA132">
        <f ca="1">IF(EW132="DIR",Geometria!$L$1468,Geometria!$L$1450)</f>
        <v>213.72229805459483</v>
      </c>
    </row>
    <row r="133" spans="1:157" x14ac:dyDescent="0.25">
      <c r="A133" s="376" t="str">
        <f>IF(OR(AND(B133&lt;Geometria!$L$1405/100,Geometria!$K$1405&gt;0),AND((Geometria!$L$29/100-B133)&lt;Geometria!$R$1405/100,Geometria!$Q$1405&gt;0)),"Sim","Não")</f>
        <v>Não</v>
      </c>
      <c r="B133" s="395">
        <f t="shared" si="21"/>
        <v>3.5325</v>
      </c>
      <c r="C133" s="376" t="str">
        <f>IF(OR(AND(B133&lt;Geometria!$L$1409/100,OR(Geometria!$K$1409&gt;0,Geometria!$K$1407&gt;0)),AND((Geometria!$L$29/100-B133)&lt;Geometria!$R$1409/100,OR(Geometria!$Q$1409&gt;0,Geometria!$Q$1407&gt;0))),"Sim","Não")</f>
        <v>Não</v>
      </c>
      <c r="D133" s="122" t="s">
        <v>438</v>
      </c>
      <c r="E133" s="198" t="str">
        <f ca="1">IF(Geometria!$L$440&lt;Geometria!$N$1308/100,"Reduzir","OK")</f>
        <v>OK</v>
      </c>
      <c r="F133" s="396">
        <f t="shared" ca="1" si="22"/>
        <v>-21309.667609585</v>
      </c>
      <c r="G133" s="397">
        <f ca="1">-L133/(Geometria!$L$48/100^2)-M133/(Geometria!$L$53/100^3)+Geometria!$L$898/(Geometria!$L$53/100^3)</f>
        <v>-65453.71315328227</v>
      </c>
      <c r="H133" s="400">
        <f ca="1">(((IF(C133="Sim",$N$47,Geometria!$L$324))*(Geometria!$L$900*100))/Geometria!$N$1308)</f>
        <v>368.3106078589925</v>
      </c>
      <c r="I133" s="743">
        <f ca="1">-(Geometria!$L$906-(Geometria!$L$906-EX133)*(1-(MIN(MIN(1,MAX(0,(B133-Geometria!$L$1409/100)/(Geometria!$N$1307/100))),MIN(1,MAX(0,((Geometria!$L$29/100-B133)-Geometria!$R$1409/100)/(Geometria!$N$1307/100))))))*(IF(OR(Geometria!$K$1409&gt;0,Geometria!$K$1407&gt;0,Geometria!$Q$1409&gt;0,Geometria!$Q$1407&gt;0),1,0))-(Geometria!$L$906-EZ133)*(1-(MIN(MIN(1,MAX(0,(B133-Geometria!$L$1405/100)/(Geometria!$N$1307/100))),MIN(1,MAX(0,((Geometria!$L$29/100-B133)-Geometria!$R$1405/100)/(Geometria!$N$1307/100))))))*(IF(OR(Geometria!$K$1405&gt;0,Geometria!$K$1403&gt;0,Geometria!$Q$1405&gt;0,Geometria!$Q$1403&gt;0),1,0)))/(Geometria!$L$48/100^2)-(Geometria!$L$907-(Geometria!$L$907-EY133)*(1-(MIN(MIN(1,MAX(0,(B133-Geometria!$L$1409/100)/(Geometria!$N$1307/100))),MIN(1,MAX(0,((Geometria!$L$29/100-B133)-Geometria!$R$1409/100)/(Geometria!$N$1307/100))))))*(IF(OR(Geometria!$K$1409&gt;0,Geometria!$K$1407&gt;0,Geometria!$Q$1409&gt;0,Geometria!$Q$1407&gt;0),1,0))-(Geometria!$L$907-FA133)*(1-(MIN(MIN(1,MAX(0,(B133-Geometria!$L$1405/100)/(Geometria!$N$1307/100))),MIN(1,MAX(0,((Geometria!$L$29/100-B133)-Geometria!$R$1405/100)/(Geometria!$N$1307/100))))))*(IF(OR(Geometria!$K$1405&gt;0,Geometria!$K$1403&gt;0,Geometria!$Q$1405&gt;0,Geometria!$Q$1403&gt;0),1,0)))/(Geometria!$L$53/100^3)+Geometria!$L$901/(Geometria!$L$53/100^3)</f>
        <v>-21309.667609585</v>
      </c>
      <c r="J133" s="743"/>
      <c r="L133" s="373">
        <f ca="1">(Geometria!$L$298-(Geometria!$L$298-IF(B133&lt;Geometria!$L$1409/100,Geometria!$L$1442,Geometria!$L$1460))*(1-(MIN(MIN(1,MAX(0,(B133-Geometria!$L$1409/100)/(Geometria!$N$1307/100))),MIN(1,MAX(0,((Geometria!$L$29/100-B133)-Geometria!$R$1409/100)/(Geometria!$N$1307/100))))))*(IF(OR(Geometria!$K$1409&gt;0,Geometria!$K$1407&gt;0,Geometria!$Q$1409&gt;0,Geometria!$Q$1407&gt;0),1,0))-(Geometria!$L$298-IF(B133&lt;Geometria!$L$1405/100,Geometria!$L$1444,Geometria!$L$1462))*(1-(MIN(MIN(1,MAX(0,(B133-Geometria!$L$1405/100)/(Geometria!$N$1307/100))),MIN(1,MAX(0,((Geometria!$L$29/100-B133)-Geometria!$R$1405/100)/(Geometria!$N$1307/100))))))*(IF(OR(Geometria!$K$1405&gt;0,Geometria!$K$1403&gt;0,Geometria!$Q$1405&gt;0,Geometria!$Q$1403&gt;0),1,0)))*H133+Geometria!$P$1429*H110</f>
        <v>4125.078808020716</v>
      </c>
      <c r="M133" s="373">
        <f ca="1">(Geometria!$L$298-(Geometria!$L$298-IF(B133&lt;Geometria!$L$1409/100,Geometria!$L$1442,Geometria!$L$1460))*(1-(MIN(MIN(1,MAX(0,(B133-Geometria!$L$1409/100)/(Geometria!$N$1307/100))),MIN(1,MAX(0,((Geometria!$L$29/100-B133)-Geometria!$R$1409/100)/(Geometria!$N$1307/100))))))*(IF(OR(Geometria!$K$1409&gt;0,Geometria!$K$1407&gt;0,Geometria!$Q$1409&gt;0,Geometria!$Q$1407&gt;0),1,0))-(Geometria!$L$298-IF(B133&lt;Geometria!$L$1405/100,Geometria!$L$1444,Geometria!$L$1462))*(1-(MIN(MIN(1,MAX(0,(B133-Geometria!$L$1405/100)/(Geometria!$N$1307/100))),MIN(1,MAX(0,((Geometria!$L$29/100-B133)-Geometria!$R$1405/100)/(Geometria!$N$1307/100))))))*(IF(OR(Geometria!$K$1405&gt;0,Geometria!$K$1403&gt;0,Geometria!$Q$1405&gt;0,Geometria!$Q$1403&gt;0),1,0)))*H133*(Geometria!$L$299-(Geometria!$L$299-IF(B133&lt;Geometria!$L$1409/100,Geometria!$L$1443,Geometria!$L$1461))*(1-(MIN(MIN(1,MAX(0,(B133-Geometria!$L$1409/100)/(Geometria!$N$1307/100))),MIN(1,MAX(0,((Geometria!$L$29/100-B133)-Geometria!$R$1409/100)/(Geometria!$N$1307/100))))))*(IF(OR(Geometria!$K$1409&gt;0,Geometria!$K$1407&gt;0,Geometria!$Q$1409&gt;0,Geometria!$Q$1407&gt;0),1,0))-(Geometria!$L$299-IF(B133&lt;Geometria!$L$1405/100,Geometria!$L$1445,Geometria!$L$1463))*(1-(MIN(MIN(1,MAX(0,(B133-Geometria!$L$1405/100)/(Geometria!$N$1307/100))),MIN(1,MAX(0,((Geometria!$L$29/100-B133)-Geometria!$R$1405/100)/(Geometria!$N$1307/100))))))*(IF(OR(Geometria!$K$1405&gt;0,Geometria!$K$1403&gt;0,Geometria!$Q$1405&gt;0,Geometria!$Q$1403&gt;0),1,0)))/100-Geometria!$P$1429*H110*Geometria!$L$1438/100</f>
        <v>773.4522765038841</v>
      </c>
      <c r="N133" s="365"/>
      <c r="O133" s="371">
        <f ca="1">(IF(C133="Sim",IF(A133="Sim",$E$93,EX133),IF(A133="Sim",EZ133,Geometria!$L$906)))</f>
        <v>1475.413282676191</v>
      </c>
      <c r="P133" s="371">
        <f ca="1">(IF(C133="Sim",IF(A133="Sim",$E$94,EY133),IF(A133="Sim",FA133,Geometria!$L$907)))</f>
        <v>276.63999050178586</v>
      </c>
      <c r="R133" s="4" t="s">
        <v>438</v>
      </c>
      <c r="S133" s="202">
        <f t="shared" ca="1" si="36"/>
        <v>-21309.667609585</v>
      </c>
      <c r="T133" s="38" t="s">
        <v>234</v>
      </c>
      <c r="U133" s="203">
        <f t="shared" ca="1" si="23"/>
        <v>-21.309667609585002</v>
      </c>
      <c r="V133" s="38" t="s">
        <v>160</v>
      </c>
      <c r="W133" s="399">
        <f t="shared" si="37"/>
        <v>0.0</v>
      </c>
      <c r="X133" s="376" t="str">
        <f>IF(OR(AND(Y133&lt;Geometria!$L$1405/100,Geometria!$K$1405&gt;0),AND((Geometria!$L$29/100-Y133)&lt;Geometria!$R$1405/100,Geometria!$Q$1405&gt;0)),"Sim","Não")</f>
        <v>Não</v>
      </c>
      <c r="Y133" s="395">
        <f t="shared" si="24"/>
        <v>3.5325</v>
      </c>
      <c r="Z133" s="376" t="str">
        <f>IF(OR(AND(Y133&lt;Geometria!$L$1409/100,OR(Geometria!$K$1409&gt;0,Geometria!$K$1407&gt;0)),AND((Geometria!$L$29/100-Y133)&lt;Geometria!$R$1409/100,OR(Geometria!$Q$1409&gt;0,Geometria!$Q$1407&gt;0))),"Sim","Não")</f>
        <v>Não</v>
      </c>
      <c r="AA133" s="122" t="s">
        <v>438</v>
      </c>
      <c r="AB133" s="198" t="str">
        <f ca="1">IF(Geometria!$L$440&lt;Geometria!$N$1308/100,"Reduzir","OK")</f>
        <v>OK</v>
      </c>
      <c r="AC133" s="401">
        <f t="shared" ca="1" si="25"/>
        <v>10118.043116393172</v>
      </c>
      <c r="AD133" s="403">
        <f ca="1">-(AI133/(Geometria!$L$48/100^2))-(AJ133/(Geometria!$L$53/100^3))+((Geometria!$L$419)/(Geometria!$L$53/100^3))+((Geometria!$L$430)/(Geometria!$M$53/100^3))+((Geometria!$L$76*Geometria!$L$441)/(Geometria!$M$53/100^3))</f>
        <v>10118.043116393172</v>
      </c>
      <c r="AE133" s="400">
        <f ca="1">(Geometria!$N$368*MIN(1,(Geometria!$L$900*100)/Geometria!$N$1308))</f>
        <v>111.03210918130361</v>
      </c>
      <c r="AF133" s="751">
        <f ca="1">-((Geometria!$L$373-(Geometria!$L$373-ER133)*(1-(MIN(MIN(1,MAX(0,(Y133-Geometria!$L$1409/100)/(Geometria!$N$1307/100))),MIN(1,MAX(0,((Geometria!$L$29/100-Y133)-Geometria!$R$1409/100)/(Geometria!$N$1307/100))))))*(IF(OR(Geometria!$K$1409&gt;0,Geometria!$K$1407&gt;0,Geometria!$Q$1409&gt;0,Geometria!$Q$1407&gt;0),1,0))-(Geometria!$L$373-ET133)*(1-(MIN(MIN(1,MAX(0,(Y133-Geometria!$L$1405/100)/(Geometria!$N$1307/100))),MIN(1,MAX(0,((Geometria!$L$29/100-Y133)-Geometria!$R$1405/100)/(Geometria!$N$1307/100))))))*(IF(OR(Geometria!$K$1405&gt;0,Geometria!$K$1403&gt;0,Geometria!$Q$1405&gt;0,Geometria!$Q$1403&gt;0),1,0))))/(Geometria!$L$48/100^2)-((Geometria!$L$374-(Geometria!$L$374-ES133)*(1-(MIN(MIN(1,MAX(0,(Y133-Geometria!$L$1409/100)/(Geometria!$N$1307/100))),MIN(1,MAX(0,((Geometria!$L$29/100-Y133)-Geometria!$R$1409/100)/(Geometria!$N$1307/100))))))*(IF(OR(Geometria!$K$1409&gt;0,Geometria!$K$1407&gt;0,Geometria!$Q$1409&gt;0,Geometria!$Q$1407&gt;0),1,0))-(Geometria!$L$374-EU133)*(1-(MIN(MIN(1,MAX(0,(Y133-Geometria!$L$1405/100)/(Geometria!$N$1307/100))),MIN(1,MAX(0,((Geometria!$L$29/100-Y133)-Geometria!$R$1405/100)/(Geometria!$N$1307/100))))))*(IF(OR(Geometria!$K$1405&gt;0,Geometria!$K$1403&gt;0,Geometria!$Q$1405&gt;0,Geometria!$Q$1403&gt;0),1,0))))/(Geometria!$L$53/100^3)+((Geometria!$L$419)/(Geometria!$L$53/100^3))+((Geometria!$L$430)/(Geometria!$M$53/100^3))+((Geometria!$L$76*Geometria!$L$441)/(Geometria!$M$53/100^3))</f>
        <v>10118.043116393172</v>
      </c>
      <c r="AG133" s="751"/>
      <c r="AI133" s="373">
        <f ca="1">(IF(Z133="Sim",IF(X133="Sim",IF(Y133&lt;Geometria!$L$1405/100,Geometria!$L$1435,Geometria!$L$1476),IF(Y133&lt;Geometria!$L$1409/100,Geometria!$L$1442,Geometria!$L$1460)),IF(X133="Sim",IF(Y133&lt;Geometria!$L$1405/100,Geometria!$L$1444,Geometria!$L$1462),Geometria!$L$298)))*AE133+Geometria!$P$1429*AE110</f>
        <v>1243.5596228306003</v>
      </c>
      <c r="AJ133" s="373">
        <f ca="1">(IF(Z133="Sim",IF(X133="Sim",IF(Y133&lt;Geometria!$L$1405/100,Geometria!$L$1435,Geometria!$L$1476),IF(Y133&lt;Geometria!$L$1409/100,Geometria!$L$1442,Geometria!$L$1460)),IF(X133="Sim",IF(Y133&lt;Geometria!$L$1405/100,Geometria!$L$1444,Geometria!$L$1462),Geometria!$L$298)))*AE133*(IF(Z133="Sim",IF(X133="Sim",IF(Y133&lt;Geometria!$L$1405/100,Geometria!$L$1436,Geometria!$L$1484),IF(Y133&lt;Geometria!$L$1409/100,Geometria!$L$1443,Geometria!$L$1461)),IF(X133="Sim",IF(Y133&lt;Geometria!$L$1405/100,Geometria!$L$1445,Geometria!$L$1463),Geometria!$L$299)))/100-Geometria!$P$1429*AE110*Geometria!$L$1438/100</f>
        <v>233.16742928073757</v>
      </c>
      <c r="AK133" s="365"/>
      <c r="AL133" s="371">
        <f ca="1">(IF(Z133="Sim",IF(X133="Sim",$E$93,EX133),IF(X133="Sim",EZ133,Geometria!$L$906)))</f>
        <v>1475.413282676191</v>
      </c>
      <c r="AM133" s="371">
        <f ca="1">(IF(Z133="Sim",IF(X133="Sim",$E$94,EY133),IF(X133="Sim",FA133,Geometria!$L$907)))</f>
        <v>276.63999050178586</v>
      </c>
      <c r="AO133" s="4" t="s">
        <v>438</v>
      </c>
      <c r="AP133" s="202">
        <f t="shared" ca="1" si="38"/>
        <v>10118.043116393172</v>
      </c>
      <c r="AQ133" s="38" t="s">
        <v>234</v>
      </c>
      <c r="AR133" s="203">
        <f t="shared" ca="1" si="26"/>
        <v>10.11804311639317</v>
      </c>
      <c r="AS133" s="38" t="s">
        <v>160</v>
      </c>
      <c r="AT133" s="399">
        <f t="shared" si="39"/>
        <v>0.0</v>
      </c>
      <c r="AU133" s="376" t="str">
        <f>IF(OR(AND(AV133&lt;Geometria!$L$1405/100,Geometria!$K$1405&gt;0),AND((Geometria!$L$29/100-AV133)&lt;Geometria!$R$1405/100,Geometria!$Q$1405&gt;0)),"Sim","Não")</f>
        <v>Não</v>
      </c>
      <c r="AV133" s="395">
        <f t="shared" si="27"/>
        <v>3.5325</v>
      </c>
      <c r="AW133" s="376" t="str">
        <f>IF(OR(AND(AV133&lt;Geometria!$L$1409/100,OR(Geometria!$K$1409&gt;0,Geometria!$K$1407&gt;0)),AND((Geometria!$L$29/100-AV133)&lt;Geometria!$R$1409/100,OR(Geometria!$Q$1409&gt;0,Geometria!$Q$1407&gt;0))),"Sim","Não")</f>
        <v>Não</v>
      </c>
      <c r="AX133" s="122" t="s">
        <v>438</v>
      </c>
      <c r="AY133" s="198" t="str">
        <f ca="1">IF(Geometria!$L$440&lt;Geometria!$N$1308/100,"Reduzir","OK")</f>
        <v>OK</v>
      </c>
      <c r="AZ133" s="401">
        <f t="shared" ca="1" si="28"/>
        <v>-3080.0748882804755</v>
      </c>
      <c r="BA133" s="403">
        <f ca="1">-(BF133/(Geometria!$L$48/100^2))-(BG133/(Geometria!$L$53/100^3))+((Geometria!$L$419)/(Geometria!$L$53/100^3))+((Geometria!$L$430)/(Geometria!$M$53/100^3))+((Geometria!$L$76*Geometria!$L$441)/(Geometria!$M$53/100^3))</f>
        <v>10118.043116393172</v>
      </c>
      <c r="BB133" s="400">
        <f ca="1">(Geometria!$N$368*MIN(1,(Geometria!$L$900*100)/Geometria!$N$1308))</f>
        <v>111.03210918130361</v>
      </c>
      <c r="BC133" s="751">
        <f ca="1">-((Geometria!$L$373-(Geometria!$L$373-ER133)*(1-(MIN(MIN(1,MAX(0,(AV133-Geometria!$L$1409/100)/(Geometria!$N$1307/100))),MIN(1,MAX(0,((Geometria!$L$29/100-AV133)-Geometria!$R$1409/100)/(Geometria!$N$1307/100))))))*(IF(OR(Geometria!$K$1409&gt;0,Geometria!$K$1407&gt;0,Geometria!$Q$1409&gt;0,Geometria!$Q$1407&gt;0),1,0))-(Geometria!$L$373-ET133)*(1-(MIN(MIN(1,MAX(0,(AV133-Geometria!$L$1405/100)/(Geometria!$N$1307/100))),MIN(1,MAX(0,((Geometria!$L$29/100-AV133)-Geometria!$R$1405/100)/(Geometria!$N$1307/100))))))*(IF(OR(Geometria!$K$1405&gt;0,Geometria!$K$1403&gt;0,Geometria!$Q$1405&gt;0,Geometria!$Q$1403&gt;0),1,0))))/(Geometria!$L$48/100^2)-((Geometria!$L$374-(Geometria!$L$374-ES133)*(1-(MIN(MIN(1,MAX(0,(AV133-Geometria!$L$1409/100)/(Geometria!$N$1307/100))),MIN(1,MAX(0,((Geometria!$L$29/100-AV133)-Geometria!$R$1409/100)/(Geometria!$N$1307/100))))))*(IF(OR(Geometria!$K$1409&gt;0,Geometria!$K$1407&gt;0,Geometria!$Q$1409&gt;0,Geometria!$Q$1407&gt;0),1,0))-(Geometria!$L$374-EU133)*(1-(MIN(MIN(1,MAX(0,(AV133-Geometria!$L$1405/100)/(Geometria!$N$1307/100))),MIN(1,MAX(0,((Geometria!$L$29/100-AV133)-Geometria!$R$1405/100)/(Geometria!$N$1307/100))))))*(IF(OR(Geometria!$K$1405&gt;0,Geometria!$K$1403&gt;0,Geometria!$Q$1405&gt;0,Geometria!$Q$1403&gt;0),1,0))))/(Geometria!$L$53/100^3)+((Geometria!$L$419)/(Geometria!$L$53/100^3))+((Geometria!$L$430)/(Geometria!$M$53/100^3))</f>
        <v>-3080.0748882804755</v>
      </c>
      <c r="BD133" s="751"/>
      <c r="BF133" s="373">
        <f ca="1">(Geometria!$L$298-(Geometria!$L$298-IF(AV133&lt;Geometria!$L$1409/100,Geometria!$L$1442,Geometria!$L$1460))*(1-(MIN(MIN(1,MAX(0,(AV133-Geometria!$L$1409/100)/(Geometria!$N$1307/100))),MIN(1,MAX(0,((Geometria!$L$29/100-AV133)-Geometria!$R$1409/100)/(Geometria!$N$1307/100))))))*(IF(OR(Geometria!$K$1409&gt;0,Geometria!$K$1407&gt;0,Geometria!$Q$1409&gt;0,Geometria!$Q$1407&gt;0),1,0))-(Geometria!$L$298-IF(AV133&lt;Geometria!$L$1405/100,Geometria!$L$1444,Geometria!$L$1462))*(1-(MIN(MIN(1,MAX(0,(AV133-Geometria!$L$1405/100)/(Geometria!$N$1307/100))),MIN(1,MAX(0,((Geometria!$L$29/100-AV133)-Geometria!$R$1405/100)/(Geometria!$N$1307/100))))))*(IF(OR(Geometria!$K$1405&gt;0,Geometria!$K$1403&gt;0,Geometria!$Q$1405&gt;0,Geometria!$Q$1403&gt;0),1,0)))*BB133+Geometria!$P$1429*BB110</f>
        <v>1243.5596228306003</v>
      </c>
      <c r="BG133" s="373">
        <f ca="1">(Geometria!$L$298-(Geometria!$L$298-IF(AV133&lt;Geometria!$L$1409/100,Geometria!$L$1442,Geometria!$L$1460))*(1-(MIN(MIN(1,MAX(0,(AV133-Geometria!$L$1409/100)/(Geometria!$N$1307/100))),MIN(1,MAX(0,((Geometria!$L$29/100-AV133)-Geometria!$R$1409/100)/(Geometria!$N$1307/100))))))*(IF(OR(Geometria!$K$1409&gt;0,Geometria!$K$1407&gt;0,Geometria!$Q$1409&gt;0,Geometria!$Q$1407&gt;0),1,0))-(Geometria!$L$298-IF(AV133&lt;Geometria!$L$1405/100,Geometria!$L$1444,Geometria!$L$1462))*(1-(MIN(MIN(1,MAX(0,(AV133-Geometria!$L$1405/100)/(Geometria!$N$1307/100))),MIN(1,MAX(0,((Geometria!$L$29/100-AV133)-Geometria!$R$1405/100)/(Geometria!$N$1307/100))))))*(IF(OR(Geometria!$K$1405&gt;0,Geometria!$K$1403&gt;0,Geometria!$Q$1405&gt;0,Geometria!$Q$1403&gt;0),1,0)))*BB133*(Geometria!$L$299-(Geometria!$L$299-IF(AV133&lt;Geometria!$L$1409/100,Geometria!$L$1443,Geometria!$L$1461))*(1-(MIN(MIN(1,MAX(0,(AV133-Geometria!$L$1409/100)/(Geometria!$N$1307/100))),MIN(1,MAX(0,((Geometria!$L$29/100-AV133)-Geometria!$R$1409/100)/(Geometria!$N$1307/100))))))*(IF(OR(Geometria!$K$1409&gt;0,Geometria!$K$1407&gt;0,Geometria!$Q$1409&gt;0,Geometria!$Q$1407&gt;0),1,0))-(Geometria!$L$299-IF(AV133&lt;Geometria!$L$1405/100,Geometria!$L$1445,Geometria!$L$1463))*(1-(MIN(MIN(1,MAX(0,(AV133-Geometria!$L$1405/100)/(Geometria!$N$1307/100))),MIN(1,MAX(0,((Geometria!$L$29/100-AV133)-Geometria!$R$1405/100)/(Geometria!$N$1307/100))))))*(IF(OR(Geometria!$K$1405&gt;0,Geometria!$K$1403&gt;0,Geometria!$Q$1405&gt;0,Geometria!$Q$1403&gt;0),1,0)))/100-Geometria!$P$1429*BB110*Geometria!$L$1438/100</f>
        <v>233.16742928073757</v>
      </c>
      <c r="BH133" s="365"/>
      <c r="BI133" s="371">
        <f ca="1">(IF(AW133="Sim",IF(AU133="Sim",$E$93,EX133),IF(AU133="Sim",EZ133,Geometria!$L$906)))</f>
        <v>1475.413282676191</v>
      </c>
      <c r="BJ133" s="371">
        <f ca="1">(IF(AW133="Sim",IF(AU133="Sim",$E$94,EY133),IF(AU133="Sim",FA133,Geometria!$L$907)))</f>
        <v>276.63999050178586</v>
      </c>
      <c r="BL133" s="4" t="s">
        <v>438</v>
      </c>
      <c r="BM133" s="202">
        <f t="shared" ca="1" si="40"/>
        <v>-3080.0748882804755</v>
      </c>
      <c r="BN133" s="38" t="s">
        <v>234</v>
      </c>
      <c r="BO133" s="203">
        <f t="shared" ca="1" si="29"/>
        <v>-3.0800748882804756</v>
      </c>
      <c r="BP133" s="38" t="s">
        <v>160</v>
      </c>
      <c r="BQ133" s="399">
        <f t="shared" si="41"/>
        <v>0.0</v>
      </c>
      <c r="BR133" s="376" t="str">
        <f>IF(OR(AND(BS133&lt;Geometria!$L$1405/100,Geometria!$K$1405&gt;0),AND((Geometria!$L$29/100-BS133)&lt;Geometria!$R$1405/100,Geometria!$Q$1405&gt;0)),"Sim","Não")</f>
        <v>Não</v>
      </c>
      <c r="BS133" s="395">
        <f t="shared" si="30"/>
        <v>3.5325</v>
      </c>
      <c r="BT133" s="376" t="str">
        <f>IF(OR(AND(BS133&lt;Geometria!$L$1409/100,OR(Geometria!$K$1409&gt;0,Geometria!$K$1407&gt;0)),AND((Geometria!$L$29/100-BS133)&lt;Geometria!$R$1409/100,OR(Geometria!$Q$1409&gt;0,Geometria!$Q$1407&gt;0))),"Sim","Não")</f>
        <v>Não</v>
      </c>
      <c r="BU133" s="122" t="s">
        <v>438</v>
      </c>
      <c r="BV133" s="198" t="str">
        <f ca="1">IF(Geometria!$L$440&lt;Geometria!$N$1308/100,"Reduzir","OK")</f>
        <v>OK</v>
      </c>
      <c r="BW133" s="401">
        <f t="shared" ca="1" si="31"/>
        <v>5718.670448168624</v>
      </c>
      <c r="BX133" s="403">
        <f ca="1">-(CC133/(Geometria!$L$48/100^2))-(CD133/(Geometria!$L$53/100^3))+((Geometria!$L$419)/(Geometria!$L$53/100^3))+((Geometria!$L$430)/(Geometria!$M$53/100^3))+((Geometria!$L$76*Geometria!$L$441)/(Geometria!$M$53/100^3))</f>
        <v>10118.043116393172</v>
      </c>
      <c r="BY133" s="400">
        <f ca="1">(Geometria!$N$368*MIN(1,(Geometria!$L$900*100)/Geometria!$N$1308))</f>
        <v>111.03210918130361</v>
      </c>
      <c r="BZ133" s="751">
        <f ca="1">-((Geometria!$L$373-(Geometria!$L$373-ER133)*(1-(MIN(MIN(1,MAX(0,(BS133-Geometria!$L$1409/100)/(Geometria!$N$1307/100))),MIN(1,MAX(0,((Geometria!$L$29/100-BS133)-Geometria!$R$1409/100)/(Geometria!$N$1307/100))))))*(IF(OR(Geometria!$K$1409&gt;0,Geometria!$K$1407&gt;0,Geometria!$Q$1409&gt;0,Geometria!$Q$1407&gt;0),1,0))-(Geometria!$L$373-ET133)*(1-(MIN(MIN(1,MAX(0,(BS133-Geometria!$L$1405/100)/(Geometria!$N$1307/100))),MIN(1,MAX(0,((Geometria!$L$29/100-BS133)-Geometria!$R$1405/100)/(Geometria!$N$1307/100))))))*(IF(OR(Geometria!$K$1405&gt;0,Geometria!$K$1403&gt;0,Geometria!$Q$1405&gt;0,Geometria!$Q$1403&gt;0),1,0))))/(Geometria!$L$48/100^2)-((Geometria!$L$374-(Geometria!$L$374-ES133)*(1-(MIN(MIN(1,MAX(0,(BS133-Geometria!$L$1409/100)/(Geometria!$N$1307/100))),MIN(1,MAX(0,((Geometria!$L$29/100-BS133)-Geometria!$R$1409/100)/(Geometria!$N$1307/100))))))*(IF(OR(Geometria!$K$1409&gt;0,Geometria!$K$1407&gt;0,Geometria!$Q$1409&gt;0,Geometria!$Q$1407&gt;0),1,0))-(Geometria!$L$374-EU133)*(1-(MIN(MIN(1,MAX(0,(BS133-Geometria!$L$1405/100)/(Geometria!$N$1307/100))),MIN(1,MAX(0,((Geometria!$L$29/100-BS133)-Geometria!$R$1405/100)/(Geometria!$N$1307/100))))))*(IF(OR(Geometria!$K$1405&gt;0,Geometria!$K$1403&gt;0,Geometria!$Q$1405&gt;0,Geometria!$Q$1403&gt;0),1,0))))/(Geometria!$L$53/100^3)+((Geometria!$L$676)/(Geometria!$L$53/100^3))+((Geometria!$L$687)/(Geometria!$M$53/100^3))+((Geometria!$L$77*Geometria!$L$698)/(Geometria!$M$53/100^3))</f>
        <v>5718.670448168624</v>
      </c>
      <c r="CA133" s="751"/>
      <c r="CC133" s="373">
        <f ca="1">(Geometria!$L$298-(Geometria!$L$298-IF(BS133&lt;Geometria!$L$1409/100,Geometria!$L$1442,Geometria!$L$1460))*(1-(MIN(MIN(1,MAX(0,(BS133-Geometria!$L$1409/100)/(Geometria!$N$1307/100))),MIN(1,MAX(0,((Geometria!$L$29/100-BS133)-Geometria!$R$1409/100)/(Geometria!$N$1307/100))))))*(IF(OR(Geometria!$K$1409&gt;0,Geometria!$K$1407&gt;0,Geometria!$Q$1409&gt;0,Geometria!$Q$1407&gt;0),1,0))-(Geometria!$L$298-IF(BS133&lt;Geometria!$L$1405/100,Geometria!$L$1444,Geometria!$L$1462))*(1-(MIN(MIN(1,MAX(0,(BS133-Geometria!$L$1405/100)/(Geometria!$N$1307/100))),MIN(1,MAX(0,((Geometria!$L$29/100-BS133)-Geometria!$R$1405/100)/(Geometria!$N$1307/100))))))*(IF(OR(Geometria!$K$1405&gt;0,Geometria!$K$1403&gt;0,Geometria!$Q$1405&gt;0,Geometria!$Q$1403&gt;0),1,0)))*BY133+Geometria!$P$1429*BY110</f>
        <v>1243.5596228306003</v>
      </c>
      <c r="CD133" s="373">
        <f ca="1">(Geometria!$L$298-(Geometria!$L$298-IF(BS133&lt;Geometria!$L$1409/100,Geometria!$L$1442,Geometria!$L$1460))*(1-(MIN(MIN(1,MAX(0,(BS133-Geometria!$L$1409/100)/(Geometria!$N$1307/100))),MIN(1,MAX(0,((Geometria!$L$29/100-BS133)-Geometria!$R$1409/100)/(Geometria!$N$1307/100))))))*(IF(OR(Geometria!$K$1409&gt;0,Geometria!$K$1407&gt;0,Geometria!$Q$1409&gt;0,Geometria!$Q$1407&gt;0),1,0))-(Geometria!$L$298-IF(BS133&lt;Geometria!$L$1405/100,Geometria!$L$1444,Geometria!$L$1462))*(1-(MIN(MIN(1,MAX(0,(BS133-Geometria!$L$1405/100)/(Geometria!$N$1307/100))),MIN(1,MAX(0,((Geometria!$L$29/100-BS133)-Geometria!$R$1405/100)/(Geometria!$N$1307/100))))))*(IF(OR(Geometria!$K$1405&gt;0,Geometria!$K$1403&gt;0,Geometria!$Q$1405&gt;0,Geometria!$Q$1403&gt;0),1,0)))*BY133*(Geometria!$L$299-(Geometria!$L$299-IF(BS133&lt;Geometria!$L$1409/100,Geometria!$L$1443,Geometria!$L$1461))*(1-(MIN(MIN(1,MAX(0,(BS133-Geometria!$L$1409/100)/(Geometria!$N$1307/100))),MIN(1,MAX(0,((Geometria!$L$29/100-BS133)-Geometria!$R$1409/100)/(Geometria!$N$1307/100))))))*(IF(OR(Geometria!$K$1409&gt;0,Geometria!$K$1407&gt;0,Geometria!$Q$1409&gt;0,Geometria!$Q$1407&gt;0),1,0))-(Geometria!$L$299-IF(BS133&lt;Geometria!$L$1405/100,Geometria!$L$1445,Geometria!$L$1463))*(1-(MIN(MIN(1,MAX(0,(BS133-Geometria!$L$1405/100)/(Geometria!$N$1307/100))),MIN(1,MAX(0,((Geometria!$L$29/100-BS133)-Geometria!$R$1405/100)/(Geometria!$N$1307/100))))))*(IF(OR(Geometria!$K$1405&gt;0,Geometria!$K$1403&gt;0,Geometria!$Q$1405&gt;0,Geometria!$Q$1403&gt;0),1,0)))/100-Geometria!$P$1429*BY110*Geometria!$L$1438/100</f>
        <v>233.16742928073757</v>
      </c>
      <c r="CE133" s="365"/>
      <c r="CF133" s="371">
        <f ca="1">(IF(BT133="Sim",IF(BR133="Sim",$E$93,EX133),IF(BR133="Sim",EZ133,Geometria!$L$906)))</f>
        <v>1475.413282676191</v>
      </c>
      <c r="CG133" s="371">
        <f ca="1">(IF(BT133="Sim",IF(BR133="Sim",$E$94,EY133),IF(BR133="Sim",FA133,Geometria!$L$907)))</f>
        <v>276.63999050178586</v>
      </c>
      <c r="CI133" s="4" t="s">
        <v>438</v>
      </c>
      <c r="CJ133" s="202">
        <f t="shared" ca="1" si="42"/>
        <v>5718.670448168624</v>
      </c>
      <c r="CK133" s="38" t="s">
        <v>234</v>
      </c>
      <c r="CL133" s="203">
        <f t="shared" ca="1" si="32"/>
        <v>5.7186704481686235</v>
      </c>
      <c r="CM133" s="38" t="s">
        <v>160</v>
      </c>
      <c r="CN133" s="399">
        <f t="shared" si="43"/>
        <v>0.0</v>
      </c>
      <c r="CO133" s="376" t="str">
        <f>IF(OR(AND(CP133&lt;Geometria!$L$1405/100,Geometria!$K$1405&gt;0),AND((Geometria!$L$29/100-CP133)&lt;Geometria!$R$1405/100,Geometria!$Q$1405&gt;0)),"Sim","Não")</f>
        <v>Não</v>
      </c>
      <c r="CP133" s="395">
        <f t="shared" si="33"/>
        <v>3.5325</v>
      </c>
      <c r="CQ133" s="376" t="str">
        <f>IF(OR(AND(CP133&lt;Geometria!$L$1409/100,OR(Geometria!$K$1409&gt;0,Geometria!$K$1407&gt;0)),AND((Geometria!$L$29/100-CP133)&lt;Geometria!$R$1409/100,OR(Geometria!$Q$1409&gt;0,Geometria!$Q$1407&gt;0))),"Sim","Não")</f>
        <v>Não</v>
      </c>
      <c r="CR133" s="122" t="s">
        <v>438</v>
      </c>
      <c r="CS133" s="198" t="str">
        <f ca="1">IF(Geometria!$L$440&lt;Geometria!$N$1308/100,"Reduzir","OK")</f>
        <v>OK</v>
      </c>
      <c r="CT133" s="401">
        <f t="shared" ca="1" si="34"/>
        <v>-3080.0748882804755</v>
      </c>
      <c r="CU133" s="403">
        <f ca="1">-(CZ133/(Geometria!$L$48/100^2))-(DA133/(Geometria!$L$53/100^3))+((Geometria!$L$419)/(Geometria!$L$53/100^3))+((Geometria!$L$430)/(Geometria!$M$53/100^3))+((Geometria!$L$76*Geometria!$L$441)/(Geometria!$M$53/100^3))</f>
        <v>10118.043116393172</v>
      </c>
      <c r="CV133" s="400">
        <f ca="1">(Geometria!$N$368*MIN(1,(Geometria!$L$900*100)/Geometria!$N$1308))</f>
        <v>111.03210918130361</v>
      </c>
      <c r="CW133" s="751">
        <f ca="1">-((Geometria!$L$373-(Geometria!$L$373-ER133)*(1-(MIN(MIN(1,MAX(0,(CP133-Geometria!$L$1409/100)/(Geometria!$N$1307/100))),MIN(1,MAX(0,((Geometria!$L$29/100-CP133)-Geometria!$R$1409/100)/(Geometria!$N$1307/100))))))*(IF(OR(Geometria!$K$1409&gt;0,Geometria!$K$1407&gt;0,Geometria!$Q$1409&gt;0,Geometria!$Q$1407&gt;0),1,0))-(Geometria!$L$373-ET133)*(1-(MIN(MIN(1,MAX(0,(CP133-Geometria!$L$1405/100)/(Geometria!$N$1307/100))),MIN(1,MAX(0,((Geometria!$L$29/100-CP133)-Geometria!$R$1405/100)/(Geometria!$N$1307/100))))))*(IF(OR(Geometria!$K$1405&gt;0,Geometria!$K$1403&gt;0,Geometria!$Q$1405&gt;0,Geometria!$Q$1403&gt;0),1,0))))/(Geometria!$L$48/100^2)-((Geometria!$L$374-(Geometria!$L$374-ES133)*(1-(MIN(MIN(1,MAX(0,(CP133-Geometria!$L$1409/100)/(Geometria!$N$1307/100))),MIN(1,MAX(0,((Geometria!$L$29/100-CP133)-Geometria!$R$1409/100)/(Geometria!$N$1307/100))))))*(IF(OR(Geometria!$K$1409&gt;0,Geometria!$K$1407&gt;0,Geometria!$Q$1409&gt;0,Geometria!$Q$1407&gt;0),1,0))-(Geometria!$L$374-EU133)*(1-(MIN(MIN(1,MAX(0,(CP133-Geometria!$L$1405/100)/(Geometria!$N$1307/100))),MIN(1,MAX(0,((Geometria!$L$29/100-CP133)-Geometria!$R$1405/100)/(Geometria!$N$1307/100))))))*(IF(OR(Geometria!$K$1405&gt;0,Geometria!$K$1403&gt;0,Geometria!$Q$1405&gt;0,Geometria!$Q$1403&gt;0),1,0))))/(Geometria!$L$53/100^3)+((Geometria!$L$676)/(Geometria!$L$53/100^3))+((Geometria!$L$687)/(Geometria!$M$53/100^3))</f>
        <v>-3080.0748882804755</v>
      </c>
      <c r="CX133" s="751"/>
      <c r="CZ133" s="373">
        <f ca="1">(IF(CQ133="Sim",IF(CO133="Sim",IF(CP133&lt;Geometria!$L$1405/100,Geometria!$L$1435,Geometria!$L$1476),IF(CP133&lt;Geometria!$L$1409/100,Geometria!$L$1442,Geometria!$L$1460)),IF(CO133="Sim",IF(CP133&lt;Geometria!$L$1405/100,Geometria!$L$1444,Geometria!$L$1462),Geometria!$L$298)))*CV133+Geometria!$P$1429*CV110</f>
        <v>1243.5596228306003</v>
      </c>
      <c r="DA133" s="373">
        <f ca="1">(IF(CQ133="Sim",IF(CO133="Sim",IF(CP133&lt;Geometria!$L$1405/100,Geometria!$L$1435,Geometria!$L$1476),IF(CP133&lt;Geometria!$L$1409/100,Geometria!$L$1442,Geometria!$L$1460)),IF(CO133="Sim",IF(CP133&lt;Geometria!$L$1405/100,Geometria!$L$1444,Geometria!$L$1462),Geometria!$L$298)))*CV133*(IF(CQ133="Sim",IF(CO133="Sim",IF(CP133&lt;Geometria!$L$1405/100,Geometria!$L$1436,Geometria!$L$1484),IF(CP133&lt;Geometria!$L$1409/100,Geometria!$L$1443,Geometria!$L$1461)),IF(CO133="Sim",IF(CP133&lt;Geometria!$L$1405/100,Geometria!$L$1445,Geometria!$L$1463),Geometria!$L$299)))/100-Geometria!$P$1429*CV110*Geometria!$L$1438/100</f>
        <v>233.16742928073757</v>
      </c>
      <c r="DB133" s="365"/>
      <c r="DC133" s="371">
        <f ca="1">(IF(CQ133="Sim",IF(CO133="Sim",$E$93,EX133),IF(CO133="Sim",EZ133,Geometria!$L$906)))</f>
        <v>1475.413282676191</v>
      </c>
      <c r="DD133" s="371">
        <f ca="1">(IF(CQ133="Sim",IF(CO133="Sim",$E$94,EY133),IF(CO133="Sim",FA133,Geometria!$L$907)))</f>
        <v>276.63999050178586</v>
      </c>
      <c r="DF133" s="4" t="s">
        <v>438</v>
      </c>
      <c r="DG133" s="202">
        <f t="shared" ca="1" si="44"/>
        <v>-3080.0748882804755</v>
      </c>
      <c r="DH133" s="38" t="s">
        <v>234</v>
      </c>
      <c r="DI133" s="203">
        <f t="shared" ca="1" si="35"/>
        <v>-3.0800748882804756</v>
      </c>
      <c r="DJ133" s="38" t="s">
        <v>160</v>
      </c>
      <c r="DK133" s="399">
        <f t="shared" si="45"/>
        <v>0.0</v>
      </c>
      <c r="EA133">
        <f ca="1">-L133/('Aberturas na Alma'!$M$112/100^2)-M133/('Aberturas na Alma'!$M$120/100^3)+Geometria!$L$898/('Aberturas na Alma'!$M$120/100^3)</f>
        <v>-72999.30068165393</v>
      </c>
      <c r="EB133">
        <f ca="1">-(IF(C133="Sim",IF(A133="Sim",$E$93,EX133),IF(A133="Sim",EZ133,Geometria!$L$906)))/('Aberturas na Alma'!$M$112/100^2)-(IF(C133="Sim",IF(A133="Sim",$E$94,EY133),IF(A133="Sim",FA133,Geometria!$L$907)))/('Aberturas na Alma'!$M$120/100^3)+Geometria!$L$901/('Aberturas na Alma'!$M$120/100^3)</f>
        <v>-24013.107063353422</v>
      </c>
      <c r="EC133">
        <f ca="1">IF(AND('Aberturas na Alma'!$M$18="NÃO DISPENSADO — furo deve ser verificado (cálculo abaixo)",OR(AND(B133&gt;=('Aberturas na Alma'!$M$4-'Aberturas na Alma'!$M$7/2)/100,B133&lt;=('Aberturas na Alma'!$M$4+'Aberturas na Alma'!$M$7/2)/100),ABS(B133-'Aberturas na Alma'!$M$4/100)&lt;=Geometria!$L$29/4000)),IF(E133="Reduzir",EA133,EB133),F133)</f>
        <v>-21309.667609585</v>
      </c>
      <c r="ED133">
        <f ca="1">-(AI133/('Aberturas na Alma'!$M$112/100^2))-(AJ133/('Aberturas na Alma'!$M$120/100^3))+((Geometria!$L$419)/('Aberturas na Alma'!$M$120/100^3))+((Geometria!$L$430)/('Aberturas na Alma'!$M$120/100^3))+((Geometria!$L$76*Geometria!$L$441)/('Aberturas na Alma'!$M$120/100^3))</f>
        <v>33213.10364130572</v>
      </c>
      <c r="EE133">
        <f ca="1">-((IF(Z133="Sim",IF(X133="Sim",$AB$93,ER133),IF(X133="Sim",ET133,Geometria!$L$373)))/('Aberturas na Alma'!$M$112/100^2))-((IF(Z133="Sim",IF(X133="Sim",$AB$94,ES133),IF(X133="Sim",EU133,Geometria!$L$374)))/('Aberturas na Alma'!$M$120/100^3))+((Geometria!$L$419)/('Aberturas na Alma'!$M$120/100^3))+((Geometria!$L$430)/('Aberturas na Alma'!$M$120/100^3))+((Geometria!$L$76*Geometria!$L$441)/('Aberturas na Alma'!$M$120/100^3))</f>
        <v>33213.10364130572</v>
      </c>
      <c r="EF133" s="371">
        <f ca="1">IF(AND('Aberturas na Alma'!$M$18="NÃO DISPENSADO — furo deve ser verificado (cálculo abaixo)",OR(AND(B133&gt;=('Aberturas na Alma'!$M$4-'Aberturas na Alma'!$M$7/2)/100,B133&lt;=('Aberturas na Alma'!$M$4+'Aberturas na Alma'!$M$7/2)/100),ABS(B133-'Aberturas na Alma'!$M$4/100)&lt;=Geometria!$L$29/4000)),IF(AB133="Reduzir",ED133,EE133),AC133)</f>
        <v>10118.043116393172</v>
      </c>
      <c r="EG133">
        <f ca="1">-(BF133/('Aberturas na Alma'!$M$112/100^2))-(BG133/('Aberturas na Alma'!$M$120/100^3))+((Geometria!$L$419)/('Aberturas na Alma'!$M$120/100^3))+((Geometria!$L$430)/('Aberturas na Alma'!$M$120/100^3))+((Geometria!$L$76*Geometria!$L$441)/('Aberturas na Alma'!$M$120/100^3))</f>
        <v>33213.10364130572</v>
      </c>
      <c r="EH133">
        <f ca="1">-((IF(AW133="Sim",IF(AU133="Sim",$AB$93,ER133),IF(AU133="Sim",ET133,Geometria!$L$373)))/('Aberturas na Alma'!$M$112/100^2))-((IF(AW133="Sim",IF(AU133="Sim",$AB$94,ES133),IF(AU133="Sim",EU133,Geometria!$L$374)))/('Aberturas na Alma'!$M$120/100^3))+((Geometria!$L$419)/('Aberturas na Alma'!$M$120/100^3))+((Geometria!$L$430)/('Aberturas na Alma'!$M$120/100^3))</f>
        <v>-3801.6643499776824</v>
      </c>
      <c r="EI133" s="371">
        <f ca="1">IF(AND('Aberturas na Alma'!$M$18="NÃO DISPENSADO — furo deve ser verificado (cálculo abaixo)",OR(AND(B133&gt;=('Aberturas na Alma'!$M$4-'Aberturas na Alma'!$M$7/2)/100,B133&lt;=('Aberturas na Alma'!$M$4+'Aberturas na Alma'!$M$7/2)/100),ABS(B133-'Aberturas na Alma'!$M$4/100)&lt;=Geometria!$L$29/4000)),IF(AY133="Reduzir",EG133,EH133),AZ133)</f>
        <v>-3080.0748882804755</v>
      </c>
      <c r="EJ133">
        <f ca="1">-(CC133/('Aberturas na Alma'!$M$112/100^2))-(CD133/('Aberturas na Alma'!$M$120/100^3))+((Geometria!$L$419)/('Aberturas na Alma'!$M$120/100^3))+((Geometria!$L$430)/('Aberturas na Alma'!$M$120/100^3))+((Geometria!$L$76*Geometria!$L$441)/('Aberturas na Alma'!$M$120/100^3))</f>
        <v>33213.10364130572</v>
      </c>
      <c r="EK133">
        <f ca="1">-((IF(BT133="Sim",IF(BR133="Sim",$AB$93,ER133),IF(BR133="Sim",ET133,Geometria!$L$373)))/('Aberturas na Alma'!$M$112/100^2))-((IF(BT133="Sim",IF(BR133="Sim",$AB$94,ES133),IF(BR133="Sim",EU133,Geometria!$L$374)))/('Aberturas na Alma'!$M$120/100^3))+((Geometria!$L$676)/('Aberturas na Alma'!$M$120/100^3))+((Geometria!$L$687)/('Aberturas na Alma'!$M$120/100^3))+((Geometria!$L$77*Geometria!$L$698)/('Aberturas na Alma'!$M$120/100^3))</f>
        <v>20874.84764421126</v>
      </c>
      <c r="EL133" s="371">
        <f ca="1">IF(AND('Aberturas na Alma'!$M$18="NÃO DISPENSADO — furo deve ser verificado (cálculo abaixo)",OR(AND(B133&gt;=('Aberturas na Alma'!$M$4-'Aberturas na Alma'!$M$7/2)/100,B133&lt;=('Aberturas na Alma'!$M$4+'Aberturas na Alma'!$M$7/2)/100),ABS(B133-'Aberturas na Alma'!$M$4/100)&lt;=Geometria!$L$29/4000)),IF(BV133="Reduzir",EJ133,EK133),BW133)</f>
        <v>5718.670448168624</v>
      </c>
      <c r="EM133">
        <f ca="1">-(CZ133/('Aberturas na Alma'!$M$112/100^2))-(DA133/('Aberturas na Alma'!$M$120/100^3))+((Geometria!$L$419)/('Aberturas na Alma'!$M$120/100^3))+((Geometria!$L$430)/('Aberturas na Alma'!$M$120/100^3))+((Geometria!$L$76*Geometria!$L$441)/('Aberturas na Alma'!$M$120/100^3))</f>
        <v>33213.10364130572</v>
      </c>
      <c r="EN133">
        <f ca="1">-((IF(CQ133="Sim",IF(CO133="Sim",$AB$93,ER133),IF(CO133="Sim",ET133,Geometria!$L$373)))/('Aberturas na Alma'!$M$112/100^2))-((IF(CQ133="Sim",IF(CO133="Sim",$AB$94,ES133),IF(CO133="Sim",EU133,Geometria!$L$374)))/('Aberturas na Alma'!$M$120/100^3))+((Geometria!$L$676)/('Aberturas na Alma'!$M$120/100^3))+((Geometria!$L$687)/('Aberturas na Alma'!$M$120/100^3))</f>
        <v>-3801.6643499776824</v>
      </c>
      <c r="EO133" s="371">
        <f ca="1">IF(AND('Aberturas na Alma'!$M$18="NÃO DISPENSADO — furo deve ser verificado (cálculo abaixo)",OR(AND(B133&gt;=('Aberturas na Alma'!$M$4-'Aberturas na Alma'!$M$7/2)/100,B133&lt;=('Aberturas na Alma'!$M$4+'Aberturas na Alma'!$M$7/2)/100),ABS(B133-'Aberturas na Alma'!$M$4/100)&lt;=Geometria!$L$29/4000)),IF(CS133="Reduzir",EM133,EN133),CT133)</f>
        <v>-3080.0748882804755</v>
      </c>
      <c r="EP133" t="str">
        <f>IF(AND(Y133&lt;Geometria!$L$1409/100,OR(Geometria!$K$1409&gt;0,Geometria!$K$1407&gt;0)),"ESQ",IF(AND((Geometria!$L$29/100-Y133)&lt;Geometria!$R$1409/100,OR(Geometria!$Q$1409&gt;0,Geometria!$Q$1407&gt;0)),"DIR","N/A"))</f>
        <v>N/A</v>
      </c>
      <c r="EQ133" t="str">
        <f>IF(AND(Y133&lt;Geometria!$L$1405/100,Geometria!$K$1405&gt;0),"ESQ",IF(AND((Geometria!$L$29/100-Y133)&lt;Geometria!$R$1405/100,Geometria!$Q$1405&gt;0),"DIR","N/A"))</f>
        <v>N/A</v>
      </c>
      <c r="ER133">
        <f ca="1">IF(EP133="DIR",Geometria!$L$1470,Geometria!$L$1452)</f>
        <v>1243.5596228306003</v>
      </c>
      <c r="ES133">
        <f ca="1">IF(EP133="DIR",Geometria!$L$1471,Geometria!$L$1453)</f>
        <v>233.16742928073757</v>
      </c>
      <c r="ET133">
        <f ca="1">IF(EQ133="DIR",Geometria!$L$1472,Geometria!$L$1454)</f>
        <v>621.7798114153002</v>
      </c>
      <c r="EU133">
        <f ca="1">IF(EQ133="DIR",Geometria!$L$1473,Geometria!$L$1455)</f>
        <v>177.20724625336052</v>
      </c>
      <c r="EV133" t="str">
        <f>IF(AND(B133&lt;Geometria!$L$1409/100,OR(Geometria!$K$1409&gt;0,Geometria!$K$1407&gt;0)),"ESQ",IF(AND((Geometria!$L$29/100-B133)&lt;Geometria!$R$1409/100,OR(Geometria!$Q$1409&gt;0,Geometria!$Q$1407&gt;0)),"DIR","N/A"))</f>
        <v>N/A</v>
      </c>
      <c r="EW133" t="str">
        <f>IF(AND(B133&lt;Geometria!$L$1405/100,Geometria!$K$1405&gt;0),"ESQ",IF(AND((Geometria!$L$29/100-B133)&lt;Geometria!$R$1405/100,Geometria!$Q$1405&gt;0),"DIR","N/A"))</f>
        <v>N/A</v>
      </c>
      <c r="EX133">
        <f ca="1">IF(EV133="DIR",Geometria!$L$1465,Geometria!$L$1447)</f>
        <v>1499.8056003831216</v>
      </c>
      <c r="EY133">
        <f ca="1">IF(EV133="DIR",Geometria!$L$1466,Geometria!$L$1448)</f>
        <v>281.2135500718353</v>
      </c>
      <c r="EZ133">
        <f ca="1">IF(EW133="DIR",Geometria!$L$1467,Geometria!$L$1449)</f>
        <v>749.9028001915608</v>
      </c>
      <c r="FA133">
        <f ca="1">IF(EW133="DIR",Geometria!$L$1468,Geometria!$L$1450)</f>
        <v>213.72229805459483</v>
      </c>
    </row>
    <row r="134" spans="1:157" x14ac:dyDescent="0.25">
      <c r="A134" s="376" t="str">
        <f>IF(OR(AND(B134&lt;Geometria!$L$1405/100,Geometria!$K$1405&gt;0),AND((Geometria!$L$29/100-B134)&lt;Geometria!$R$1405/100,Geometria!$Q$1405&gt;0)),"Sim","Não")</f>
        <v>Não</v>
      </c>
      <c r="B134" s="395">
        <f t="shared" si="21"/>
        <v>3.9250000000000003</v>
      </c>
      <c r="C134" s="376" t="str">
        <f>IF(OR(AND(B134&lt;Geometria!$L$1409/100,OR(Geometria!$K$1409&gt;0,Geometria!$K$1407&gt;0)),AND((Geometria!$L$29/100-B134)&lt;Geometria!$R$1409/100,OR(Geometria!$Q$1409&gt;0,Geometria!$Q$1407&gt;0))),"Sim","Não")</f>
        <v>Não</v>
      </c>
      <c r="D134" s="122" t="s">
        <v>439</v>
      </c>
      <c r="E134" s="198" t="str">
        <f ca="1">IF(Geometria!$M$440&lt;Geometria!$N$1308/100,"Reduzir","OK")</f>
        <v>OK</v>
      </c>
      <c r="F134" s="396">
        <f t="shared" ca="1" si="22"/>
        <v>-21286.880122605835</v>
      </c>
      <c r="G134" s="397">
        <f ca="1">-L134/(Geometria!$L$48/100^2)-M134/(Geometria!$L$53/100^3)+Geometria!$L$898/(Geometria!$L$53/100^3)</f>
        <v>-72774.45486504743</v>
      </c>
      <c r="H134" s="400">
        <f ca="1">(((IF(C134="Sim",$N$47,Geometria!$L$324))*(Geometria!$M$900*100))/Geometria!$N$1308)</f>
        <v>409.2340087322139</v>
      </c>
      <c r="I134" s="743">
        <f ca="1">-(Geometria!$L$906-(Geometria!$L$906-EX134)*(1-(MIN(MIN(1,MAX(0,(B134-Geometria!$L$1409/100)/(Geometria!$N$1307/100))),MIN(1,MAX(0,((Geometria!$L$29/100-B134)-Geometria!$R$1409/100)/(Geometria!$N$1307/100))))))*(IF(OR(Geometria!$K$1409&gt;0,Geometria!$K$1407&gt;0,Geometria!$Q$1409&gt;0,Geometria!$Q$1407&gt;0),1,0))-(Geometria!$L$906-EZ134)*(1-(MIN(MIN(1,MAX(0,(B134-Geometria!$L$1405/100)/(Geometria!$N$1307/100))),MIN(1,MAX(0,((Geometria!$L$29/100-B134)-Geometria!$R$1405/100)/(Geometria!$N$1307/100))))))*(IF(OR(Geometria!$K$1405&gt;0,Geometria!$K$1403&gt;0,Geometria!$Q$1405&gt;0,Geometria!$Q$1403&gt;0),1,0)))/(Geometria!$L$48/100^2)-(Geometria!$L$907-(Geometria!$L$907-EY134)*(1-(MIN(MIN(1,MAX(0,(B134-Geometria!$L$1409/100)/(Geometria!$N$1307/100))),MIN(1,MAX(0,((Geometria!$L$29/100-B134)-Geometria!$R$1409/100)/(Geometria!$N$1307/100))))))*(IF(OR(Geometria!$K$1409&gt;0,Geometria!$K$1407&gt;0,Geometria!$Q$1409&gt;0,Geometria!$Q$1407&gt;0),1,0))-(Geometria!$L$907-FA134)*(1-(MIN(MIN(1,MAX(0,(B134-Geometria!$L$1405/100)/(Geometria!$N$1307/100))),MIN(1,MAX(0,((Geometria!$L$29/100-B134)-Geometria!$R$1405/100)/(Geometria!$N$1307/100))))))*(IF(OR(Geometria!$K$1405&gt;0,Geometria!$K$1403&gt;0,Geometria!$Q$1405&gt;0,Geometria!$Q$1403&gt;0),1,0)))/(Geometria!$L$53/100^3)+Geometria!$M$901/(Geometria!$L$53/100^3)</f>
        <v>-21286.880122605835</v>
      </c>
      <c r="J134" s="743"/>
      <c r="L134" s="414">
        <f ca="1">(Geometria!$L$298-(Geometria!$L$298-IF(B134&lt;Geometria!$L$1409/100,Geometria!$L$1442,Geometria!$L$1460))*(1-(MIN(MIN(1,MAX(0,(B134-Geometria!$L$1409/100)/(Geometria!$N$1307/100))),MIN(1,MAX(0,((Geometria!$L$29/100-B134)-Geometria!$R$1409/100)/(Geometria!$N$1307/100))))))*(IF(OR(Geometria!$K$1409&gt;0,Geometria!$K$1407&gt;0,Geometria!$Q$1409&gt;0,Geometria!$Q$1407&gt;0),1,0))-(Geometria!$L$298-IF(B134&lt;Geometria!$L$1405/100,Geometria!$L$1444,Geometria!$L$1462))*(1-(MIN(MIN(1,MAX(0,(B134-Geometria!$L$1405/100)/(Geometria!$N$1307/100))),MIN(1,MAX(0,((Geometria!$L$29/100-B134)-Geometria!$R$1405/100)/(Geometria!$N$1307/100))))))*(IF(OR(Geometria!$K$1405&gt;0,Geometria!$K$1403&gt;0,Geometria!$Q$1405&gt;0,Geometria!$Q$1403&gt;0),1,0)))*H134+Geometria!$P$1429*H111</f>
        <v>4583.4208978007955</v>
      </c>
      <c r="M134" s="373">
        <f ca="1">(Geometria!$L$298-(Geometria!$L$298-IF(B134&lt;Geometria!$L$1409/100,Geometria!$L$1442,Geometria!$L$1460))*(1-(MIN(MIN(1,MAX(0,(B134-Geometria!$L$1409/100)/(Geometria!$N$1307/100))),MIN(1,MAX(0,((Geometria!$L$29/100-B134)-Geometria!$R$1409/100)/(Geometria!$N$1307/100))))))*(IF(OR(Geometria!$K$1409&gt;0,Geometria!$K$1407&gt;0,Geometria!$Q$1409&gt;0,Geometria!$Q$1407&gt;0),1,0))-(Geometria!$L$298-IF(B134&lt;Geometria!$L$1405/100,Geometria!$L$1444,Geometria!$L$1462))*(1-(MIN(MIN(1,MAX(0,(B134-Geometria!$L$1405/100)/(Geometria!$N$1307/100))),MIN(1,MAX(0,((Geometria!$L$29/100-B134)-Geometria!$R$1405/100)/(Geometria!$N$1307/100))))))*(IF(OR(Geometria!$K$1405&gt;0,Geometria!$K$1403&gt;0,Geometria!$Q$1405&gt;0,Geometria!$Q$1403&gt;0),1,0)))*H134*(Geometria!$L$299-(Geometria!$L$299-IF(B134&lt;Geometria!$L$1409/100,Geometria!$L$1443,Geometria!$L$1461))*(1-(MIN(MIN(1,MAX(0,(B134-Geometria!$L$1409/100)/(Geometria!$N$1307/100))),MIN(1,MAX(0,((Geometria!$L$29/100-B134)-Geometria!$R$1409/100)/(Geometria!$N$1307/100))))))*(IF(OR(Geometria!$K$1409&gt;0,Geometria!$K$1407&gt;0,Geometria!$Q$1409&gt;0,Geometria!$Q$1407&gt;0),1,0))-(Geometria!$L$299-IF(B134&lt;Geometria!$L$1405/100,Geometria!$L$1445,Geometria!$L$1463))*(1-(MIN(MIN(1,MAX(0,(B134-Geometria!$L$1405/100)/(Geometria!$N$1307/100))),MIN(1,MAX(0,((Geometria!$L$29/100-B134)-Geometria!$R$1405/100)/(Geometria!$N$1307/100))))))*(IF(OR(Geometria!$K$1405&gt;0,Geometria!$K$1403&gt;0,Geometria!$Q$1405&gt;0,Geometria!$Q$1403&gt;0),1,0)))/100-Geometria!$P$1429*H111*Geometria!$L$1438/100</f>
        <v>859.391418337649</v>
      </c>
      <c r="N134" s="365"/>
      <c r="O134" s="371">
        <f ca="1">(IF(C134="Sim",IF(A134="Sim",$E$93,EX134),IF(A134="Sim",EZ134,Geometria!$L$906)))</f>
        <v>1475.413282676191</v>
      </c>
      <c r="P134" s="371">
        <f ca="1">(IF(C134="Sim",IF(A134="Sim",$E$94,EY134),IF(A134="Sim",FA134,Geometria!$L$907)))</f>
        <v>276.63999050178586</v>
      </c>
      <c r="R134" s="4" t="s">
        <v>439</v>
      </c>
      <c r="S134" s="202">
        <f t="shared" ca="1" si="36"/>
        <v>-21286.880122605835</v>
      </c>
      <c r="T134" s="38" t="s">
        <v>234</v>
      </c>
      <c r="U134" s="203">
        <f t="shared" ca="1" si="23"/>
        <v>-21.286880122605837</v>
      </c>
      <c r="V134" s="38" t="s">
        <v>160</v>
      </c>
      <c r="W134" s="399">
        <f t="shared" si="37"/>
        <v>0.0</v>
      </c>
      <c r="X134" s="376" t="str">
        <f>IF(OR(AND(Y134&lt;Geometria!$L$1405/100,Geometria!$K$1405&gt;0),AND((Geometria!$L$29/100-Y134)&lt;Geometria!$R$1405/100,Geometria!$Q$1405&gt;0)),"Sim","Não")</f>
        <v>Não</v>
      </c>
      <c r="Y134" s="395">
        <f t="shared" si="24"/>
        <v>3.9250000000000003</v>
      </c>
      <c r="Z134" s="376" t="str">
        <f>IF(OR(AND(Y134&lt;Geometria!$L$1409/100,OR(Geometria!$K$1409&gt;0,Geometria!$K$1407&gt;0)),AND((Geometria!$L$29/100-Y134)&lt;Geometria!$R$1409/100,OR(Geometria!$Q$1409&gt;0,Geometria!$Q$1407&gt;0))),"Sim","Não")</f>
        <v>Não</v>
      </c>
      <c r="AA134" s="122" t="s">
        <v>439</v>
      </c>
      <c r="AB134" s="198" t="str">
        <f ca="1">IF(Geometria!$M$440&lt;Geometria!$N$1308/100,"Reduzir","OK")</f>
        <v>OK</v>
      </c>
      <c r="AC134" s="401">
        <f t="shared" ca="1" si="25"/>
        <v>10420.875982643945</v>
      </c>
      <c r="AD134" s="403">
        <f ca="1">-(AI134/(Geometria!$L$48/100^2))-(AJ134/(Geometria!$L$53/100^3))+((Geometria!$M$419)/(Geometria!$L$53/100^3))+((Geometria!$M$430)/(Geometria!$M$53/100^3))+((Geometria!$L$76*Geometria!$M$441)/(Geometria!$M$53/100^3))</f>
        <v>10420.875982643945</v>
      </c>
      <c r="AE134" s="400">
        <f ca="1">(Geometria!$N$368*MIN(1,(Geometria!$M$900*100)/Geometria!$N$1308))</f>
        <v>111.03210918130361</v>
      </c>
      <c r="AF134" s="751">
        <f ca="1">-((Geometria!$L$373-(Geometria!$L$373-ER134)*(1-(MIN(MIN(1,MAX(0,(Y134-Geometria!$L$1409/100)/(Geometria!$N$1307/100))),MIN(1,MAX(0,((Geometria!$L$29/100-Y134)-Geometria!$R$1409/100)/(Geometria!$N$1307/100))))))*(IF(OR(Geometria!$K$1409&gt;0,Geometria!$K$1407&gt;0,Geometria!$Q$1409&gt;0,Geometria!$Q$1407&gt;0),1,0))-(Geometria!$L$373-ET134)*(1-(MIN(MIN(1,MAX(0,(Y134-Geometria!$L$1405/100)/(Geometria!$N$1307/100))),MIN(1,MAX(0,((Geometria!$L$29/100-Y134)-Geometria!$R$1405/100)/(Geometria!$N$1307/100))))))*(IF(OR(Geometria!$K$1405&gt;0,Geometria!$K$1403&gt;0,Geometria!$Q$1405&gt;0,Geometria!$Q$1403&gt;0),1,0))))/(Geometria!$L$48/100^2)-((Geometria!$L$374-(Geometria!$L$374-ES134)*(1-(MIN(MIN(1,MAX(0,(Y134-Geometria!$L$1409/100)/(Geometria!$N$1307/100))),MIN(1,MAX(0,((Geometria!$L$29/100-Y134)-Geometria!$R$1409/100)/(Geometria!$N$1307/100))))))*(IF(OR(Geometria!$K$1409&gt;0,Geometria!$K$1407&gt;0,Geometria!$Q$1409&gt;0,Geometria!$Q$1407&gt;0),1,0))-(Geometria!$L$374-EU134)*(1-(MIN(MIN(1,MAX(0,(Y134-Geometria!$L$1405/100)/(Geometria!$N$1307/100))),MIN(1,MAX(0,((Geometria!$L$29/100-Y134)-Geometria!$R$1405/100)/(Geometria!$N$1307/100))))))*(IF(OR(Geometria!$K$1405&gt;0,Geometria!$K$1403&gt;0,Geometria!$Q$1405&gt;0,Geometria!$Q$1403&gt;0),1,0))))/(Geometria!$L$53/100^3)+((Geometria!$M$419)/(Geometria!$L$53/100^3))+((Geometria!$M$430)/(Geometria!$M$53/100^3))+((Geometria!$L$76*Geometria!$M$441)/(Geometria!$M$53/100^3))</f>
        <v>10420.875982643945</v>
      </c>
      <c r="AG134" s="751"/>
      <c r="AI134" s="414">
        <f ca="1">(IF(Z134="Sim",IF(X134="Sim",IF(Y134&lt;Geometria!$L$1405/100,Geometria!$L$1435,Geometria!$L$1476),IF(Y134&lt;Geometria!$L$1409/100,Geometria!$L$1442,Geometria!$L$1460)),IF(X134="Sim",IF(Y134&lt;Geometria!$L$1405/100,Geometria!$L$1444,Geometria!$L$1462),Geometria!$L$298)))*AE134+Geometria!$P$1429*AE111</f>
        <v>1243.5596228306003</v>
      </c>
      <c r="AJ134" s="373">
        <f ca="1">(IF(Z134="Sim",IF(X134="Sim",IF(Y134&lt;Geometria!$L$1405/100,Geometria!$L$1435,Geometria!$L$1476),IF(Y134&lt;Geometria!$L$1409/100,Geometria!$L$1442,Geometria!$L$1460)),IF(X134="Sim",IF(Y134&lt;Geometria!$L$1405/100,Geometria!$L$1444,Geometria!$L$1462),Geometria!$L$298)))*AE134*(IF(Z134="Sim",IF(X134="Sim",IF(Y134&lt;Geometria!$L$1405/100,Geometria!$L$1436,Geometria!$L$1484),IF(Y134&lt;Geometria!$L$1409/100,Geometria!$L$1443,Geometria!$L$1461)),IF(X134="Sim",IF(Y134&lt;Geometria!$L$1405/100,Geometria!$L$1445,Geometria!$L$1463),Geometria!$L$299)))/100-Geometria!$P$1429*AE111*Geometria!$L$1438/100</f>
        <v>233.16742928073757</v>
      </c>
      <c r="AK134" s="365"/>
      <c r="AL134" s="371">
        <f ca="1">(IF(Z134="Sim",IF(X134="Sim",$E$93,EX134),IF(X134="Sim",EZ134,Geometria!$L$906)))</f>
        <v>1475.413282676191</v>
      </c>
      <c r="AM134" s="371">
        <f ca="1">(IF(Z134="Sim",IF(X134="Sim",$E$94,EY134),IF(X134="Sim",FA134,Geometria!$L$907)))</f>
        <v>276.63999050178586</v>
      </c>
      <c r="AO134" s="4" t="s">
        <v>439</v>
      </c>
      <c r="AP134" s="202">
        <f t="shared" ca="1" si="38"/>
        <v>10420.875982643945</v>
      </c>
      <c r="AQ134" s="38" t="s">
        <v>234</v>
      </c>
      <c r="AR134" s="203">
        <f t="shared" ca="1" si="26"/>
        <v>10.420875982643945</v>
      </c>
      <c r="AS134" s="38" t="s">
        <v>160</v>
      </c>
      <c r="AT134" s="399">
        <f t="shared" si="39"/>
        <v>0.0</v>
      </c>
      <c r="AU134" s="376" t="str">
        <f>IF(OR(AND(AV134&lt;Geometria!$L$1405/100,Geometria!$K$1405&gt;0),AND((Geometria!$L$29/100-AV134)&lt;Geometria!$R$1405/100,Geometria!$Q$1405&gt;0)),"Sim","Não")</f>
        <v>Não</v>
      </c>
      <c r="AV134" s="395">
        <f t="shared" si="27"/>
        <v>3.9250000000000003</v>
      </c>
      <c r="AW134" s="376" t="str">
        <f>IF(OR(AND(AV134&lt;Geometria!$L$1409/100,OR(Geometria!$K$1409&gt;0,Geometria!$K$1407&gt;0)),AND((Geometria!$L$29/100-AV134)&lt;Geometria!$R$1409/100,OR(Geometria!$Q$1409&gt;0,Geometria!$Q$1407&gt;0))),"Sim","Não")</f>
        <v>Não</v>
      </c>
      <c r="AX134" s="122" t="s">
        <v>439</v>
      </c>
      <c r="AY134" s="198" t="str">
        <f ca="1">IF(Geometria!$M$440&lt;Geometria!$N$1308/100,"Reduzir","OK")</f>
        <v>OK</v>
      </c>
      <c r="AZ134" s="401">
        <f t="shared" ca="1" si="28"/>
        <v>-2910.556345309237</v>
      </c>
      <c r="BA134" s="403">
        <f ca="1">-(BF134/(Geometria!$L$48/100^2))-(BG134/(Geometria!$L$53/100^3))+((Geometria!$M$419)/(Geometria!$L$53/100^3))+((Geometria!$M$430)/(Geometria!$M$53/100^3))+((Geometria!$L$76*Geometria!$M$441)/(Geometria!$M$53/100^3))</f>
        <v>10420.875982643945</v>
      </c>
      <c r="BB134" s="400">
        <f ca="1">(Geometria!$N$368*MIN(1,(Geometria!$M$900*100)/Geometria!$N$1308))</f>
        <v>111.03210918130361</v>
      </c>
      <c r="BC134" s="751">
        <f ca="1">-((Geometria!$L$373-(Geometria!$L$373-ER134)*(1-(MIN(MIN(1,MAX(0,(AV134-Geometria!$L$1409/100)/(Geometria!$N$1307/100))),MIN(1,MAX(0,((Geometria!$L$29/100-AV134)-Geometria!$R$1409/100)/(Geometria!$N$1307/100))))))*(IF(OR(Geometria!$K$1409&gt;0,Geometria!$K$1407&gt;0,Geometria!$Q$1409&gt;0,Geometria!$Q$1407&gt;0),1,0))-(Geometria!$L$373-ET134)*(1-(MIN(MIN(1,MAX(0,(AV134-Geometria!$L$1405/100)/(Geometria!$N$1307/100))),MIN(1,MAX(0,((Geometria!$L$29/100-AV134)-Geometria!$R$1405/100)/(Geometria!$N$1307/100))))))*(IF(OR(Geometria!$K$1405&gt;0,Geometria!$K$1403&gt;0,Geometria!$Q$1405&gt;0,Geometria!$Q$1403&gt;0),1,0))))/(Geometria!$L$48/100^2)-((Geometria!$L$374-(Geometria!$L$374-ES134)*(1-(MIN(MIN(1,MAX(0,(AV134-Geometria!$L$1409/100)/(Geometria!$N$1307/100))),MIN(1,MAX(0,((Geometria!$L$29/100-AV134)-Geometria!$R$1409/100)/(Geometria!$N$1307/100))))))*(IF(OR(Geometria!$K$1409&gt;0,Geometria!$K$1407&gt;0,Geometria!$Q$1409&gt;0,Geometria!$Q$1407&gt;0),1,0))-(Geometria!$L$374-EU134)*(1-(MIN(MIN(1,MAX(0,(AV134-Geometria!$L$1405/100)/(Geometria!$N$1307/100))),MIN(1,MAX(0,((Geometria!$L$29/100-AV134)-Geometria!$R$1405/100)/(Geometria!$N$1307/100))))))*(IF(OR(Geometria!$K$1405&gt;0,Geometria!$K$1403&gt;0,Geometria!$Q$1405&gt;0,Geometria!$Q$1403&gt;0),1,0))))/(Geometria!$L$53/100^3)+((Geometria!$M$419)/(Geometria!$L$53/100^3))+((Geometria!$M$430)/(Geometria!$M$53/100^3))</f>
        <v>-2910.556345309237</v>
      </c>
      <c r="BD134" s="751"/>
      <c r="BF134" s="414">
        <f ca="1">(Geometria!$L$298-(Geometria!$L$298-IF(AV134&lt;Geometria!$L$1409/100,Geometria!$L$1442,Geometria!$L$1460))*(1-(MIN(MIN(1,MAX(0,(AV134-Geometria!$L$1409/100)/(Geometria!$N$1307/100))),MIN(1,MAX(0,((Geometria!$L$29/100-AV134)-Geometria!$R$1409/100)/(Geometria!$N$1307/100))))))*(IF(OR(Geometria!$K$1409&gt;0,Geometria!$K$1407&gt;0,Geometria!$Q$1409&gt;0,Geometria!$Q$1407&gt;0),1,0))-(Geometria!$L$298-IF(AV134&lt;Geometria!$L$1405/100,Geometria!$L$1444,Geometria!$L$1462))*(1-(MIN(MIN(1,MAX(0,(AV134-Geometria!$L$1405/100)/(Geometria!$N$1307/100))),MIN(1,MAX(0,((Geometria!$L$29/100-AV134)-Geometria!$R$1405/100)/(Geometria!$N$1307/100))))))*(IF(OR(Geometria!$K$1405&gt;0,Geometria!$K$1403&gt;0,Geometria!$Q$1405&gt;0,Geometria!$Q$1403&gt;0),1,0)))*BB134+Geometria!$P$1429*BB111</f>
        <v>1243.5596228306003</v>
      </c>
      <c r="BG134" s="373">
        <f ca="1">(Geometria!$L$298-(Geometria!$L$298-IF(AV134&lt;Geometria!$L$1409/100,Geometria!$L$1442,Geometria!$L$1460))*(1-(MIN(MIN(1,MAX(0,(AV134-Geometria!$L$1409/100)/(Geometria!$N$1307/100))),MIN(1,MAX(0,((Geometria!$L$29/100-AV134)-Geometria!$R$1409/100)/(Geometria!$N$1307/100))))))*(IF(OR(Geometria!$K$1409&gt;0,Geometria!$K$1407&gt;0,Geometria!$Q$1409&gt;0,Geometria!$Q$1407&gt;0),1,0))-(Geometria!$L$298-IF(AV134&lt;Geometria!$L$1405/100,Geometria!$L$1444,Geometria!$L$1462))*(1-(MIN(MIN(1,MAX(0,(AV134-Geometria!$L$1405/100)/(Geometria!$N$1307/100))),MIN(1,MAX(0,((Geometria!$L$29/100-AV134)-Geometria!$R$1405/100)/(Geometria!$N$1307/100))))))*(IF(OR(Geometria!$K$1405&gt;0,Geometria!$K$1403&gt;0,Geometria!$Q$1405&gt;0,Geometria!$Q$1403&gt;0),1,0)))*BB134*(Geometria!$L$299-(Geometria!$L$299-IF(AV134&lt;Geometria!$L$1409/100,Geometria!$L$1443,Geometria!$L$1461))*(1-(MIN(MIN(1,MAX(0,(AV134-Geometria!$L$1409/100)/(Geometria!$N$1307/100))),MIN(1,MAX(0,((Geometria!$L$29/100-AV134)-Geometria!$R$1409/100)/(Geometria!$N$1307/100))))))*(IF(OR(Geometria!$K$1409&gt;0,Geometria!$K$1407&gt;0,Geometria!$Q$1409&gt;0,Geometria!$Q$1407&gt;0),1,0))-(Geometria!$L$299-IF(AV134&lt;Geometria!$L$1405/100,Geometria!$L$1445,Geometria!$L$1463))*(1-(MIN(MIN(1,MAX(0,(AV134-Geometria!$L$1405/100)/(Geometria!$N$1307/100))),MIN(1,MAX(0,((Geometria!$L$29/100-AV134)-Geometria!$R$1405/100)/(Geometria!$N$1307/100))))))*(IF(OR(Geometria!$K$1405&gt;0,Geometria!$K$1403&gt;0,Geometria!$Q$1405&gt;0,Geometria!$Q$1403&gt;0),1,0)))/100-Geometria!$P$1429*BB111*Geometria!$L$1438/100</f>
        <v>233.16742928073757</v>
      </c>
      <c r="BH134" s="365"/>
      <c r="BI134" s="371">
        <f ca="1">(IF(AW134="Sim",IF(AU134="Sim",$E$93,EX134),IF(AU134="Sim",EZ134,Geometria!$L$906)))</f>
        <v>1475.413282676191</v>
      </c>
      <c r="BJ134" s="371">
        <f ca="1">(IF(AW134="Sim",IF(AU134="Sim",$E$94,EY134),IF(AU134="Sim",FA134,Geometria!$L$907)))</f>
        <v>276.63999050178586</v>
      </c>
      <c r="BL134" s="4" t="s">
        <v>439</v>
      </c>
      <c r="BM134" s="202">
        <f t="shared" ca="1" si="40"/>
        <v>-2910.556345309237</v>
      </c>
      <c r="BN134" s="38" t="s">
        <v>234</v>
      </c>
      <c r="BO134" s="203">
        <f t="shared" ca="1" si="29"/>
        <v>-2.910556345309237</v>
      </c>
      <c r="BP134" s="38" t="s">
        <v>160</v>
      </c>
      <c r="BQ134" s="399">
        <f t="shared" si="41"/>
        <v>0.0</v>
      </c>
      <c r="BR134" s="376" t="str">
        <f>IF(OR(AND(BS134&lt;Geometria!$L$1405/100,Geometria!$K$1405&gt;0),AND((Geometria!$L$29/100-BS134)&lt;Geometria!$R$1405/100,Geometria!$Q$1405&gt;0)),"Sim","Não")</f>
        <v>Não</v>
      </c>
      <c r="BS134" s="395">
        <f t="shared" si="30"/>
        <v>3.9250000000000003</v>
      </c>
      <c r="BT134" s="376" t="str">
        <f>IF(OR(AND(BS134&lt;Geometria!$L$1409/100,OR(Geometria!$K$1409&gt;0,Geometria!$K$1407&gt;0)),AND((Geometria!$L$29/100-BS134)&lt;Geometria!$R$1409/100,OR(Geometria!$Q$1409&gt;0,Geometria!$Q$1407&gt;0))),"Sim","Não")</f>
        <v>Não</v>
      </c>
      <c r="BU134" s="122" t="s">
        <v>439</v>
      </c>
      <c r="BV134" s="198" t="str">
        <f ca="1">IF(Geometria!$M$440&lt;Geometria!$N$1308/100,"Reduzir","OK")</f>
        <v>OK</v>
      </c>
      <c r="BW134" s="401">
        <f t="shared" ca="1" si="31"/>
        <v>5977.065206659552</v>
      </c>
      <c r="BX134" s="403">
        <f ca="1">-(CC134/(Geometria!$L$48/100^2))-(CD134/(Geometria!$L$53/100^3))+((Geometria!$M$419)/(Geometria!$L$53/100^3))+((Geometria!$M$430)/(Geometria!$M$53/100^3))+((Geometria!$L$76*Geometria!$M$441)/(Geometria!$M$53/100^3))</f>
        <v>10420.875982643945</v>
      </c>
      <c r="BY134" s="400">
        <f ca="1">(Geometria!$N$368*MIN(1,(Geometria!$M$900*100)/Geometria!$N$1308))</f>
        <v>111.03210918130361</v>
      </c>
      <c r="BZ134" s="751">
        <f ca="1">-((Geometria!$L$373-(Geometria!$L$373-ER134)*(1-(MIN(MIN(1,MAX(0,(BS134-Geometria!$L$1409/100)/(Geometria!$N$1307/100))),MIN(1,MAX(0,((Geometria!$L$29/100-BS134)-Geometria!$R$1409/100)/(Geometria!$N$1307/100))))))*(IF(OR(Geometria!$K$1409&gt;0,Geometria!$K$1407&gt;0,Geometria!$Q$1409&gt;0,Geometria!$Q$1407&gt;0),1,0))-(Geometria!$L$373-ET134)*(1-(MIN(MIN(1,MAX(0,(BS134-Geometria!$L$1405/100)/(Geometria!$N$1307/100))),MIN(1,MAX(0,((Geometria!$L$29/100-BS134)-Geometria!$R$1405/100)/(Geometria!$N$1307/100))))))*(IF(OR(Geometria!$K$1405&gt;0,Geometria!$K$1403&gt;0,Geometria!$Q$1405&gt;0,Geometria!$Q$1403&gt;0),1,0))))/(Geometria!$L$48/100^2)-((Geometria!$L$374-(Geometria!$L$374-ES134)*(1-(MIN(MIN(1,MAX(0,(BS134-Geometria!$L$1409/100)/(Geometria!$N$1307/100))),MIN(1,MAX(0,((Geometria!$L$29/100-BS134)-Geometria!$R$1409/100)/(Geometria!$N$1307/100))))))*(IF(OR(Geometria!$K$1409&gt;0,Geometria!$K$1407&gt;0,Geometria!$Q$1409&gt;0,Geometria!$Q$1407&gt;0),1,0))-(Geometria!$L$374-EU134)*(1-(MIN(MIN(1,MAX(0,(BS134-Geometria!$L$1405/100)/(Geometria!$N$1307/100))),MIN(1,MAX(0,((Geometria!$L$29/100-BS134)-Geometria!$R$1405/100)/(Geometria!$N$1307/100))))))*(IF(OR(Geometria!$K$1405&gt;0,Geometria!$K$1403&gt;0,Geometria!$Q$1405&gt;0,Geometria!$Q$1403&gt;0),1,0))))/(Geometria!$L$53/100^3)+((Geometria!$M$676)/(Geometria!$L$53/100^3))+((Geometria!$M$687)/(Geometria!$M$53/100^3))+((Geometria!$L$77*Geometria!$M$698)/(Geometria!$M$53/100^3))</f>
        <v>5977.065206659552</v>
      </c>
      <c r="CA134" s="751"/>
      <c r="CC134" s="414">
        <f ca="1">(Geometria!$L$298-(Geometria!$L$298-IF(BS134&lt;Geometria!$L$1409/100,Geometria!$L$1442,Geometria!$L$1460))*(1-(MIN(MIN(1,MAX(0,(BS134-Geometria!$L$1409/100)/(Geometria!$N$1307/100))),MIN(1,MAX(0,((Geometria!$L$29/100-BS134)-Geometria!$R$1409/100)/(Geometria!$N$1307/100))))))*(IF(OR(Geometria!$K$1409&gt;0,Geometria!$K$1407&gt;0,Geometria!$Q$1409&gt;0,Geometria!$Q$1407&gt;0),1,0))-(Geometria!$L$298-IF(BS134&lt;Geometria!$L$1405/100,Geometria!$L$1444,Geometria!$L$1462))*(1-(MIN(MIN(1,MAX(0,(BS134-Geometria!$L$1405/100)/(Geometria!$N$1307/100))),MIN(1,MAX(0,((Geometria!$L$29/100-BS134)-Geometria!$R$1405/100)/(Geometria!$N$1307/100))))))*(IF(OR(Geometria!$K$1405&gt;0,Geometria!$K$1403&gt;0,Geometria!$Q$1405&gt;0,Geometria!$Q$1403&gt;0),1,0)))*BY134+Geometria!$P$1429*BY111</f>
        <v>1243.5596228306003</v>
      </c>
      <c r="CD134" s="373">
        <f ca="1">(Geometria!$L$298-(Geometria!$L$298-IF(BS134&lt;Geometria!$L$1409/100,Geometria!$L$1442,Geometria!$L$1460))*(1-(MIN(MIN(1,MAX(0,(BS134-Geometria!$L$1409/100)/(Geometria!$N$1307/100))),MIN(1,MAX(0,((Geometria!$L$29/100-BS134)-Geometria!$R$1409/100)/(Geometria!$N$1307/100))))))*(IF(OR(Geometria!$K$1409&gt;0,Geometria!$K$1407&gt;0,Geometria!$Q$1409&gt;0,Geometria!$Q$1407&gt;0),1,0))-(Geometria!$L$298-IF(BS134&lt;Geometria!$L$1405/100,Geometria!$L$1444,Geometria!$L$1462))*(1-(MIN(MIN(1,MAX(0,(BS134-Geometria!$L$1405/100)/(Geometria!$N$1307/100))),MIN(1,MAX(0,((Geometria!$L$29/100-BS134)-Geometria!$R$1405/100)/(Geometria!$N$1307/100))))))*(IF(OR(Geometria!$K$1405&gt;0,Geometria!$K$1403&gt;0,Geometria!$Q$1405&gt;0,Geometria!$Q$1403&gt;0),1,0)))*BY134*(Geometria!$L$299-(Geometria!$L$299-IF(BS134&lt;Geometria!$L$1409/100,Geometria!$L$1443,Geometria!$L$1461))*(1-(MIN(MIN(1,MAX(0,(BS134-Geometria!$L$1409/100)/(Geometria!$N$1307/100))),MIN(1,MAX(0,((Geometria!$L$29/100-BS134)-Geometria!$R$1409/100)/(Geometria!$N$1307/100))))))*(IF(OR(Geometria!$K$1409&gt;0,Geometria!$K$1407&gt;0,Geometria!$Q$1409&gt;0,Geometria!$Q$1407&gt;0),1,0))-(Geometria!$L$299-IF(BS134&lt;Geometria!$L$1405/100,Geometria!$L$1445,Geometria!$L$1463))*(1-(MIN(MIN(1,MAX(0,(BS134-Geometria!$L$1405/100)/(Geometria!$N$1307/100))),MIN(1,MAX(0,((Geometria!$L$29/100-BS134)-Geometria!$R$1405/100)/(Geometria!$N$1307/100))))))*(IF(OR(Geometria!$K$1405&gt;0,Geometria!$K$1403&gt;0,Geometria!$Q$1405&gt;0,Geometria!$Q$1403&gt;0),1,0)))/100-Geometria!$P$1429*BY111*Geometria!$L$1438/100</f>
        <v>233.16742928073757</v>
      </c>
      <c r="CE134" s="365"/>
      <c r="CF134" s="371">
        <f ca="1">(IF(BT134="Sim",IF(BR134="Sim",$E$93,EX134),IF(BR134="Sim",EZ134,Geometria!$L$906)))</f>
        <v>1475.413282676191</v>
      </c>
      <c r="CG134" s="371">
        <f ca="1">(IF(BT134="Sim",IF(BR134="Sim",$E$94,EY134),IF(BR134="Sim",FA134,Geometria!$L$907)))</f>
        <v>276.63999050178586</v>
      </c>
      <c r="CI134" s="4" t="s">
        <v>439</v>
      </c>
      <c r="CJ134" s="202">
        <f t="shared" ca="1" si="42"/>
        <v>5977.065206659552</v>
      </c>
      <c r="CK134" s="38" t="s">
        <v>234</v>
      </c>
      <c r="CL134" s="203">
        <f t="shared" ca="1" si="32"/>
        <v>5.977065206659552</v>
      </c>
      <c r="CM134" s="38" t="s">
        <v>160</v>
      </c>
      <c r="CN134" s="399">
        <f t="shared" si="43"/>
        <v>0.0</v>
      </c>
      <c r="CO134" s="376" t="str">
        <f>IF(OR(AND(CP134&lt;Geometria!$L$1405/100,Geometria!$K$1405&gt;0),AND((Geometria!$L$29/100-CP134)&lt;Geometria!$R$1405/100,Geometria!$Q$1405&gt;0)),"Sim","Não")</f>
        <v>Não</v>
      </c>
      <c r="CP134" s="395">
        <f t="shared" si="33"/>
        <v>3.9250000000000003</v>
      </c>
      <c r="CQ134" s="376" t="str">
        <f>IF(OR(AND(CP134&lt;Geometria!$L$1409/100,OR(Geometria!$K$1409&gt;0,Geometria!$K$1407&gt;0)),AND((Geometria!$L$29/100-CP134)&lt;Geometria!$R$1409/100,OR(Geometria!$Q$1409&gt;0,Geometria!$Q$1407&gt;0))),"Sim","Não")</f>
        <v>Não</v>
      </c>
      <c r="CR134" s="122" t="s">
        <v>439</v>
      </c>
      <c r="CS134" s="198" t="str">
        <f ca="1">IF(Geometria!$M$440&lt;Geometria!$N$1308/100,"Reduzir","OK")</f>
        <v>OK</v>
      </c>
      <c r="CT134" s="401">
        <f t="shared" ca="1" si="34"/>
        <v>-2910.556345309237</v>
      </c>
      <c r="CU134" s="403">
        <f ca="1">-(CZ134/(Geometria!$L$48/100^2))-(DA134/(Geometria!$L$53/100^3))+((Geometria!$M$419)/(Geometria!$L$53/100^3))+((Geometria!$M$430)/(Geometria!$M$53/100^3))+((Geometria!$L$76*Geometria!$M$441)/(Geometria!$M$53/100^3))</f>
        <v>10420.875982643945</v>
      </c>
      <c r="CV134" s="400">
        <f ca="1">(Geometria!$N$368*MIN(1,(Geometria!$M$900*100)/Geometria!$N$1308))</f>
        <v>111.03210918130361</v>
      </c>
      <c r="CW134" s="751">
        <f ca="1">-((Geometria!$L$373-(Geometria!$L$373-ER134)*(1-(MIN(MIN(1,MAX(0,(CP134-Geometria!$L$1409/100)/(Geometria!$N$1307/100))),MIN(1,MAX(0,((Geometria!$L$29/100-CP134)-Geometria!$R$1409/100)/(Geometria!$N$1307/100))))))*(IF(OR(Geometria!$K$1409&gt;0,Geometria!$K$1407&gt;0,Geometria!$Q$1409&gt;0,Geometria!$Q$1407&gt;0),1,0))-(Geometria!$L$373-ET134)*(1-(MIN(MIN(1,MAX(0,(CP134-Geometria!$L$1405/100)/(Geometria!$N$1307/100))),MIN(1,MAX(0,((Geometria!$L$29/100-CP134)-Geometria!$R$1405/100)/(Geometria!$N$1307/100))))))*(IF(OR(Geometria!$K$1405&gt;0,Geometria!$K$1403&gt;0,Geometria!$Q$1405&gt;0,Geometria!$Q$1403&gt;0),1,0))))/(Geometria!$L$48/100^2)-((Geometria!$L$374-(Geometria!$L$374-ES134)*(1-(MIN(MIN(1,MAX(0,(CP134-Geometria!$L$1409/100)/(Geometria!$N$1307/100))),MIN(1,MAX(0,((Geometria!$L$29/100-CP134)-Geometria!$R$1409/100)/(Geometria!$N$1307/100))))))*(IF(OR(Geometria!$K$1409&gt;0,Geometria!$K$1407&gt;0,Geometria!$Q$1409&gt;0,Geometria!$Q$1407&gt;0),1,0))-(Geometria!$L$374-EU134)*(1-(MIN(MIN(1,MAX(0,(CP134-Geometria!$L$1405/100)/(Geometria!$N$1307/100))),MIN(1,MAX(0,((Geometria!$L$29/100-CP134)-Geometria!$R$1405/100)/(Geometria!$N$1307/100))))))*(IF(OR(Geometria!$K$1405&gt;0,Geometria!$K$1403&gt;0,Geometria!$Q$1405&gt;0,Geometria!$Q$1403&gt;0),1,0))))/(Geometria!$L$53/100^3)+((Geometria!$M$676)/(Geometria!$L$53/100^3))+((Geometria!$M$687)/(Geometria!$M$53/100^3))</f>
        <v>-2910.556345309237</v>
      </c>
      <c r="CX134" s="751"/>
      <c r="CZ134" s="414">
        <f ca="1">(IF(CQ134="Sim",IF(CO134="Sim",IF(CP134&lt;Geometria!$L$1405/100,Geometria!$L$1435,Geometria!$L$1476),IF(CP134&lt;Geometria!$L$1409/100,Geometria!$L$1442,Geometria!$L$1460)),IF(CO134="Sim",IF(CP134&lt;Geometria!$L$1405/100,Geometria!$L$1444,Geometria!$L$1462),Geometria!$L$298)))*CV134+Geometria!$P$1429*CV111</f>
        <v>1243.5596228306003</v>
      </c>
      <c r="DA134" s="373">
        <f ca="1">(IF(CQ134="Sim",IF(CO134="Sim",IF(CP134&lt;Geometria!$L$1405/100,Geometria!$L$1435,Geometria!$L$1476),IF(CP134&lt;Geometria!$L$1409/100,Geometria!$L$1442,Geometria!$L$1460)),IF(CO134="Sim",IF(CP134&lt;Geometria!$L$1405/100,Geometria!$L$1444,Geometria!$L$1462),Geometria!$L$298)))*CV134*(IF(CQ134="Sim",IF(CO134="Sim",IF(CP134&lt;Geometria!$L$1405/100,Geometria!$L$1436,Geometria!$L$1484),IF(CP134&lt;Geometria!$L$1409/100,Geometria!$L$1443,Geometria!$L$1461)),IF(CO134="Sim",IF(CP134&lt;Geometria!$L$1405/100,Geometria!$L$1445,Geometria!$L$1463),Geometria!$L$299)))/100-Geometria!$P$1429*CV111*Geometria!$L$1438/100</f>
        <v>233.16742928073757</v>
      </c>
      <c r="DB134" s="365"/>
      <c r="DC134" s="371">
        <f ca="1">(IF(CQ134="Sim",IF(CO134="Sim",$E$93,EX134),IF(CO134="Sim",EZ134,Geometria!$L$906)))</f>
        <v>1475.413282676191</v>
      </c>
      <c r="DD134" s="371">
        <f ca="1">(IF(CQ134="Sim",IF(CO134="Sim",$E$94,EY134),IF(CO134="Sim",FA134,Geometria!$L$907)))</f>
        <v>276.63999050178586</v>
      </c>
      <c r="DF134" s="4" t="s">
        <v>439</v>
      </c>
      <c r="DG134" s="202">
        <f t="shared" ca="1" si="44"/>
        <v>-2910.556345309237</v>
      </c>
      <c r="DH134" s="38" t="s">
        <v>234</v>
      </c>
      <c r="DI134" s="203">
        <f t="shared" ca="1" si="35"/>
        <v>-2.910556345309237</v>
      </c>
      <c r="DJ134" s="38" t="s">
        <v>160</v>
      </c>
      <c r="DK134" s="399">
        <f t="shared" si="45"/>
        <v>0.0</v>
      </c>
      <c r="EA134">
        <f ca="1">-L134/('Aberturas na Alma'!$M$112/100^2)-M134/('Aberturas na Alma'!$M$120/100^3)+Geometria!$L$898/('Aberturas na Alma'!$M$120/100^3)</f>
        <v>-81158.33532315097</v>
      </c>
      <c r="EB134">
        <f ca="1">-(IF(C134="Sim",IF(A134="Sim",$E$93,EX134),IF(A134="Sim",EZ134,Geometria!$L$906)))/('Aberturas na Alma'!$M$112/100^2)-(IF(C134="Sim",IF(A134="Sim",$E$94,EY134),IF(A134="Sim",FA134,Geometria!$L$907)))/('Aberturas na Alma'!$M$120/100^3)+Geometria!$M$901/('Aberturas na Alma'!$M$120/100^3)</f>
        <v>-23990.36963746818</v>
      </c>
      <c r="EC134">
        <f ca="1">IF(AND('Aberturas na Alma'!$M$18="NÃO DISPENSADO — furo deve ser verificado (cálculo abaixo)",OR(AND(B134&gt;=('Aberturas na Alma'!$M$4-'Aberturas na Alma'!$M$7/2)/100,B134&lt;=('Aberturas na Alma'!$M$4+'Aberturas na Alma'!$M$7/2)/100),ABS(B134-'Aberturas na Alma'!$M$4/100)&lt;=Geometria!$L$29/4000)),IF(E134="Reduzir",EA134,EB134),F134)</f>
        <v>-21286.880122605835</v>
      </c>
      <c r="ED134">
        <f ca="1">-(AI134/('Aberturas na Alma'!$M$112/100^2))-(AJ134/('Aberturas na Alma'!$M$120/100^3))+((Geometria!$M$419)/('Aberturas na Alma'!$M$120/100^3))+((Geometria!$M$430)/('Aberturas na Alma'!$M$120/100^3))+((Geometria!$L$76*Geometria!$M$441)/('Aberturas na Alma'!$M$120/100^3))</f>
        <v>33772.19399290102</v>
      </c>
      <c r="EE134">
        <f ca="1">-((IF(Z134="Sim",IF(X134="Sim",$AB$93,ER134),IF(X134="Sim",ET134,Geometria!$L$373)))/('Aberturas na Alma'!$M$112/100^2))-((IF(Z134="Sim",IF(X134="Sim",$AB$94,ES134),IF(X134="Sim",EU134,Geometria!$L$374)))/('Aberturas na Alma'!$M$120/100^3))+((Geometria!$M$419)/('Aberturas na Alma'!$M$120/100^3))+((Geometria!$M$430)/('Aberturas na Alma'!$M$120/100^3))+((Geometria!$L$76*Geometria!$M$441)/('Aberturas na Alma'!$M$120/100^3))</f>
        <v>33772.19399290102</v>
      </c>
      <c r="EF134" s="371">
        <f ca="1">IF(AND('Aberturas na Alma'!$M$18="NÃO DISPENSADO — furo deve ser verificado (cálculo abaixo)",OR(AND(B134&gt;=('Aberturas na Alma'!$M$4-'Aberturas na Alma'!$M$7/2)/100,B134&lt;=('Aberturas na Alma'!$M$4+'Aberturas na Alma'!$M$7/2)/100),ABS(B134-'Aberturas na Alma'!$M$4/100)&lt;=Geometria!$L$29/4000)),IF(AB134="Reduzir",ED134,EE134),AC134)</f>
        <v>10420.875982643945</v>
      </c>
      <c r="EG134">
        <f ca="1">-(BF134/('Aberturas na Alma'!$M$112/100^2))-(BG134/('Aberturas na Alma'!$M$120/100^3))+((Geometria!$M$419)/('Aberturas na Alma'!$M$120/100^3))+((Geometria!$M$430)/('Aberturas na Alma'!$M$120/100^3))+((Geometria!$L$76*Geometria!$M$441)/('Aberturas na Alma'!$M$120/100^3))</f>
        <v>33772.19399290102</v>
      </c>
      <c r="EH134">
        <f ca="1">-((IF(AW134="Sim",IF(AU134="Sim",$AB$93,ER134),IF(AU134="Sim",ET134,Geometria!$L$373)))/('Aberturas na Alma'!$M$112/100^2))-((IF(AW134="Sim",IF(AU134="Sim",$AB$94,ES134),IF(AU134="Sim",EU134,Geometria!$L$374)))/('Aberturas na Alma'!$M$120/100^3))+((Geometria!$M$419)/('Aberturas na Alma'!$M$120/100^3))+((Geometria!$M$430)/('Aberturas na Alma'!$M$120/100^3))</f>
        <v>-3616.460543748893</v>
      </c>
      <c r="EI134" s="371">
        <f ca="1">IF(AND('Aberturas na Alma'!$M$18="NÃO DISPENSADO — furo deve ser verificado (cálculo abaixo)",OR(AND(B134&gt;=('Aberturas na Alma'!$M$4-'Aberturas na Alma'!$M$7/2)/100,B134&lt;=('Aberturas na Alma'!$M$4+'Aberturas na Alma'!$M$7/2)/100),ABS(B134-'Aberturas na Alma'!$M$4/100)&lt;=Geometria!$L$29/4000)),IF(AY134="Reduzir",EG134,EH134),AZ134)</f>
        <v>-2910.556345309237</v>
      </c>
      <c r="EJ134">
        <f ca="1">-(CC134/('Aberturas na Alma'!$M$112/100^2))-(CD134/('Aberturas na Alma'!$M$120/100^3))+((Geometria!$M$419)/('Aberturas na Alma'!$M$120/100^3))+((Geometria!$M$430)/('Aberturas na Alma'!$M$120/100^3))+((Geometria!$L$76*Geometria!$M$441)/('Aberturas na Alma'!$M$120/100^3))</f>
        <v>33772.19399290102</v>
      </c>
      <c r="EK134">
        <f ca="1">-((IF(BT134="Sim",IF(BR134="Sim",$AB$93,ER134),IF(BR134="Sim",ET134,Geometria!$L$373)))/('Aberturas na Alma'!$M$112/100^2))-((IF(BT134="Sim",IF(BR134="Sim",$AB$94,ES134),IF(BR134="Sim",EU134,Geometria!$L$374)))/('Aberturas na Alma'!$M$120/100^3))+((Geometria!$M$676)/('Aberturas na Alma'!$M$120/100^3))+((Geometria!$M$687)/('Aberturas na Alma'!$M$120/100^3))+((Geometria!$L$77*Geometria!$M$698)/('Aberturas na Alma'!$M$120/100^3))</f>
        <v>21309.309147351047</v>
      </c>
      <c r="EL134" s="371">
        <f ca="1">IF(AND('Aberturas na Alma'!$M$18="NÃO DISPENSADO — furo deve ser verificado (cálculo abaixo)",OR(AND(B134&gt;=('Aberturas na Alma'!$M$4-'Aberturas na Alma'!$M$7/2)/100,B134&lt;=('Aberturas na Alma'!$M$4+'Aberturas na Alma'!$M$7/2)/100),ABS(B134-'Aberturas na Alma'!$M$4/100)&lt;=Geometria!$L$29/4000)),IF(BV134="Reduzir",EJ134,EK134),BW134)</f>
        <v>5977.065206659552</v>
      </c>
      <c r="EM134">
        <f ca="1">-(CZ134/('Aberturas na Alma'!$M$112/100^2))-(DA134/('Aberturas na Alma'!$M$120/100^3))+((Geometria!$M$419)/('Aberturas na Alma'!$M$120/100^3))+((Geometria!$M$430)/('Aberturas na Alma'!$M$120/100^3))+((Geometria!$L$76*Geometria!$M$441)/('Aberturas na Alma'!$M$120/100^3))</f>
        <v>33772.19399290102</v>
      </c>
      <c r="EN134">
        <f ca="1">-((IF(CQ134="Sim",IF(CO134="Sim",$AB$93,ER134),IF(CO134="Sim",ET134,Geometria!$L$373)))/('Aberturas na Alma'!$M$112/100^2))-((IF(CQ134="Sim",IF(CO134="Sim",$AB$94,ES134),IF(CO134="Sim",EU134,Geometria!$L$374)))/('Aberturas na Alma'!$M$120/100^3))+((Geometria!$M$676)/('Aberturas na Alma'!$M$120/100^3))+((Geometria!$M$687)/('Aberturas na Alma'!$M$120/100^3))</f>
        <v>-3616.460543748893</v>
      </c>
      <c r="EO134" s="371">
        <f ca="1">IF(AND('Aberturas na Alma'!$M$18="NÃO DISPENSADO — furo deve ser verificado (cálculo abaixo)",OR(AND(B134&gt;=('Aberturas na Alma'!$M$4-'Aberturas na Alma'!$M$7/2)/100,B134&lt;=('Aberturas na Alma'!$M$4+'Aberturas na Alma'!$M$7/2)/100),ABS(B134-'Aberturas na Alma'!$M$4/100)&lt;=Geometria!$L$29/4000)),IF(CS134="Reduzir",EM134,EN134),CT134)</f>
        <v>-2910.556345309237</v>
      </c>
      <c r="EP134" t="str">
        <f>IF(AND(Y134&lt;Geometria!$L$1409/100,OR(Geometria!$K$1409&gt;0,Geometria!$K$1407&gt;0)),"ESQ",IF(AND((Geometria!$L$29/100-Y134)&lt;Geometria!$R$1409/100,OR(Geometria!$Q$1409&gt;0,Geometria!$Q$1407&gt;0)),"DIR","N/A"))</f>
        <v>N/A</v>
      </c>
      <c r="EQ134" t="str">
        <f>IF(AND(Y134&lt;Geometria!$L$1405/100,Geometria!$K$1405&gt;0),"ESQ",IF(AND((Geometria!$L$29/100-Y134)&lt;Geometria!$R$1405/100,Geometria!$Q$1405&gt;0),"DIR","N/A"))</f>
        <v>N/A</v>
      </c>
      <c r="ER134">
        <f ca="1">IF(EP134="DIR",Geometria!$L$1470,Geometria!$L$1452)</f>
        <v>1243.5596228306003</v>
      </c>
      <c r="ES134">
        <f ca="1">IF(EP134="DIR",Geometria!$L$1471,Geometria!$L$1453)</f>
        <v>233.16742928073757</v>
      </c>
      <c r="ET134">
        <f ca="1">IF(EQ134="DIR",Geometria!$L$1472,Geometria!$L$1454)</f>
        <v>621.7798114153002</v>
      </c>
      <c r="EU134">
        <f ca="1">IF(EQ134="DIR",Geometria!$L$1473,Geometria!$L$1455)</f>
        <v>177.20724625336052</v>
      </c>
      <c r="EV134" t="str">
        <f>IF(AND(B134&lt;Geometria!$L$1409/100,OR(Geometria!$K$1409&gt;0,Geometria!$K$1407&gt;0)),"ESQ",IF(AND((Geometria!$L$29/100-B134)&lt;Geometria!$R$1409/100,OR(Geometria!$Q$1409&gt;0,Geometria!$Q$1407&gt;0)),"DIR","N/A"))</f>
        <v>N/A</v>
      </c>
      <c r="EW134" t="str">
        <f>IF(AND(B134&lt;Geometria!$L$1405/100,Geometria!$K$1405&gt;0),"ESQ",IF(AND((Geometria!$L$29/100-B134)&lt;Geometria!$R$1405/100,Geometria!$Q$1405&gt;0),"DIR","N/A"))</f>
        <v>N/A</v>
      </c>
      <c r="EX134">
        <f ca="1">IF(EV134="DIR",Geometria!$L$1465,Geometria!$L$1447)</f>
        <v>1499.8056003831216</v>
      </c>
      <c r="EY134">
        <f ca="1">IF(EV134="DIR",Geometria!$L$1466,Geometria!$L$1448)</f>
        <v>281.2135500718353</v>
      </c>
      <c r="EZ134">
        <f ca="1">IF(EW134="DIR",Geometria!$L$1467,Geometria!$L$1449)</f>
        <v>749.9028001915608</v>
      </c>
      <c r="FA134">
        <f ca="1">IF(EW134="DIR",Geometria!$L$1468,Geometria!$L$1450)</f>
        <v>213.72229805459483</v>
      </c>
    </row>
    <row r="135" spans="1:157" x14ac:dyDescent="0.25">
      <c r="A135" s="376" t="str">
        <f>IF(OR(AND(B135&lt;Geometria!$L$1405/100,Geometria!$K$1405&gt;0),AND((Geometria!$L$29/100-B135)&lt;Geometria!$R$1405/100,Geometria!$Q$1405&gt;0)),"Sim","Não")</f>
        <v>Não</v>
      </c>
      <c r="B135" s="395">
        <f t="shared" si="21"/>
        <v>4.3175</v>
      </c>
      <c r="C135" s="376" t="str">
        <f>IF(OR(AND(B135&lt;Geometria!$L$1409/100,OR(Geometria!$K$1409&gt;0,Geometria!$K$1407&gt;0)),AND((Geometria!$L$29/100-B135)&lt;Geometria!$R$1409/100,OR(Geometria!$Q$1409&gt;0,Geometria!$Q$1407&gt;0))),"Sim","Não")</f>
        <v>Não</v>
      </c>
      <c r="D135" s="122" t="s">
        <v>440</v>
      </c>
      <c r="E135" s="198" t="str">
        <f ca="1">E133</f>
        <v>OK</v>
      </c>
      <c r="F135" s="396">
        <f t="shared" ca="1" si="22"/>
        <v>-21309.667609585</v>
      </c>
      <c r="G135" s="397">
        <f ca="1">-L135/(Geometria!$L$48/100^2)-M135/(Geometria!$L$53/100^3)+Geometria!$L$898/(Geometria!$L$53/100^3)</f>
        <v>-65453.71315328227</v>
      </c>
      <c r="H135" s="400">
        <f ca="1">H133</f>
        <v>368.3106078589925</v>
      </c>
      <c r="I135" s="743">
        <f ca="1">-(Geometria!$L$906-(Geometria!$L$906-EX135)*(1-(MIN(MIN(1,MAX(0,(B135-Geometria!$L$1409/100)/(Geometria!$N$1307/100))),MIN(1,MAX(0,((Geometria!$L$29/100-B135)-Geometria!$R$1409/100)/(Geometria!$N$1307/100))))))*(IF(OR(Geometria!$K$1409&gt;0,Geometria!$K$1407&gt;0,Geometria!$Q$1409&gt;0,Geometria!$Q$1407&gt;0),1,0))-(Geometria!$L$906-EZ135)*(1-(MIN(MIN(1,MAX(0,(B135-Geometria!$L$1405/100)/(Geometria!$N$1307/100))),MIN(1,MAX(0,((Geometria!$L$29/100-B135)-Geometria!$R$1405/100)/(Geometria!$N$1307/100))))))*(IF(OR(Geometria!$K$1405&gt;0,Geometria!$K$1403&gt;0,Geometria!$Q$1405&gt;0,Geometria!$Q$1403&gt;0),1,0)))/(Geometria!$L$48/100^2)-(Geometria!$L$907-(Geometria!$L$907-EY135)*(1-(MIN(MIN(1,MAX(0,(B135-Geometria!$L$1409/100)/(Geometria!$N$1307/100))),MIN(1,MAX(0,((Geometria!$L$29/100-B135)-Geometria!$R$1409/100)/(Geometria!$N$1307/100))))))*(IF(OR(Geometria!$K$1409&gt;0,Geometria!$K$1407&gt;0,Geometria!$Q$1409&gt;0,Geometria!$Q$1407&gt;0),1,0))-(Geometria!$L$907-FA135)*(1-(MIN(MIN(1,MAX(0,(B135-Geometria!$L$1405/100)/(Geometria!$N$1307/100))),MIN(1,MAX(0,((Geometria!$L$29/100-B135)-Geometria!$R$1405/100)/(Geometria!$N$1307/100))))))*(IF(OR(Geometria!$K$1405&gt;0,Geometria!$K$1403&gt;0,Geometria!$Q$1405&gt;0,Geometria!$Q$1403&gt;0),1,0)))/(Geometria!$L$53/100^3)+Geometria!$N$901/(Geometria!$L$53/100^3)</f>
        <v>-21309.667609585</v>
      </c>
      <c r="J135" s="743"/>
      <c r="L135" s="373">
        <f ca="1">(Geometria!$L$298-(Geometria!$L$298-IF(B135&lt;Geometria!$L$1409/100,Geometria!$L$1442,Geometria!$L$1460))*(1-(MIN(MIN(1,MAX(0,(B135-Geometria!$L$1409/100)/(Geometria!$N$1307/100))),MIN(1,MAX(0,((Geometria!$L$29/100-B135)-Geometria!$R$1409/100)/(Geometria!$N$1307/100))))))*(IF(OR(Geometria!$K$1409&gt;0,Geometria!$K$1407&gt;0,Geometria!$Q$1409&gt;0,Geometria!$Q$1407&gt;0),1,0))-(Geometria!$L$298-IF(B135&lt;Geometria!$L$1405/100,Geometria!$L$1444,Geometria!$L$1462))*(1-(MIN(MIN(1,MAX(0,(B135-Geometria!$L$1405/100)/(Geometria!$N$1307/100))),MIN(1,MAX(0,((Geometria!$L$29/100-B135)-Geometria!$R$1405/100)/(Geometria!$N$1307/100))))))*(IF(OR(Geometria!$K$1405&gt;0,Geometria!$K$1403&gt;0,Geometria!$Q$1405&gt;0,Geometria!$Q$1403&gt;0),1,0)))*H135+Geometria!$P$1429*H112</f>
        <v>4125.078808020716</v>
      </c>
      <c r="M135" s="373">
        <f ca="1">(Geometria!$L$298-(Geometria!$L$298-IF(B135&lt;Geometria!$L$1409/100,Geometria!$L$1442,Geometria!$L$1460))*(1-(MIN(MIN(1,MAX(0,(B135-Geometria!$L$1409/100)/(Geometria!$N$1307/100))),MIN(1,MAX(0,((Geometria!$L$29/100-B135)-Geometria!$R$1409/100)/(Geometria!$N$1307/100))))))*(IF(OR(Geometria!$K$1409&gt;0,Geometria!$K$1407&gt;0,Geometria!$Q$1409&gt;0,Geometria!$Q$1407&gt;0),1,0))-(Geometria!$L$298-IF(B135&lt;Geometria!$L$1405/100,Geometria!$L$1444,Geometria!$L$1462))*(1-(MIN(MIN(1,MAX(0,(B135-Geometria!$L$1405/100)/(Geometria!$N$1307/100))),MIN(1,MAX(0,((Geometria!$L$29/100-B135)-Geometria!$R$1405/100)/(Geometria!$N$1307/100))))))*(IF(OR(Geometria!$K$1405&gt;0,Geometria!$K$1403&gt;0,Geometria!$Q$1405&gt;0,Geometria!$Q$1403&gt;0),1,0)))*H135*(Geometria!$L$299-(Geometria!$L$299-IF(B135&lt;Geometria!$L$1409/100,Geometria!$L$1443,Geometria!$L$1461))*(1-(MIN(MIN(1,MAX(0,(B135-Geometria!$L$1409/100)/(Geometria!$N$1307/100))),MIN(1,MAX(0,((Geometria!$L$29/100-B135)-Geometria!$R$1409/100)/(Geometria!$N$1307/100))))))*(IF(OR(Geometria!$K$1409&gt;0,Geometria!$K$1407&gt;0,Geometria!$Q$1409&gt;0,Geometria!$Q$1407&gt;0),1,0))-(Geometria!$L$299-IF(B135&lt;Geometria!$L$1405/100,Geometria!$L$1445,Geometria!$L$1463))*(1-(MIN(MIN(1,MAX(0,(B135-Geometria!$L$1405/100)/(Geometria!$N$1307/100))),MIN(1,MAX(0,((Geometria!$L$29/100-B135)-Geometria!$R$1405/100)/(Geometria!$N$1307/100))))))*(IF(OR(Geometria!$K$1405&gt;0,Geometria!$K$1403&gt;0,Geometria!$Q$1405&gt;0,Geometria!$Q$1403&gt;0),1,0)))/100-Geometria!$P$1429*H112*Geometria!$L$1438/100</f>
        <v>773.4522765038841</v>
      </c>
      <c r="N135" s="365"/>
      <c r="O135" s="371">
        <f ca="1">(IF(C135="Sim",IF(A135="Sim",$E$93,EX135),IF(A135="Sim",EZ135,Geometria!$L$906)))</f>
        <v>1475.413282676191</v>
      </c>
      <c r="P135" s="371">
        <f ca="1">(IF(C135="Sim",IF(A135="Sim",$E$94,EY135),IF(A135="Sim",FA135,Geometria!$L$907)))</f>
        <v>276.63999050178586</v>
      </c>
      <c r="R135" s="4" t="s">
        <v>440</v>
      </c>
      <c r="S135" s="202">
        <f t="shared" ca="1" si="36"/>
        <v>-21309.667609585</v>
      </c>
      <c r="T135" s="38" t="s">
        <v>234</v>
      </c>
      <c r="U135" s="203">
        <f t="shared" ca="1" si="23"/>
        <v>-21.309667609585002</v>
      </c>
      <c r="V135" s="38" t="s">
        <v>160</v>
      </c>
      <c r="W135" s="399">
        <f t="shared" si="37"/>
        <v>0.0</v>
      </c>
      <c r="X135" s="376" t="str">
        <f>IF(OR(AND(Y135&lt;Geometria!$L$1405/100,Geometria!$K$1405&gt;0),AND((Geometria!$L$29/100-Y135)&lt;Geometria!$R$1405/100,Geometria!$Q$1405&gt;0)),"Sim","Não")</f>
        <v>Não</v>
      </c>
      <c r="Y135" s="395">
        <f t="shared" si="24"/>
        <v>4.3175</v>
      </c>
      <c r="Z135" s="376" t="str">
        <f>IF(OR(AND(Y135&lt;Geometria!$L$1409/100,OR(Geometria!$K$1409&gt;0,Geometria!$K$1407&gt;0)),AND((Geometria!$L$29/100-Y135)&lt;Geometria!$R$1409/100,OR(Geometria!$Q$1409&gt;0,Geometria!$Q$1407&gt;0))),"Sim","Não")</f>
        <v>Não</v>
      </c>
      <c r="AA135" s="122" t="s">
        <v>440</v>
      </c>
      <c r="AB135" s="198" t="str">
        <f ca="1">AB133</f>
        <v>OK</v>
      </c>
      <c r="AC135" s="401">
        <f t="shared" ca="1" si="25"/>
        <v>10118.043116393175</v>
      </c>
      <c r="AD135" s="403">
        <f ca="1">-(AI135/(Geometria!$L$48/100^2))-(AJ135/(Geometria!$L$53/100^3))+((Geometria!$N$419)/(Geometria!$L$53/100^3))+((Geometria!$N$430)/(Geometria!$M$53/100^3))+((Geometria!$L$76*Geometria!$N$441)/(Geometria!$M$53/100^3))</f>
        <v>10118.043116393175</v>
      </c>
      <c r="AE135" s="400">
        <f ca="1">AE133</f>
        <v>111.03210918130361</v>
      </c>
      <c r="AF135" s="751">
        <f ca="1">-((Geometria!$L$373-(Geometria!$L$373-ER135)*(1-(MIN(MIN(1,MAX(0,(Y135-Geometria!$L$1409/100)/(Geometria!$N$1307/100))),MIN(1,MAX(0,((Geometria!$L$29/100-Y135)-Geometria!$R$1409/100)/(Geometria!$N$1307/100))))))*(IF(OR(Geometria!$K$1409&gt;0,Geometria!$K$1407&gt;0,Geometria!$Q$1409&gt;0,Geometria!$Q$1407&gt;0),1,0))-(Geometria!$L$373-ET135)*(1-(MIN(MIN(1,MAX(0,(Y135-Geometria!$L$1405/100)/(Geometria!$N$1307/100))),MIN(1,MAX(0,((Geometria!$L$29/100-Y135)-Geometria!$R$1405/100)/(Geometria!$N$1307/100))))))*(IF(OR(Geometria!$K$1405&gt;0,Geometria!$K$1403&gt;0,Geometria!$Q$1405&gt;0,Geometria!$Q$1403&gt;0),1,0))))/(Geometria!$L$48/100^2)-((Geometria!$L$374-(Geometria!$L$374-ES135)*(1-(MIN(MIN(1,MAX(0,(Y135-Geometria!$L$1409/100)/(Geometria!$N$1307/100))),MIN(1,MAX(0,((Geometria!$L$29/100-Y135)-Geometria!$R$1409/100)/(Geometria!$N$1307/100))))))*(IF(OR(Geometria!$K$1409&gt;0,Geometria!$K$1407&gt;0,Geometria!$Q$1409&gt;0,Geometria!$Q$1407&gt;0),1,0))-(Geometria!$L$374-EU135)*(1-(MIN(MIN(1,MAX(0,(Y135-Geometria!$L$1405/100)/(Geometria!$N$1307/100))),MIN(1,MAX(0,((Geometria!$L$29/100-Y135)-Geometria!$R$1405/100)/(Geometria!$N$1307/100))))))*(IF(OR(Geometria!$K$1405&gt;0,Geometria!$K$1403&gt;0,Geometria!$Q$1405&gt;0,Geometria!$Q$1403&gt;0),1,0))))/(Geometria!$L$53/100^3)+((Geometria!$N$419)/(Geometria!$L$53/100^3))+((Geometria!$N$430)/(Geometria!$M$53/100^3))+((Geometria!$L$76*Geometria!$N$441)/(Geometria!$M$53/100^3))</f>
        <v>10118.043116393175</v>
      </c>
      <c r="AG135" s="751"/>
      <c r="AI135" s="373">
        <f ca="1">(IF(Z135="Sim",IF(X135="Sim",IF(Y135&lt;Geometria!$L$1405/100,Geometria!$L$1435,Geometria!$L$1476),IF(Y135&lt;Geometria!$L$1409/100,Geometria!$L$1442,Geometria!$L$1460)),IF(X135="Sim",IF(Y135&lt;Geometria!$L$1405/100,Geometria!$L$1444,Geometria!$L$1462),Geometria!$L$298)))*AE135+Geometria!$P$1429*AE112</f>
        <v>1243.5596228306003</v>
      </c>
      <c r="AJ135" s="373">
        <f ca="1">(IF(Z135="Sim",IF(X135="Sim",IF(Y135&lt;Geometria!$L$1405/100,Geometria!$L$1435,Geometria!$L$1476),IF(Y135&lt;Geometria!$L$1409/100,Geometria!$L$1442,Geometria!$L$1460)),IF(X135="Sim",IF(Y135&lt;Geometria!$L$1405/100,Geometria!$L$1444,Geometria!$L$1462),Geometria!$L$298)))*AE135*(IF(Z135="Sim",IF(X135="Sim",IF(Y135&lt;Geometria!$L$1405/100,Geometria!$L$1436,Geometria!$L$1484),IF(Y135&lt;Geometria!$L$1409/100,Geometria!$L$1443,Geometria!$L$1461)),IF(X135="Sim",IF(Y135&lt;Geometria!$L$1405/100,Geometria!$L$1445,Geometria!$L$1463),Geometria!$L$299)))/100-Geometria!$P$1429*AE112*Geometria!$L$1438/100</f>
        <v>233.16742928073757</v>
      </c>
      <c r="AK135" s="365"/>
      <c r="AL135" s="371">
        <f ca="1">(IF(Z135="Sim",IF(X135="Sim",$E$93,EX135),IF(X135="Sim",EZ135,Geometria!$L$906)))</f>
        <v>1475.413282676191</v>
      </c>
      <c r="AM135" s="371">
        <f ca="1">(IF(Z135="Sim",IF(X135="Sim",$E$94,EY135),IF(X135="Sim",FA135,Geometria!$L$907)))</f>
        <v>276.63999050178586</v>
      </c>
      <c r="AO135" s="4" t="s">
        <v>440</v>
      </c>
      <c r="AP135" s="202">
        <f t="shared" ca="1" si="38"/>
        <v>10118.043116393175</v>
      </c>
      <c r="AQ135" s="38" t="s">
        <v>234</v>
      </c>
      <c r="AR135" s="203">
        <f t="shared" ca="1" si="26"/>
        <v>10.118043116393176</v>
      </c>
      <c r="AS135" s="38" t="s">
        <v>160</v>
      </c>
      <c r="AT135" s="399">
        <f t="shared" si="39"/>
        <v>0.0</v>
      </c>
      <c r="AU135" s="376" t="str">
        <f>IF(OR(AND(AV135&lt;Geometria!$L$1405/100,Geometria!$K$1405&gt;0),AND((Geometria!$L$29/100-AV135)&lt;Geometria!$R$1405/100,Geometria!$Q$1405&gt;0)),"Sim","Não")</f>
        <v>Não</v>
      </c>
      <c r="AV135" s="395">
        <f t="shared" si="27"/>
        <v>4.3175</v>
      </c>
      <c r="AW135" s="376" t="str">
        <f>IF(OR(AND(AV135&lt;Geometria!$L$1409/100,OR(Geometria!$K$1409&gt;0,Geometria!$K$1407&gt;0)),AND((Geometria!$L$29/100-AV135)&lt;Geometria!$R$1409/100,OR(Geometria!$Q$1409&gt;0,Geometria!$Q$1407&gt;0))),"Sim","Não")</f>
        <v>Não</v>
      </c>
      <c r="AX135" s="122" t="s">
        <v>440</v>
      </c>
      <c r="AY135" s="198" t="str">
        <f ca="1">AY133</f>
        <v>OK</v>
      </c>
      <c r="AZ135" s="401">
        <f t="shared" ca="1" si="28"/>
        <v>-3080.0748882804755</v>
      </c>
      <c r="BA135" s="403">
        <f ca="1">-(BF135/(Geometria!$L$48/100^2))-(BG135/(Geometria!$L$53/100^3))+((Geometria!$N$419)/(Geometria!$L$53/100^3))+((Geometria!$N$430)/(Geometria!$M$53/100^3))+((Geometria!$L$76*Geometria!$N$441)/(Geometria!$M$53/100^3))</f>
        <v>10118.043116393175</v>
      </c>
      <c r="BB135" s="400">
        <f ca="1">BB133</f>
        <v>111.03210918130361</v>
      </c>
      <c r="BC135" s="751">
        <f ca="1">-((Geometria!$L$373-(Geometria!$L$373-ER135)*(1-(MIN(MIN(1,MAX(0,(AV135-Geometria!$L$1409/100)/(Geometria!$N$1307/100))),MIN(1,MAX(0,((Geometria!$L$29/100-AV135)-Geometria!$R$1409/100)/(Geometria!$N$1307/100))))))*(IF(OR(Geometria!$K$1409&gt;0,Geometria!$K$1407&gt;0,Geometria!$Q$1409&gt;0,Geometria!$Q$1407&gt;0),1,0))-(Geometria!$L$373-ET135)*(1-(MIN(MIN(1,MAX(0,(AV135-Geometria!$L$1405/100)/(Geometria!$N$1307/100))),MIN(1,MAX(0,((Geometria!$L$29/100-AV135)-Geometria!$R$1405/100)/(Geometria!$N$1307/100))))))*(IF(OR(Geometria!$K$1405&gt;0,Geometria!$K$1403&gt;0,Geometria!$Q$1405&gt;0,Geometria!$Q$1403&gt;0),1,0))))/(Geometria!$L$48/100^2)-((Geometria!$L$374-(Geometria!$L$374-ES135)*(1-(MIN(MIN(1,MAX(0,(AV135-Geometria!$L$1409/100)/(Geometria!$N$1307/100))),MIN(1,MAX(0,((Geometria!$L$29/100-AV135)-Geometria!$R$1409/100)/(Geometria!$N$1307/100))))))*(IF(OR(Geometria!$K$1409&gt;0,Geometria!$K$1407&gt;0,Geometria!$Q$1409&gt;0,Geometria!$Q$1407&gt;0),1,0))-(Geometria!$L$374-EU135)*(1-(MIN(MIN(1,MAX(0,(AV135-Geometria!$L$1405/100)/(Geometria!$N$1307/100))),MIN(1,MAX(0,((Geometria!$L$29/100-AV135)-Geometria!$R$1405/100)/(Geometria!$N$1307/100))))))*(IF(OR(Geometria!$K$1405&gt;0,Geometria!$K$1403&gt;0,Geometria!$Q$1405&gt;0,Geometria!$Q$1403&gt;0),1,0))))/(Geometria!$L$53/100^3)+((Geometria!$N$419)/(Geometria!$L$53/100^3))+((Geometria!$N$430)/(Geometria!$M$53/100^3))</f>
        <v>-3080.0748882804755</v>
      </c>
      <c r="BD135" s="751"/>
      <c r="BF135" s="373">
        <f ca="1">(Geometria!$L$298-(Geometria!$L$298-IF(AV135&lt;Geometria!$L$1409/100,Geometria!$L$1442,Geometria!$L$1460))*(1-(MIN(MIN(1,MAX(0,(AV135-Geometria!$L$1409/100)/(Geometria!$N$1307/100))),MIN(1,MAX(0,((Geometria!$L$29/100-AV135)-Geometria!$R$1409/100)/(Geometria!$N$1307/100))))))*(IF(OR(Geometria!$K$1409&gt;0,Geometria!$K$1407&gt;0,Geometria!$Q$1409&gt;0,Geometria!$Q$1407&gt;0),1,0))-(Geometria!$L$298-IF(AV135&lt;Geometria!$L$1405/100,Geometria!$L$1444,Geometria!$L$1462))*(1-(MIN(MIN(1,MAX(0,(AV135-Geometria!$L$1405/100)/(Geometria!$N$1307/100))),MIN(1,MAX(0,((Geometria!$L$29/100-AV135)-Geometria!$R$1405/100)/(Geometria!$N$1307/100))))))*(IF(OR(Geometria!$K$1405&gt;0,Geometria!$K$1403&gt;0,Geometria!$Q$1405&gt;0,Geometria!$Q$1403&gt;0),1,0)))*BB135+Geometria!$P$1429*BB112</f>
        <v>1243.5596228306003</v>
      </c>
      <c r="BG135" s="373">
        <f ca="1">(Geometria!$L$298-(Geometria!$L$298-IF(AV135&lt;Geometria!$L$1409/100,Geometria!$L$1442,Geometria!$L$1460))*(1-(MIN(MIN(1,MAX(0,(AV135-Geometria!$L$1409/100)/(Geometria!$N$1307/100))),MIN(1,MAX(0,((Geometria!$L$29/100-AV135)-Geometria!$R$1409/100)/(Geometria!$N$1307/100))))))*(IF(OR(Geometria!$K$1409&gt;0,Geometria!$K$1407&gt;0,Geometria!$Q$1409&gt;0,Geometria!$Q$1407&gt;0),1,0))-(Geometria!$L$298-IF(AV135&lt;Geometria!$L$1405/100,Geometria!$L$1444,Geometria!$L$1462))*(1-(MIN(MIN(1,MAX(0,(AV135-Geometria!$L$1405/100)/(Geometria!$N$1307/100))),MIN(1,MAX(0,((Geometria!$L$29/100-AV135)-Geometria!$R$1405/100)/(Geometria!$N$1307/100))))))*(IF(OR(Geometria!$K$1405&gt;0,Geometria!$K$1403&gt;0,Geometria!$Q$1405&gt;0,Geometria!$Q$1403&gt;0),1,0)))*BB135*(Geometria!$L$299-(Geometria!$L$299-IF(AV135&lt;Geometria!$L$1409/100,Geometria!$L$1443,Geometria!$L$1461))*(1-(MIN(MIN(1,MAX(0,(AV135-Geometria!$L$1409/100)/(Geometria!$N$1307/100))),MIN(1,MAX(0,((Geometria!$L$29/100-AV135)-Geometria!$R$1409/100)/(Geometria!$N$1307/100))))))*(IF(OR(Geometria!$K$1409&gt;0,Geometria!$K$1407&gt;0,Geometria!$Q$1409&gt;0,Geometria!$Q$1407&gt;0),1,0))-(Geometria!$L$299-IF(AV135&lt;Geometria!$L$1405/100,Geometria!$L$1445,Geometria!$L$1463))*(1-(MIN(MIN(1,MAX(0,(AV135-Geometria!$L$1405/100)/(Geometria!$N$1307/100))),MIN(1,MAX(0,((Geometria!$L$29/100-AV135)-Geometria!$R$1405/100)/(Geometria!$N$1307/100))))))*(IF(OR(Geometria!$K$1405&gt;0,Geometria!$K$1403&gt;0,Geometria!$Q$1405&gt;0,Geometria!$Q$1403&gt;0),1,0)))/100-Geometria!$P$1429*BB112*Geometria!$L$1438/100</f>
        <v>233.16742928073757</v>
      </c>
      <c r="BH135" s="365"/>
      <c r="BI135" s="371">
        <f ca="1">(IF(AW135="Sim",IF(AU135="Sim",$E$93,EX135),IF(AU135="Sim",EZ135,Geometria!$L$906)))</f>
        <v>1475.413282676191</v>
      </c>
      <c r="BJ135" s="371">
        <f ca="1">(IF(AW135="Sim",IF(AU135="Sim",$E$94,EY135),IF(AU135="Sim",FA135,Geometria!$L$907)))</f>
        <v>276.63999050178586</v>
      </c>
      <c r="BL135" s="4" t="s">
        <v>440</v>
      </c>
      <c r="BM135" s="202">
        <f t="shared" ca="1" si="40"/>
        <v>-3080.0748882804755</v>
      </c>
      <c r="BN135" s="38" t="s">
        <v>234</v>
      </c>
      <c r="BO135" s="203">
        <f t="shared" ca="1" si="29"/>
        <v>-3.0800748882804756</v>
      </c>
      <c r="BP135" s="38" t="s">
        <v>160</v>
      </c>
      <c r="BQ135" s="399">
        <f t="shared" si="41"/>
        <v>0.0</v>
      </c>
      <c r="BR135" s="376" t="str">
        <f>IF(OR(AND(BS135&lt;Geometria!$L$1405/100,Geometria!$K$1405&gt;0),AND((Geometria!$L$29/100-BS135)&lt;Geometria!$R$1405/100,Geometria!$Q$1405&gt;0)),"Sim","Não")</f>
        <v>Não</v>
      </c>
      <c r="BS135" s="395">
        <f t="shared" si="30"/>
        <v>4.3175</v>
      </c>
      <c r="BT135" s="376" t="str">
        <f>IF(OR(AND(BS135&lt;Geometria!$L$1409/100,OR(Geometria!$K$1409&gt;0,Geometria!$K$1407&gt;0)),AND((Geometria!$L$29/100-BS135)&lt;Geometria!$R$1409/100,OR(Geometria!$Q$1409&gt;0,Geometria!$Q$1407&gt;0))),"Sim","Não")</f>
        <v>Não</v>
      </c>
      <c r="BU135" s="122" t="s">
        <v>440</v>
      </c>
      <c r="BV135" s="198" t="str">
        <f ca="1">BV133</f>
        <v>OK</v>
      </c>
      <c r="BW135" s="401">
        <f t="shared" ca="1" si="31"/>
        <v>5718.670448168626</v>
      </c>
      <c r="BX135" s="403">
        <f ca="1">-(CC135/(Geometria!$L$48/100^2))-(CD135/(Geometria!$L$53/100^3))+((Geometria!$N$419)/(Geometria!$L$53/100^3))+((Geometria!$N$430)/(Geometria!$M$53/100^3))+((Geometria!$L$76*Geometria!$N$441)/(Geometria!$M$53/100^3))</f>
        <v>10118.043116393175</v>
      </c>
      <c r="BY135" s="400">
        <f ca="1">BY133</f>
        <v>111.03210918130361</v>
      </c>
      <c r="BZ135" s="751">
        <f ca="1">-((Geometria!$L$373-(Geometria!$L$373-ER135)*(1-(MIN(MIN(1,MAX(0,(BS135-Geometria!$L$1409/100)/(Geometria!$N$1307/100))),MIN(1,MAX(0,((Geometria!$L$29/100-BS135)-Geometria!$R$1409/100)/(Geometria!$N$1307/100))))))*(IF(OR(Geometria!$K$1409&gt;0,Geometria!$K$1407&gt;0,Geometria!$Q$1409&gt;0,Geometria!$Q$1407&gt;0),1,0))-(Geometria!$L$373-ET135)*(1-(MIN(MIN(1,MAX(0,(BS135-Geometria!$L$1405/100)/(Geometria!$N$1307/100))),MIN(1,MAX(0,((Geometria!$L$29/100-BS135)-Geometria!$R$1405/100)/(Geometria!$N$1307/100))))))*(IF(OR(Geometria!$K$1405&gt;0,Geometria!$K$1403&gt;0,Geometria!$Q$1405&gt;0,Geometria!$Q$1403&gt;0),1,0))))/(Geometria!$L$48/100^2)-((Geometria!$L$374-(Geometria!$L$374-ES135)*(1-(MIN(MIN(1,MAX(0,(BS135-Geometria!$L$1409/100)/(Geometria!$N$1307/100))),MIN(1,MAX(0,((Geometria!$L$29/100-BS135)-Geometria!$R$1409/100)/(Geometria!$N$1307/100))))))*(IF(OR(Geometria!$K$1409&gt;0,Geometria!$K$1407&gt;0,Geometria!$Q$1409&gt;0,Geometria!$Q$1407&gt;0),1,0))-(Geometria!$L$374-EU135)*(1-(MIN(MIN(1,MAX(0,(BS135-Geometria!$L$1405/100)/(Geometria!$N$1307/100))),MIN(1,MAX(0,((Geometria!$L$29/100-BS135)-Geometria!$R$1405/100)/(Geometria!$N$1307/100))))))*(IF(OR(Geometria!$K$1405&gt;0,Geometria!$K$1403&gt;0,Geometria!$Q$1405&gt;0,Geometria!$Q$1403&gt;0),1,0))))/(Geometria!$L$53/100^3)+((Geometria!$N$676)/(Geometria!$L$53/100^3))+((Geometria!$N$687)/(Geometria!$M$53/100^3))+((Geometria!$L$77*Geometria!$N$698)/(Geometria!$M$53/100^3))</f>
        <v>5718.670448168626</v>
      </c>
      <c r="CA135" s="751"/>
      <c r="CC135" s="373">
        <f ca="1">(Geometria!$L$298-(Geometria!$L$298-IF(BS135&lt;Geometria!$L$1409/100,Geometria!$L$1442,Geometria!$L$1460))*(1-(MIN(MIN(1,MAX(0,(BS135-Geometria!$L$1409/100)/(Geometria!$N$1307/100))),MIN(1,MAX(0,((Geometria!$L$29/100-BS135)-Geometria!$R$1409/100)/(Geometria!$N$1307/100))))))*(IF(OR(Geometria!$K$1409&gt;0,Geometria!$K$1407&gt;0,Geometria!$Q$1409&gt;0,Geometria!$Q$1407&gt;0),1,0))-(Geometria!$L$298-IF(BS135&lt;Geometria!$L$1405/100,Geometria!$L$1444,Geometria!$L$1462))*(1-(MIN(MIN(1,MAX(0,(BS135-Geometria!$L$1405/100)/(Geometria!$N$1307/100))),MIN(1,MAX(0,((Geometria!$L$29/100-BS135)-Geometria!$R$1405/100)/(Geometria!$N$1307/100))))))*(IF(OR(Geometria!$K$1405&gt;0,Geometria!$K$1403&gt;0,Geometria!$Q$1405&gt;0,Geometria!$Q$1403&gt;0),1,0)))*BY135+Geometria!$P$1429*BY112</f>
        <v>1243.5596228306003</v>
      </c>
      <c r="CD135" s="373">
        <f ca="1">(Geometria!$L$298-(Geometria!$L$298-IF(BS135&lt;Geometria!$L$1409/100,Geometria!$L$1442,Geometria!$L$1460))*(1-(MIN(MIN(1,MAX(0,(BS135-Geometria!$L$1409/100)/(Geometria!$N$1307/100))),MIN(1,MAX(0,((Geometria!$L$29/100-BS135)-Geometria!$R$1409/100)/(Geometria!$N$1307/100))))))*(IF(OR(Geometria!$K$1409&gt;0,Geometria!$K$1407&gt;0,Geometria!$Q$1409&gt;0,Geometria!$Q$1407&gt;0),1,0))-(Geometria!$L$298-IF(BS135&lt;Geometria!$L$1405/100,Geometria!$L$1444,Geometria!$L$1462))*(1-(MIN(MIN(1,MAX(0,(BS135-Geometria!$L$1405/100)/(Geometria!$N$1307/100))),MIN(1,MAX(0,((Geometria!$L$29/100-BS135)-Geometria!$R$1405/100)/(Geometria!$N$1307/100))))))*(IF(OR(Geometria!$K$1405&gt;0,Geometria!$K$1403&gt;0,Geometria!$Q$1405&gt;0,Geometria!$Q$1403&gt;0),1,0)))*BY135*(Geometria!$L$299-(Geometria!$L$299-IF(BS135&lt;Geometria!$L$1409/100,Geometria!$L$1443,Geometria!$L$1461))*(1-(MIN(MIN(1,MAX(0,(BS135-Geometria!$L$1409/100)/(Geometria!$N$1307/100))),MIN(1,MAX(0,((Geometria!$L$29/100-BS135)-Geometria!$R$1409/100)/(Geometria!$N$1307/100))))))*(IF(OR(Geometria!$K$1409&gt;0,Geometria!$K$1407&gt;0,Geometria!$Q$1409&gt;0,Geometria!$Q$1407&gt;0),1,0))-(Geometria!$L$299-IF(BS135&lt;Geometria!$L$1405/100,Geometria!$L$1445,Geometria!$L$1463))*(1-(MIN(MIN(1,MAX(0,(BS135-Geometria!$L$1405/100)/(Geometria!$N$1307/100))),MIN(1,MAX(0,((Geometria!$L$29/100-BS135)-Geometria!$R$1405/100)/(Geometria!$N$1307/100))))))*(IF(OR(Geometria!$K$1405&gt;0,Geometria!$K$1403&gt;0,Geometria!$Q$1405&gt;0,Geometria!$Q$1403&gt;0),1,0)))/100-Geometria!$P$1429*BY112*Geometria!$L$1438/100</f>
        <v>233.16742928073757</v>
      </c>
      <c r="CE135" s="365"/>
      <c r="CF135" s="371">
        <f ca="1">(IF(BT135="Sim",IF(BR135="Sim",$E$93,EX135),IF(BR135="Sim",EZ135,Geometria!$L$906)))</f>
        <v>1475.413282676191</v>
      </c>
      <c r="CG135" s="371">
        <f ca="1">(IF(BT135="Sim",IF(BR135="Sim",$E$94,EY135),IF(BR135="Sim",FA135,Geometria!$L$907)))</f>
        <v>276.63999050178586</v>
      </c>
      <c r="CI135" s="4" t="s">
        <v>440</v>
      </c>
      <c r="CJ135" s="202">
        <f t="shared" ca="1" si="42"/>
        <v>5718.670448168626</v>
      </c>
      <c r="CK135" s="38" t="s">
        <v>234</v>
      </c>
      <c r="CL135" s="203">
        <f t="shared" ca="1" si="32"/>
        <v>5.718670448168625</v>
      </c>
      <c r="CM135" s="38" t="s">
        <v>160</v>
      </c>
      <c r="CN135" s="399">
        <f t="shared" si="43"/>
        <v>0.0</v>
      </c>
      <c r="CO135" s="376" t="str">
        <f>IF(OR(AND(CP135&lt;Geometria!$L$1405/100,Geometria!$K$1405&gt;0),AND((Geometria!$L$29/100-CP135)&lt;Geometria!$R$1405/100,Geometria!$Q$1405&gt;0)),"Sim","Não")</f>
        <v>Não</v>
      </c>
      <c r="CP135" s="395">
        <f t="shared" si="33"/>
        <v>4.3175</v>
      </c>
      <c r="CQ135" s="376" t="str">
        <f>IF(OR(AND(CP135&lt;Geometria!$L$1409/100,OR(Geometria!$K$1409&gt;0,Geometria!$K$1407&gt;0)),AND((Geometria!$L$29/100-CP135)&lt;Geometria!$R$1409/100,OR(Geometria!$Q$1409&gt;0,Geometria!$Q$1407&gt;0))),"Sim","Não")</f>
        <v>Não</v>
      </c>
      <c r="CR135" s="122" t="s">
        <v>440</v>
      </c>
      <c r="CS135" s="198" t="str">
        <f ca="1">CS133</f>
        <v>OK</v>
      </c>
      <c r="CT135" s="401">
        <f t="shared" ca="1" si="34"/>
        <v>-3080.0748882804755</v>
      </c>
      <c r="CU135" s="403">
        <f ca="1">-(CZ135/(Geometria!$L$48/100^2))-(DA135/(Geometria!$L$53/100^3))+((Geometria!$N$419)/(Geometria!$L$53/100^3))+((Geometria!$N$430)/(Geometria!$M$53/100^3))+((Geometria!$L$76*Geometria!$N$441)/(Geometria!$M$53/100^3))</f>
        <v>10118.043116393175</v>
      </c>
      <c r="CV135" s="400">
        <f ca="1">CV133</f>
        <v>111.03210918130361</v>
      </c>
      <c r="CW135" s="751">
        <f ca="1">-((Geometria!$L$373-(Geometria!$L$373-ER135)*(1-(MIN(MIN(1,MAX(0,(CP135-Geometria!$L$1409/100)/(Geometria!$N$1307/100))),MIN(1,MAX(0,((Geometria!$L$29/100-CP135)-Geometria!$R$1409/100)/(Geometria!$N$1307/100))))))*(IF(OR(Geometria!$K$1409&gt;0,Geometria!$K$1407&gt;0,Geometria!$Q$1409&gt;0,Geometria!$Q$1407&gt;0),1,0))-(Geometria!$L$373-ET135)*(1-(MIN(MIN(1,MAX(0,(CP135-Geometria!$L$1405/100)/(Geometria!$N$1307/100))),MIN(1,MAX(0,((Geometria!$L$29/100-CP135)-Geometria!$R$1405/100)/(Geometria!$N$1307/100))))))*(IF(OR(Geometria!$K$1405&gt;0,Geometria!$K$1403&gt;0,Geometria!$Q$1405&gt;0,Geometria!$Q$1403&gt;0),1,0))))/(Geometria!$L$48/100^2)-((Geometria!$L$374-(Geometria!$L$374-ES135)*(1-(MIN(MIN(1,MAX(0,(CP135-Geometria!$L$1409/100)/(Geometria!$N$1307/100))),MIN(1,MAX(0,((Geometria!$L$29/100-CP135)-Geometria!$R$1409/100)/(Geometria!$N$1307/100))))))*(IF(OR(Geometria!$K$1409&gt;0,Geometria!$K$1407&gt;0,Geometria!$Q$1409&gt;0,Geometria!$Q$1407&gt;0),1,0))-(Geometria!$L$374-EU135)*(1-(MIN(MIN(1,MAX(0,(CP135-Geometria!$L$1405/100)/(Geometria!$N$1307/100))),MIN(1,MAX(0,((Geometria!$L$29/100-CP135)-Geometria!$R$1405/100)/(Geometria!$N$1307/100))))))*(IF(OR(Geometria!$K$1405&gt;0,Geometria!$K$1403&gt;0,Geometria!$Q$1405&gt;0,Geometria!$Q$1403&gt;0),1,0))))/(Geometria!$L$53/100^3)+((Geometria!$N$676)/(Geometria!$L$53/100^3))+((Geometria!$N$687)/(Geometria!$M$53/100^3))</f>
        <v>-3080.0748882804755</v>
      </c>
      <c r="CX135" s="751"/>
      <c r="CZ135" s="373">
        <f ca="1">(IF(CQ135="Sim",IF(CO135="Sim",IF(CP135&lt;Geometria!$L$1405/100,Geometria!$L$1435,Geometria!$L$1476),IF(CP135&lt;Geometria!$L$1409/100,Geometria!$L$1442,Geometria!$L$1460)),IF(CO135="Sim",IF(CP135&lt;Geometria!$L$1405/100,Geometria!$L$1444,Geometria!$L$1462),Geometria!$L$298)))*CV135+Geometria!$P$1429*CV112</f>
        <v>1243.5596228306003</v>
      </c>
      <c r="DA135" s="373">
        <f ca="1">(IF(CQ135="Sim",IF(CO135="Sim",IF(CP135&lt;Geometria!$L$1405/100,Geometria!$L$1435,Geometria!$L$1476),IF(CP135&lt;Geometria!$L$1409/100,Geometria!$L$1442,Geometria!$L$1460)),IF(CO135="Sim",IF(CP135&lt;Geometria!$L$1405/100,Geometria!$L$1444,Geometria!$L$1462),Geometria!$L$298)))*CV135*(IF(CQ135="Sim",IF(CO135="Sim",IF(CP135&lt;Geometria!$L$1405/100,Geometria!$L$1436,Geometria!$L$1484),IF(CP135&lt;Geometria!$L$1409/100,Geometria!$L$1443,Geometria!$L$1461)),IF(CO135="Sim",IF(CP135&lt;Geometria!$L$1405/100,Geometria!$L$1445,Geometria!$L$1463),Geometria!$L$299)))/100-Geometria!$P$1429*CV112*Geometria!$L$1438/100</f>
        <v>233.16742928073757</v>
      </c>
      <c r="DB135" s="365"/>
      <c r="DC135" s="371">
        <f ca="1">(IF(CQ135="Sim",IF(CO135="Sim",$E$93,EX135),IF(CO135="Sim",EZ135,Geometria!$L$906)))</f>
        <v>1475.413282676191</v>
      </c>
      <c r="DD135" s="371">
        <f ca="1">(IF(CQ135="Sim",IF(CO135="Sim",$E$94,EY135),IF(CO135="Sim",FA135,Geometria!$L$907)))</f>
        <v>276.63999050178586</v>
      </c>
      <c r="DF135" s="4" t="s">
        <v>440</v>
      </c>
      <c r="DG135" s="202">
        <f t="shared" ca="1" si="44"/>
        <v>-3080.0748882804755</v>
      </c>
      <c r="DH135" s="38" t="s">
        <v>234</v>
      </c>
      <c r="DI135" s="203">
        <f t="shared" ca="1" si="35"/>
        <v>-3.0800748882804756</v>
      </c>
      <c r="DJ135" s="38" t="s">
        <v>160</v>
      </c>
      <c r="DK135" s="399">
        <f t="shared" si="45"/>
        <v>0.0</v>
      </c>
      <c r="EA135">
        <f ca="1">-L135/('Aberturas na Alma'!$M$112/100^2)-M135/('Aberturas na Alma'!$M$120/100^3)+Geometria!$L$898/('Aberturas na Alma'!$M$120/100^3)</f>
        <v>-72999.30068165393</v>
      </c>
      <c r="EB135">
        <f ca="1">-(IF(C135="Sim",IF(A135="Sim",$E$93,EX135),IF(A135="Sim",EZ135,Geometria!$L$906)))/('Aberturas na Alma'!$M$112/100^2)-(IF(C135="Sim",IF(A135="Sim",$E$94,EY135),IF(A135="Sim",FA135,Geometria!$L$907)))/('Aberturas na Alma'!$M$120/100^3)+Geometria!$N$901/('Aberturas na Alma'!$M$120/100^3)</f>
        <v>-24013.107063353422</v>
      </c>
      <c r="EC135">
        <f ca="1">IF(AND('Aberturas na Alma'!$M$18="NÃO DISPENSADO — furo deve ser verificado (cálculo abaixo)",OR(AND(B135&gt;=('Aberturas na Alma'!$M$4-'Aberturas na Alma'!$M$7/2)/100,B135&lt;=('Aberturas na Alma'!$M$4+'Aberturas na Alma'!$M$7/2)/100),ABS(B135-'Aberturas na Alma'!$M$4/100)&lt;=Geometria!$L$29/4000)),IF(E135="Reduzir",EA135,EB135),F135)</f>
        <v>-21309.667609585</v>
      </c>
      <c r="ED135">
        <f ca="1">-(AI135/('Aberturas na Alma'!$M$112/100^2))-(AJ135/('Aberturas na Alma'!$M$120/100^3))+((Geometria!$N$419)/('Aberturas na Alma'!$M$120/100^3))+((Geometria!$N$430)/('Aberturas na Alma'!$M$120/100^3))+((Geometria!$L$76*Geometria!$N$441)/('Aberturas na Alma'!$M$120/100^3))</f>
        <v>33213.10364130573</v>
      </c>
      <c r="EE135">
        <f ca="1">-((IF(Z135="Sim",IF(X135="Sim",$AB$93,ER135),IF(X135="Sim",ET135,Geometria!$L$373)))/('Aberturas na Alma'!$M$112/100^2))-((IF(Z135="Sim",IF(X135="Sim",$AB$94,ES135),IF(X135="Sim",EU135,Geometria!$L$374)))/('Aberturas na Alma'!$M$120/100^3))+((Geometria!$N$419)/('Aberturas na Alma'!$M$120/100^3))+((Geometria!$N$430)/('Aberturas na Alma'!$M$120/100^3))+((Geometria!$L$76*Geometria!$N$441)/('Aberturas na Alma'!$M$120/100^3))</f>
        <v>33213.10364130573</v>
      </c>
      <c r="EF135" s="371">
        <f ca="1">IF(AND('Aberturas na Alma'!$M$18="NÃO DISPENSADO — furo deve ser verificado (cálculo abaixo)",OR(AND(B135&gt;=('Aberturas na Alma'!$M$4-'Aberturas na Alma'!$M$7/2)/100,B135&lt;=('Aberturas na Alma'!$M$4+'Aberturas na Alma'!$M$7/2)/100),ABS(B135-'Aberturas na Alma'!$M$4/100)&lt;=Geometria!$L$29/4000)),IF(AB135="Reduzir",ED135,EE135),AC135)</f>
        <v>10118.043116393175</v>
      </c>
      <c r="EG135">
        <f ca="1">-(BF135/('Aberturas na Alma'!$M$112/100^2))-(BG135/('Aberturas na Alma'!$M$120/100^3))+((Geometria!$N$419)/('Aberturas na Alma'!$M$120/100^3))+((Geometria!$N$430)/('Aberturas na Alma'!$M$120/100^3))+((Geometria!$L$76*Geometria!$N$441)/('Aberturas na Alma'!$M$120/100^3))</f>
        <v>33213.10364130573</v>
      </c>
      <c r="EH135">
        <f ca="1">-((IF(AW135="Sim",IF(AU135="Sim",$AB$93,ER135),IF(AU135="Sim",ET135,Geometria!$L$373)))/('Aberturas na Alma'!$M$112/100^2))-((IF(AW135="Sim",IF(AU135="Sim",$AB$94,ES135),IF(AU135="Sim",EU135,Geometria!$L$374)))/('Aberturas na Alma'!$M$120/100^3))+((Geometria!$N$419)/('Aberturas na Alma'!$M$120/100^3))+((Geometria!$N$430)/('Aberturas na Alma'!$M$120/100^3))</f>
        <v>-3801.6643499776824</v>
      </c>
      <c r="EI135" s="371">
        <f ca="1">IF(AND('Aberturas na Alma'!$M$18="NÃO DISPENSADO — furo deve ser verificado (cálculo abaixo)",OR(AND(B135&gt;=('Aberturas na Alma'!$M$4-'Aberturas na Alma'!$M$7/2)/100,B135&lt;=('Aberturas na Alma'!$M$4+'Aberturas na Alma'!$M$7/2)/100),ABS(B135-'Aberturas na Alma'!$M$4/100)&lt;=Geometria!$L$29/4000)),IF(AY135="Reduzir",EG135,EH135),AZ135)</f>
        <v>-3080.0748882804755</v>
      </c>
      <c r="EJ135">
        <f ca="1">-(CC135/('Aberturas na Alma'!$M$112/100^2))-(CD135/('Aberturas na Alma'!$M$120/100^3))+((Geometria!$N$419)/('Aberturas na Alma'!$M$120/100^3))+((Geometria!$N$430)/('Aberturas na Alma'!$M$120/100^3))+((Geometria!$L$76*Geometria!$N$441)/('Aberturas na Alma'!$M$120/100^3))</f>
        <v>33213.10364130573</v>
      </c>
      <c r="EK135">
        <f ca="1">-((IF(BT135="Sim",IF(BR135="Sim",$AB$93,ER135),IF(BR135="Sim",ET135,Geometria!$L$373)))/('Aberturas na Alma'!$M$112/100^2))-((IF(BT135="Sim",IF(BR135="Sim",$AB$94,ES135),IF(BR135="Sim",EU135,Geometria!$L$374)))/('Aberturas na Alma'!$M$120/100^3))+((Geometria!$N$676)/('Aberturas na Alma'!$M$120/100^3))+((Geometria!$N$687)/('Aberturas na Alma'!$M$120/100^3))+((Geometria!$L$77*Geometria!$N$698)/('Aberturas na Alma'!$M$120/100^3))</f>
        <v>20874.84764421126</v>
      </c>
      <c r="EL135" s="371">
        <f ca="1">IF(AND('Aberturas na Alma'!$M$18="NÃO DISPENSADO — furo deve ser verificado (cálculo abaixo)",OR(AND(B135&gt;=('Aberturas na Alma'!$M$4-'Aberturas na Alma'!$M$7/2)/100,B135&lt;=('Aberturas na Alma'!$M$4+'Aberturas na Alma'!$M$7/2)/100),ABS(B135-'Aberturas na Alma'!$M$4/100)&lt;=Geometria!$L$29/4000)),IF(BV135="Reduzir",EJ135,EK135),BW135)</f>
        <v>5718.670448168626</v>
      </c>
      <c r="EM135">
        <f ca="1">-(CZ135/('Aberturas na Alma'!$M$112/100^2))-(DA135/('Aberturas na Alma'!$M$120/100^3))+((Geometria!$N$419)/('Aberturas na Alma'!$M$120/100^3))+((Geometria!$N$430)/('Aberturas na Alma'!$M$120/100^3))+((Geometria!$L$76*Geometria!$N$441)/('Aberturas na Alma'!$M$120/100^3))</f>
        <v>33213.10364130573</v>
      </c>
      <c r="EN135">
        <f ca="1">-((IF(CQ135="Sim",IF(CO135="Sim",$AB$93,ER135),IF(CO135="Sim",ET135,Geometria!$L$373)))/('Aberturas na Alma'!$M$112/100^2))-((IF(CQ135="Sim",IF(CO135="Sim",$AB$94,ES135),IF(CO135="Sim",EU135,Geometria!$L$374)))/('Aberturas na Alma'!$M$120/100^3))+((Geometria!$N$676)/('Aberturas na Alma'!$M$120/100^3))+((Geometria!$N$687)/('Aberturas na Alma'!$M$120/100^3))</f>
        <v>-3801.6643499776824</v>
      </c>
      <c r="EO135" s="371">
        <f ca="1">IF(AND('Aberturas na Alma'!$M$18="NÃO DISPENSADO — furo deve ser verificado (cálculo abaixo)",OR(AND(B135&gt;=('Aberturas na Alma'!$M$4-'Aberturas na Alma'!$M$7/2)/100,B135&lt;=('Aberturas na Alma'!$M$4+'Aberturas na Alma'!$M$7/2)/100),ABS(B135-'Aberturas na Alma'!$M$4/100)&lt;=Geometria!$L$29/4000)),IF(CS135="Reduzir",EM135,EN135),CT135)</f>
        <v>-3080.0748882804755</v>
      </c>
      <c r="EP135" t="str">
        <f>IF(AND(Y135&lt;Geometria!$L$1409/100,OR(Geometria!$K$1409&gt;0,Geometria!$K$1407&gt;0)),"ESQ",IF(AND((Geometria!$L$29/100-Y135)&lt;Geometria!$R$1409/100,OR(Geometria!$Q$1409&gt;0,Geometria!$Q$1407&gt;0)),"DIR","N/A"))</f>
        <v>N/A</v>
      </c>
      <c r="EQ135" t="str">
        <f>IF(AND(Y135&lt;Geometria!$L$1405/100,Geometria!$K$1405&gt;0),"ESQ",IF(AND((Geometria!$L$29/100-Y135)&lt;Geometria!$R$1405/100,Geometria!$Q$1405&gt;0),"DIR","N/A"))</f>
        <v>N/A</v>
      </c>
      <c r="ER135">
        <f ca="1">IF(EP135="DIR",Geometria!$L$1470,Geometria!$L$1452)</f>
        <v>1243.5596228306003</v>
      </c>
      <c r="ES135">
        <f ca="1">IF(EP135="DIR",Geometria!$L$1471,Geometria!$L$1453)</f>
        <v>233.16742928073757</v>
      </c>
      <c r="ET135">
        <f ca="1">IF(EQ135="DIR",Geometria!$L$1472,Geometria!$L$1454)</f>
        <v>621.7798114153002</v>
      </c>
      <c r="EU135">
        <f ca="1">IF(EQ135="DIR",Geometria!$L$1473,Geometria!$L$1455)</f>
        <v>177.20724625336052</v>
      </c>
      <c r="EV135" t="str">
        <f>IF(AND(B135&lt;Geometria!$L$1409/100,OR(Geometria!$K$1409&gt;0,Geometria!$K$1407&gt;0)),"ESQ",IF(AND((Geometria!$L$29/100-B135)&lt;Geometria!$R$1409/100,OR(Geometria!$Q$1409&gt;0,Geometria!$Q$1407&gt;0)),"DIR","N/A"))</f>
        <v>N/A</v>
      </c>
      <c r="EW135" t="str">
        <f>IF(AND(B135&lt;Geometria!$L$1405/100,Geometria!$K$1405&gt;0),"ESQ",IF(AND((Geometria!$L$29/100-B135)&lt;Geometria!$R$1405/100,Geometria!$Q$1405&gt;0),"DIR","N/A"))</f>
        <v>N/A</v>
      </c>
      <c r="EX135">
        <f ca="1">IF(EV135="DIR",Geometria!$L$1465,Geometria!$L$1447)</f>
        <v>1499.8056003831216</v>
      </c>
      <c r="EY135">
        <f ca="1">IF(EV135="DIR",Geometria!$L$1466,Geometria!$L$1448)</f>
        <v>281.2135500718353</v>
      </c>
      <c r="EZ135">
        <f ca="1">IF(EW135="DIR",Geometria!$L$1467,Geometria!$L$1449)</f>
        <v>749.9028001915608</v>
      </c>
      <c r="FA135">
        <f ca="1">IF(EW135="DIR",Geometria!$L$1468,Geometria!$L$1450)</f>
        <v>213.72229805459483</v>
      </c>
    </row>
    <row r="136" spans="1:157" x14ac:dyDescent="0.25">
      <c r="A136" s="376" t="str">
        <f>IF(OR(AND(B136&lt;Geometria!$L$1405/100,Geometria!$K$1405&gt;0),AND((Geometria!$L$29/100-B136)&lt;Geometria!$R$1405/100,Geometria!$Q$1405&gt;0)),"Sim","Não")</f>
        <v>Não</v>
      </c>
      <c r="B136" s="395">
        <f t="shared" si="21"/>
        <v>4.71</v>
      </c>
      <c r="C136" s="376" t="str">
        <f>IF(OR(AND(B136&lt;Geometria!$L$1409/100,OR(Geometria!$K$1409&gt;0,Geometria!$K$1407&gt;0)),AND((Geometria!$L$29/100-B136)&lt;Geometria!$R$1409/100,OR(Geometria!$Q$1409&gt;0,Geometria!$Q$1407&gt;0))),"Sim","Não")</f>
        <v>Não</v>
      </c>
      <c r="D136" s="122" t="s">
        <v>441</v>
      </c>
      <c r="E136" s="198" t="str">
        <f ca="1">E132</f>
        <v>OK</v>
      </c>
      <c r="F136" s="396">
        <f t="shared" ca="1" si="22"/>
        <v>-21378.0300705225</v>
      </c>
      <c r="G136" s="397">
        <f ca="1">-L136/(Geometria!$L$48/100^2)-M136/(Geometria!$L$53/100^3)+Geometria!$L$898/(Geometria!$L$53/100^3)</f>
        <v>-58132.97144151713</v>
      </c>
      <c r="H136" s="400">
        <f ca="1">H132</f>
        <v>327.3872069857712</v>
      </c>
      <c r="I136" s="743">
        <f ca="1">-(Geometria!$L$906-(Geometria!$L$906-EX136)*(1-(MIN(MIN(1,MAX(0,(B136-Geometria!$L$1409/100)/(Geometria!$N$1307/100))),MIN(1,MAX(0,((Geometria!$L$29/100-B136)-Geometria!$R$1409/100)/(Geometria!$N$1307/100))))))*(IF(OR(Geometria!$K$1409&gt;0,Geometria!$K$1407&gt;0,Geometria!$Q$1409&gt;0,Geometria!$Q$1407&gt;0),1,0))-(Geometria!$L$906-EZ136)*(1-(MIN(MIN(1,MAX(0,(B136-Geometria!$L$1405/100)/(Geometria!$N$1307/100))),MIN(1,MAX(0,((Geometria!$L$29/100-B136)-Geometria!$R$1405/100)/(Geometria!$N$1307/100))))))*(IF(OR(Geometria!$K$1405&gt;0,Geometria!$K$1403&gt;0,Geometria!$Q$1405&gt;0,Geometria!$Q$1403&gt;0),1,0)))/(Geometria!$L$48/100^2)-(Geometria!$L$907-(Geometria!$L$907-EY136)*(1-(MIN(MIN(1,MAX(0,(B136-Geometria!$L$1409/100)/(Geometria!$N$1307/100))),MIN(1,MAX(0,((Geometria!$L$29/100-B136)-Geometria!$R$1409/100)/(Geometria!$N$1307/100))))))*(IF(OR(Geometria!$K$1409&gt;0,Geometria!$K$1407&gt;0,Geometria!$Q$1409&gt;0,Geometria!$Q$1407&gt;0),1,0))-(Geometria!$L$907-FA136)*(1-(MIN(MIN(1,MAX(0,(B136-Geometria!$L$1405/100)/(Geometria!$N$1307/100))),MIN(1,MAX(0,((Geometria!$L$29/100-B136)-Geometria!$R$1405/100)/(Geometria!$N$1307/100))))))*(IF(OR(Geometria!$K$1405&gt;0,Geometria!$K$1403&gt;0,Geometria!$Q$1405&gt;0,Geometria!$Q$1403&gt;0),1,0)))/(Geometria!$L$53/100^3)+Geometria!$O$901/(Geometria!$L$53/100^3)</f>
        <v>-21378.0300705225</v>
      </c>
      <c r="J136" s="743"/>
      <c r="L136" s="373">
        <f ca="1">(Geometria!$L$298-(Geometria!$L$298-IF(B136&lt;Geometria!$L$1409/100,Geometria!$L$1442,Geometria!$L$1460))*(1-(MIN(MIN(1,MAX(0,(B136-Geometria!$L$1409/100)/(Geometria!$N$1307/100))),MIN(1,MAX(0,((Geometria!$L$29/100-B136)-Geometria!$R$1409/100)/(Geometria!$N$1307/100))))))*(IF(OR(Geometria!$K$1409&gt;0,Geometria!$K$1407&gt;0,Geometria!$Q$1409&gt;0,Geometria!$Q$1407&gt;0),1,0))-(Geometria!$L$298-IF(B136&lt;Geometria!$L$1405/100,Geometria!$L$1444,Geometria!$L$1462))*(1-(MIN(MIN(1,MAX(0,(B136-Geometria!$L$1405/100)/(Geometria!$N$1307/100))),MIN(1,MAX(0,((Geometria!$L$29/100-B136)-Geometria!$R$1405/100)/(Geometria!$N$1307/100))))))*(IF(OR(Geometria!$K$1405&gt;0,Geometria!$K$1403&gt;0,Geometria!$Q$1405&gt;0,Geometria!$Q$1403&gt;0),1,0)))*H136+Geometria!$P$1429*H113</f>
        <v>3666.736718240637</v>
      </c>
      <c r="M136" s="373">
        <f ca="1">(Geometria!$L$298-(Geometria!$L$298-IF(B136&lt;Geometria!$L$1409/100,Geometria!$L$1442,Geometria!$L$1460))*(1-(MIN(MIN(1,MAX(0,(B136-Geometria!$L$1409/100)/(Geometria!$N$1307/100))),MIN(1,MAX(0,((Geometria!$L$29/100-B136)-Geometria!$R$1409/100)/(Geometria!$N$1307/100))))))*(IF(OR(Geometria!$K$1409&gt;0,Geometria!$K$1407&gt;0,Geometria!$Q$1409&gt;0,Geometria!$Q$1407&gt;0),1,0))-(Geometria!$L$298-IF(B136&lt;Geometria!$L$1405/100,Geometria!$L$1444,Geometria!$L$1462))*(1-(MIN(MIN(1,MAX(0,(B136-Geometria!$L$1405/100)/(Geometria!$N$1307/100))),MIN(1,MAX(0,((Geometria!$L$29/100-B136)-Geometria!$R$1405/100)/(Geometria!$N$1307/100))))))*(IF(OR(Geometria!$K$1405&gt;0,Geometria!$K$1403&gt;0,Geometria!$Q$1405&gt;0,Geometria!$Q$1403&gt;0),1,0)))*H136*(Geometria!$L$299-(Geometria!$L$299-IF(B136&lt;Geometria!$L$1409/100,Geometria!$L$1443,Geometria!$L$1461))*(1-(MIN(MIN(1,MAX(0,(B136-Geometria!$L$1409/100)/(Geometria!$N$1307/100))),MIN(1,MAX(0,((Geometria!$L$29/100-B136)-Geometria!$R$1409/100)/(Geometria!$N$1307/100))))))*(IF(OR(Geometria!$K$1409&gt;0,Geometria!$K$1407&gt;0,Geometria!$Q$1409&gt;0,Geometria!$Q$1407&gt;0),1,0))-(Geometria!$L$299-IF(B136&lt;Geometria!$L$1405/100,Geometria!$L$1445,Geometria!$L$1463))*(1-(MIN(MIN(1,MAX(0,(B136-Geometria!$L$1405/100)/(Geometria!$N$1307/100))),MIN(1,MAX(0,((Geometria!$L$29/100-B136)-Geometria!$R$1405/100)/(Geometria!$N$1307/100))))))*(IF(OR(Geometria!$K$1405&gt;0,Geometria!$K$1403&gt;0,Geometria!$Q$1405&gt;0,Geometria!$Q$1403&gt;0),1,0)))/100-Geometria!$P$1429*H113*Geometria!$L$1438/100</f>
        <v>687.5131346701195</v>
      </c>
      <c r="N136" s="365"/>
      <c r="O136" s="371">
        <f ca="1">(IF(C136="Sim",IF(A136="Sim",$E$93,EX136),IF(A136="Sim",EZ136,Geometria!$L$906)))</f>
        <v>1475.413282676191</v>
      </c>
      <c r="P136" s="371">
        <f ca="1">(IF(C136="Sim",IF(A136="Sim",$E$94,EY136),IF(A136="Sim",FA136,Geometria!$L$907)))</f>
        <v>276.63999050178586</v>
      </c>
      <c r="R136" s="4" t="s">
        <v>441</v>
      </c>
      <c r="S136" s="202">
        <f t="shared" ca="1" si="36"/>
        <v>-21378.0300705225</v>
      </c>
      <c r="T136" s="38" t="s">
        <v>234</v>
      </c>
      <c r="U136" s="203">
        <f t="shared" ca="1" si="23"/>
        <v>-21.378030070522502</v>
      </c>
      <c r="V136" s="38" t="s">
        <v>160</v>
      </c>
      <c r="W136" s="399">
        <f t="shared" si="37"/>
        <v>0.0</v>
      </c>
      <c r="X136" s="376" t="str">
        <f>IF(OR(AND(Y136&lt;Geometria!$L$1405/100,Geometria!$K$1405&gt;0),AND((Geometria!$L$29/100-Y136)&lt;Geometria!$R$1405/100,Geometria!$Q$1405&gt;0)),"Sim","Não")</f>
        <v>Não</v>
      </c>
      <c r="Y136" s="395">
        <f t="shared" si="24"/>
        <v>4.71</v>
      </c>
      <c r="Z136" s="376" t="str">
        <f>IF(OR(AND(Y136&lt;Geometria!$L$1409/100,OR(Geometria!$K$1409&gt;0,Geometria!$K$1407&gt;0)),AND((Geometria!$L$29/100-Y136)&lt;Geometria!$R$1409/100,OR(Geometria!$Q$1409&gt;0,Geometria!$Q$1407&gt;0))),"Sim","Não")</f>
        <v>Não</v>
      </c>
      <c r="AA136" s="122" t="s">
        <v>441</v>
      </c>
      <c r="AB136" s="198" t="str">
        <f ca="1">AB132</f>
        <v>OK</v>
      </c>
      <c r="AC136" s="401">
        <f t="shared" ca="1" si="25"/>
        <v>9209.544517640863</v>
      </c>
      <c r="AD136" s="403">
        <f ca="1">-(AI136/(Geometria!$L$48/100^2))-(AJ136/(Geometria!$L$53/100^3))+((Geometria!$O$419)/(Geometria!$L$53/100^3))+((Geometria!$O$430)/(Geometria!$M$53/100^3))+((Geometria!$L$76*Geometria!$O$441)/(Geometria!$M$53/100^3))</f>
        <v>9209.544517640863</v>
      </c>
      <c r="AE136" s="400">
        <f ca="1">AE132</f>
        <v>111.03210918130361</v>
      </c>
      <c r="AF136" s="751">
        <f ca="1">-((Geometria!$L$373-(Geometria!$L$373-ER136)*(1-(MIN(MIN(1,MAX(0,(Y136-Geometria!$L$1409/100)/(Geometria!$N$1307/100))),MIN(1,MAX(0,((Geometria!$L$29/100-Y136)-Geometria!$R$1409/100)/(Geometria!$N$1307/100))))))*(IF(OR(Geometria!$K$1409&gt;0,Geometria!$K$1407&gt;0,Geometria!$Q$1409&gt;0,Geometria!$Q$1407&gt;0),1,0))-(Geometria!$L$373-ET136)*(1-(MIN(MIN(1,MAX(0,(Y136-Geometria!$L$1405/100)/(Geometria!$N$1307/100))),MIN(1,MAX(0,((Geometria!$L$29/100-Y136)-Geometria!$R$1405/100)/(Geometria!$N$1307/100))))))*(IF(OR(Geometria!$K$1405&gt;0,Geometria!$K$1403&gt;0,Geometria!$Q$1405&gt;0,Geometria!$Q$1403&gt;0),1,0))))/(Geometria!$L$48/100^2)-((Geometria!$L$374-(Geometria!$L$374-ES136)*(1-(MIN(MIN(1,MAX(0,(Y136-Geometria!$L$1409/100)/(Geometria!$N$1307/100))),MIN(1,MAX(0,((Geometria!$L$29/100-Y136)-Geometria!$R$1409/100)/(Geometria!$N$1307/100))))))*(IF(OR(Geometria!$K$1409&gt;0,Geometria!$K$1407&gt;0,Geometria!$Q$1409&gt;0,Geometria!$Q$1407&gt;0),1,0))-(Geometria!$L$374-EU136)*(1-(MIN(MIN(1,MAX(0,(Y136-Geometria!$L$1405/100)/(Geometria!$N$1307/100))),MIN(1,MAX(0,((Geometria!$L$29/100-Y136)-Geometria!$R$1405/100)/(Geometria!$N$1307/100))))))*(IF(OR(Geometria!$K$1405&gt;0,Geometria!$K$1403&gt;0,Geometria!$Q$1405&gt;0,Geometria!$Q$1403&gt;0),1,0))))/(Geometria!$L$53/100^3)+((Geometria!$O$419)/(Geometria!$L$53/100^3))+((Geometria!$O$430)/(Geometria!$M$53/100^3))+((Geometria!$L$76*Geometria!$O$441)/(Geometria!$M$53/100^3))</f>
        <v>9209.544517640863</v>
      </c>
      <c r="AG136" s="751"/>
      <c r="AI136" s="373">
        <f ca="1">(IF(Z136="Sim",IF(X136="Sim",IF(Y136&lt;Geometria!$L$1405/100,Geometria!$L$1435,Geometria!$L$1476),IF(Y136&lt;Geometria!$L$1409/100,Geometria!$L$1442,Geometria!$L$1460)),IF(X136="Sim",IF(Y136&lt;Geometria!$L$1405/100,Geometria!$L$1444,Geometria!$L$1462),Geometria!$L$298)))*AE136+Geometria!$P$1429*AE113</f>
        <v>1243.5596228306003</v>
      </c>
      <c r="AJ136" s="373">
        <f ca="1">(IF(Z136="Sim",IF(X136="Sim",IF(Y136&lt;Geometria!$L$1405/100,Geometria!$L$1435,Geometria!$L$1476),IF(Y136&lt;Geometria!$L$1409/100,Geometria!$L$1442,Geometria!$L$1460)),IF(X136="Sim",IF(Y136&lt;Geometria!$L$1405/100,Geometria!$L$1444,Geometria!$L$1462),Geometria!$L$298)))*AE136*(IF(Z136="Sim",IF(X136="Sim",IF(Y136&lt;Geometria!$L$1405/100,Geometria!$L$1436,Geometria!$L$1484),IF(Y136&lt;Geometria!$L$1409/100,Geometria!$L$1443,Geometria!$L$1461)),IF(X136="Sim",IF(Y136&lt;Geometria!$L$1405/100,Geometria!$L$1445,Geometria!$L$1463),Geometria!$L$299)))/100-Geometria!$P$1429*AE113*Geometria!$L$1438/100</f>
        <v>233.16742928073757</v>
      </c>
      <c r="AK136" s="365"/>
      <c r="AL136" s="371">
        <f ca="1">(IF(Z136="Sim",IF(X136="Sim",$E$93,EX136),IF(X136="Sim",EZ136,Geometria!$L$906)))</f>
        <v>1475.413282676191</v>
      </c>
      <c r="AM136" s="371">
        <f ca="1">(IF(Z136="Sim",IF(X136="Sim",$E$94,EY136),IF(X136="Sim",FA136,Geometria!$L$907)))</f>
        <v>276.63999050178586</v>
      </c>
      <c r="AO136" s="4" t="s">
        <v>441</v>
      </c>
      <c r="AP136" s="202">
        <f t="shared" ca="1" si="38"/>
        <v>9209.544517640863</v>
      </c>
      <c r="AQ136" s="38" t="s">
        <v>234</v>
      </c>
      <c r="AR136" s="203">
        <f t="shared" ca="1" si="26"/>
        <v>9.209544517640863</v>
      </c>
      <c r="AS136" s="38" t="s">
        <v>160</v>
      </c>
      <c r="AT136" s="399">
        <f t="shared" si="39"/>
        <v>0.0</v>
      </c>
      <c r="AU136" s="376" t="str">
        <f>IF(OR(AND(AV136&lt;Geometria!$L$1405/100,Geometria!$K$1405&gt;0),AND((Geometria!$L$29/100-AV136)&lt;Geometria!$R$1405/100,Geometria!$Q$1405&gt;0)),"Sim","Não")</f>
        <v>Não</v>
      </c>
      <c r="AV136" s="395">
        <f t="shared" si="27"/>
        <v>4.71</v>
      </c>
      <c r="AW136" s="376" t="str">
        <f>IF(OR(AND(AV136&lt;Geometria!$L$1409/100,OR(Geometria!$K$1409&gt;0,Geometria!$K$1407&gt;0)),AND((Geometria!$L$29/100-AV136)&lt;Geometria!$R$1409/100,OR(Geometria!$Q$1409&gt;0,Geometria!$Q$1407&gt;0))),"Sim","Não")</f>
        <v>Não</v>
      </c>
      <c r="AX136" s="122" t="s">
        <v>441</v>
      </c>
      <c r="AY136" s="198" t="str">
        <f ca="1">AY132</f>
        <v>OK</v>
      </c>
      <c r="AZ136" s="401">
        <f t="shared" ca="1" si="28"/>
        <v>-3588.6305171941945</v>
      </c>
      <c r="BA136" s="403">
        <f ca="1">-(BF136/(Geometria!$L$48/100^2))-(BG136/(Geometria!$L$53/100^3))+((Geometria!$O$419)/(Geometria!$L$53/100^3))+((Geometria!$O$430)/(Geometria!$M$53/100^3))+((Geometria!$L$76*Geometria!$O$441)/(Geometria!$M$53/100^3))</f>
        <v>9209.544517640863</v>
      </c>
      <c r="BB136" s="400">
        <f ca="1">BB132</f>
        <v>111.03210918130361</v>
      </c>
      <c r="BC136" s="751">
        <f ca="1">-((Geometria!$L$373-(Geometria!$L$373-ER136)*(1-(MIN(MIN(1,MAX(0,(AV136-Geometria!$L$1409/100)/(Geometria!$N$1307/100))),MIN(1,MAX(0,((Geometria!$L$29/100-AV136)-Geometria!$R$1409/100)/(Geometria!$N$1307/100))))))*(IF(OR(Geometria!$K$1409&gt;0,Geometria!$K$1407&gt;0,Geometria!$Q$1409&gt;0,Geometria!$Q$1407&gt;0),1,0))-(Geometria!$L$373-ET136)*(1-(MIN(MIN(1,MAX(0,(AV136-Geometria!$L$1405/100)/(Geometria!$N$1307/100))),MIN(1,MAX(0,((Geometria!$L$29/100-AV136)-Geometria!$R$1405/100)/(Geometria!$N$1307/100))))))*(IF(OR(Geometria!$K$1405&gt;0,Geometria!$K$1403&gt;0,Geometria!$Q$1405&gt;0,Geometria!$Q$1403&gt;0),1,0))))/(Geometria!$L$48/100^2)-((Geometria!$L$374-(Geometria!$L$374-ES136)*(1-(MIN(MIN(1,MAX(0,(AV136-Geometria!$L$1409/100)/(Geometria!$N$1307/100))),MIN(1,MAX(0,((Geometria!$L$29/100-AV136)-Geometria!$R$1409/100)/(Geometria!$N$1307/100))))))*(IF(OR(Geometria!$K$1409&gt;0,Geometria!$K$1407&gt;0,Geometria!$Q$1409&gt;0,Geometria!$Q$1407&gt;0),1,0))-(Geometria!$L$374-EU136)*(1-(MIN(MIN(1,MAX(0,(AV136-Geometria!$L$1405/100)/(Geometria!$N$1307/100))),MIN(1,MAX(0,((Geometria!$L$29/100-AV136)-Geometria!$R$1405/100)/(Geometria!$N$1307/100))))))*(IF(OR(Geometria!$K$1405&gt;0,Geometria!$K$1403&gt;0,Geometria!$Q$1405&gt;0,Geometria!$Q$1403&gt;0),1,0))))/(Geometria!$L$53/100^3)+((Geometria!$O$419)/(Geometria!$L$53/100^3))+((Geometria!$O$430)/(Geometria!$M$53/100^3))</f>
        <v>-3588.6305171941945</v>
      </c>
      <c r="BD136" s="751"/>
      <c r="BF136" s="373">
        <f ca="1">(Geometria!$L$298-(Geometria!$L$298-IF(AV136&lt;Geometria!$L$1409/100,Geometria!$L$1442,Geometria!$L$1460))*(1-(MIN(MIN(1,MAX(0,(AV136-Geometria!$L$1409/100)/(Geometria!$N$1307/100))),MIN(1,MAX(0,((Geometria!$L$29/100-AV136)-Geometria!$R$1409/100)/(Geometria!$N$1307/100))))))*(IF(OR(Geometria!$K$1409&gt;0,Geometria!$K$1407&gt;0,Geometria!$Q$1409&gt;0,Geometria!$Q$1407&gt;0),1,0))-(Geometria!$L$298-IF(AV136&lt;Geometria!$L$1405/100,Geometria!$L$1444,Geometria!$L$1462))*(1-(MIN(MIN(1,MAX(0,(AV136-Geometria!$L$1405/100)/(Geometria!$N$1307/100))),MIN(1,MAX(0,((Geometria!$L$29/100-AV136)-Geometria!$R$1405/100)/(Geometria!$N$1307/100))))))*(IF(OR(Geometria!$K$1405&gt;0,Geometria!$K$1403&gt;0,Geometria!$Q$1405&gt;0,Geometria!$Q$1403&gt;0),1,0)))*BB136+Geometria!$P$1429*BB113</f>
        <v>1243.5596228306003</v>
      </c>
      <c r="BG136" s="373">
        <f ca="1">(Geometria!$L$298-(Geometria!$L$298-IF(AV136&lt;Geometria!$L$1409/100,Geometria!$L$1442,Geometria!$L$1460))*(1-(MIN(MIN(1,MAX(0,(AV136-Geometria!$L$1409/100)/(Geometria!$N$1307/100))),MIN(1,MAX(0,((Geometria!$L$29/100-AV136)-Geometria!$R$1409/100)/(Geometria!$N$1307/100))))))*(IF(OR(Geometria!$K$1409&gt;0,Geometria!$K$1407&gt;0,Geometria!$Q$1409&gt;0,Geometria!$Q$1407&gt;0),1,0))-(Geometria!$L$298-IF(AV136&lt;Geometria!$L$1405/100,Geometria!$L$1444,Geometria!$L$1462))*(1-(MIN(MIN(1,MAX(0,(AV136-Geometria!$L$1405/100)/(Geometria!$N$1307/100))),MIN(1,MAX(0,((Geometria!$L$29/100-AV136)-Geometria!$R$1405/100)/(Geometria!$N$1307/100))))))*(IF(OR(Geometria!$K$1405&gt;0,Geometria!$K$1403&gt;0,Geometria!$Q$1405&gt;0,Geometria!$Q$1403&gt;0),1,0)))*BB136*(Geometria!$L$299-(Geometria!$L$299-IF(AV136&lt;Geometria!$L$1409/100,Geometria!$L$1443,Geometria!$L$1461))*(1-(MIN(MIN(1,MAX(0,(AV136-Geometria!$L$1409/100)/(Geometria!$N$1307/100))),MIN(1,MAX(0,((Geometria!$L$29/100-AV136)-Geometria!$R$1409/100)/(Geometria!$N$1307/100))))))*(IF(OR(Geometria!$K$1409&gt;0,Geometria!$K$1407&gt;0,Geometria!$Q$1409&gt;0,Geometria!$Q$1407&gt;0),1,0))-(Geometria!$L$299-IF(AV136&lt;Geometria!$L$1405/100,Geometria!$L$1445,Geometria!$L$1463))*(1-(MIN(MIN(1,MAX(0,(AV136-Geometria!$L$1405/100)/(Geometria!$N$1307/100))),MIN(1,MAX(0,((Geometria!$L$29/100-AV136)-Geometria!$R$1405/100)/(Geometria!$N$1307/100))))))*(IF(OR(Geometria!$K$1405&gt;0,Geometria!$K$1403&gt;0,Geometria!$Q$1405&gt;0,Geometria!$Q$1403&gt;0),1,0)))/100-Geometria!$P$1429*BB113*Geometria!$L$1438/100</f>
        <v>233.16742928073757</v>
      </c>
      <c r="BH136" s="365"/>
      <c r="BI136" s="371">
        <f ca="1">(IF(AW136="Sim",IF(AU136="Sim",$E$93,EX136),IF(AU136="Sim",EZ136,Geometria!$L$906)))</f>
        <v>1475.413282676191</v>
      </c>
      <c r="BJ136" s="371">
        <f ca="1">(IF(AW136="Sim",IF(AU136="Sim",$E$94,EY136),IF(AU136="Sim",FA136,Geometria!$L$907)))</f>
        <v>276.63999050178586</v>
      </c>
      <c r="BL136" s="4" t="s">
        <v>441</v>
      </c>
      <c r="BM136" s="202">
        <f t="shared" ca="1" si="40"/>
        <v>-3588.6305171941945</v>
      </c>
      <c r="BN136" s="38" t="s">
        <v>234</v>
      </c>
      <c r="BO136" s="203">
        <f t="shared" ca="1" si="29"/>
        <v>-3.5886305171941943</v>
      </c>
      <c r="BP136" s="38" t="s">
        <v>160</v>
      </c>
      <c r="BQ136" s="399">
        <f t="shared" si="41"/>
        <v>0.0</v>
      </c>
      <c r="BR136" s="376" t="str">
        <f>IF(OR(AND(BS136&lt;Geometria!$L$1405/100,Geometria!$K$1405&gt;0),AND((Geometria!$L$29/100-BS136)&lt;Geometria!$R$1405/100,Geometria!$Q$1405&gt;0)),"Sim","Não")</f>
        <v>Não</v>
      </c>
      <c r="BS136" s="395">
        <f t="shared" si="30"/>
        <v>4.71</v>
      </c>
      <c r="BT136" s="376" t="str">
        <f>IF(OR(AND(BS136&lt;Geometria!$L$1409/100,OR(Geometria!$K$1409&gt;0,Geometria!$K$1407&gt;0)),AND((Geometria!$L$29/100-BS136)&lt;Geometria!$R$1409/100,OR(Geometria!$Q$1409&gt;0,Geometria!$Q$1407&gt;0))),"Sim","Não")</f>
        <v>Não</v>
      </c>
      <c r="BU136" s="122" t="s">
        <v>441</v>
      </c>
      <c r="BV136" s="198" t="str">
        <f ca="1">BV132</f>
        <v>OK</v>
      </c>
      <c r="BW136" s="401">
        <f t="shared" ca="1" si="31"/>
        <v>4943.486172695844</v>
      </c>
      <c r="BX136" s="403">
        <f ca="1">-(CC136/(Geometria!$L$48/100^2))-(CD136/(Geometria!$L$53/100^3))+((Geometria!$O$419)/(Geometria!$L$53/100^3))+((Geometria!$O$430)/(Geometria!$M$53/100^3))+((Geometria!$L$76*Geometria!$O$441)/(Geometria!$M$53/100^3))</f>
        <v>9209.544517640863</v>
      </c>
      <c r="BY136" s="400">
        <f ca="1">BY132</f>
        <v>111.03210918130361</v>
      </c>
      <c r="BZ136" s="751">
        <f ca="1">-((Geometria!$L$373-(Geometria!$L$373-ER136)*(1-(MIN(MIN(1,MAX(0,(BS136-Geometria!$L$1409/100)/(Geometria!$N$1307/100))),MIN(1,MAX(0,((Geometria!$L$29/100-BS136)-Geometria!$R$1409/100)/(Geometria!$N$1307/100))))))*(IF(OR(Geometria!$K$1409&gt;0,Geometria!$K$1407&gt;0,Geometria!$Q$1409&gt;0,Geometria!$Q$1407&gt;0),1,0))-(Geometria!$L$373-ET136)*(1-(MIN(MIN(1,MAX(0,(BS136-Geometria!$L$1405/100)/(Geometria!$N$1307/100))),MIN(1,MAX(0,((Geometria!$L$29/100-BS136)-Geometria!$R$1405/100)/(Geometria!$N$1307/100))))))*(IF(OR(Geometria!$K$1405&gt;0,Geometria!$K$1403&gt;0,Geometria!$Q$1405&gt;0,Geometria!$Q$1403&gt;0),1,0))))/(Geometria!$L$48/100^2)-((Geometria!$L$374-(Geometria!$L$374-ES136)*(1-(MIN(MIN(1,MAX(0,(BS136-Geometria!$L$1409/100)/(Geometria!$N$1307/100))),MIN(1,MAX(0,((Geometria!$L$29/100-BS136)-Geometria!$R$1409/100)/(Geometria!$N$1307/100))))))*(IF(OR(Geometria!$K$1409&gt;0,Geometria!$K$1407&gt;0,Geometria!$Q$1409&gt;0,Geometria!$Q$1407&gt;0),1,0))-(Geometria!$L$374-EU136)*(1-(MIN(MIN(1,MAX(0,(BS136-Geometria!$L$1405/100)/(Geometria!$N$1307/100))),MIN(1,MAX(0,((Geometria!$L$29/100-BS136)-Geometria!$R$1405/100)/(Geometria!$N$1307/100))))))*(IF(OR(Geometria!$K$1405&gt;0,Geometria!$K$1403&gt;0,Geometria!$Q$1405&gt;0,Geometria!$Q$1403&gt;0),1,0))))/(Geometria!$L$53/100^3)+((Geometria!$O$676)/(Geometria!$L$53/100^3))+((Geometria!$O$687)/(Geometria!$M$53/100^3))+((Geometria!$L$77*Geometria!$O$698)/(Geometria!$M$53/100^3))</f>
        <v>4943.486172695844</v>
      </c>
      <c r="CA136" s="751"/>
      <c r="CC136" s="373">
        <f ca="1">(Geometria!$L$298-(Geometria!$L$298-IF(BS136&lt;Geometria!$L$1409/100,Geometria!$L$1442,Geometria!$L$1460))*(1-(MIN(MIN(1,MAX(0,(BS136-Geometria!$L$1409/100)/(Geometria!$N$1307/100))),MIN(1,MAX(0,((Geometria!$L$29/100-BS136)-Geometria!$R$1409/100)/(Geometria!$N$1307/100))))))*(IF(OR(Geometria!$K$1409&gt;0,Geometria!$K$1407&gt;0,Geometria!$Q$1409&gt;0,Geometria!$Q$1407&gt;0),1,0))-(Geometria!$L$298-IF(BS136&lt;Geometria!$L$1405/100,Geometria!$L$1444,Geometria!$L$1462))*(1-(MIN(MIN(1,MAX(0,(BS136-Geometria!$L$1405/100)/(Geometria!$N$1307/100))),MIN(1,MAX(0,((Geometria!$L$29/100-BS136)-Geometria!$R$1405/100)/(Geometria!$N$1307/100))))))*(IF(OR(Geometria!$K$1405&gt;0,Geometria!$K$1403&gt;0,Geometria!$Q$1405&gt;0,Geometria!$Q$1403&gt;0),1,0)))*BY136+Geometria!$P$1429*BY113</f>
        <v>1243.5596228306003</v>
      </c>
      <c r="CD136" s="373">
        <f ca="1">(Geometria!$L$298-(Geometria!$L$298-IF(BS136&lt;Geometria!$L$1409/100,Geometria!$L$1442,Geometria!$L$1460))*(1-(MIN(MIN(1,MAX(0,(BS136-Geometria!$L$1409/100)/(Geometria!$N$1307/100))),MIN(1,MAX(0,((Geometria!$L$29/100-BS136)-Geometria!$R$1409/100)/(Geometria!$N$1307/100))))))*(IF(OR(Geometria!$K$1409&gt;0,Geometria!$K$1407&gt;0,Geometria!$Q$1409&gt;0,Geometria!$Q$1407&gt;0),1,0))-(Geometria!$L$298-IF(BS136&lt;Geometria!$L$1405/100,Geometria!$L$1444,Geometria!$L$1462))*(1-(MIN(MIN(1,MAX(0,(BS136-Geometria!$L$1405/100)/(Geometria!$N$1307/100))),MIN(1,MAX(0,((Geometria!$L$29/100-BS136)-Geometria!$R$1405/100)/(Geometria!$N$1307/100))))))*(IF(OR(Geometria!$K$1405&gt;0,Geometria!$K$1403&gt;0,Geometria!$Q$1405&gt;0,Geometria!$Q$1403&gt;0),1,0)))*BY136*(Geometria!$L$299-(Geometria!$L$299-IF(BS136&lt;Geometria!$L$1409/100,Geometria!$L$1443,Geometria!$L$1461))*(1-(MIN(MIN(1,MAX(0,(BS136-Geometria!$L$1409/100)/(Geometria!$N$1307/100))),MIN(1,MAX(0,((Geometria!$L$29/100-BS136)-Geometria!$R$1409/100)/(Geometria!$N$1307/100))))))*(IF(OR(Geometria!$K$1409&gt;0,Geometria!$K$1407&gt;0,Geometria!$Q$1409&gt;0,Geometria!$Q$1407&gt;0),1,0))-(Geometria!$L$299-IF(BS136&lt;Geometria!$L$1405/100,Geometria!$L$1445,Geometria!$L$1463))*(1-(MIN(MIN(1,MAX(0,(BS136-Geometria!$L$1405/100)/(Geometria!$N$1307/100))),MIN(1,MAX(0,((Geometria!$L$29/100-BS136)-Geometria!$R$1405/100)/(Geometria!$N$1307/100))))))*(IF(OR(Geometria!$K$1405&gt;0,Geometria!$K$1403&gt;0,Geometria!$Q$1405&gt;0,Geometria!$Q$1403&gt;0),1,0)))/100-Geometria!$P$1429*BY113*Geometria!$L$1438/100</f>
        <v>233.16742928073757</v>
      </c>
      <c r="CE136" s="365"/>
      <c r="CF136" s="371">
        <f ca="1">(IF(BT136="Sim",IF(BR136="Sim",$E$93,EX136),IF(BR136="Sim",EZ136,Geometria!$L$906)))</f>
        <v>1475.413282676191</v>
      </c>
      <c r="CG136" s="371">
        <f ca="1">(IF(BT136="Sim",IF(BR136="Sim",$E$94,EY136),IF(BR136="Sim",FA136,Geometria!$L$907)))</f>
        <v>276.63999050178586</v>
      </c>
      <c r="CI136" s="4" t="s">
        <v>441</v>
      </c>
      <c r="CJ136" s="202">
        <f t="shared" ca="1" si="42"/>
        <v>4943.486172695844</v>
      </c>
      <c r="CK136" s="38" t="s">
        <v>234</v>
      </c>
      <c r="CL136" s="203">
        <f t="shared" ca="1" si="32"/>
        <v>4.943486172695844</v>
      </c>
      <c r="CM136" s="38" t="s">
        <v>160</v>
      </c>
      <c r="CN136" s="399">
        <f t="shared" si="43"/>
        <v>0.0</v>
      </c>
      <c r="CO136" s="376" t="str">
        <f>IF(OR(AND(CP136&lt;Geometria!$L$1405/100,Geometria!$K$1405&gt;0),AND((Geometria!$L$29/100-CP136)&lt;Geometria!$R$1405/100,Geometria!$Q$1405&gt;0)),"Sim","Não")</f>
        <v>Não</v>
      </c>
      <c r="CP136" s="395">
        <f t="shared" si="33"/>
        <v>4.71</v>
      </c>
      <c r="CQ136" s="376" t="str">
        <f>IF(OR(AND(CP136&lt;Geometria!$L$1409/100,OR(Geometria!$K$1409&gt;0,Geometria!$K$1407&gt;0)),AND((Geometria!$L$29/100-CP136)&lt;Geometria!$R$1409/100,OR(Geometria!$Q$1409&gt;0,Geometria!$Q$1407&gt;0))),"Sim","Não")</f>
        <v>Não</v>
      </c>
      <c r="CR136" s="122" t="s">
        <v>441</v>
      </c>
      <c r="CS136" s="198" t="str">
        <f ca="1">CS132</f>
        <v>OK</v>
      </c>
      <c r="CT136" s="401">
        <f t="shared" ca="1" si="34"/>
        <v>-3588.6305171941945</v>
      </c>
      <c r="CU136" s="403">
        <f ca="1">-(CZ136/(Geometria!$L$48/100^2))-(DA136/(Geometria!$L$53/100^3))+((Geometria!$O$419)/(Geometria!$L$53/100^3))+((Geometria!$O$430)/(Geometria!$M$53/100^3))+((Geometria!$L$76*Geometria!$O$441)/(Geometria!$M$53/100^3))</f>
        <v>9209.544517640863</v>
      </c>
      <c r="CV136" s="400">
        <f ca="1">CV132</f>
        <v>111.03210918130361</v>
      </c>
      <c r="CW136" s="751">
        <f ca="1">-((Geometria!$L$373-(Geometria!$L$373-ER136)*(1-(MIN(MIN(1,MAX(0,(CP136-Geometria!$L$1409/100)/(Geometria!$N$1307/100))),MIN(1,MAX(0,((Geometria!$L$29/100-CP136)-Geometria!$R$1409/100)/(Geometria!$N$1307/100))))))*(IF(OR(Geometria!$K$1409&gt;0,Geometria!$K$1407&gt;0,Geometria!$Q$1409&gt;0,Geometria!$Q$1407&gt;0),1,0))-(Geometria!$L$373-ET136)*(1-(MIN(MIN(1,MAX(0,(CP136-Geometria!$L$1405/100)/(Geometria!$N$1307/100))),MIN(1,MAX(0,((Geometria!$L$29/100-CP136)-Geometria!$R$1405/100)/(Geometria!$N$1307/100))))))*(IF(OR(Geometria!$K$1405&gt;0,Geometria!$K$1403&gt;0,Geometria!$Q$1405&gt;0,Geometria!$Q$1403&gt;0),1,0))))/(Geometria!$L$48/100^2)-((Geometria!$L$374-(Geometria!$L$374-ES136)*(1-(MIN(MIN(1,MAX(0,(CP136-Geometria!$L$1409/100)/(Geometria!$N$1307/100))),MIN(1,MAX(0,((Geometria!$L$29/100-CP136)-Geometria!$R$1409/100)/(Geometria!$N$1307/100))))))*(IF(OR(Geometria!$K$1409&gt;0,Geometria!$K$1407&gt;0,Geometria!$Q$1409&gt;0,Geometria!$Q$1407&gt;0),1,0))-(Geometria!$L$374-EU136)*(1-(MIN(MIN(1,MAX(0,(CP136-Geometria!$L$1405/100)/(Geometria!$N$1307/100))),MIN(1,MAX(0,((Geometria!$L$29/100-CP136)-Geometria!$R$1405/100)/(Geometria!$N$1307/100))))))*(IF(OR(Geometria!$K$1405&gt;0,Geometria!$K$1403&gt;0,Geometria!$Q$1405&gt;0,Geometria!$Q$1403&gt;0),1,0))))/(Geometria!$L$53/100^3)+((Geometria!$O$676)/(Geometria!$L$53/100^3))+((Geometria!$O$687)/(Geometria!$M$53/100^3))</f>
        <v>-3588.6305171941945</v>
      </c>
      <c r="CX136" s="751"/>
      <c r="CZ136" s="373">
        <f ca="1">(IF(CQ136="Sim",IF(CO136="Sim",IF(CP136&lt;Geometria!$L$1405/100,Geometria!$L$1435,Geometria!$L$1476),IF(CP136&lt;Geometria!$L$1409/100,Geometria!$L$1442,Geometria!$L$1460)),IF(CO136="Sim",IF(CP136&lt;Geometria!$L$1405/100,Geometria!$L$1444,Geometria!$L$1462),Geometria!$L$298)))*CV136+Geometria!$P$1429*CV113</f>
        <v>1243.5596228306003</v>
      </c>
      <c r="DA136" s="373">
        <f ca="1">(IF(CQ136="Sim",IF(CO136="Sim",IF(CP136&lt;Geometria!$L$1405/100,Geometria!$L$1435,Geometria!$L$1476),IF(CP136&lt;Geometria!$L$1409/100,Geometria!$L$1442,Geometria!$L$1460)),IF(CO136="Sim",IF(CP136&lt;Geometria!$L$1405/100,Geometria!$L$1444,Geometria!$L$1462),Geometria!$L$298)))*CV136*(IF(CQ136="Sim",IF(CO136="Sim",IF(CP136&lt;Geometria!$L$1405/100,Geometria!$L$1436,Geometria!$L$1484),IF(CP136&lt;Geometria!$L$1409/100,Geometria!$L$1443,Geometria!$L$1461)),IF(CO136="Sim",IF(CP136&lt;Geometria!$L$1405/100,Geometria!$L$1445,Geometria!$L$1463),Geometria!$L$299)))/100-Geometria!$P$1429*CV113*Geometria!$L$1438/100</f>
        <v>233.16742928073757</v>
      </c>
      <c r="DB136" s="365"/>
      <c r="DC136" s="371">
        <f ca="1">(IF(CQ136="Sim",IF(CO136="Sim",$E$93,EX136),IF(CO136="Sim",EZ136,Geometria!$L$906)))</f>
        <v>1475.413282676191</v>
      </c>
      <c r="DD136" s="371">
        <f ca="1">(IF(CQ136="Sim",IF(CO136="Sim",$E$94,EY136),IF(CO136="Sim",FA136,Geometria!$L$907)))</f>
        <v>276.63999050178586</v>
      </c>
      <c r="DF136" s="4" t="s">
        <v>441</v>
      </c>
      <c r="DG136" s="202">
        <f t="shared" ca="1" si="44"/>
        <v>-3588.6305171941945</v>
      </c>
      <c r="DH136" s="38" t="s">
        <v>234</v>
      </c>
      <c r="DI136" s="203">
        <f t="shared" ca="1" si="35"/>
        <v>-3.5886305171941943</v>
      </c>
      <c r="DJ136" s="38" t="s">
        <v>160</v>
      </c>
      <c r="DK136" s="399">
        <f t="shared" si="45"/>
        <v>0.0</v>
      </c>
      <c r="EA136">
        <f ca="1">-L136/('Aberturas na Alma'!$M$112/100^2)-M136/('Aberturas na Alma'!$M$120/100^3)+Geometria!$L$898/('Aberturas na Alma'!$M$120/100^3)</f>
        <v>-64840.266040156865</v>
      </c>
      <c r="EB136">
        <f ca="1">-(IF(C136="Sim",IF(A136="Sim",$E$93,EX136),IF(A136="Sim",EZ136,Geometria!$L$906)))/('Aberturas na Alma'!$M$112/100^2)-(IF(C136="Sim",IF(A136="Sim",$E$94,EY136),IF(A136="Sim",FA136,Geometria!$L$907)))/('Aberturas na Alma'!$M$120/100^3)+Geometria!$O$901/('Aberturas na Alma'!$M$120/100^3)</f>
        <v>-24081.31934100915</v>
      </c>
      <c r="EC136">
        <f ca="1">IF(AND('Aberturas na Alma'!$M$18="NÃO DISPENSADO — furo deve ser verificado (cálculo abaixo)",OR(AND(B136&gt;=('Aberturas na Alma'!$M$4-'Aberturas na Alma'!$M$7/2)/100,B136&lt;=('Aberturas na Alma'!$M$4+'Aberturas na Alma'!$M$7/2)/100),ABS(B136-'Aberturas na Alma'!$M$4/100)&lt;=Geometria!$L$29/4000)),IF(E136="Reduzir",EA136,EB136),F136)</f>
        <v>-21378.0300705225</v>
      </c>
      <c r="ED136">
        <f ca="1">-(AI136/('Aberturas na Alma'!$M$112/100^2))-(AJ136/('Aberturas na Alma'!$M$120/100^3))+((Geometria!$O$419)/('Aberturas na Alma'!$M$120/100^3))+((Geometria!$O$430)/('Aberturas na Alma'!$M$120/100^3))+((Geometria!$L$76*Geometria!$O$441)/('Aberturas na Alma'!$M$120/100^3))</f>
        <v>31535.83258651988</v>
      </c>
      <c r="EE136">
        <f ca="1">-((IF(Z136="Sim",IF(X136="Sim",$AB$93,ER136),IF(X136="Sim",ET136,Geometria!$L$373)))/('Aberturas na Alma'!$M$112/100^2))-((IF(Z136="Sim",IF(X136="Sim",$AB$94,ES136),IF(X136="Sim",EU136,Geometria!$L$374)))/('Aberturas na Alma'!$M$120/100^3))+((Geometria!$O$419)/('Aberturas na Alma'!$M$120/100^3))+((Geometria!$O$430)/('Aberturas na Alma'!$M$120/100^3))+((Geometria!$L$76*Geometria!$O$441)/('Aberturas na Alma'!$M$120/100^3))</f>
        <v>31535.83258651988</v>
      </c>
      <c r="EF136" s="371">
        <f ca="1">IF(AND('Aberturas na Alma'!$M$18="NÃO DISPENSADO — furo deve ser verificado (cálculo abaixo)",OR(AND(B136&gt;=('Aberturas na Alma'!$M$4-'Aberturas na Alma'!$M$7/2)/100,B136&lt;=('Aberturas na Alma'!$M$4+'Aberturas na Alma'!$M$7/2)/100),ABS(B136-'Aberturas na Alma'!$M$4/100)&lt;=Geometria!$L$29/4000)),IF(AB136="Reduzir",ED136,EE136),AC136)</f>
        <v>9209.544517640863</v>
      </c>
      <c r="EG136">
        <f ca="1">-(BF136/('Aberturas na Alma'!$M$112/100^2))-(BG136/('Aberturas na Alma'!$M$120/100^3))+((Geometria!$O$419)/('Aberturas na Alma'!$M$120/100^3))+((Geometria!$O$430)/('Aberturas na Alma'!$M$120/100^3))+((Geometria!$L$76*Geometria!$O$441)/('Aberturas na Alma'!$M$120/100^3))</f>
        <v>31535.83258651988</v>
      </c>
      <c r="EH136">
        <f ca="1">-((IF(AW136="Sim",IF(AU136="Sim",$AB$93,ER136),IF(AU136="Sim",ET136,Geometria!$L$373)))/('Aberturas na Alma'!$M$112/100^2))-((IF(AW136="Sim",IF(AU136="Sim",$AB$94,ES136),IF(AU136="Sim",EU136,Geometria!$L$374)))/('Aberturas na Alma'!$M$120/100^3))+((Geometria!$O$419)/('Aberturas na Alma'!$M$120/100^3))+((Geometria!$O$430)/('Aberturas na Alma'!$M$120/100^3))</f>
        <v>-4357.275768664049</v>
      </c>
      <c r="EI136" s="371">
        <f ca="1">IF(AND('Aberturas na Alma'!$M$18="NÃO DISPENSADO — furo deve ser verificado (cálculo abaixo)",OR(AND(B136&gt;=('Aberturas na Alma'!$M$4-'Aberturas na Alma'!$M$7/2)/100,B136&lt;=('Aberturas na Alma'!$M$4+'Aberturas na Alma'!$M$7/2)/100),ABS(B136-'Aberturas na Alma'!$M$4/100)&lt;=Geometria!$L$29/4000)),IF(AY136="Reduzir",EG136,EH136),AZ136)</f>
        <v>-3588.6305171941945</v>
      </c>
      <c r="EJ136">
        <f ca="1">-(CC136/('Aberturas na Alma'!$M$112/100^2))-(CD136/('Aberturas na Alma'!$M$120/100^3))+((Geometria!$O$419)/('Aberturas na Alma'!$M$120/100^3))+((Geometria!$O$430)/('Aberturas na Alma'!$M$120/100^3))+((Geometria!$L$76*Geometria!$O$441)/('Aberturas na Alma'!$M$120/100^3))</f>
        <v>31535.83258651988</v>
      </c>
      <c r="EK136">
        <f ca="1">-((IF(BT136="Sim",IF(BR136="Sim",$AB$93,ER136),IF(BR136="Sim",ET136,Geometria!$L$373)))/('Aberturas na Alma'!$M$112/100^2))-((IF(BT136="Sim",IF(BR136="Sim",$AB$94,ES136),IF(BR136="Sim",EU136,Geometria!$L$374)))/('Aberturas na Alma'!$M$120/100^3))+((Geometria!$O$676)/('Aberturas na Alma'!$M$120/100^3))+((Geometria!$O$687)/('Aberturas na Alma'!$M$120/100^3))+((Geometria!$L$77*Geometria!$O$698)/('Aberturas na Alma'!$M$120/100^3))</f>
        <v>19571.4631347919</v>
      </c>
      <c r="EL136" s="371">
        <f ca="1">IF(AND('Aberturas na Alma'!$M$18="NÃO DISPENSADO — furo deve ser verificado (cálculo abaixo)",OR(AND(B136&gt;=('Aberturas na Alma'!$M$4-'Aberturas na Alma'!$M$7/2)/100,B136&lt;=('Aberturas na Alma'!$M$4+'Aberturas na Alma'!$M$7/2)/100),ABS(B136-'Aberturas na Alma'!$M$4/100)&lt;=Geometria!$L$29/4000)),IF(BV136="Reduzir",EJ136,EK136),BW136)</f>
        <v>4943.486172695844</v>
      </c>
      <c r="EM136">
        <f ca="1">-(CZ136/('Aberturas na Alma'!$M$112/100^2))-(DA136/('Aberturas na Alma'!$M$120/100^3))+((Geometria!$O$419)/('Aberturas na Alma'!$M$120/100^3))+((Geometria!$O$430)/('Aberturas na Alma'!$M$120/100^3))+((Geometria!$L$76*Geometria!$O$441)/('Aberturas na Alma'!$M$120/100^3))</f>
        <v>31535.83258651988</v>
      </c>
      <c r="EN136">
        <f ca="1">-((IF(CQ136="Sim",IF(CO136="Sim",$AB$93,ER136),IF(CO136="Sim",ET136,Geometria!$L$373)))/('Aberturas na Alma'!$M$112/100^2))-((IF(CQ136="Sim",IF(CO136="Sim",$AB$94,ES136),IF(CO136="Sim",EU136,Geometria!$L$374)))/('Aberturas na Alma'!$M$120/100^3))+((Geometria!$O$676)/('Aberturas na Alma'!$M$120/100^3))+((Geometria!$O$687)/('Aberturas na Alma'!$M$120/100^3))</f>
        <v>-4357.275768664049</v>
      </c>
      <c r="EO136" s="371">
        <f ca="1">IF(AND('Aberturas na Alma'!$M$18="NÃO DISPENSADO — furo deve ser verificado (cálculo abaixo)",OR(AND(B136&gt;=('Aberturas na Alma'!$M$4-'Aberturas na Alma'!$M$7/2)/100,B136&lt;=('Aberturas na Alma'!$M$4+'Aberturas na Alma'!$M$7/2)/100),ABS(B136-'Aberturas na Alma'!$M$4/100)&lt;=Geometria!$L$29/4000)),IF(CS136="Reduzir",EM136,EN136),CT136)</f>
        <v>-3588.6305171941945</v>
      </c>
      <c r="EP136" t="str">
        <f>IF(AND(Y136&lt;Geometria!$L$1409/100,OR(Geometria!$K$1409&gt;0,Geometria!$K$1407&gt;0)),"ESQ",IF(AND((Geometria!$L$29/100-Y136)&lt;Geometria!$R$1409/100,OR(Geometria!$Q$1409&gt;0,Geometria!$Q$1407&gt;0)),"DIR","N/A"))</f>
        <v>N/A</v>
      </c>
      <c r="EQ136" t="str">
        <f>IF(AND(Y136&lt;Geometria!$L$1405/100,Geometria!$K$1405&gt;0),"ESQ",IF(AND((Geometria!$L$29/100-Y136)&lt;Geometria!$R$1405/100,Geometria!$Q$1405&gt;0),"DIR","N/A"))</f>
        <v>N/A</v>
      </c>
      <c r="ER136">
        <f ca="1">IF(EP136="DIR",Geometria!$L$1470,Geometria!$L$1452)</f>
        <v>1243.5596228306003</v>
      </c>
      <c r="ES136">
        <f ca="1">IF(EP136="DIR",Geometria!$L$1471,Geometria!$L$1453)</f>
        <v>233.16742928073757</v>
      </c>
      <c r="ET136">
        <f ca="1">IF(EQ136="DIR",Geometria!$L$1472,Geometria!$L$1454)</f>
        <v>621.7798114153002</v>
      </c>
      <c r="EU136">
        <f ca="1">IF(EQ136="DIR",Geometria!$L$1473,Geometria!$L$1455)</f>
        <v>177.20724625336052</v>
      </c>
      <c r="EV136" t="str">
        <f>IF(AND(B136&lt;Geometria!$L$1409/100,OR(Geometria!$K$1409&gt;0,Geometria!$K$1407&gt;0)),"ESQ",IF(AND((Geometria!$L$29/100-B136)&lt;Geometria!$R$1409/100,OR(Geometria!$Q$1409&gt;0,Geometria!$Q$1407&gt;0)),"DIR","N/A"))</f>
        <v>N/A</v>
      </c>
      <c r="EW136" t="str">
        <f>IF(AND(B136&lt;Geometria!$L$1405/100,Geometria!$K$1405&gt;0),"ESQ",IF(AND((Geometria!$L$29/100-B136)&lt;Geometria!$R$1405/100,Geometria!$Q$1405&gt;0),"DIR","N/A"))</f>
        <v>N/A</v>
      </c>
      <c r="EX136">
        <f ca="1">IF(EV136="DIR",Geometria!$L$1465,Geometria!$L$1447)</f>
        <v>1499.8056003831216</v>
      </c>
      <c r="EY136">
        <f ca="1">IF(EV136="DIR",Geometria!$L$1466,Geometria!$L$1448)</f>
        <v>281.2135500718353</v>
      </c>
      <c r="EZ136">
        <f ca="1">IF(EW136="DIR",Geometria!$L$1467,Geometria!$L$1449)</f>
        <v>749.9028001915608</v>
      </c>
      <c r="FA136">
        <f ca="1">IF(EW136="DIR",Geometria!$L$1468,Geometria!$L$1450)</f>
        <v>213.72229805459483</v>
      </c>
    </row>
    <row r="137" spans="1:157" x14ac:dyDescent="0.25">
      <c r="A137" s="376" t="str">
        <f>IF(OR(AND(B137&lt;Geometria!$L$1405/100,Geometria!$K$1405&gt;0),AND((Geometria!$L$29/100-B137)&lt;Geometria!$R$1405/100,Geometria!$Q$1405&gt;0)),"Sim","Não")</f>
        <v>Não</v>
      </c>
      <c r="B137" s="395">
        <f t="shared" si="21"/>
        <v>5.1025</v>
      </c>
      <c r="C137" s="376" t="str">
        <f>IF(OR(AND(B137&lt;Geometria!$L$1409/100,OR(Geometria!$K$1409&gt;0,Geometria!$K$1407&gt;0)),AND((Geometria!$L$29/100-B137)&lt;Geometria!$R$1409/100,OR(Geometria!$Q$1409&gt;0,Geometria!$Q$1407&gt;0))),"Sim","Não")</f>
        <v>Não</v>
      </c>
      <c r="D137" s="122" t="s">
        <v>442</v>
      </c>
      <c r="E137" s="198" t="str">
        <f ca="1">E131</f>
        <v>OK</v>
      </c>
      <c r="F137" s="396">
        <f t="shared" ca="1" si="22"/>
        <v>-21357.1102232985</v>
      </c>
      <c r="G137" s="397">
        <f ca="1">-L137/(Geometria!$L$48/100^2)-M137/(Geometria!$L$53/100^3)+Geometria!$L$898/(Geometria!$L$53/100^3)</f>
        <v>-50661.72124243666</v>
      </c>
      <c r="H137" s="400">
        <f ca="1">H131</f>
        <v>286.4638061125497</v>
      </c>
      <c r="I137" s="743">
        <f ca="1">-(Geometria!$L$906-(Geometria!$L$906-EX137)*(1-(MIN(MIN(1,MAX(0,(B137-Geometria!$L$1409/100)/(Geometria!$N$1307/100))),MIN(1,MAX(0,((Geometria!$L$29/100-B137)-Geometria!$R$1409/100)/(Geometria!$N$1307/100))))))*(IF(OR(Geometria!$K$1409&gt;0,Geometria!$K$1407&gt;0,Geometria!$Q$1409&gt;0,Geometria!$Q$1407&gt;0),1,0))-(Geometria!$L$906-EZ137)*(1-(MIN(MIN(1,MAX(0,(B137-Geometria!$L$1405/100)/(Geometria!$N$1307/100))),MIN(1,MAX(0,((Geometria!$L$29/100-B137)-Geometria!$R$1405/100)/(Geometria!$N$1307/100))))))*(IF(OR(Geometria!$K$1405&gt;0,Geometria!$K$1403&gt;0,Geometria!$Q$1405&gt;0,Geometria!$Q$1403&gt;0),1,0)))/(Geometria!$L$48/100^2)-(Geometria!$L$907-(Geometria!$L$907-EY137)*(1-(MIN(MIN(1,MAX(0,(B137-Geometria!$L$1409/100)/(Geometria!$N$1307/100))),MIN(1,MAX(0,((Geometria!$L$29/100-B137)-Geometria!$R$1409/100)/(Geometria!$N$1307/100))))))*(IF(OR(Geometria!$K$1409&gt;0,Geometria!$K$1407&gt;0,Geometria!$Q$1409&gt;0,Geometria!$Q$1407&gt;0),1,0))-(Geometria!$L$907-FA137)*(1-(MIN(MIN(1,MAX(0,(B137-Geometria!$L$1405/100)/(Geometria!$N$1307/100))),MIN(1,MAX(0,((Geometria!$L$29/100-B137)-Geometria!$R$1405/100)/(Geometria!$N$1307/100))))))*(IF(OR(Geometria!$K$1405&gt;0,Geometria!$K$1403&gt;0,Geometria!$Q$1405&gt;0,Geometria!$Q$1403&gt;0),1,0)))/(Geometria!$L$53/100^3)+Geometria!$P$901/(Geometria!$L$53/100^3)</f>
        <v>-21357.1102232985</v>
      </c>
      <c r="J137" s="743"/>
      <c r="L137" s="373">
        <f ca="1">(Geometria!$L$298-(Geometria!$L$298-IF(B137&lt;Geometria!$L$1409/100,Geometria!$L$1442,Geometria!$L$1460))*(1-(MIN(MIN(1,MAX(0,(B137-Geometria!$L$1409/100)/(Geometria!$N$1307/100))),MIN(1,MAX(0,((Geometria!$L$29/100-B137)-Geometria!$R$1409/100)/(Geometria!$N$1307/100))))))*(IF(OR(Geometria!$K$1409&gt;0,Geometria!$K$1407&gt;0,Geometria!$Q$1409&gt;0,Geometria!$Q$1407&gt;0),1,0))-(Geometria!$L$298-IF(B137&lt;Geometria!$L$1405/100,Geometria!$L$1444,Geometria!$L$1462))*(1-(MIN(MIN(1,MAX(0,(B137-Geometria!$L$1405/100)/(Geometria!$N$1307/100))),MIN(1,MAX(0,((Geometria!$L$29/100-B137)-Geometria!$R$1405/100)/(Geometria!$N$1307/100))))))*(IF(OR(Geometria!$K$1405&gt;0,Geometria!$K$1403&gt;0,Geometria!$Q$1405&gt;0,Geometria!$Q$1403&gt;0),1,0)))*H137+Geometria!$P$1429*H114</f>
        <v>3179.6494109582613</v>
      </c>
      <c r="M137" s="373">
        <f ca="1">(Geometria!$L$298-(Geometria!$L$298-IF(B137&lt;Geometria!$L$1409/100,Geometria!$L$1442,Geometria!$L$1460))*(1-(MIN(MIN(1,MAX(0,(B137-Geometria!$L$1409/100)/(Geometria!$N$1307/100))),MIN(1,MAX(0,((Geometria!$L$29/100-B137)-Geometria!$R$1409/100)/(Geometria!$N$1307/100))))))*(IF(OR(Geometria!$K$1409&gt;0,Geometria!$K$1407&gt;0,Geometria!$Q$1409&gt;0,Geometria!$Q$1407&gt;0),1,0))-(Geometria!$L$298-IF(B137&lt;Geometria!$L$1405/100,Geometria!$L$1444,Geometria!$L$1462))*(1-(MIN(MIN(1,MAX(0,(B137-Geometria!$L$1405/100)/(Geometria!$N$1307/100))),MIN(1,MAX(0,((Geometria!$L$29/100-B137)-Geometria!$R$1405/100)/(Geometria!$N$1307/100))))))*(IF(OR(Geometria!$K$1405&gt;0,Geometria!$K$1403&gt;0,Geometria!$Q$1405&gt;0,Geometria!$Q$1403&gt;0),1,0)))*H137*(Geometria!$L$299-(Geometria!$L$299-IF(B137&lt;Geometria!$L$1409/100,Geometria!$L$1443,Geometria!$L$1461))*(1-(MIN(MIN(1,MAX(0,(B137-Geometria!$L$1409/100)/(Geometria!$N$1307/100))),MIN(1,MAX(0,((Geometria!$L$29/100-B137)-Geometria!$R$1409/100)/(Geometria!$N$1307/100))))))*(IF(OR(Geometria!$K$1409&gt;0,Geometria!$K$1407&gt;0,Geometria!$Q$1409&gt;0,Geometria!$Q$1407&gt;0),1,0))-(Geometria!$L$299-IF(B137&lt;Geometria!$L$1405/100,Geometria!$L$1445,Geometria!$L$1463))*(1-(MIN(MIN(1,MAX(0,(B137-Geometria!$L$1405/100)/(Geometria!$N$1307/100))),MIN(1,MAX(0,((Geometria!$L$29/100-B137)-Geometria!$R$1405/100)/(Geometria!$N$1307/100))))))*(IF(OR(Geometria!$K$1405&gt;0,Geometria!$K$1403&gt;0,Geometria!$Q$1405&gt;0,Geometria!$Q$1403&gt;0),1,0)))/100-Geometria!$P$1429*H114*Geometria!$L$1438/100</f>
        <v>601.7393618149086</v>
      </c>
      <c r="N137" s="365"/>
      <c r="O137" s="371">
        <f ca="1">(IF(C137="Sim",IF(A137="Sim",$E$93,EX137),IF(A137="Sim",EZ137,Geometria!$L$906)))</f>
        <v>1475.413282676191</v>
      </c>
      <c r="P137" s="371">
        <f ca="1">(IF(C137="Sim",IF(A137="Sim",$E$94,EY137),IF(A137="Sim",FA137,Geometria!$L$907)))</f>
        <v>276.63999050178586</v>
      </c>
      <c r="R137" s="4" t="s">
        <v>442</v>
      </c>
      <c r="S137" s="202">
        <f t="shared" ca="1" si="36"/>
        <v>-21357.1102232985</v>
      </c>
      <c r="T137" s="38" t="s">
        <v>234</v>
      </c>
      <c r="U137" s="203">
        <f t="shared" ca="1" si="23"/>
        <v>-21.3571102232985</v>
      </c>
      <c r="V137" s="38" t="s">
        <v>160</v>
      </c>
      <c r="W137" s="399">
        <f t="shared" si="37"/>
        <v>0.0</v>
      </c>
      <c r="X137" s="376" t="str">
        <f>IF(OR(AND(Y137&lt;Geometria!$L$1405/100,Geometria!$K$1405&gt;0),AND((Geometria!$L$29/100-Y137)&lt;Geometria!$R$1405/100,Geometria!$Q$1405&gt;0)),"Sim","Não")</f>
        <v>Não</v>
      </c>
      <c r="Y137" s="395">
        <f t="shared" si="24"/>
        <v>5.1025</v>
      </c>
      <c r="Z137" s="376" t="str">
        <f>IF(OR(AND(Y137&lt;Geometria!$L$1409/100,OR(Geometria!$K$1409&gt;0,Geometria!$K$1407&gt;0)),AND((Geometria!$L$29/100-Y137)&lt;Geometria!$R$1409/100,OR(Geometria!$Q$1409&gt;0,Geometria!$Q$1407&gt;0))),"Sim","Não")</f>
        <v>Não</v>
      </c>
      <c r="AA137" s="122" t="s">
        <v>442</v>
      </c>
      <c r="AB137" s="198" t="str">
        <f ca="1">AB131</f>
        <v>OK</v>
      </c>
      <c r="AC137" s="401">
        <f t="shared" ca="1" si="25"/>
        <v>7812.985116148907</v>
      </c>
      <c r="AD137" s="403">
        <f ca="1">-(AI137/(Geometria!$L$48/100^2))-(AJ137/(Geometria!$L$53/100^3))+((Geometria!$P$419)/(Geometria!$L$53/100^3))+((Geometria!$P$430)/(Geometria!$M$53/100^3))+((Geometria!$L$76*Geometria!$P$441)/(Geometria!$M$53/100^3))</f>
        <v>7695.380186387008</v>
      </c>
      <c r="AE137" s="400">
        <f ca="1">AE131</f>
        <v>111.03210918130361</v>
      </c>
      <c r="AF137" s="751">
        <f ca="1">-((Geometria!$L$373-(Geometria!$L$373-ER137)*(1-(MIN(MIN(1,MAX(0,(Y137-Geometria!$L$1409/100)/(Geometria!$N$1307/100))),MIN(1,MAX(0,((Geometria!$L$29/100-Y137)-Geometria!$R$1409/100)/(Geometria!$N$1307/100))))))*(IF(OR(Geometria!$K$1409&gt;0,Geometria!$K$1407&gt;0,Geometria!$Q$1409&gt;0,Geometria!$Q$1407&gt;0),1,0))-(Geometria!$L$373-ET137)*(1-(MIN(MIN(1,MAX(0,(Y137-Geometria!$L$1405/100)/(Geometria!$N$1307/100))),MIN(1,MAX(0,((Geometria!$L$29/100-Y137)-Geometria!$R$1405/100)/(Geometria!$N$1307/100))))))*(IF(OR(Geometria!$K$1405&gt;0,Geometria!$K$1403&gt;0,Geometria!$Q$1405&gt;0,Geometria!$Q$1403&gt;0),1,0))))/(Geometria!$L$48/100^2)-((Geometria!$L$374-(Geometria!$L$374-ES137)*(1-(MIN(MIN(1,MAX(0,(Y137-Geometria!$L$1409/100)/(Geometria!$N$1307/100))),MIN(1,MAX(0,((Geometria!$L$29/100-Y137)-Geometria!$R$1409/100)/(Geometria!$N$1307/100))))))*(IF(OR(Geometria!$K$1409&gt;0,Geometria!$K$1407&gt;0,Geometria!$Q$1409&gt;0,Geometria!$Q$1407&gt;0),1,0))-(Geometria!$L$374-EU137)*(1-(MIN(MIN(1,MAX(0,(Y137-Geometria!$L$1405/100)/(Geometria!$N$1307/100))),MIN(1,MAX(0,((Geometria!$L$29/100-Y137)-Geometria!$R$1405/100)/(Geometria!$N$1307/100))))))*(IF(OR(Geometria!$K$1405&gt;0,Geometria!$K$1403&gt;0,Geometria!$Q$1405&gt;0,Geometria!$Q$1403&gt;0),1,0))))/(Geometria!$L$53/100^3)+((Geometria!$P$419)/(Geometria!$L$53/100^3))+((Geometria!$P$430)/(Geometria!$M$53/100^3))+((Geometria!$L$76*Geometria!$P$441)/(Geometria!$M$53/100^3))</f>
        <v>7812.985116148907</v>
      </c>
      <c r="AG137" s="751"/>
      <c r="AI137" s="373">
        <f ca="1">(IF(Z137="Sim",IF(X137="Sim",IF(Y137&lt;Geometria!$L$1405/100,Geometria!$L$1435,Geometria!$L$1476),IF(Y137&lt;Geometria!$L$1409/100,Geometria!$L$1442,Geometria!$L$1460)),IF(X137="Sim",IF(Y137&lt;Geometria!$L$1405/100,Geometria!$L$1444,Geometria!$L$1462),Geometria!$L$298)))*AE137+Geometria!$P$1429*AE114</f>
        <v>1243.5596228306003</v>
      </c>
      <c r="AJ137" s="373">
        <f ca="1">(IF(Z137="Sim",IF(X137="Sim",IF(Y137&lt;Geometria!$L$1405/100,Geometria!$L$1435,Geometria!$L$1476),IF(Y137&lt;Geometria!$L$1409/100,Geometria!$L$1442,Geometria!$L$1460)),IF(X137="Sim",IF(Y137&lt;Geometria!$L$1405/100,Geometria!$L$1444,Geometria!$L$1462),Geometria!$L$298)))*AE137*(IF(Z137="Sim",IF(X137="Sim",IF(Y137&lt;Geometria!$L$1405/100,Geometria!$L$1436,Geometria!$L$1484),IF(Y137&lt;Geometria!$L$1409/100,Geometria!$L$1443,Geometria!$L$1461)),IF(X137="Sim",IF(Y137&lt;Geometria!$L$1405/100,Geometria!$L$1445,Geometria!$L$1463),Geometria!$L$299)))/100-Geometria!$P$1429*AE114*Geometria!$L$1438/100</f>
        <v>233.16742928073757</v>
      </c>
      <c r="AK137" s="365"/>
      <c r="AL137" s="371">
        <f ca="1">(IF(Z137="Sim",IF(X137="Sim",$E$93,EX137),IF(X137="Sim",EZ137,Geometria!$L$906)))</f>
        <v>1475.413282676191</v>
      </c>
      <c r="AM137" s="371">
        <f ca="1">(IF(Z137="Sim",IF(X137="Sim",$E$94,EY137),IF(X137="Sim",FA137,Geometria!$L$907)))</f>
        <v>276.63999050178586</v>
      </c>
      <c r="AO137" s="4" t="s">
        <v>442</v>
      </c>
      <c r="AP137" s="202">
        <f t="shared" ca="1" si="38"/>
        <v>7812.985116148907</v>
      </c>
      <c r="AQ137" s="38" t="s">
        <v>234</v>
      </c>
      <c r="AR137" s="203">
        <f t="shared" ca="1" si="26"/>
        <v>7.812985116148907</v>
      </c>
      <c r="AS137" s="38" t="s">
        <v>160</v>
      </c>
      <c r="AT137" s="399">
        <f t="shared" si="39"/>
        <v>0.0</v>
      </c>
      <c r="AU137" s="376" t="str">
        <f>IF(OR(AND(AV137&lt;Geometria!$L$1405/100,Geometria!$K$1405&gt;0),AND((Geometria!$L$29/100-AV137)&lt;Geometria!$R$1405/100,Geometria!$Q$1405&gt;0)),"Sim","Não")</f>
        <v>Não</v>
      </c>
      <c r="AV137" s="395">
        <f t="shared" si="27"/>
        <v>5.1025</v>
      </c>
      <c r="AW137" s="376" t="str">
        <f>IF(OR(AND(AV137&lt;Geometria!$L$1409/100,OR(Geometria!$K$1409&gt;0,Geometria!$K$1407&gt;0)),AND((Geometria!$L$29/100-AV137)&lt;Geometria!$R$1409/100,OR(Geometria!$Q$1409&gt;0,Geometria!$Q$1407&gt;0))),"Sim","Não")</f>
        <v>Não</v>
      </c>
      <c r="AX137" s="122" t="s">
        <v>442</v>
      </c>
      <c r="AY137" s="198" t="str">
        <f ca="1">AY131</f>
        <v>OK</v>
      </c>
      <c r="AZ137" s="401">
        <f t="shared" ca="1" si="28"/>
        <v>-4318.618302288493</v>
      </c>
      <c r="BA137" s="403">
        <f ca="1">-(BF137/(Geometria!$L$48/100^2))-(BG137/(Geometria!$L$53/100^3))+((Geometria!$P$419)/(Geometria!$L$53/100^3))+((Geometria!$P$430)/(Geometria!$M$53/100^3))+((Geometria!$L$76*Geometria!$P$441)/(Geometria!$M$53/100^3))</f>
        <v>7753.716612978144</v>
      </c>
      <c r="BB137" s="400">
        <f ca="1">BB131</f>
        <v>111.03210918130361</v>
      </c>
      <c r="BC137" s="751">
        <f ca="1">-((Geometria!$L$373-(Geometria!$L$373-ER137)*(1-(MIN(MIN(1,MAX(0,(AV137-Geometria!$L$1409/100)/(Geometria!$N$1307/100))),MIN(1,MAX(0,((Geometria!$L$29/100-AV137)-Geometria!$R$1409/100)/(Geometria!$N$1307/100))))))*(IF(OR(Geometria!$K$1409&gt;0,Geometria!$K$1407&gt;0,Geometria!$Q$1409&gt;0,Geometria!$Q$1407&gt;0),1,0))-(Geometria!$L$373-ET137)*(1-(MIN(MIN(1,MAX(0,(AV137-Geometria!$L$1405/100)/(Geometria!$N$1307/100))),MIN(1,MAX(0,((Geometria!$L$29/100-AV137)-Geometria!$R$1405/100)/(Geometria!$N$1307/100))))))*(IF(OR(Geometria!$K$1405&gt;0,Geometria!$K$1403&gt;0,Geometria!$Q$1405&gt;0,Geometria!$Q$1403&gt;0),1,0))))/(Geometria!$L$48/100^2)-((Geometria!$L$374-(Geometria!$L$374-ES137)*(1-(MIN(MIN(1,MAX(0,(AV137-Geometria!$L$1409/100)/(Geometria!$N$1307/100))),MIN(1,MAX(0,((Geometria!$L$29/100-AV137)-Geometria!$R$1409/100)/(Geometria!$N$1307/100))))))*(IF(OR(Geometria!$K$1409&gt;0,Geometria!$K$1407&gt;0,Geometria!$Q$1409&gt;0,Geometria!$Q$1407&gt;0),1,0))-(Geometria!$L$374-EU137)*(1-(MIN(MIN(1,MAX(0,(AV137-Geometria!$L$1405/100)/(Geometria!$N$1307/100))),MIN(1,MAX(0,((Geometria!$L$29/100-AV137)-Geometria!$R$1405/100)/(Geometria!$N$1307/100))))))*(IF(OR(Geometria!$K$1405&gt;0,Geometria!$K$1403&gt;0,Geometria!$Q$1405&gt;0,Geometria!$Q$1403&gt;0),1,0))))/(Geometria!$L$53/100^3)+((Geometria!$P$419)/(Geometria!$L$53/100^3))+((Geometria!$P$430)/(Geometria!$M$53/100^3))</f>
        <v>-4318.618302288493</v>
      </c>
      <c r="BD137" s="751"/>
      <c r="BF137" s="373">
        <f ca="1">(Geometria!$L$298-(Geometria!$L$298-IF(AV137&lt;Geometria!$L$1409/100,Geometria!$L$1442,Geometria!$L$1460))*(1-(MIN(MIN(1,MAX(0,(AV137-Geometria!$L$1409/100)/(Geometria!$N$1307/100))),MIN(1,MAX(0,((Geometria!$L$29/100-AV137)-Geometria!$R$1409/100)/(Geometria!$N$1307/100))))))*(IF(OR(Geometria!$K$1409&gt;0,Geometria!$K$1407&gt;0,Geometria!$Q$1409&gt;0,Geometria!$Q$1407&gt;0),1,0))-(Geometria!$L$298-IF(AV137&lt;Geometria!$L$1405/100,Geometria!$L$1444,Geometria!$L$1462))*(1-(MIN(MIN(1,MAX(0,(AV137-Geometria!$L$1405/100)/(Geometria!$N$1307/100))),MIN(1,MAX(0,((Geometria!$L$29/100-AV137)-Geometria!$R$1405/100)/(Geometria!$N$1307/100))))))*(IF(OR(Geometria!$K$1405&gt;0,Geometria!$K$1403&gt;0,Geometria!$Q$1405&gt;0,Geometria!$Q$1403&gt;0),1,0)))*BB137+Geometria!$P$1429*BB114</f>
        <v>1232.4181031689466</v>
      </c>
      <c r="BG137" s="373">
        <f ca="1">(Geometria!$L$298-(Geometria!$L$298-IF(AV137&lt;Geometria!$L$1409/100,Geometria!$L$1442,Geometria!$L$1460))*(1-(MIN(MIN(1,MAX(0,(AV137-Geometria!$L$1409/100)/(Geometria!$N$1307/100))),MIN(1,MAX(0,((Geometria!$L$29/100-AV137)-Geometria!$R$1409/100)/(Geometria!$N$1307/100))))))*(IF(OR(Geometria!$K$1409&gt;0,Geometria!$K$1407&gt;0,Geometria!$Q$1409&gt;0,Geometria!$Q$1407&gt;0),1,0))-(Geometria!$L$298-IF(AV137&lt;Geometria!$L$1405/100,Geometria!$L$1444,Geometria!$L$1462))*(1-(MIN(MIN(1,MAX(0,(AV137-Geometria!$L$1405/100)/(Geometria!$N$1307/100))),MIN(1,MAX(0,((Geometria!$L$29/100-AV137)-Geometria!$R$1405/100)/(Geometria!$N$1307/100))))))*(IF(OR(Geometria!$K$1405&gt;0,Geometria!$K$1403&gt;0,Geometria!$Q$1405&gt;0,Geometria!$Q$1403&gt;0),1,0)))*BB137*(Geometria!$L$299-(Geometria!$L$299-IF(AV137&lt;Geometria!$L$1409/100,Geometria!$L$1443,Geometria!$L$1461))*(1-(MIN(MIN(1,MAX(0,(AV137-Geometria!$L$1409/100)/(Geometria!$N$1307/100))),MIN(1,MAX(0,((Geometria!$L$29/100-AV137)-Geometria!$R$1409/100)/(Geometria!$N$1307/100))))))*(IF(OR(Geometria!$K$1409&gt;0,Geometria!$K$1407&gt;0,Geometria!$Q$1409&gt;0,Geometria!$Q$1407&gt;0),1,0))-(Geometria!$L$299-IF(AV137&lt;Geometria!$L$1405/100,Geometria!$L$1445,Geometria!$L$1463))*(1-(MIN(MIN(1,MAX(0,(AV137-Geometria!$L$1405/100)/(Geometria!$N$1307/100))),MIN(1,MAX(0,((Geometria!$L$29/100-AV137)-Geometria!$R$1405/100)/(Geometria!$N$1307/100))))))*(IF(OR(Geometria!$K$1405&gt;0,Geometria!$K$1403&gt;0,Geometria!$Q$1405&gt;0,Geometria!$Q$1403&gt;0),1,0)))/100-Geometria!$P$1429*BB114*Geometria!$L$1438/100</f>
        <v>233.2315255682624</v>
      </c>
      <c r="BH137" s="365"/>
      <c r="BI137" s="371">
        <f ca="1">(IF(AW137="Sim",IF(AU137="Sim",$E$93,EX137),IF(AU137="Sim",EZ137,Geometria!$L$906)))</f>
        <v>1475.413282676191</v>
      </c>
      <c r="BJ137" s="371">
        <f ca="1">(IF(AW137="Sim",IF(AU137="Sim",$E$94,EY137),IF(AU137="Sim",FA137,Geometria!$L$907)))</f>
        <v>276.63999050178586</v>
      </c>
      <c r="BL137" s="4" t="s">
        <v>442</v>
      </c>
      <c r="BM137" s="202">
        <f t="shared" ca="1" si="40"/>
        <v>-4318.618302288493</v>
      </c>
      <c r="BN137" s="38" t="s">
        <v>234</v>
      </c>
      <c r="BO137" s="203">
        <f t="shared" ca="1" si="29"/>
        <v>-4.318618302288494</v>
      </c>
      <c r="BP137" s="38" t="s">
        <v>160</v>
      </c>
      <c r="BQ137" s="399">
        <f t="shared" si="41"/>
        <v>0.0</v>
      </c>
      <c r="BR137" s="376" t="str">
        <f>IF(OR(AND(BS137&lt;Geometria!$L$1405/100,Geometria!$K$1405&gt;0),AND((Geometria!$L$29/100-BS137)&lt;Geometria!$R$1405/100,Geometria!$Q$1405&gt;0)),"Sim","Não")</f>
        <v>Não</v>
      </c>
      <c r="BS137" s="395">
        <f t="shared" si="30"/>
        <v>5.1025</v>
      </c>
      <c r="BT137" s="376" t="str">
        <f>IF(OR(AND(BS137&lt;Geometria!$L$1409/100,OR(Geometria!$K$1409&gt;0,Geometria!$K$1407&gt;0)),AND((Geometria!$L$29/100-BS137)&lt;Geometria!$R$1409/100,OR(Geometria!$Q$1409&gt;0,Geometria!$Q$1407&gt;0))),"Sim","Não")</f>
        <v>Não</v>
      </c>
      <c r="BU137" s="122" t="s">
        <v>442</v>
      </c>
      <c r="BV137" s="198" t="str">
        <f ca="1">BV131</f>
        <v>OK</v>
      </c>
      <c r="BW137" s="401">
        <f t="shared" ca="1" si="31"/>
        <v>3769.1173100031074</v>
      </c>
      <c r="BX137" s="403">
        <f ca="1">-(CC137/(Geometria!$L$48/100^2))-(CD137/(Geometria!$L$53/100^3))+((Geometria!$P$419)/(Geometria!$L$53/100^3))+((Geometria!$P$430)/(Geometria!$M$53/100^3))+((Geometria!$L$76*Geometria!$P$441)/(Geometria!$M$53/100^3))</f>
        <v>7753.716612978144</v>
      </c>
      <c r="BY137" s="400">
        <f ca="1">BY131</f>
        <v>111.03210918130361</v>
      </c>
      <c r="BZ137" s="751">
        <f ca="1">-((Geometria!$L$373-(Geometria!$L$373-ER137)*(1-(MIN(MIN(1,MAX(0,(BS137-Geometria!$L$1409/100)/(Geometria!$N$1307/100))),MIN(1,MAX(0,((Geometria!$L$29/100-BS137)-Geometria!$R$1409/100)/(Geometria!$N$1307/100))))))*(IF(OR(Geometria!$K$1409&gt;0,Geometria!$K$1407&gt;0,Geometria!$Q$1409&gt;0,Geometria!$Q$1407&gt;0),1,0))-(Geometria!$L$373-ET137)*(1-(MIN(MIN(1,MAX(0,(BS137-Geometria!$L$1405/100)/(Geometria!$N$1307/100))),MIN(1,MAX(0,((Geometria!$L$29/100-BS137)-Geometria!$R$1405/100)/(Geometria!$N$1307/100))))))*(IF(OR(Geometria!$K$1405&gt;0,Geometria!$K$1403&gt;0,Geometria!$Q$1405&gt;0,Geometria!$Q$1403&gt;0),1,0))))/(Geometria!$L$48/100^2)-((Geometria!$L$374-(Geometria!$L$374-ES137)*(1-(MIN(MIN(1,MAX(0,(BS137-Geometria!$L$1409/100)/(Geometria!$N$1307/100))),MIN(1,MAX(0,((Geometria!$L$29/100-BS137)-Geometria!$R$1409/100)/(Geometria!$N$1307/100))))))*(IF(OR(Geometria!$K$1409&gt;0,Geometria!$K$1407&gt;0,Geometria!$Q$1409&gt;0,Geometria!$Q$1407&gt;0),1,0))-(Geometria!$L$374-EU137)*(1-(MIN(MIN(1,MAX(0,(BS137-Geometria!$L$1405/100)/(Geometria!$N$1307/100))),MIN(1,MAX(0,((Geometria!$L$29/100-BS137)-Geometria!$R$1405/100)/(Geometria!$N$1307/100))))))*(IF(OR(Geometria!$K$1405&gt;0,Geometria!$K$1403&gt;0,Geometria!$Q$1405&gt;0,Geometria!$Q$1403&gt;0),1,0))))/(Geometria!$L$53/100^3)+((Geometria!$P$676)/(Geometria!$L$53/100^3))+((Geometria!$P$687)/(Geometria!$M$53/100^3))+((Geometria!$L$77*Geometria!$P$698)/(Geometria!$M$53/100^3))</f>
        <v>3769.1173100031074</v>
      </c>
      <c r="CA137" s="751"/>
      <c r="CC137" s="373">
        <f ca="1">(Geometria!$L$298-(Geometria!$L$298-IF(BS137&lt;Geometria!$L$1409/100,Geometria!$L$1442,Geometria!$L$1460))*(1-(MIN(MIN(1,MAX(0,(BS137-Geometria!$L$1409/100)/(Geometria!$N$1307/100))),MIN(1,MAX(0,((Geometria!$L$29/100-BS137)-Geometria!$R$1409/100)/(Geometria!$N$1307/100))))))*(IF(OR(Geometria!$K$1409&gt;0,Geometria!$K$1407&gt;0,Geometria!$Q$1409&gt;0,Geometria!$Q$1407&gt;0),1,0))-(Geometria!$L$298-IF(BS137&lt;Geometria!$L$1405/100,Geometria!$L$1444,Geometria!$L$1462))*(1-(MIN(MIN(1,MAX(0,(BS137-Geometria!$L$1405/100)/(Geometria!$N$1307/100))),MIN(1,MAX(0,((Geometria!$L$29/100-BS137)-Geometria!$R$1405/100)/(Geometria!$N$1307/100))))))*(IF(OR(Geometria!$K$1405&gt;0,Geometria!$K$1403&gt;0,Geometria!$Q$1405&gt;0,Geometria!$Q$1403&gt;0),1,0)))*BY137+Geometria!$P$1429*BY114</f>
        <v>1232.4181031689466</v>
      </c>
      <c r="CD137" s="373">
        <f ca="1">(Geometria!$L$298-(Geometria!$L$298-IF(BS137&lt;Geometria!$L$1409/100,Geometria!$L$1442,Geometria!$L$1460))*(1-(MIN(MIN(1,MAX(0,(BS137-Geometria!$L$1409/100)/(Geometria!$N$1307/100))),MIN(1,MAX(0,((Geometria!$L$29/100-BS137)-Geometria!$R$1409/100)/(Geometria!$N$1307/100))))))*(IF(OR(Geometria!$K$1409&gt;0,Geometria!$K$1407&gt;0,Geometria!$Q$1409&gt;0,Geometria!$Q$1407&gt;0),1,0))-(Geometria!$L$298-IF(BS137&lt;Geometria!$L$1405/100,Geometria!$L$1444,Geometria!$L$1462))*(1-(MIN(MIN(1,MAX(0,(BS137-Geometria!$L$1405/100)/(Geometria!$N$1307/100))),MIN(1,MAX(0,((Geometria!$L$29/100-BS137)-Geometria!$R$1405/100)/(Geometria!$N$1307/100))))))*(IF(OR(Geometria!$K$1405&gt;0,Geometria!$K$1403&gt;0,Geometria!$Q$1405&gt;0,Geometria!$Q$1403&gt;0),1,0)))*BY137*(Geometria!$L$299-(Geometria!$L$299-IF(BS137&lt;Geometria!$L$1409/100,Geometria!$L$1443,Geometria!$L$1461))*(1-(MIN(MIN(1,MAX(0,(BS137-Geometria!$L$1409/100)/(Geometria!$N$1307/100))),MIN(1,MAX(0,((Geometria!$L$29/100-BS137)-Geometria!$R$1409/100)/(Geometria!$N$1307/100))))))*(IF(OR(Geometria!$K$1409&gt;0,Geometria!$K$1407&gt;0,Geometria!$Q$1409&gt;0,Geometria!$Q$1407&gt;0),1,0))-(Geometria!$L$299-IF(BS137&lt;Geometria!$L$1405/100,Geometria!$L$1445,Geometria!$L$1463))*(1-(MIN(MIN(1,MAX(0,(BS137-Geometria!$L$1405/100)/(Geometria!$N$1307/100))),MIN(1,MAX(0,((Geometria!$L$29/100-BS137)-Geometria!$R$1405/100)/(Geometria!$N$1307/100))))))*(IF(OR(Geometria!$K$1405&gt;0,Geometria!$K$1403&gt;0,Geometria!$Q$1405&gt;0,Geometria!$Q$1403&gt;0),1,0)))/100-Geometria!$P$1429*BY114*Geometria!$L$1438/100</f>
        <v>233.2315255682624</v>
      </c>
      <c r="CE137" s="365"/>
      <c r="CF137" s="371">
        <f ca="1">(IF(BT137="Sim",IF(BR137="Sim",$E$93,EX137),IF(BR137="Sim",EZ137,Geometria!$L$906)))</f>
        <v>1475.413282676191</v>
      </c>
      <c r="CG137" s="371">
        <f ca="1">(IF(BT137="Sim",IF(BR137="Sim",$E$94,EY137),IF(BR137="Sim",FA137,Geometria!$L$907)))</f>
        <v>276.63999050178586</v>
      </c>
      <c r="CI137" s="4" t="s">
        <v>442</v>
      </c>
      <c r="CJ137" s="202">
        <f t="shared" ca="1" si="42"/>
        <v>3769.1173100031074</v>
      </c>
      <c r="CK137" s="38" t="s">
        <v>234</v>
      </c>
      <c r="CL137" s="203">
        <f t="shared" ca="1" si="32"/>
        <v>3.7691173100031072</v>
      </c>
      <c r="CM137" s="38" t="s">
        <v>160</v>
      </c>
      <c r="CN137" s="399">
        <f t="shared" si="43"/>
        <v>0.0</v>
      </c>
      <c r="CO137" s="376" t="str">
        <f>IF(OR(AND(CP137&lt;Geometria!$L$1405/100,Geometria!$K$1405&gt;0),AND((Geometria!$L$29/100-CP137)&lt;Geometria!$R$1405/100,Geometria!$Q$1405&gt;0)),"Sim","Não")</f>
        <v>Não</v>
      </c>
      <c r="CP137" s="395">
        <f t="shared" si="33"/>
        <v>5.1025</v>
      </c>
      <c r="CQ137" s="376" t="str">
        <f>IF(OR(AND(CP137&lt;Geometria!$L$1409/100,OR(Geometria!$K$1409&gt;0,Geometria!$K$1407&gt;0)),AND((Geometria!$L$29/100-CP137)&lt;Geometria!$R$1409/100,OR(Geometria!$Q$1409&gt;0,Geometria!$Q$1407&gt;0))),"Sim","Não")</f>
        <v>Não</v>
      </c>
      <c r="CR137" s="122" t="s">
        <v>442</v>
      </c>
      <c r="CS137" s="198" t="str">
        <f ca="1">CS131</f>
        <v>OK</v>
      </c>
      <c r="CT137" s="401">
        <f t="shared" ca="1" si="34"/>
        <v>-4318.618302288493</v>
      </c>
      <c r="CU137" s="403">
        <f ca="1">-(CZ137/(Geometria!$L$48/100^2))-(DA137/(Geometria!$L$53/100^3))+((Geometria!$P$419)/(Geometria!$L$53/100^3))+((Geometria!$P$430)/(Geometria!$M$53/100^3))+((Geometria!$L$76*Geometria!$P$441)/(Geometria!$M$53/100^3))</f>
        <v>7695.380186387008</v>
      </c>
      <c r="CV137" s="400">
        <f ca="1">CV131</f>
        <v>111.03210918130361</v>
      </c>
      <c r="CW137" s="751">
        <f ca="1">-((Geometria!$L$373-(Geometria!$L$373-ER137)*(1-(MIN(MIN(1,MAX(0,(CP137-Geometria!$L$1409/100)/(Geometria!$N$1307/100))),MIN(1,MAX(0,((Geometria!$L$29/100-CP137)-Geometria!$R$1409/100)/(Geometria!$N$1307/100))))))*(IF(OR(Geometria!$K$1409&gt;0,Geometria!$K$1407&gt;0,Geometria!$Q$1409&gt;0,Geometria!$Q$1407&gt;0),1,0))-(Geometria!$L$373-ET137)*(1-(MIN(MIN(1,MAX(0,(CP137-Geometria!$L$1405/100)/(Geometria!$N$1307/100))),MIN(1,MAX(0,((Geometria!$L$29/100-CP137)-Geometria!$R$1405/100)/(Geometria!$N$1307/100))))))*(IF(OR(Geometria!$K$1405&gt;0,Geometria!$K$1403&gt;0,Geometria!$Q$1405&gt;0,Geometria!$Q$1403&gt;0),1,0))))/(Geometria!$L$48/100^2)-((Geometria!$L$374-(Geometria!$L$374-ES137)*(1-(MIN(MIN(1,MAX(0,(CP137-Geometria!$L$1409/100)/(Geometria!$N$1307/100))),MIN(1,MAX(0,((Geometria!$L$29/100-CP137)-Geometria!$R$1409/100)/(Geometria!$N$1307/100))))))*(IF(OR(Geometria!$K$1409&gt;0,Geometria!$K$1407&gt;0,Geometria!$Q$1409&gt;0,Geometria!$Q$1407&gt;0),1,0))-(Geometria!$L$374-EU137)*(1-(MIN(MIN(1,MAX(0,(CP137-Geometria!$L$1405/100)/(Geometria!$N$1307/100))),MIN(1,MAX(0,((Geometria!$L$29/100-CP137)-Geometria!$R$1405/100)/(Geometria!$N$1307/100))))))*(IF(OR(Geometria!$K$1405&gt;0,Geometria!$K$1403&gt;0,Geometria!$Q$1405&gt;0,Geometria!$Q$1403&gt;0),1,0))))/(Geometria!$L$53/100^3)+((Geometria!$P$676)/(Geometria!$L$53/100^3))+((Geometria!$P$687)/(Geometria!$M$53/100^3))</f>
        <v>-4318.618302288493</v>
      </c>
      <c r="CX137" s="751"/>
      <c r="CZ137" s="373">
        <f ca="1">(IF(CQ137="Sim",IF(CO137="Sim",IF(CP137&lt;Geometria!$L$1405/100,Geometria!$L$1435,Geometria!$L$1476),IF(CP137&lt;Geometria!$L$1409/100,Geometria!$L$1442,Geometria!$L$1460)),IF(CO137="Sim",IF(CP137&lt;Geometria!$L$1405/100,Geometria!$L$1444,Geometria!$L$1462),Geometria!$L$298)))*CV137+Geometria!$P$1429*CV114</f>
        <v>1243.5596228306003</v>
      </c>
      <c r="DA137" s="373">
        <f ca="1">(IF(CQ137="Sim",IF(CO137="Sim",IF(CP137&lt;Geometria!$L$1405/100,Geometria!$L$1435,Geometria!$L$1476),IF(CP137&lt;Geometria!$L$1409/100,Geometria!$L$1442,Geometria!$L$1460)),IF(CO137="Sim",IF(CP137&lt;Geometria!$L$1405/100,Geometria!$L$1444,Geometria!$L$1462),Geometria!$L$298)))*CV137*(IF(CQ137="Sim",IF(CO137="Sim",IF(CP137&lt;Geometria!$L$1405/100,Geometria!$L$1436,Geometria!$L$1484),IF(CP137&lt;Geometria!$L$1409/100,Geometria!$L$1443,Geometria!$L$1461)),IF(CO137="Sim",IF(CP137&lt;Geometria!$L$1405/100,Geometria!$L$1445,Geometria!$L$1463),Geometria!$L$299)))/100-Geometria!$P$1429*CV114*Geometria!$L$1438/100</f>
        <v>233.16742928073757</v>
      </c>
      <c r="DB137" s="365"/>
      <c r="DC137" s="371">
        <f ca="1">(IF(CQ137="Sim",IF(CO137="Sim",$E$93,EX137),IF(CO137="Sim",EZ137,Geometria!$L$906)))</f>
        <v>1475.413282676191</v>
      </c>
      <c r="DD137" s="371">
        <f ca="1">(IF(CQ137="Sim",IF(CO137="Sim",$E$94,EY137),IF(CO137="Sim",FA137,Geometria!$L$907)))</f>
        <v>276.63999050178586</v>
      </c>
      <c r="DF137" s="4" t="s">
        <v>442</v>
      </c>
      <c r="DG137" s="202">
        <f t="shared" ca="1" si="44"/>
        <v>-4318.618302288493</v>
      </c>
      <c r="DH137" s="38" t="s">
        <v>234</v>
      </c>
      <c r="DI137" s="203">
        <f t="shared" ca="1" si="35"/>
        <v>-4.318618302288494</v>
      </c>
      <c r="DJ137" s="38" t="s">
        <v>160</v>
      </c>
      <c r="DK137" s="399">
        <f t="shared" si="45"/>
        <v>0.0</v>
      </c>
      <c r="EA137">
        <f ca="1">-L137/('Aberturas na Alma'!$M$112/100^2)-M137/('Aberturas na Alma'!$M$120/100^3)+Geometria!$L$898/('Aberturas na Alma'!$M$120/100^3)</f>
        <v>-56477.47084409398</v>
      </c>
      <c r="EB137">
        <f ca="1">-(IF(C137="Sim",IF(A137="Sim",$E$93,EX137),IF(A137="Sim",EZ137,Geometria!$L$906)))/('Aberturas na Alma'!$M$112/100^2)-(IF(C137="Sim",IF(A137="Sim",$E$94,EY137),IF(A137="Sim",FA137,Geometria!$L$907)))/('Aberturas na Alma'!$M$120/100^3)+Geometria!$P$901/('Aberturas na Alma'!$M$120/100^3)</f>
        <v>-24195.006470435368</v>
      </c>
      <c r="EC137">
        <f ca="1">IF(AND('Aberturas na Alma'!$M$18="NÃO DISPENSADO — furo deve ser verificado (cálculo abaixo)",OR(AND(B137&gt;=('Aberturas na Alma'!$M$4-'Aberturas na Alma'!$M$7/2)/100,B137&lt;=('Aberturas na Alma'!$M$4+'Aberturas na Alma'!$M$7/2)/100),ABS(B137-'Aberturas na Alma'!$M$4/100)&lt;=Geometria!$L$29/4000)),IF(E137="Reduzir",EA137,EB137),F137)</f>
        <v>-21357.1102232985</v>
      </c>
      <c r="ED137">
        <f ca="1">-(AI137/('Aberturas na Alma'!$M$112/100^2))-(AJ137/('Aberturas na Alma'!$M$120/100^3))+((Geometria!$P$419)/('Aberturas na Alma'!$M$120/100^3))+((Geometria!$P$430)/('Aberturas na Alma'!$M$120/100^3))+((Geometria!$L$76*Geometria!$P$441)/('Aberturas na Alma'!$M$120/100^3))</f>
        <v>28740.38082854344</v>
      </c>
      <c r="EE137">
        <f ca="1">-((IF(Z137="Sim",IF(X137="Sim",$AB$93,ER137),IF(X137="Sim",ET137,Geometria!$L$373)))/('Aberturas na Alma'!$M$112/100^2))-((IF(Z137="Sim",IF(X137="Sim",$AB$94,ES137),IF(X137="Sim",EU137,Geometria!$L$374)))/('Aberturas na Alma'!$M$120/100^3))+((Geometria!$P$419)/('Aberturas na Alma'!$M$120/100^3))+((Geometria!$P$430)/('Aberturas na Alma'!$M$120/100^3))+((Geometria!$L$76*Geometria!$P$441)/('Aberturas na Alma'!$M$120/100^3))</f>
        <v>28740.38082854344</v>
      </c>
      <c r="EF137" s="371">
        <f ca="1">IF(AND('Aberturas na Alma'!$M$18="NÃO DISPENSADO — furo deve ser verificado (cálculo abaixo)",OR(AND(B137&gt;=('Aberturas na Alma'!$M$4-'Aberturas na Alma'!$M$7/2)/100,B137&lt;=('Aberturas na Alma'!$M$4+'Aberturas na Alma'!$M$7/2)/100),ABS(B137-'Aberturas na Alma'!$M$4/100)&lt;=Geometria!$L$29/4000)),IF(AB137="Reduzir",ED137,EE137),AC137)</f>
        <v>7812.985116148907</v>
      </c>
      <c r="EG137">
        <f ca="1">-(BF137/('Aberturas na Alma'!$M$112/100^2))-(BG137/('Aberturas na Alma'!$M$120/100^3))+((Geometria!$P$419)/('Aberturas na Alma'!$M$120/100^3))+((Geometria!$P$430)/('Aberturas na Alma'!$M$120/100^3))+((Geometria!$L$76*Geometria!$P$441)/('Aberturas na Alma'!$M$120/100^3))</f>
        <v>28819.357521789298</v>
      </c>
      <c r="EH137">
        <f ca="1">-((IF(AW137="Sim",IF(AU137="Sim",$AB$93,ER137),IF(AU137="Sim",ET137,Geometria!$L$373)))/('Aberturas na Alma'!$M$112/100^2))-((IF(AW137="Sim",IF(AU137="Sim",$AB$94,ES137),IF(AU137="Sim",EU137,Geometria!$L$374)))/('Aberturas na Alma'!$M$120/100^3))+((Geometria!$P$419)/('Aberturas na Alma'!$M$120/100^3))+((Geometria!$P$430)/('Aberturas na Alma'!$M$120/100^3))</f>
        <v>-5283.294799807994</v>
      </c>
      <c r="EI137" s="371">
        <f ca="1">IF(AND('Aberturas na Alma'!$M$18="NÃO DISPENSADO — furo deve ser verificado (cálculo abaixo)",OR(AND(B137&gt;=('Aberturas na Alma'!$M$4-'Aberturas na Alma'!$M$7/2)/100,B137&lt;=('Aberturas na Alma'!$M$4+'Aberturas na Alma'!$M$7/2)/100),ABS(B137-'Aberturas na Alma'!$M$4/100)&lt;=Geometria!$L$29/4000)),IF(AY137="Reduzir",EG137,EH137),AZ137)</f>
        <v>-4318.618302288493</v>
      </c>
      <c r="EJ137">
        <f ca="1">-(CC137/('Aberturas na Alma'!$M$112/100^2))-(CD137/('Aberturas na Alma'!$M$120/100^3))+((Geometria!$P$419)/('Aberturas na Alma'!$M$120/100^3))+((Geometria!$P$430)/('Aberturas na Alma'!$M$120/100^3))+((Geometria!$L$76*Geometria!$P$441)/('Aberturas na Alma'!$M$120/100^3))</f>
        <v>28819.357521789298</v>
      </c>
      <c r="EK137">
        <f ca="1">-((IF(BT137="Sim",IF(BR137="Sim",$AB$93,ER137),IF(BR137="Sim",ET137,Geometria!$L$373)))/('Aberturas na Alma'!$M$112/100^2))-((IF(BT137="Sim",IF(BR137="Sim",$AB$94,ES137),IF(BR137="Sim",EU137,Geometria!$L$374)))/('Aberturas na Alma'!$M$120/100^3))+((Geometria!$P$676)/('Aberturas na Alma'!$M$120/100^3))+((Geometria!$P$687)/('Aberturas na Alma'!$M$120/100^3))+((Geometria!$L$77*Geometria!$P$698)/('Aberturas na Alma'!$M$120/100^3))</f>
        <v>17399.155619092962</v>
      </c>
      <c r="EL137" s="371">
        <f ca="1">IF(AND('Aberturas na Alma'!$M$18="NÃO DISPENSADO — furo deve ser verificado (cálculo abaixo)",OR(AND(B137&gt;=('Aberturas na Alma'!$M$4-'Aberturas na Alma'!$M$7/2)/100,B137&lt;=('Aberturas na Alma'!$M$4+'Aberturas na Alma'!$M$7/2)/100),ABS(B137-'Aberturas na Alma'!$M$4/100)&lt;=Geometria!$L$29/4000)),IF(BV137="Reduzir",EJ137,EK137),BW137)</f>
        <v>3769.1173100031074</v>
      </c>
      <c r="EM137">
        <f ca="1">-(CZ137/('Aberturas na Alma'!$M$112/100^2))-(DA137/('Aberturas na Alma'!$M$120/100^3))+((Geometria!$P$419)/('Aberturas na Alma'!$M$120/100^3))+((Geometria!$P$430)/('Aberturas na Alma'!$M$120/100^3))+((Geometria!$L$76*Geometria!$P$441)/('Aberturas na Alma'!$M$120/100^3))</f>
        <v>28740.38082854344</v>
      </c>
      <c r="EN137">
        <f ca="1">-((IF(CQ137="Sim",IF(CO137="Sim",$AB$93,ER137),IF(CO137="Sim",ET137,Geometria!$L$373)))/('Aberturas na Alma'!$M$112/100^2))-((IF(CQ137="Sim",IF(CO137="Sim",$AB$94,ES137),IF(CO137="Sim",EU137,Geometria!$L$374)))/('Aberturas na Alma'!$M$120/100^3))+((Geometria!$P$676)/('Aberturas na Alma'!$M$120/100^3))+((Geometria!$P$687)/('Aberturas na Alma'!$M$120/100^3))</f>
        <v>-5283.294799807994</v>
      </c>
      <c r="EO137" s="371">
        <f ca="1">IF(AND('Aberturas na Alma'!$M$18="NÃO DISPENSADO — furo deve ser verificado (cálculo abaixo)",OR(AND(B137&gt;=('Aberturas na Alma'!$M$4-'Aberturas na Alma'!$M$7/2)/100,B137&lt;=('Aberturas na Alma'!$M$4+'Aberturas na Alma'!$M$7/2)/100),ABS(B137-'Aberturas na Alma'!$M$4/100)&lt;=Geometria!$L$29/4000)),IF(CS137="Reduzir",EM137,EN137),CT137)</f>
        <v>-4318.618302288493</v>
      </c>
      <c r="EP137" t="str">
        <f>IF(AND(Y137&lt;Geometria!$L$1409/100,OR(Geometria!$K$1409&gt;0,Geometria!$K$1407&gt;0)),"ESQ",IF(AND((Geometria!$L$29/100-Y137)&lt;Geometria!$R$1409/100,OR(Geometria!$Q$1409&gt;0,Geometria!$Q$1407&gt;0)),"DIR","N/A"))</f>
        <v>N/A</v>
      </c>
      <c r="EQ137" t="str">
        <f>IF(AND(Y137&lt;Geometria!$L$1405/100,Geometria!$K$1405&gt;0),"ESQ",IF(AND((Geometria!$L$29/100-Y137)&lt;Geometria!$R$1405/100,Geometria!$Q$1405&gt;0),"DIR","N/A"))</f>
        <v>N/A</v>
      </c>
      <c r="ER137">
        <f ca="1">IF(EP137="DIR",Geometria!$L$1470,Geometria!$L$1452)</f>
        <v>1243.5596228306003</v>
      </c>
      <c r="ES137">
        <f ca="1">IF(EP137="DIR",Geometria!$L$1471,Geometria!$L$1453)</f>
        <v>233.16742928073757</v>
      </c>
      <c r="ET137">
        <f ca="1">IF(EQ137="DIR",Geometria!$L$1472,Geometria!$L$1454)</f>
        <v>621.7798114153002</v>
      </c>
      <c r="EU137">
        <f ca="1">IF(EQ137="DIR",Geometria!$L$1473,Geometria!$L$1455)</f>
        <v>177.20724625336052</v>
      </c>
      <c r="EV137" t="str">
        <f>IF(AND(B137&lt;Geometria!$L$1409/100,OR(Geometria!$K$1409&gt;0,Geometria!$K$1407&gt;0)),"ESQ",IF(AND((Geometria!$L$29/100-B137)&lt;Geometria!$R$1409/100,OR(Geometria!$Q$1409&gt;0,Geometria!$Q$1407&gt;0)),"DIR","N/A"))</f>
        <v>N/A</v>
      </c>
      <c r="EW137" t="str">
        <f>IF(AND(B137&lt;Geometria!$L$1405/100,Geometria!$K$1405&gt;0),"ESQ",IF(AND((Geometria!$L$29/100-B137)&lt;Geometria!$R$1405/100,Geometria!$Q$1405&gt;0),"DIR","N/A"))</f>
        <v>N/A</v>
      </c>
      <c r="EX137">
        <f ca="1">IF(EV137="DIR",Geometria!$L$1465,Geometria!$L$1447)</f>
        <v>1499.8056003831216</v>
      </c>
      <c r="EY137">
        <f ca="1">IF(EV137="DIR",Geometria!$L$1466,Geometria!$L$1448)</f>
        <v>281.2135500718353</v>
      </c>
      <c r="EZ137">
        <f ca="1">IF(EW137="DIR",Geometria!$L$1467,Geometria!$L$1449)</f>
        <v>749.9028001915608</v>
      </c>
      <c r="FA137">
        <f ca="1">IF(EW137="DIR",Geometria!$L$1468,Geometria!$L$1450)</f>
        <v>213.72229805459483</v>
      </c>
    </row>
    <row r="138" spans="1:157" x14ac:dyDescent="0.25">
      <c r="A138" s="376" t="str">
        <f>IF(OR(AND(B138&lt;Geometria!$L$1405/100,Geometria!$K$1405&gt;0),AND((Geometria!$L$29/100-B138)&lt;Geometria!$R$1405/100,Geometria!$Q$1405&gt;0)),"Sim","Não")</f>
        <v>Não</v>
      </c>
      <c r="B138" s="395">
        <f t="shared" si="21"/>
        <v>5.495</v>
      </c>
      <c r="C138" s="376" t="str">
        <f>IF(OR(AND(B138&lt;Geometria!$L$1409/100,OR(Geometria!$K$1409&gt;0,Geometria!$K$1407&gt;0)),AND((Geometria!$L$29/100-B138)&lt;Geometria!$R$1409/100,OR(Geometria!$Q$1409&gt;0,Geometria!$Q$1407&gt;0))),"Sim","Não")</f>
        <v>Não</v>
      </c>
      <c r="D138" s="122" t="s">
        <v>443</v>
      </c>
      <c r="E138" s="198" t="str">
        <f ca="1">E130</f>
        <v>OK</v>
      </c>
      <c r="F138" s="396">
        <f t="shared" ca="1" si="22"/>
        <v>-18988.483487884085</v>
      </c>
      <c r="G138" s="397">
        <f ca="1">-L138/(Geometria!$L$48/100^2)-M138/(Geometria!$L$53/100^3)+Geometria!$L$898/(Geometria!$L$53/100^3)</f>
        <v>-40058.7286727539</v>
      </c>
      <c r="H138" s="400">
        <f ca="1">H130</f>
        <v>245.54040523932832</v>
      </c>
      <c r="I138" s="743">
        <f ca="1">-(Geometria!$L$906-(Geometria!$L$906-EX138)*(1-(MIN(MIN(1,MAX(0,(B138-Geometria!$L$1409/100)/(Geometria!$N$1307/100))),MIN(1,MAX(0,((Geometria!$L$29/100-B138)-Geometria!$R$1409/100)/(Geometria!$N$1307/100))))))*(IF(OR(Geometria!$K$1409&gt;0,Geometria!$K$1407&gt;0,Geometria!$Q$1409&gt;0,Geometria!$Q$1407&gt;0),1,0))-(Geometria!$L$906-EZ138)*(1-(MIN(MIN(1,MAX(0,(B138-Geometria!$L$1405/100)/(Geometria!$N$1307/100))),MIN(1,MAX(0,((Geometria!$L$29/100-B138)-Geometria!$R$1405/100)/(Geometria!$N$1307/100))))))*(IF(OR(Geometria!$K$1405&gt;0,Geometria!$K$1403&gt;0,Geometria!$Q$1405&gt;0,Geometria!$Q$1403&gt;0),1,0)))/(Geometria!$L$48/100^2)-(Geometria!$L$907-(Geometria!$L$907-EY138)*(1-(MIN(MIN(1,MAX(0,(B138-Geometria!$L$1409/100)/(Geometria!$N$1307/100))),MIN(1,MAX(0,((Geometria!$L$29/100-B138)-Geometria!$R$1409/100)/(Geometria!$N$1307/100))))))*(IF(OR(Geometria!$K$1409&gt;0,Geometria!$K$1407&gt;0,Geometria!$Q$1409&gt;0,Geometria!$Q$1407&gt;0),1,0))-(Geometria!$L$907-FA138)*(1-(MIN(MIN(1,MAX(0,(B138-Geometria!$L$1405/100)/(Geometria!$N$1307/100))),MIN(1,MAX(0,((Geometria!$L$29/100-B138)-Geometria!$R$1405/100)/(Geometria!$N$1307/100))))))*(IF(OR(Geometria!$K$1405&gt;0,Geometria!$K$1403&gt;0,Geometria!$Q$1405&gt;0,Geometria!$Q$1403&gt;0),1,0)))/(Geometria!$L$53/100^3)+Geometria!$Q$901/(Geometria!$L$53/100^3)</f>
        <v>-18988.483487884085</v>
      </c>
      <c r="J138" s="743"/>
      <c r="L138" s="373">
        <f ca="1">(Geometria!$L$298-(Geometria!$L$298-IF(B138&lt;Geometria!$L$1409/100,Geometria!$L$1442,Geometria!$L$1460))*(1-(MIN(MIN(1,MAX(0,(B138-Geometria!$L$1409/100)/(Geometria!$N$1307/100))),MIN(1,MAX(0,((Geometria!$L$29/100-B138)-Geometria!$R$1409/100)/(Geometria!$N$1307/100))))))*(IF(OR(Geometria!$K$1409&gt;0,Geometria!$K$1407&gt;0,Geometria!$Q$1409&gt;0,Geometria!$Q$1407&gt;0),1,0))-(Geometria!$L$298-IF(B138&lt;Geometria!$L$1405/100,Geometria!$L$1444,Geometria!$L$1462))*(1-(MIN(MIN(1,MAX(0,(B138-Geometria!$L$1405/100)/(Geometria!$N$1307/100))),MIN(1,MAX(0,((Geometria!$L$29/100-B138)-Geometria!$R$1405/100)/(Geometria!$N$1307/100))))))*(IF(OR(Geometria!$K$1405&gt;0,Geometria!$K$1403&gt;0,Geometria!$Q$1405&gt;0,Geometria!$Q$1403&gt;0),1,0)))*H138+Geometria!$P$1429*H115</f>
        <v>2263.516527438933</v>
      </c>
      <c r="M138" s="373">
        <f ca="1">(Geometria!$L$298-(Geometria!$L$298-IF(B138&lt;Geometria!$L$1409/100,Geometria!$L$1442,Geometria!$L$1460))*(1-(MIN(MIN(1,MAX(0,(B138-Geometria!$L$1409/100)/(Geometria!$N$1307/100))),MIN(1,MAX(0,((Geometria!$L$29/100-B138)-Geometria!$R$1409/100)/(Geometria!$N$1307/100))))))*(IF(OR(Geometria!$K$1409&gt;0,Geometria!$K$1407&gt;0,Geometria!$Q$1409&gt;0,Geometria!$Q$1407&gt;0),1,0))-(Geometria!$L$298-IF(B138&lt;Geometria!$L$1405/100,Geometria!$L$1444,Geometria!$L$1462))*(1-(MIN(MIN(1,MAX(0,(B138-Geometria!$L$1405/100)/(Geometria!$N$1307/100))),MIN(1,MAX(0,((Geometria!$L$29/100-B138)-Geometria!$R$1405/100)/(Geometria!$N$1307/100))))))*(IF(OR(Geometria!$K$1405&gt;0,Geometria!$K$1403&gt;0,Geometria!$Q$1405&gt;0,Geometria!$Q$1403&gt;0),1,0)))*H138*(Geometria!$L$299-(Geometria!$L$299-IF(B138&lt;Geometria!$L$1409/100,Geometria!$L$1443,Geometria!$L$1461))*(1-(MIN(MIN(1,MAX(0,(B138-Geometria!$L$1409/100)/(Geometria!$N$1307/100))),MIN(1,MAX(0,((Geometria!$L$29/100-B138)-Geometria!$R$1409/100)/(Geometria!$N$1307/100))))))*(IF(OR(Geometria!$K$1409&gt;0,Geometria!$K$1407&gt;0,Geometria!$Q$1409&gt;0,Geometria!$Q$1407&gt;0),1,0))-(Geometria!$L$299-IF(B138&lt;Geometria!$L$1405/100,Geometria!$L$1445,Geometria!$L$1463))*(1-(MIN(MIN(1,MAX(0,(B138-Geometria!$L$1405/100)/(Geometria!$N$1307/100))),MIN(1,MAX(0,((Geometria!$L$29/100-B138)-Geometria!$R$1405/100)/(Geometria!$N$1307/100))))))*(IF(OR(Geometria!$K$1405&gt;0,Geometria!$K$1403&gt;0,Geometria!$Q$1405&gt;0,Geometria!$Q$1403&gt;0),1,0)))/100-Geometria!$P$1429*H115*Geometria!$L$1438/100</f>
        <v>502.49878391255186</v>
      </c>
      <c r="N138" s="365"/>
      <c r="O138" s="371">
        <f ca="1">(IF(C138="Sim",IF(A138="Sim",$E$93,EX138),IF(A138="Sim",EZ138,Geometria!$L$906)))</f>
        <v>1475.413282676191</v>
      </c>
      <c r="P138" s="371">
        <f ca="1">(IF(C138="Sim",IF(A138="Sim",$E$94,EY138),IF(A138="Sim",FA138,Geometria!$L$907)))</f>
        <v>276.63999050178586</v>
      </c>
      <c r="R138" s="4" t="s">
        <v>443</v>
      </c>
      <c r="S138" s="202">
        <f t="shared" ca="1" si="36"/>
        <v>-18988.483487884085</v>
      </c>
      <c r="T138" s="38" t="s">
        <v>234</v>
      </c>
      <c r="U138" s="203">
        <f t="shared" ca="1" si="23"/>
        <v>-18.988483487884086</v>
      </c>
      <c r="V138" s="38" t="s">
        <v>160</v>
      </c>
      <c r="W138" s="399">
        <f t="shared" si="37"/>
        <v>0.0</v>
      </c>
      <c r="X138" s="376" t="str">
        <f>IF(OR(AND(Y138&lt;Geometria!$L$1405/100,Geometria!$K$1405&gt;0),AND((Geometria!$L$29/100-Y138)&lt;Geometria!$R$1405/100,Geometria!$Q$1405&gt;0)),"Sim","Não")</f>
        <v>Não</v>
      </c>
      <c r="Y138" s="395">
        <f t="shared" si="24"/>
        <v>5.495</v>
      </c>
      <c r="Z138" s="376" t="str">
        <f>IF(OR(AND(Y138&lt;Geometria!$L$1409/100,OR(Geometria!$K$1409&gt;0,Geometria!$K$1407&gt;0)),AND((Geometria!$L$29/100-Y138)&lt;Geometria!$R$1409/100,OR(Geometria!$Q$1409&gt;0,Geometria!$Q$1407&gt;0))),"Sim","Não")</f>
        <v>Não</v>
      </c>
      <c r="AA138" s="122" t="s">
        <v>443</v>
      </c>
      <c r="AB138" s="198" t="str">
        <f ca="1">AB130</f>
        <v>OK</v>
      </c>
      <c r="AC138" s="401">
        <f t="shared" ca="1" si="25"/>
        <v>7897.868226323701</v>
      </c>
      <c r="AD138" s="403">
        <f ca="1">-(AI138/(Geometria!$L$48/100^2))-(AJ138/(Geometria!$L$53/100^3))+((Geometria!$Q$419)/(Geometria!$L$53/100^3))+((Geometria!$Q$430)/(Geometria!$M$53/100^3))+((Geometria!$L$76*Geometria!$Q$441)/(Geometria!$M$53/100^3))</f>
        <v>5575.550122631606</v>
      </c>
      <c r="AE138" s="400">
        <f ca="1">AE130</f>
        <v>111.03210918130361</v>
      </c>
      <c r="AF138" s="751">
        <f ca="1">-((Geometria!$L$373-(Geometria!$L$373-ER138)*(1-(MIN(MIN(1,MAX(0,(Y138-Geometria!$L$1409/100)/(Geometria!$N$1307/100))),MIN(1,MAX(0,((Geometria!$L$29/100-Y138)-Geometria!$R$1409/100)/(Geometria!$N$1307/100))))))*(IF(OR(Geometria!$K$1409&gt;0,Geometria!$K$1407&gt;0,Geometria!$Q$1409&gt;0,Geometria!$Q$1407&gt;0),1,0))-(Geometria!$L$373-ET138)*(1-(MIN(MIN(1,MAX(0,(Y138-Geometria!$L$1405/100)/(Geometria!$N$1307/100))),MIN(1,MAX(0,((Geometria!$L$29/100-Y138)-Geometria!$R$1405/100)/(Geometria!$N$1307/100))))))*(IF(OR(Geometria!$K$1405&gt;0,Geometria!$K$1403&gt;0,Geometria!$Q$1405&gt;0,Geometria!$Q$1403&gt;0),1,0))))/(Geometria!$L$48/100^2)-((Geometria!$L$374-(Geometria!$L$374-ES138)*(1-(MIN(MIN(1,MAX(0,(Y138-Geometria!$L$1409/100)/(Geometria!$N$1307/100))),MIN(1,MAX(0,((Geometria!$L$29/100-Y138)-Geometria!$R$1409/100)/(Geometria!$N$1307/100))))))*(IF(OR(Geometria!$K$1409&gt;0,Geometria!$K$1407&gt;0,Geometria!$Q$1409&gt;0,Geometria!$Q$1407&gt;0),1,0))-(Geometria!$L$374-EU138)*(1-(MIN(MIN(1,MAX(0,(Y138-Geometria!$L$1405/100)/(Geometria!$N$1307/100))),MIN(1,MAX(0,((Geometria!$L$29/100-Y138)-Geometria!$R$1405/100)/(Geometria!$N$1307/100))))))*(IF(OR(Geometria!$K$1405&gt;0,Geometria!$K$1403&gt;0,Geometria!$Q$1405&gt;0,Geometria!$Q$1403&gt;0),1,0))))/(Geometria!$L$53/100^3)+((Geometria!$Q$419)/(Geometria!$L$53/100^3))+((Geometria!$Q$430)/(Geometria!$M$53/100^3))+((Geometria!$L$76*Geometria!$Q$441)/(Geometria!$M$53/100^3))</f>
        <v>7897.868226323701</v>
      </c>
      <c r="AG138" s="751"/>
      <c r="AI138" s="373">
        <f ca="1">(IF(Z138="Sim",IF(X138="Sim",IF(Y138&lt;Geometria!$L$1405/100,Geometria!$L$1435,Geometria!$L$1476),IF(Y138&lt;Geometria!$L$1409/100,Geometria!$L$1442,Geometria!$L$1460)),IF(X138="Sim",IF(Y138&lt;Geometria!$L$1405/100,Geometria!$L$1444,Geometria!$L$1462),Geometria!$L$298)))*AE138+Geometria!$P$1429*AE115</f>
        <v>1243.5596228306003</v>
      </c>
      <c r="AJ138" s="373">
        <f ca="1">(IF(Z138="Sim",IF(X138="Sim",IF(Y138&lt;Geometria!$L$1405/100,Geometria!$L$1435,Geometria!$L$1476),IF(Y138&lt;Geometria!$L$1409/100,Geometria!$L$1442,Geometria!$L$1460)),IF(X138="Sim",IF(Y138&lt;Geometria!$L$1405/100,Geometria!$L$1444,Geometria!$L$1462),Geometria!$L$298)))*AE138*(IF(Z138="Sim",IF(X138="Sim",IF(Y138&lt;Geometria!$L$1405/100,Geometria!$L$1436,Geometria!$L$1484),IF(Y138&lt;Geometria!$L$1409/100,Geometria!$L$1443,Geometria!$L$1461)),IF(X138="Sim",IF(Y138&lt;Geometria!$L$1405/100,Geometria!$L$1445,Geometria!$L$1463),Geometria!$L$299)))/100-Geometria!$P$1429*AE115*Geometria!$L$1438/100</f>
        <v>233.16742928073757</v>
      </c>
      <c r="AK138" s="365"/>
      <c r="AL138" s="371">
        <f ca="1">(IF(Z138="Sim",IF(X138="Sim",$E$93,EX138),IF(X138="Sim",EZ138,Geometria!$L$906)))</f>
        <v>1475.413282676191</v>
      </c>
      <c r="AM138" s="371">
        <f ca="1">(IF(Z138="Sim",IF(X138="Sim",$E$94,EY138),IF(X138="Sim",FA138,Geometria!$L$907)))</f>
        <v>276.63999050178586</v>
      </c>
      <c r="AO138" s="4" t="s">
        <v>443</v>
      </c>
      <c r="AP138" s="202">
        <f t="shared" ca="1" si="38"/>
        <v>7897.868226323701</v>
      </c>
      <c r="AQ138" s="38" t="s">
        <v>234</v>
      </c>
      <c r="AR138" s="203">
        <f t="shared" ca="1" si="26"/>
        <v>7.897868226323701</v>
      </c>
      <c r="AS138" s="38" t="s">
        <v>160</v>
      </c>
      <c r="AT138" s="399">
        <f t="shared" si="39"/>
        <v>0.0</v>
      </c>
      <c r="AU138" s="376" t="str">
        <f>IF(OR(AND(AV138&lt;Geometria!$L$1405/100,Geometria!$K$1405&gt;0),AND((Geometria!$L$29/100-AV138)&lt;Geometria!$R$1405/100,Geometria!$Q$1405&gt;0)),"Sim","Não")</f>
        <v>Não</v>
      </c>
      <c r="AV138" s="395">
        <f t="shared" si="27"/>
        <v>5.495</v>
      </c>
      <c r="AW138" s="376" t="str">
        <f>IF(OR(AND(AV138&lt;Geometria!$L$1409/100,OR(Geometria!$K$1409&gt;0,Geometria!$K$1407&gt;0)),AND((Geometria!$L$29/100-AV138)&lt;Geometria!$R$1409/100,OR(Geometria!$Q$1409&gt;0,Geometria!$Q$1407&gt;0))),"Sim","Não")</f>
        <v>Não</v>
      </c>
      <c r="AX138" s="122" t="s">
        <v>443</v>
      </c>
      <c r="AY138" s="198" t="str">
        <f ca="1">AY130</f>
        <v>OK</v>
      </c>
      <c r="AZ138" s="401">
        <f t="shared" ca="1" si="28"/>
        <v>-3300.534929156975</v>
      </c>
      <c r="BA138" s="403">
        <f ca="1">-(BF138/(Geometria!$L$48/100^2))-(BG138/(Geometria!$L$53/100^3))+((Geometria!$Q$419)/(Geometria!$L$53/100^3))+((Geometria!$Q$430)/(Geometria!$M$53/100^3))+((Geometria!$L$76*Geometria!$Q$441)/(Geometria!$M$53/100^3))</f>
        <v>7127.826254299363</v>
      </c>
      <c r="BB138" s="400">
        <f ca="1">BB130</f>
        <v>111.03210918130361</v>
      </c>
      <c r="BC138" s="751">
        <f ca="1">-((Geometria!$L$373-(Geometria!$L$373-ER138)*(1-(MIN(MIN(1,MAX(0,(AV138-Geometria!$L$1409/100)/(Geometria!$N$1307/100))),MIN(1,MAX(0,((Geometria!$L$29/100-AV138)-Geometria!$R$1409/100)/(Geometria!$N$1307/100))))))*(IF(OR(Geometria!$K$1409&gt;0,Geometria!$K$1407&gt;0,Geometria!$Q$1409&gt;0,Geometria!$Q$1407&gt;0),1,0))-(Geometria!$L$373-ET138)*(1-(MIN(MIN(1,MAX(0,(AV138-Geometria!$L$1405/100)/(Geometria!$N$1307/100))),MIN(1,MAX(0,((Geometria!$L$29/100-AV138)-Geometria!$R$1405/100)/(Geometria!$N$1307/100))))))*(IF(OR(Geometria!$K$1405&gt;0,Geometria!$K$1403&gt;0,Geometria!$Q$1405&gt;0,Geometria!$Q$1403&gt;0),1,0))))/(Geometria!$L$48/100^2)-((Geometria!$L$374-(Geometria!$L$374-ES138)*(1-(MIN(MIN(1,MAX(0,(AV138-Geometria!$L$1409/100)/(Geometria!$N$1307/100))),MIN(1,MAX(0,((Geometria!$L$29/100-AV138)-Geometria!$R$1409/100)/(Geometria!$N$1307/100))))))*(IF(OR(Geometria!$K$1409&gt;0,Geometria!$K$1407&gt;0,Geometria!$Q$1409&gt;0,Geometria!$Q$1407&gt;0),1,0))-(Geometria!$L$374-EU138)*(1-(MIN(MIN(1,MAX(0,(AV138-Geometria!$L$1405/100)/(Geometria!$N$1307/100))),MIN(1,MAX(0,((Geometria!$L$29/100-AV138)-Geometria!$R$1405/100)/(Geometria!$N$1307/100))))))*(IF(OR(Geometria!$K$1405&gt;0,Geometria!$K$1403&gt;0,Geometria!$Q$1405&gt;0,Geometria!$Q$1403&gt;0),1,0))))/(Geometria!$L$53/100^3)+((Geometria!$Q$419)/(Geometria!$L$53/100^3))+((Geometria!$Q$430)/(Geometria!$M$53/100^3))</f>
        <v>-3300.534929156975</v>
      </c>
      <c r="BD138" s="751"/>
      <c r="BF138" s="373">
        <f ca="1">(Geometria!$L$298-(Geometria!$L$298-IF(AV138&lt;Geometria!$L$1409/100,Geometria!$L$1442,Geometria!$L$1460))*(1-(MIN(MIN(1,MAX(0,(AV138-Geometria!$L$1409/100)/(Geometria!$N$1307/100))),MIN(1,MAX(0,((Geometria!$L$29/100-AV138)-Geometria!$R$1409/100)/(Geometria!$N$1307/100))))))*(IF(OR(Geometria!$K$1409&gt;0,Geometria!$K$1407&gt;0,Geometria!$Q$1409&gt;0,Geometria!$Q$1407&gt;0),1,0))-(Geometria!$L$298-IF(AV138&lt;Geometria!$L$1405/100,Geometria!$L$1444,Geometria!$L$1462))*(1-(MIN(MIN(1,MAX(0,(AV138-Geometria!$L$1405/100)/(Geometria!$N$1307/100))),MIN(1,MAX(0,((Geometria!$L$29/100-AV138)-Geometria!$R$1405/100)/(Geometria!$N$1307/100))))))*(IF(OR(Geometria!$K$1405&gt;0,Geometria!$K$1403&gt;0,Geometria!$Q$1405&gt;0,Geometria!$Q$1403&gt;0),1,0)))*BB138+Geometria!$P$1429*BB115</f>
        <v>1023.5505393229279</v>
      </c>
      <c r="BG138" s="373">
        <f ca="1">(Geometria!$L$298-(Geometria!$L$298-IF(AV138&lt;Geometria!$L$1409/100,Geometria!$L$1442,Geometria!$L$1460))*(1-(MIN(MIN(1,MAX(0,(AV138-Geometria!$L$1409/100)/(Geometria!$N$1307/100))),MIN(1,MAX(0,((Geometria!$L$29/100-AV138)-Geometria!$R$1409/100)/(Geometria!$N$1307/100))))))*(IF(OR(Geometria!$K$1409&gt;0,Geometria!$K$1407&gt;0,Geometria!$Q$1409&gt;0,Geometria!$Q$1407&gt;0),1,0))-(Geometria!$L$298-IF(AV138&lt;Geometria!$L$1405/100,Geometria!$L$1444,Geometria!$L$1462))*(1-(MIN(MIN(1,MAX(0,(AV138-Geometria!$L$1405/100)/(Geometria!$N$1307/100))),MIN(1,MAX(0,((Geometria!$L$29/100-AV138)-Geometria!$R$1405/100)/(Geometria!$N$1307/100))))))*(IF(OR(Geometria!$K$1405&gt;0,Geometria!$K$1403&gt;0,Geometria!$Q$1405&gt;0,Geometria!$Q$1403&gt;0),1,0)))*BB138*(Geometria!$L$299-(Geometria!$L$299-IF(AV138&lt;Geometria!$L$1409/100,Geometria!$L$1443,Geometria!$L$1461))*(1-(MIN(MIN(1,MAX(0,(AV138-Geometria!$L$1409/100)/(Geometria!$N$1307/100))),MIN(1,MAX(0,((Geometria!$L$29/100-AV138)-Geometria!$R$1409/100)/(Geometria!$N$1307/100))))))*(IF(OR(Geometria!$K$1409&gt;0,Geometria!$K$1407&gt;0,Geometria!$Q$1409&gt;0,Geometria!$Q$1407&gt;0),1,0))-(Geometria!$L$299-IF(AV138&lt;Geometria!$L$1405/100,Geometria!$L$1445,Geometria!$L$1463))*(1-(MIN(MIN(1,MAX(0,(AV138-Geometria!$L$1405/100)/(Geometria!$N$1307/100))),MIN(1,MAX(0,((Geometria!$L$29/100-AV138)-Geometria!$R$1405/100)/(Geometria!$N$1307/100))))))*(IF(OR(Geometria!$K$1405&gt;0,Geometria!$K$1403&gt;0,Geometria!$Q$1405&gt;0,Geometria!$Q$1403&gt;0),1,0)))/100-Geometria!$P$1429*BB115*Geometria!$L$1438/100</f>
        <v>227.2273672614851</v>
      </c>
      <c r="BH138" s="365"/>
      <c r="BI138" s="371">
        <f ca="1">(IF(AW138="Sim",IF(AU138="Sim",$E$93,EX138),IF(AU138="Sim",EZ138,Geometria!$L$906)))</f>
        <v>1475.413282676191</v>
      </c>
      <c r="BJ138" s="371">
        <f ca="1">(IF(AW138="Sim",IF(AU138="Sim",$E$94,EY138),IF(AU138="Sim",FA138,Geometria!$L$907)))</f>
        <v>276.63999050178586</v>
      </c>
      <c r="BL138" s="4" t="s">
        <v>443</v>
      </c>
      <c r="BM138" s="202">
        <f t="shared" ca="1" si="40"/>
        <v>-3300.534929156975</v>
      </c>
      <c r="BN138" s="38" t="s">
        <v>234</v>
      </c>
      <c r="BO138" s="203">
        <f t="shared" ca="1" si="29"/>
        <v>-3.300534929156975</v>
      </c>
      <c r="BP138" s="38" t="s">
        <v>160</v>
      </c>
      <c r="BQ138" s="399">
        <f t="shared" si="41"/>
        <v>0.0</v>
      </c>
      <c r="BR138" s="376" t="str">
        <f>IF(OR(AND(BS138&lt;Geometria!$L$1405/100,Geometria!$K$1405&gt;0),AND((Geometria!$L$29/100-BS138)&lt;Geometria!$R$1405/100,Geometria!$Q$1405&gt;0)),"Sim","Não")</f>
        <v>Não</v>
      </c>
      <c r="BS138" s="395">
        <f t="shared" si="30"/>
        <v>5.495</v>
      </c>
      <c r="BT138" s="376" t="str">
        <f>IF(OR(AND(BS138&lt;Geometria!$L$1409/100,OR(Geometria!$K$1409&gt;0,Geometria!$K$1407&gt;0)),AND((Geometria!$L$29/100-BS138)&lt;Geometria!$R$1409/100,OR(Geometria!$Q$1409&gt;0,Geometria!$Q$1407&gt;0))),"Sim","Não")</f>
        <v>Não</v>
      </c>
      <c r="BU138" s="122" t="s">
        <v>443</v>
      </c>
      <c r="BV138" s="198" t="str">
        <f ca="1">BV130</f>
        <v>OK</v>
      </c>
      <c r="BW138" s="401">
        <f t="shared" ca="1" si="31"/>
        <v>4165.0671744968095</v>
      </c>
      <c r="BX138" s="403">
        <f ca="1">-(CC138/(Geometria!$L$48/100^2))-(CD138/(Geometria!$L$53/100^3))+((Geometria!$Q$419)/(Geometria!$L$53/100^3))+((Geometria!$Q$430)/(Geometria!$M$53/100^3))+((Geometria!$L$76*Geometria!$Q$441)/(Geometria!$M$53/100^3))</f>
        <v>7127.826254299363</v>
      </c>
      <c r="BY138" s="400">
        <f ca="1">BY130</f>
        <v>111.03210918130361</v>
      </c>
      <c r="BZ138" s="751">
        <f ca="1">-((Geometria!$L$373-(Geometria!$L$373-ER138)*(1-(MIN(MIN(1,MAX(0,(BS138-Geometria!$L$1409/100)/(Geometria!$N$1307/100))),MIN(1,MAX(0,((Geometria!$L$29/100-BS138)-Geometria!$R$1409/100)/(Geometria!$N$1307/100))))))*(IF(OR(Geometria!$K$1409&gt;0,Geometria!$K$1407&gt;0,Geometria!$Q$1409&gt;0,Geometria!$Q$1407&gt;0),1,0))-(Geometria!$L$373-ET138)*(1-(MIN(MIN(1,MAX(0,(BS138-Geometria!$L$1405/100)/(Geometria!$N$1307/100))),MIN(1,MAX(0,((Geometria!$L$29/100-BS138)-Geometria!$R$1405/100)/(Geometria!$N$1307/100))))))*(IF(OR(Geometria!$K$1405&gt;0,Geometria!$K$1403&gt;0,Geometria!$Q$1405&gt;0,Geometria!$Q$1403&gt;0),1,0))))/(Geometria!$L$48/100^2)-((Geometria!$L$374-(Geometria!$L$374-ES138)*(1-(MIN(MIN(1,MAX(0,(BS138-Geometria!$L$1409/100)/(Geometria!$N$1307/100))),MIN(1,MAX(0,((Geometria!$L$29/100-BS138)-Geometria!$R$1409/100)/(Geometria!$N$1307/100))))))*(IF(OR(Geometria!$K$1409&gt;0,Geometria!$K$1407&gt;0,Geometria!$Q$1409&gt;0,Geometria!$Q$1407&gt;0),1,0))-(Geometria!$L$374-EU138)*(1-(MIN(MIN(1,MAX(0,(BS138-Geometria!$L$1405/100)/(Geometria!$N$1307/100))),MIN(1,MAX(0,((Geometria!$L$29/100-BS138)-Geometria!$R$1405/100)/(Geometria!$N$1307/100))))))*(IF(OR(Geometria!$K$1405&gt;0,Geometria!$K$1403&gt;0,Geometria!$Q$1405&gt;0,Geometria!$Q$1403&gt;0),1,0))))/(Geometria!$L$53/100^3)+((Geometria!$Q$676)/(Geometria!$L$53/100^3))+((Geometria!$Q$687)/(Geometria!$M$53/100^3))+((Geometria!$L$77*Geometria!$Q$698)/(Geometria!$M$53/100^3))</f>
        <v>4165.0671744968095</v>
      </c>
      <c r="CA138" s="751"/>
      <c r="CC138" s="373">
        <f ca="1">(Geometria!$L$298-(Geometria!$L$298-IF(BS138&lt;Geometria!$L$1409/100,Geometria!$L$1442,Geometria!$L$1460))*(1-(MIN(MIN(1,MAX(0,(BS138-Geometria!$L$1409/100)/(Geometria!$N$1307/100))),MIN(1,MAX(0,((Geometria!$L$29/100-BS138)-Geometria!$R$1409/100)/(Geometria!$N$1307/100))))))*(IF(OR(Geometria!$K$1409&gt;0,Geometria!$K$1407&gt;0,Geometria!$Q$1409&gt;0,Geometria!$Q$1407&gt;0),1,0))-(Geometria!$L$298-IF(BS138&lt;Geometria!$L$1405/100,Geometria!$L$1444,Geometria!$L$1462))*(1-(MIN(MIN(1,MAX(0,(BS138-Geometria!$L$1405/100)/(Geometria!$N$1307/100))),MIN(1,MAX(0,((Geometria!$L$29/100-BS138)-Geometria!$R$1405/100)/(Geometria!$N$1307/100))))))*(IF(OR(Geometria!$K$1405&gt;0,Geometria!$K$1403&gt;0,Geometria!$Q$1405&gt;0,Geometria!$Q$1403&gt;0),1,0)))*BY138+Geometria!$P$1429*BY115</f>
        <v>1023.5505393229279</v>
      </c>
      <c r="CD138" s="373">
        <f ca="1">(Geometria!$L$298-(Geometria!$L$298-IF(BS138&lt;Geometria!$L$1409/100,Geometria!$L$1442,Geometria!$L$1460))*(1-(MIN(MIN(1,MAX(0,(BS138-Geometria!$L$1409/100)/(Geometria!$N$1307/100))),MIN(1,MAX(0,((Geometria!$L$29/100-BS138)-Geometria!$R$1409/100)/(Geometria!$N$1307/100))))))*(IF(OR(Geometria!$K$1409&gt;0,Geometria!$K$1407&gt;0,Geometria!$Q$1409&gt;0,Geometria!$Q$1407&gt;0),1,0))-(Geometria!$L$298-IF(BS138&lt;Geometria!$L$1405/100,Geometria!$L$1444,Geometria!$L$1462))*(1-(MIN(MIN(1,MAX(0,(BS138-Geometria!$L$1405/100)/(Geometria!$N$1307/100))),MIN(1,MAX(0,((Geometria!$L$29/100-BS138)-Geometria!$R$1405/100)/(Geometria!$N$1307/100))))))*(IF(OR(Geometria!$K$1405&gt;0,Geometria!$K$1403&gt;0,Geometria!$Q$1405&gt;0,Geometria!$Q$1403&gt;0),1,0)))*BY138*(Geometria!$L$299-(Geometria!$L$299-IF(BS138&lt;Geometria!$L$1409/100,Geometria!$L$1443,Geometria!$L$1461))*(1-(MIN(MIN(1,MAX(0,(BS138-Geometria!$L$1409/100)/(Geometria!$N$1307/100))),MIN(1,MAX(0,((Geometria!$L$29/100-BS138)-Geometria!$R$1409/100)/(Geometria!$N$1307/100))))))*(IF(OR(Geometria!$K$1409&gt;0,Geometria!$K$1407&gt;0,Geometria!$Q$1409&gt;0,Geometria!$Q$1407&gt;0),1,0))-(Geometria!$L$299-IF(BS138&lt;Geometria!$L$1405/100,Geometria!$L$1445,Geometria!$L$1463))*(1-(MIN(MIN(1,MAX(0,(BS138-Geometria!$L$1405/100)/(Geometria!$N$1307/100))),MIN(1,MAX(0,((Geometria!$L$29/100-BS138)-Geometria!$R$1405/100)/(Geometria!$N$1307/100))))))*(IF(OR(Geometria!$K$1405&gt;0,Geometria!$K$1403&gt;0,Geometria!$Q$1405&gt;0,Geometria!$Q$1403&gt;0),1,0)))/100-Geometria!$P$1429*BY115*Geometria!$L$1438/100</f>
        <v>227.2273672614851</v>
      </c>
      <c r="CE138" s="365"/>
      <c r="CF138" s="371">
        <f ca="1">(IF(BT138="Sim",IF(BR138="Sim",$E$93,EX138),IF(BR138="Sim",EZ138,Geometria!$L$906)))</f>
        <v>1475.413282676191</v>
      </c>
      <c r="CG138" s="371">
        <f ca="1">(IF(BT138="Sim",IF(BR138="Sim",$E$94,EY138),IF(BR138="Sim",FA138,Geometria!$L$907)))</f>
        <v>276.63999050178586</v>
      </c>
      <c r="CI138" s="4" t="s">
        <v>443</v>
      </c>
      <c r="CJ138" s="202">
        <f t="shared" ca="1" si="42"/>
        <v>4165.0671744968095</v>
      </c>
      <c r="CK138" s="38" t="s">
        <v>234</v>
      </c>
      <c r="CL138" s="203">
        <f t="shared" ca="1" si="32"/>
        <v>4.1650671744968095</v>
      </c>
      <c r="CM138" s="38" t="s">
        <v>160</v>
      </c>
      <c r="CN138" s="399">
        <f t="shared" si="43"/>
        <v>0.0</v>
      </c>
      <c r="CO138" s="376" t="str">
        <f>IF(OR(AND(CP138&lt;Geometria!$L$1405/100,Geometria!$K$1405&gt;0),AND((Geometria!$L$29/100-CP138)&lt;Geometria!$R$1405/100,Geometria!$Q$1405&gt;0)),"Sim","Não")</f>
        <v>Não</v>
      </c>
      <c r="CP138" s="395">
        <f t="shared" si="33"/>
        <v>5.495</v>
      </c>
      <c r="CQ138" s="376" t="str">
        <f>IF(OR(AND(CP138&lt;Geometria!$L$1409/100,OR(Geometria!$K$1409&gt;0,Geometria!$K$1407&gt;0)),AND((Geometria!$L$29/100-CP138)&lt;Geometria!$R$1409/100,OR(Geometria!$Q$1409&gt;0,Geometria!$Q$1407&gt;0))),"Sim","Não")</f>
        <v>Não</v>
      </c>
      <c r="CR138" s="122" t="s">
        <v>443</v>
      </c>
      <c r="CS138" s="198" t="str">
        <f ca="1">CS130</f>
        <v>OK</v>
      </c>
      <c r="CT138" s="401">
        <f t="shared" ca="1" si="34"/>
        <v>-3300.534929156975</v>
      </c>
      <c r="CU138" s="403">
        <f ca="1">-(CZ138/(Geometria!$L$48/100^2))-(DA138/(Geometria!$L$53/100^3))+((Geometria!$Q$419)/(Geometria!$L$53/100^3))+((Geometria!$Q$430)/(Geometria!$M$53/100^3))+((Geometria!$L$76*Geometria!$Q$441)/(Geometria!$M$53/100^3))</f>
        <v>5575.550122631606</v>
      </c>
      <c r="CV138" s="400">
        <f ca="1">CV130</f>
        <v>111.03210918130361</v>
      </c>
      <c r="CW138" s="751">
        <f ca="1">-((Geometria!$L$373-(Geometria!$L$373-ER138)*(1-(MIN(MIN(1,MAX(0,(CP138-Geometria!$L$1409/100)/(Geometria!$N$1307/100))),MIN(1,MAX(0,((Geometria!$L$29/100-CP138)-Geometria!$R$1409/100)/(Geometria!$N$1307/100))))))*(IF(OR(Geometria!$K$1409&gt;0,Geometria!$K$1407&gt;0,Geometria!$Q$1409&gt;0,Geometria!$Q$1407&gt;0),1,0))-(Geometria!$L$373-ET138)*(1-(MIN(MIN(1,MAX(0,(CP138-Geometria!$L$1405/100)/(Geometria!$N$1307/100))),MIN(1,MAX(0,((Geometria!$L$29/100-CP138)-Geometria!$R$1405/100)/(Geometria!$N$1307/100))))))*(IF(OR(Geometria!$K$1405&gt;0,Geometria!$K$1403&gt;0,Geometria!$Q$1405&gt;0,Geometria!$Q$1403&gt;0),1,0))))/(Geometria!$L$48/100^2)-((Geometria!$L$374-(Geometria!$L$374-ES138)*(1-(MIN(MIN(1,MAX(0,(CP138-Geometria!$L$1409/100)/(Geometria!$N$1307/100))),MIN(1,MAX(0,((Geometria!$L$29/100-CP138)-Geometria!$R$1409/100)/(Geometria!$N$1307/100))))))*(IF(OR(Geometria!$K$1409&gt;0,Geometria!$K$1407&gt;0,Geometria!$Q$1409&gt;0,Geometria!$Q$1407&gt;0),1,0))-(Geometria!$L$374-EU138)*(1-(MIN(MIN(1,MAX(0,(CP138-Geometria!$L$1405/100)/(Geometria!$N$1307/100))),MIN(1,MAX(0,((Geometria!$L$29/100-CP138)-Geometria!$R$1405/100)/(Geometria!$N$1307/100))))))*(IF(OR(Geometria!$K$1405&gt;0,Geometria!$K$1403&gt;0,Geometria!$Q$1405&gt;0,Geometria!$Q$1403&gt;0),1,0))))/(Geometria!$L$53/100^3)+((Geometria!$Q$676)/(Geometria!$L$53/100^3))+((Geometria!$Q$687)/(Geometria!$M$53/100^3))</f>
        <v>-3300.534929156975</v>
      </c>
      <c r="CX138" s="751"/>
      <c r="CZ138" s="373">
        <f ca="1">(IF(CQ138="Sim",IF(CO138="Sim",IF(CP138&lt;Geometria!$L$1405/100,Geometria!$L$1435,Geometria!$L$1476),IF(CP138&lt;Geometria!$L$1409/100,Geometria!$L$1442,Geometria!$L$1460)),IF(CO138="Sim",IF(CP138&lt;Geometria!$L$1405/100,Geometria!$L$1444,Geometria!$L$1462),Geometria!$L$298)))*CV138+Geometria!$P$1429*CV115</f>
        <v>1243.5596228306003</v>
      </c>
      <c r="DA138" s="373">
        <f ca="1">(IF(CQ138="Sim",IF(CO138="Sim",IF(CP138&lt;Geometria!$L$1405/100,Geometria!$L$1435,Geometria!$L$1476),IF(CP138&lt;Geometria!$L$1409/100,Geometria!$L$1442,Geometria!$L$1460)),IF(CO138="Sim",IF(CP138&lt;Geometria!$L$1405/100,Geometria!$L$1444,Geometria!$L$1462),Geometria!$L$298)))*CV138*(IF(CQ138="Sim",IF(CO138="Sim",IF(CP138&lt;Geometria!$L$1405/100,Geometria!$L$1436,Geometria!$L$1484),IF(CP138&lt;Geometria!$L$1409/100,Geometria!$L$1443,Geometria!$L$1461)),IF(CO138="Sim",IF(CP138&lt;Geometria!$L$1405/100,Geometria!$L$1445,Geometria!$L$1463),Geometria!$L$299)))/100-Geometria!$P$1429*CV115*Geometria!$L$1438/100</f>
        <v>233.16742928073757</v>
      </c>
      <c r="DB138" s="365"/>
      <c r="DC138" s="371">
        <f ca="1">(IF(CQ138="Sim",IF(CO138="Sim",$E$93,EX138),IF(CO138="Sim",EZ138,Geometria!$L$906)))</f>
        <v>1475.413282676191</v>
      </c>
      <c r="DD138" s="371">
        <f ca="1">(IF(CQ138="Sim",IF(CO138="Sim",$E$94,EY138),IF(CO138="Sim",FA138,Geometria!$L$907)))</f>
        <v>276.63999050178586</v>
      </c>
      <c r="DF138" s="4" t="s">
        <v>443</v>
      </c>
      <c r="DG138" s="202">
        <f t="shared" ca="1" si="44"/>
        <v>-3300.534929156975</v>
      </c>
      <c r="DH138" s="38" t="s">
        <v>234</v>
      </c>
      <c r="DI138" s="203">
        <f t="shared" ca="1" si="35"/>
        <v>-3.300534929156975</v>
      </c>
      <c r="DJ138" s="38" t="s">
        <v>160</v>
      </c>
      <c r="DK138" s="399">
        <f t="shared" si="45"/>
        <v>0.0</v>
      </c>
      <c r="EA138">
        <f ca="1">-L138/('Aberturas na Alma'!$M$112/100^2)-M138/('Aberturas na Alma'!$M$120/100^3)+Geometria!$L$898/('Aberturas na Alma'!$M$120/100^3)</f>
        <v>-44190.04803193004</v>
      </c>
      <c r="EB138">
        <f ca="1">-(IF(C138="Sim",IF(A138="Sim",$E$93,EX138),IF(A138="Sim",EZ138,Geometria!$L$906)))/('Aberturas na Alma'!$M$112/100^2)-(IF(C138="Sim",IF(A138="Sim",$E$94,EY138),IF(A138="Sim",FA138,Geometria!$L$907)))/('Aberturas na Alma'!$M$120/100^3)+Geometria!$Q$901/('Aberturas na Alma'!$M$120/100^3)</f>
        <v>-24354.16845163207</v>
      </c>
      <c r="EC138">
        <f ca="1">IF(AND('Aberturas na Alma'!$M$18="NÃO DISPENSADO — furo deve ser verificado (cálculo abaixo)",OR(AND(B138&gt;=('Aberturas na Alma'!$M$4-'Aberturas na Alma'!$M$7/2)/100,B138&lt;=('Aberturas na Alma'!$M$4+'Aberturas na Alma'!$M$7/2)/100),ABS(B138-'Aberturas na Alma'!$M$4/100)&lt;=Geometria!$L$29/4000)),IF(E138="Reduzir",EA138,EB138),F138)</f>
        <v>-18988.483487884085</v>
      </c>
      <c r="ED138">
        <f ca="1">-(AI138/('Aberturas na Alma'!$M$112/100^2))-(AJ138/('Aberturas na Alma'!$M$120/100^3))+((Geometria!$Q$419)/('Aberturas na Alma'!$M$120/100^3))+((Geometria!$Q$430)/('Aberturas na Alma'!$M$120/100^3))+((Geometria!$L$76*Geometria!$Q$441)/('Aberturas na Alma'!$M$120/100^3))</f>
        <v>24826.748367376418</v>
      </c>
      <c r="EE138">
        <f ca="1">-((IF(Z138="Sim",IF(X138="Sim",$AB$93,ER138),IF(X138="Sim",ET138,Geometria!$L$373)))/('Aberturas na Alma'!$M$112/100^2))-((IF(Z138="Sim",IF(X138="Sim",$AB$94,ES138),IF(X138="Sim",EU138,Geometria!$L$374)))/('Aberturas na Alma'!$M$120/100^3))+((Geometria!$Q$419)/('Aberturas na Alma'!$M$120/100^3))+((Geometria!$Q$430)/('Aberturas na Alma'!$M$120/100^3))+((Geometria!$L$76*Geometria!$Q$441)/('Aberturas na Alma'!$M$120/100^3))</f>
        <v>24826.748367376418</v>
      </c>
      <c r="EF138" s="371">
        <f ca="1">IF(AND('Aberturas na Alma'!$M$18="NÃO DISPENSADO — furo deve ser verificado (cálculo abaixo)",OR(AND(B138&gt;=('Aberturas na Alma'!$M$4-'Aberturas na Alma'!$M$7/2)/100,B138&lt;=('Aberturas na Alma'!$M$4+'Aberturas na Alma'!$M$7/2)/100),ABS(B138-'Aberturas na Alma'!$M$4/100)&lt;=Geometria!$L$29/4000)),IF(AB138="Reduzir",ED138,EE138),AC138)</f>
        <v>7897.868226323701</v>
      </c>
      <c r="EG138">
        <f ca="1">-(BF138/('Aberturas na Alma'!$M$112/100^2))-(BG138/('Aberturas na Alma'!$M$120/100^3))+((Geometria!$Q$419)/('Aberturas na Alma'!$M$120/100^3))+((Geometria!$Q$430)/('Aberturas na Alma'!$M$120/100^3))+((Geometria!$L$76*Geometria!$Q$441)/('Aberturas na Alma'!$M$120/100^3))</f>
        <v>26785.723753854432</v>
      </c>
      <c r="EH138">
        <f ca="1">-((IF(AW138="Sim",IF(AU138="Sim",$AB$93,ER138),IF(AU138="Sim",ET138,Geometria!$L$373)))/('Aberturas na Alma'!$M$112/100^2))-((IF(AW138="Sim",IF(AU138="Sim",$AB$94,ES138),IF(AU138="Sim",EU138,Geometria!$L$374)))/('Aberturas na Alma'!$M$120/100^3))+((Geometria!$Q$419)/('Aberturas na Alma'!$M$120/100^3))+((Geometria!$Q$430)/('Aberturas na Alma'!$M$120/100^3))</f>
        <v>-6579.721443409518</v>
      </c>
      <c r="EI138" s="371">
        <f ca="1">IF(AND('Aberturas na Alma'!$M$18="NÃO DISPENSADO — furo deve ser verificado (cálculo abaixo)",OR(AND(B138&gt;=('Aberturas na Alma'!$M$4-'Aberturas na Alma'!$M$7/2)/100,B138&lt;=('Aberturas na Alma'!$M$4+'Aberturas na Alma'!$M$7/2)/100),ABS(B138-'Aberturas na Alma'!$M$4/100)&lt;=Geometria!$L$29/4000)),IF(AY138="Reduzir",EG138,EH138),AZ138)</f>
        <v>-3300.534929156975</v>
      </c>
      <c r="EJ138">
        <f ca="1">-(CC138/('Aberturas na Alma'!$M$112/100^2))-(CD138/('Aberturas na Alma'!$M$120/100^3))+((Geometria!$Q$419)/('Aberturas na Alma'!$M$120/100^3))+((Geometria!$Q$430)/('Aberturas na Alma'!$M$120/100^3))+((Geometria!$L$76*Geometria!$Q$441)/('Aberturas na Alma'!$M$120/100^3))</f>
        <v>26785.723753854432</v>
      </c>
      <c r="EK138">
        <f ca="1">-((IF(BT138="Sim",IF(BR138="Sim",$AB$93,ER138),IF(BR138="Sim",ET138,Geometria!$L$373)))/('Aberturas na Alma'!$M$112/100^2))-((IF(BT138="Sim",IF(BR138="Sim",$AB$94,ES138),IF(BR138="Sim",EU138,Geometria!$L$374)))/('Aberturas na Alma'!$M$120/100^3))+((Geometria!$Q$676)/('Aberturas na Alma'!$M$120/100^3))+((Geometria!$Q$687)/('Aberturas na Alma'!$M$120/100^3))+((Geometria!$L$77*Geometria!$Q$698)/('Aberturas na Alma'!$M$120/100^3))</f>
        <v>14357.925097114443</v>
      </c>
      <c r="EL138" s="371">
        <f ca="1">IF(AND('Aberturas na Alma'!$M$18="NÃO DISPENSADO — furo deve ser verificado (cálculo abaixo)",OR(AND(B138&gt;=('Aberturas na Alma'!$M$4-'Aberturas na Alma'!$M$7/2)/100,B138&lt;=('Aberturas na Alma'!$M$4+'Aberturas na Alma'!$M$7/2)/100),ABS(B138-'Aberturas na Alma'!$M$4/100)&lt;=Geometria!$L$29/4000)),IF(BV138="Reduzir",EJ138,EK138),BW138)</f>
        <v>4165.0671744968095</v>
      </c>
      <c r="EM138">
        <f ca="1">-(CZ138/('Aberturas na Alma'!$M$112/100^2))-(DA138/('Aberturas na Alma'!$M$120/100^3))+((Geometria!$Q$419)/('Aberturas na Alma'!$M$120/100^3))+((Geometria!$Q$430)/('Aberturas na Alma'!$M$120/100^3))+((Geometria!$L$76*Geometria!$Q$441)/('Aberturas na Alma'!$M$120/100^3))</f>
        <v>24826.748367376418</v>
      </c>
      <c r="EN138">
        <f ca="1">-((IF(CQ138="Sim",IF(CO138="Sim",$AB$93,ER138),IF(CO138="Sim",ET138,Geometria!$L$373)))/('Aberturas na Alma'!$M$112/100^2))-((IF(CQ138="Sim",IF(CO138="Sim",$AB$94,ES138),IF(CO138="Sim",EU138,Geometria!$L$374)))/('Aberturas na Alma'!$M$120/100^3))+((Geometria!$Q$676)/('Aberturas na Alma'!$M$120/100^3))+((Geometria!$Q$687)/('Aberturas na Alma'!$M$120/100^3))</f>
        <v>-6579.721443409518</v>
      </c>
      <c r="EO138" s="371">
        <f ca="1">IF(AND('Aberturas na Alma'!$M$18="NÃO DISPENSADO — furo deve ser verificado (cálculo abaixo)",OR(AND(B138&gt;=('Aberturas na Alma'!$M$4-'Aberturas na Alma'!$M$7/2)/100,B138&lt;=('Aberturas na Alma'!$M$4+'Aberturas na Alma'!$M$7/2)/100),ABS(B138-'Aberturas na Alma'!$M$4/100)&lt;=Geometria!$L$29/4000)),IF(CS138="Reduzir",EM138,EN138),CT138)</f>
        <v>-3300.534929156975</v>
      </c>
      <c r="EP138" t="str">
        <f>IF(AND(Y138&lt;Geometria!$L$1409/100,OR(Geometria!$K$1409&gt;0,Geometria!$K$1407&gt;0)),"ESQ",IF(AND((Geometria!$L$29/100-Y138)&lt;Geometria!$R$1409/100,OR(Geometria!$Q$1409&gt;0,Geometria!$Q$1407&gt;0)),"DIR","N/A"))</f>
        <v>N/A</v>
      </c>
      <c r="EQ138" t="str">
        <f>IF(AND(Y138&lt;Geometria!$L$1405/100,Geometria!$K$1405&gt;0),"ESQ",IF(AND((Geometria!$L$29/100-Y138)&lt;Geometria!$R$1405/100,Geometria!$Q$1405&gt;0),"DIR","N/A"))</f>
        <v>N/A</v>
      </c>
      <c r="ER138">
        <f ca="1">IF(EP138="DIR",Geometria!$L$1470,Geometria!$L$1452)</f>
        <v>1243.5596228306003</v>
      </c>
      <c r="ES138">
        <f ca="1">IF(EP138="DIR",Geometria!$L$1471,Geometria!$L$1453)</f>
        <v>233.16742928073757</v>
      </c>
      <c r="ET138">
        <f ca="1">IF(EQ138="DIR",Geometria!$L$1472,Geometria!$L$1454)</f>
        <v>621.7798114153002</v>
      </c>
      <c r="EU138">
        <f ca="1">IF(EQ138="DIR",Geometria!$L$1473,Geometria!$L$1455)</f>
        <v>177.20724625336052</v>
      </c>
      <c r="EV138" t="str">
        <f>IF(AND(B138&lt;Geometria!$L$1409/100,OR(Geometria!$K$1409&gt;0,Geometria!$K$1407&gt;0)),"ESQ",IF(AND((Geometria!$L$29/100-B138)&lt;Geometria!$R$1409/100,OR(Geometria!$Q$1409&gt;0,Geometria!$Q$1407&gt;0)),"DIR","N/A"))</f>
        <v>N/A</v>
      </c>
      <c r="EW138" t="str">
        <f>IF(AND(B138&lt;Geometria!$L$1405/100,Geometria!$K$1405&gt;0),"ESQ",IF(AND((Geometria!$L$29/100-B138)&lt;Geometria!$R$1405/100,Geometria!$Q$1405&gt;0),"DIR","N/A"))</f>
        <v>N/A</v>
      </c>
      <c r="EX138">
        <f ca="1">IF(EV138="DIR",Geometria!$L$1465,Geometria!$L$1447)</f>
        <v>1499.8056003831216</v>
      </c>
      <c r="EY138">
        <f ca="1">IF(EV138="DIR",Geometria!$L$1466,Geometria!$L$1448)</f>
        <v>281.2135500718353</v>
      </c>
      <c r="EZ138">
        <f ca="1">IF(EW138="DIR",Geometria!$L$1467,Geometria!$L$1449)</f>
        <v>749.9028001915608</v>
      </c>
      <c r="FA138">
        <f ca="1">IF(EW138="DIR",Geometria!$L$1468,Geometria!$L$1450)</f>
        <v>213.72229805459483</v>
      </c>
    </row>
    <row r="139" spans="1:157" x14ac:dyDescent="0.25">
      <c r="A139" s="376" t="str">
        <f>IF(OR(AND(B139&lt;Geometria!$L$1405/100,Geometria!$K$1405&gt;0),AND((Geometria!$L$29/100-B139)&lt;Geometria!$R$1405/100,Geometria!$Q$1405&gt;0)),"Sim","Não")</f>
        <v>Não</v>
      </c>
      <c r="B139" s="395">
        <f t="shared" si="21"/>
        <v>5.8875</v>
      </c>
      <c r="C139" s="376" t="str">
        <f>IF(OR(AND(B139&lt;Geometria!$L$1409/100,OR(Geometria!$K$1409&gt;0,Geometria!$K$1407&gt;0)),AND((Geometria!$L$29/100-B139)&lt;Geometria!$R$1409/100,OR(Geometria!$Q$1409&gt;0,Geometria!$Q$1407&gt;0))),"Sim","Não")</f>
        <v>Não</v>
      </c>
      <c r="D139" s="122" t="s">
        <v>444</v>
      </c>
      <c r="E139" s="198" t="str">
        <f ca="1">E129</f>
        <v>OK</v>
      </c>
      <c r="F139" s="396">
        <f t="shared" ca="1" si="22"/>
        <v>-16665.431726427996</v>
      </c>
      <c r="G139" s="397">
        <f ca="1">-L139/(Geometria!$L$48/100^2)-M139/(Geometria!$L$53/100^3)+Geometria!$L$898/(Geometria!$L$53/100^3)</f>
        <v>-29156.236814661603</v>
      </c>
      <c r="H139" s="400">
        <f ca="1">H129</f>
        <v>204.61700436610695</v>
      </c>
      <c r="I139" s="743">
        <f ca="1">-(Geometria!$L$906-(Geometria!$L$906-EX139)*(1-(MIN(MIN(1,MAX(0,(B139-Geometria!$L$1409/100)/(Geometria!$N$1307/100))),MIN(1,MAX(0,((Geometria!$L$29/100-B139)-Geometria!$R$1409/100)/(Geometria!$N$1307/100))))))*(IF(OR(Geometria!$K$1409&gt;0,Geometria!$K$1407&gt;0,Geometria!$Q$1409&gt;0,Geometria!$Q$1407&gt;0),1,0))-(Geometria!$L$906-EZ139)*(1-(MIN(MIN(1,MAX(0,(B139-Geometria!$L$1405/100)/(Geometria!$N$1307/100))),MIN(1,MAX(0,((Geometria!$L$29/100-B139)-Geometria!$R$1405/100)/(Geometria!$N$1307/100))))))*(IF(OR(Geometria!$K$1405&gt;0,Geometria!$K$1403&gt;0,Geometria!$Q$1405&gt;0,Geometria!$Q$1403&gt;0),1,0)))/(Geometria!$L$48/100^2)-(Geometria!$L$907-(Geometria!$L$907-EY139)*(1-(MIN(MIN(1,MAX(0,(B139-Geometria!$L$1409/100)/(Geometria!$N$1307/100))),MIN(1,MAX(0,((Geometria!$L$29/100-B139)-Geometria!$R$1409/100)/(Geometria!$N$1307/100))))))*(IF(OR(Geometria!$K$1409&gt;0,Geometria!$K$1407&gt;0,Geometria!$Q$1409&gt;0,Geometria!$Q$1407&gt;0),1,0))-(Geometria!$L$907-FA139)*(1-(MIN(MIN(1,MAX(0,(B139-Geometria!$L$1405/100)/(Geometria!$N$1307/100))),MIN(1,MAX(0,((Geometria!$L$29/100-B139)-Geometria!$R$1405/100)/(Geometria!$N$1307/100))))))*(IF(OR(Geometria!$K$1405&gt;0,Geometria!$K$1403&gt;0,Geometria!$Q$1405&gt;0,Geometria!$Q$1403&gt;0),1,0)))/(Geometria!$L$53/100^3)+Geometria!$R$901/(Geometria!$L$53/100^3)</f>
        <v>-16665.431726427996</v>
      </c>
      <c r="J139" s="743"/>
      <c r="L139" s="373">
        <f ca="1">(Geometria!$L$298-(Geometria!$L$298-IF(B139&lt;Geometria!$L$1409/100,Geometria!$L$1442,Geometria!$L$1460))*(1-(MIN(MIN(1,MAX(0,(B139-Geometria!$L$1409/100)/(Geometria!$N$1307/100))),MIN(1,MAX(0,((Geometria!$L$29/100-B139)-Geometria!$R$1409/100)/(Geometria!$N$1307/100))))))*(IF(OR(Geometria!$K$1409&gt;0,Geometria!$K$1407&gt;0,Geometria!$Q$1409&gt;0,Geometria!$Q$1407&gt;0),1,0))-(Geometria!$L$298-IF(B139&lt;Geometria!$L$1405/100,Geometria!$L$1444,Geometria!$L$1462))*(1-(MIN(MIN(1,MAX(0,(B139-Geometria!$L$1405/100)/(Geometria!$N$1307/100))),MIN(1,MAX(0,((Geometria!$L$29/100-B139)-Geometria!$R$1405/100)/(Geometria!$N$1307/100))))))*(IF(OR(Geometria!$K$1405&gt;0,Geometria!$K$1403&gt;0,Geometria!$Q$1405&gt;0,Geometria!$Q$1403&gt;0),1,0)))*H139+Geometria!$P$1429*H116</f>
        <v>1501.3493950470822</v>
      </c>
      <c r="M139" s="373">
        <f ca="1">(Geometria!$L$298-(Geometria!$L$298-IF(B139&lt;Geometria!$L$1409/100,Geometria!$L$1442,Geometria!$L$1460))*(1-(MIN(MIN(1,MAX(0,(B139-Geometria!$L$1409/100)/(Geometria!$N$1307/100))),MIN(1,MAX(0,((Geometria!$L$29/100-B139)-Geometria!$R$1409/100)/(Geometria!$N$1307/100))))))*(IF(OR(Geometria!$K$1409&gt;0,Geometria!$K$1407&gt;0,Geometria!$Q$1409&gt;0,Geometria!$Q$1407&gt;0),1,0))-(Geometria!$L$298-IF(B139&lt;Geometria!$L$1405/100,Geometria!$L$1444,Geometria!$L$1462))*(1-(MIN(MIN(1,MAX(0,(B139-Geometria!$L$1405/100)/(Geometria!$N$1307/100))),MIN(1,MAX(0,((Geometria!$L$29/100-B139)-Geometria!$R$1405/100)/(Geometria!$N$1307/100))))))*(IF(OR(Geometria!$K$1405&gt;0,Geometria!$K$1403&gt;0,Geometria!$Q$1405&gt;0,Geometria!$Q$1403&gt;0),1,0)))*H139*(Geometria!$L$299-(Geometria!$L$299-IF(B139&lt;Geometria!$L$1409/100,Geometria!$L$1443,Geometria!$L$1461))*(1-(MIN(MIN(1,MAX(0,(B139-Geometria!$L$1409/100)/(Geometria!$N$1307/100))),MIN(1,MAX(0,((Geometria!$L$29/100-B139)-Geometria!$R$1409/100)/(Geometria!$N$1307/100))))))*(IF(OR(Geometria!$K$1409&gt;0,Geometria!$K$1407&gt;0,Geometria!$Q$1409&gt;0,Geometria!$Q$1407&gt;0),1,0))-(Geometria!$L$299-IF(B139&lt;Geometria!$L$1405/100,Geometria!$L$1445,Geometria!$L$1463))*(1-(MIN(MIN(1,MAX(0,(B139-Geometria!$L$1405/100)/(Geometria!$N$1307/100))),MIN(1,MAX(0,((Geometria!$L$29/100-B139)-Geometria!$R$1405/100)/(Geometria!$N$1307/100))))))*(IF(OR(Geometria!$K$1405&gt;0,Geometria!$K$1403&gt;0,Geometria!$Q$1405&gt;0,Geometria!$Q$1403&gt;0),1,0)))/100-Geometria!$P$1429*H116*Geometria!$L$1438/100</f>
        <v>382.4706437060756</v>
      </c>
      <c r="N139" s="365"/>
      <c r="O139" s="371">
        <f ca="1">(IF(C139="Sim",IF(A139="Sim",$E$93,EX139),IF(A139="Sim",EZ139,Geometria!$L$906)))</f>
        <v>1475.413282676191</v>
      </c>
      <c r="P139" s="371">
        <f ca="1">(IF(C139="Sim",IF(A139="Sim",$E$94,EY139),IF(A139="Sim",FA139,Geometria!$L$907)))</f>
        <v>276.63999050178586</v>
      </c>
      <c r="R139" s="4" t="s">
        <v>444</v>
      </c>
      <c r="S139" s="202">
        <f t="shared" ca="1" si="36"/>
        <v>-16665.431726427996</v>
      </c>
      <c r="T139" s="38" t="s">
        <v>234</v>
      </c>
      <c r="U139" s="203">
        <f t="shared" ca="1" si="23"/>
        <v>-16.665431726427997</v>
      </c>
      <c r="V139" s="38" t="s">
        <v>160</v>
      </c>
      <c r="W139" s="399">
        <f t="shared" si="37"/>
        <v>0.0</v>
      </c>
      <c r="X139" s="376" t="str">
        <f>IF(OR(AND(Y139&lt;Geometria!$L$1405/100,Geometria!$K$1405&gt;0),AND((Geometria!$L$29/100-Y139)&lt;Geometria!$R$1405/100,Geometria!$Q$1405&gt;0)),"Sim","Não")</f>
        <v>Não</v>
      </c>
      <c r="Y139" s="395">
        <f t="shared" si="24"/>
        <v>5.8875</v>
      </c>
      <c r="Z139" s="376" t="str">
        <f>IF(OR(AND(Y139&lt;Geometria!$L$1409/100,OR(Geometria!$K$1409&gt;0,Geometria!$K$1407&gt;0)),AND((Geometria!$L$29/100-Y139)&lt;Geometria!$R$1409/100,OR(Geometria!$Q$1409&gt;0,Geometria!$Q$1407&gt;0))),"Sim","Não")</f>
        <v>Não</v>
      </c>
      <c r="AA139" s="122" t="s">
        <v>444</v>
      </c>
      <c r="AB139" s="198" t="str">
        <f ca="1">AB129</f>
        <v>OK</v>
      </c>
      <c r="AC139" s="401">
        <f t="shared" ca="1" si="25"/>
        <v>7377.085603996959</v>
      </c>
      <c r="AD139" s="403">
        <f ca="1">-(AI139/(Geometria!$L$48/100^2))-(AJ139/(Geometria!$L$53/100^3))+((Geometria!$R$419)/(Geometria!$L$53/100^3))+((Geometria!$R$430)/(Geometria!$M$53/100^3))+((Geometria!$L$76*Geometria!$R$441)/(Geometria!$M$53/100^3))</f>
        <v>2850.0543263746667</v>
      </c>
      <c r="AE139" s="400">
        <f ca="1">AE129</f>
        <v>111.03210918130361</v>
      </c>
      <c r="AF139" s="751">
        <f ca="1">-((Geometria!$L$373-(Geometria!$L$373-ER139)*(1-(MIN(MIN(1,MAX(0,(Y139-Geometria!$L$1409/100)/(Geometria!$N$1307/100))),MIN(1,MAX(0,((Geometria!$L$29/100-Y139)-Geometria!$R$1409/100)/(Geometria!$N$1307/100))))))*(IF(OR(Geometria!$K$1409&gt;0,Geometria!$K$1407&gt;0,Geometria!$Q$1409&gt;0,Geometria!$Q$1407&gt;0),1,0))-(Geometria!$L$373-ET139)*(1-(MIN(MIN(1,MAX(0,(Y139-Geometria!$L$1405/100)/(Geometria!$N$1307/100))),MIN(1,MAX(0,((Geometria!$L$29/100-Y139)-Geometria!$R$1405/100)/(Geometria!$N$1307/100))))))*(IF(OR(Geometria!$K$1405&gt;0,Geometria!$K$1403&gt;0,Geometria!$Q$1405&gt;0,Geometria!$Q$1403&gt;0),1,0))))/(Geometria!$L$48/100^2)-((Geometria!$L$374-(Geometria!$L$374-ES139)*(1-(MIN(MIN(1,MAX(0,(Y139-Geometria!$L$1409/100)/(Geometria!$N$1307/100))),MIN(1,MAX(0,((Geometria!$L$29/100-Y139)-Geometria!$R$1409/100)/(Geometria!$N$1307/100))))))*(IF(OR(Geometria!$K$1409&gt;0,Geometria!$K$1407&gt;0,Geometria!$Q$1409&gt;0,Geometria!$Q$1407&gt;0),1,0))-(Geometria!$L$374-EU139)*(1-(MIN(MIN(1,MAX(0,(Y139-Geometria!$L$1405/100)/(Geometria!$N$1307/100))),MIN(1,MAX(0,((Geometria!$L$29/100-Y139)-Geometria!$R$1405/100)/(Geometria!$N$1307/100))))))*(IF(OR(Geometria!$K$1405&gt;0,Geometria!$K$1403&gt;0,Geometria!$Q$1405&gt;0,Geometria!$Q$1403&gt;0),1,0))))/(Geometria!$L$53/100^3)+((Geometria!$R$419)/(Geometria!$L$53/100^3))+((Geometria!$R$430)/(Geometria!$M$53/100^3))+((Geometria!$L$76*Geometria!$R$441)/(Geometria!$M$53/100^3))</f>
        <v>7377.085603996959</v>
      </c>
      <c r="AG139" s="751"/>
      <c r="AI139" s="373">
        <f ca="1">(IF(Z139="Sim",IF(X139="Sim",IF(Y139&lt;Geometria!$L$1405/100,Geometria!$L$1435,Geometria!$L$1476),IF(Y139&lt;Geometria!$L$1409/100,Geometria!$L$1442,Geometria!$L$1460)),IF(X139="Sim",IF(Y139&lt;Geometria!$L$1405/100,Geometria!$L$1444,Geometria!$L$1462),Geometria!$L$298)))*AE139+Geometria!$P$1429*AE116</f>
        <v>1243.5596228306003</v>
      </c>
      <c r="AJ139" s="373">
        <f ca="1">(IF(Z139="Sim",IF(X139="Sim",IF(Y139&lt;Geometria!$L$1405/100,Geometria!$L$1435,Geometria!$L$1476),IF(Y139&lt;Geometria!$L$1409/100,Geometria!$L$1442,Geometria!$L$1460)),IF(X139="Sim",IF(Y139&lt;Geometria!$L$1405/100,Geometria!$L$1444,Geometria!$L$1462),Geometria!$L$298)))*AE139*(IF(Z139="Sim",IF(X139="Sim",IF(Y139&lt;Geometria!$L$1405/100,Geometria!$L$1436,Geometria!$L$1484),IF(Y139&lt;Geometria!$L$1409/100,Geometria!$L$1443,Geometria!$L$1461)),IF(X139="Sim",IF(Y139&lt;Geometria!$L$1405/100,Geometria!$L$1445,Geometria!$L$1463),Geometria!$L$299)))/100-Geometria!$P$1429*AE116*Geometria!$L$1438/100</f>
        <v>233.16742928073757</v>
      </c>
      <c r="AK139" s="365"/>
      <c r="AL139" s="371">
        <f ca="1">(IF(Z139="Sim",IF(X139="Sim",$E$93,EX139),IF(X139="Sim",EZ139,Geometria!$L$906)))</f>
        <v>1475.413282676191</v>
      </c>
      <c r="AM139" s="371">
        <f ca="1">(IF(Z139="Sim",IF(X139="Sim",$E$94,EY139),IF(X139="Sim",FA139,Geometria!$L$907)))</f>
        <v>276.63999050178586</v>
      </c>
      <c r="AO139" s="4" t="s">
        <v>444</v>
      </c>
      <c r="AP139" s="202">
        <f t="shared" ca="1" si="38"/>
        <v>7377.085603996959</v>
      </c>
      <c r="AQ139" s="38" t="s">
        <v>234</v>
      </c>
      <c r="AR139" s="203">
        <f t="shared" ca="1" si="26"/>
        <v>7.377085603996959</v>
      </c>
      <c r="AS139" s="38" t="s">
        <v>160</v>
      </c>
      <c r="AT139" s="399">
        <f t="shared" si="39"/>
        <v>0.0</v>
      </c>
      <c r="AU139" s="376" t="str">
        <f>IF(OR(AND(AV139&lt;Geometria!$L$1405/100,Geometria!$K$1405&gt;0),AND((Geometria!$L$29/100-AV139)&lt;Geometria!$R$1405/100,Geometria!$Q$1405&gt;0)),"Sim","Não")</f>
        <v>Não</v>
      </c>
      <c r="AV139" s="395">
        <f t="shared" si="27"/>
        <v>5.8875</v>
      </c>
      <c r="AW139" s="376" t="str">
        <f>IF(OR(AND(AV139&lt;Geometria!$L$1409/100,OR(Geometria!$K$1409&gt;0,Geometria!$K$1407&gt;0)),AND((Geometria!$L$29/100-AV139)&lt;Geometria!$R$1409/100,OR(Geometria!$Q$1409&gt;0,Geometria!$Q$1407&gt;0))),"Sim","Não")</f>
        <v>Não</v>
      </c>
      <c r="AX139" s="122" t="s">
        <v>444</v>
      </c>
      <c r="AY139" s="198" t="str">
        <f ca="1">AY129</f>
        <v>OK</v>
      </c>
      <c r="AZ139" s="401">
        <f t="shared" ca="1" si="28"/>
        <v>-2621.4886419679324</v>
      </c>
      <c r="BA139" s="403">
        <f ca="1">-(BF139/(Geometria!$L$48/100^2))-(BG139/(Geometria!$L$53/100^3))+((Geometria!$R$419)/(Geometria!$L$53/100^3))+((Geometria!$R$430)/(Geometria!$M$53/100^3))+((Geometria!$L$76*Geometria!$R$441)/(Geometria!$M$53/100^3))</f>
        <v>6656.364491714917</v>
      </c>
      <c r="BB139" s="400">
        <f ca="1">BB129</f>
        <v>111.03210918130361</v>
      </c>
      <c r="BC139" s="751">
        <f ca="1">-((Geometria!$L$373-(Geometria!$L$373-ER139)*(1-(MIN(MIN(1,MAX(0,(AV139-Geometria!$L$1409/100)/(Geometria!$N$1307/100))),MIN(1,MAX(0,((Geometria!$L$29/100-AV139)-Geometria!$R$1409/100)/(Geometria!$N$1307/100))))))*(IF(OR(Geometria!$K$1409&gt;0,Geometria!$K$1407&gt;0,Geometria!$Q$1409&gt;0,Geometria!$Q$1407&gt;0),1,0))-(Geometria!$L$373-ET139)*(1-(MIN(MIN(1,MAX(0,(AV139-Geometria!$L$1405/100)/(Geometria!$N$1307/100))),MIN(1,MAX(0,((Geometria!$L$29/100-AV139)-Geometria!$R$1405/100)/(Geometria!$N$1307/100))))))*(IF(OR(Geometria!$K$1405&gt;0,Geometria!$K$1403&gt;0,Geometria!$Q$1405&gt;0,Geometria!$Q$1403&gt;0),1,0))))/(Geometria!$L$48/100^2)-((Geometria!$L$374-(Geometria!$L$374-ES139)*(1-(MIN(MIN(1,MAX(0,(AV139-Geometria!$L$1409/100)/(Geometria!$N$1307/100))),MIN(1,MAX(0,((Geometria!$L$29/100-AV139)-Geometria!$R$1409/100)/(Geometria!$N$1307/100))))))*(IF(OR(Geometria!$K$1409&gt;0,Geometria!$K$1407&gt;0,Geometria!$Q$1409&gt;0,Geometria!$Q$1407&gt;0),1,0))-(Geometria!$L$374-EU139)*(1-(MIN(MIN(1,MAX(0,(AV139-Geometria!$L$1405/100)/(Geometria!$N$1307/100))),MIN(1,MAX(0,((Geometria!$L$29/100-AV139)-Geometria!$R$1405/100)/(Geometria!$N$1307/100))))))*(IF(OR(Geometria!$K$1405&gt;0,Geometria!$K$1403&gt;0,Geometria!$Q$1405&gt;0,Geometria!$Q$1403&gt;0),1,0))))/(Geometria!$L$53/100^3)+((Geometria!$R$419)/(Geometria!$L$53/100^3))+((Geometria!$R$430)/(Geometria!$M$53/100^3))</f>
        <v>-2621.4886419679324</v>
      </c>
      <c r="BD139" s="751"/>
      <c r="BF139" s="373">
        <f ca="1">(Geometria!$L$298-(Geometria!$L$298-IF(AV139&lt;Geometria!$L$1409/100,Geometria!$L$1442,Geometria!$L$1460))*(1-(MIN(MIN(1,MAX(0,(AV139-Geometria!$L$1409/100)/(Geometria!$N$1307/100))),MIN(1,MAX(0,((Geometria!$L$29/100-AV139)-Geometria!$R$1409/100)/(Geometria!$N$1307/100))))))*(IF(OR(Geometria!$K$1409&gt;0,Geometria!$K$1407&gt;0,Geometria!$Q$1409&gt;0,Geometria!$Q$1407&gt;0),1,0))-(Geometria!$L$298-IF(AV139&lt;Geometria!$L$1405/100,Geometria!$L$1444,Geometria!$L$1462))*(1-(MIN(MIN(1,MAX(0,(AV139-Geometria!$L$1405/100)/(Geometria!$N$1307/100))),MIN(1,MAX(0,((Geometria!$L$29/100-AV139)-Geometria!$R$1405/100)/(Geometria!$N$1307/100))))))*(IF(OR(Geometria!$K$1405&gt;0,Geometria!$K$1403&gt;0,Geometria!$Q$1405&gt;0,Geometria!$Q$1403&gt;0),1,0)))*BB139+Geometria!$P$1429*BB116</f>
        <v>814.6829754769093</v>
      </c>
      <c r="BG139" s="373">
        <f ca="1">(Geometria!$L$298-(Geometria!$L$298-IF(AV139&lt;Geometria!$L$1409/100,Geometria!$L$1442,Geometria!$L$1460))*(1-(MIN(MIN(1,MAX(0,(AV139-Geometria!$L$1409/100)/(Geometria!$N$1307/100))),MIN(1,MAX(0,((Geometria!$L$29/100-AV139)-Geometria!$R$1409/100)/(Geometria!$N$1307/100))))))*(IF(OR(Geometria!$K$1409&gt;0,Geometria!$K$1407&gt;0,Geometria!$Q$1409&gt;0,Geometria!$Q$1407&gt;0),1,0))-(Geometria!$L$298-IF(AV139&lt;Geometria!$L$1405/100,Geometria!$L$1444,Geometria!$L$1462))*(1-(MIN(MIN(1,MAX(0,(AV139-Geometria!$L$1405/100)/(Geometria!$N$1307/100))),MIN(1,MAX(0,((Geometria!$L$29/100-AV139)-Geometria!$R$1405/100)/(Geometria!$N$1307/100))))))*(IF(OR(Geometria!$K$1405&gt;0,Geometria!$K$1403&gt;0,Geometria!$Q$1405&gt;0,Geometria!$Q$1403&gt;0),1,0)))*BB139*(Geometria!$L$299-(Geometria!$L$299-IF(AV139&lt;Geometria!$L$1409/100,Geometria!$L$1443,Geometria!$L$1461))*(1-(MIN(MIN(1,MAX(0,(AV139-Geometria!$L$1409/100)/(Geometria!$N$1307/100))),MIN(1,MAX(0,((Geometria!$L$29/100-AV139)-Geometria!$R$1409/100)/(Geometria!$N$1307/100))))))*(IF(OR(Geometria!$K$1409&gt;0,Geometria!$K$1407&gt;0,Geometria!$Q$1409&gt;0,Geometria!$Q$1407&gt;0),1,0))-(Geometria!$L$299-IF(AV139&lt;Geometria!$L$1405/100,Geometria!$L$1445,Geometria!$L$1463))*(1-(MIN(MIN(1,MAX(0,(AV139-Geometria!$L$1405/100)/(Geometria!$N$1307/100))),MIN(1,MAX(0,((Geometria!$L$29/100-AV139)-Geometria!$R$1405/100)/(Geometria!$N$1307/100))))))*(IF(OR(Geometria!$K$1405&gt;0,Geometria!$K$1403&gt;0,Geometria!$Q$1405&gt;0,Geometria!$Q$1403&gt;0),1,0)))/100-Geometria!$P$1429*BB116*Geometria!$L$1438/100</f>
        <v>207.5415110399821</v>
      </c>
      <c r="BH139" s="365"/>
      <c r="BI139" s="371">
        <f ca="1">(IF(AW139="Sim",IF(AU139="Sim",$E$93,EX139),IF(AU139="Sim",EZ139,Geometria!$L$906)))</f>
        <v>1475.413282676191</v>
      </c>
      <c r="BJ139" s="371">
        <f ca="1">(IF(AW139="Sim",IF(AU139="Sim",$E$94,EY139),IF(AU139="Sim",FA139,Geometria!$L$907)))</f>
        <v>276.63999050178586</v>
      </c>
      <c r="BL139" s="4" t="s">
        <v>444</v>
      </c>
      <c r="BM139" s="202">
        <f t="shared" ca="1" si="40"/>
        <v>-2621.4886419679324</v>
      </c>
      <c r="BN139" s="38" t="s">
        <v>234</v>
      </c>
      <c r="BO139" s="203">
        <f t="shared" ca="1" si="29"/>
        <v>-2.6214886419679324</v>
      </c>
      <c r="BP139" s="38" t="s">
        <v>160</v>
      </c>
      <c r="BQ139" s="399">
        <f t="shared" si="41"/>
        <v>0.0</v>
      </c>
      <c r="BR139" s="376" t="str">
        <f>IF(OR(AND(BS139&lt;Geometria!$L$1405/100,Geometria!$K$1405&gt;0),AND((Geometria!$L$29/100-BS139)&lt;Geometria!$R$1405/100,Geometria!$Q$1405&gt;0)),"Sim","Não")</f>
        <v>Não</v>
      </c>
      <c r="BS139" s="395">
        <f t="shared" si="30"/>
        <v>5.8875</v>
      </c>
      <c r="BT139" s="376" t="str">
        <f>IF(OR(AND(BS139&lt;Geometria!$L$1409/100,OR(Geometria!$K$1409&gt;0,Geometria!$K$1407&gt;0)),AND((Geometria!$L$29/100-BS139)&lt;Geometria!$R$1409/100,OR(Geometria!$Q$1409&gt;0,Geometria!$Q$1407&gt;0))),"Sim","Não")</f>
        <v>Não</v>
      </c>
      <c r="BU139" s="122" t="s">
        <v>444</v>
      </c>
      <c r="BV139" s="198" t="str">
        <f ca="1">BV129</f>
        <v>OK</v>
      </c>
      <c r="BW139" s="401">
        <f t="shared" ca="1" si="31"/>
        <v>4044.227522008663</v>
      </c>
      <c r="BX139" s="403">
        <f ca="1">-(CC139/(Geometria!$L$48/100^2))-(CD139/(Geometria!$L$53/100^3))+((Geometria!$R$419)/(Geometria!$L$53/100^3))+((Geometria!$R$430)/(Geometria!$M$53/100^3))+((Geometria!$L$76*Geometria!$R$441)/(Geometria!$M$53/100^3))</f>
        <v>6656.364491714917</v>
      </c>
      <c r="BY139" s="400">
        <f ca="1">BY129</f>
        <v>111.03210918130361</v>
      </c>
      <c r="BZ139" s="751">
        <f ca="1">-((Geometria!$L$373-(Geometria!$L$373-ER139)*(1-(MIN(MIN(1,MAX(0,(BS139-Geometria!$L$1409/100)/(Geometria!$N$1307/100))),MIN(1,MAX(0,((Geometria!$L$29/100-BS139)-Geometria!$R$1409/100)/(Geometria!$N$1307/100))))))*(IF(OR(Geometria!$K$1409&gt;0,Geometria!$K$1407&gt;0,Geometria!$Q$1409&gt;0,Geometria!$Q$1407&gt;0),1,0))-(Geometria!$L$373-ET139)*(1-(MIN(MIN(1,MAX(0,(BS139-Geometria!$L$1405/100)/(Geometria!$N$1307/100))),MIN(1,MAX(0,((Geometria!$L$29/100-BS139)-Geometria!$R$1405/100)/(Geometria!$N$1307/100))))))*(IF(OR(Geometria!$K$1405&gt;0,Geometria!$K$1403&gt;0,Geometria!$Q$1405&gt;0,Geometria!$Q$1403&gt;0),1,0))))/(Geometria!$L$48/100^2)-((Geometria!$L$374-(Geometria!$L$374-ES139)*(1-(MIN(MIN(1,MAX(0,(BS139-Geometria!$L$1409/100)/(Geometria!$N$1307/100))),MIN(1,MAX(0,((Geometria!$L$29/100-BS139)-Geometria!$R$1409/100)/(Geometria!$N$1307/100))))))*(IF(OR(Geometria!$K$1409&gt;0,Geometria!$K$1407&gt;0,Geometria!$Q$1409&gt;0,Geometria!$Q$1407&gt;0),1,0))-(Geometria!$L$374-EU139)*(1-(MIN(MIN(1,MAX(0,(BS139-Geometria!$L$1405/100)/(Geometria!$N$1307/100))),MIN(1,MAX(0,((Geometria!$L$29/100-BS139)-Geometria!$R$1405/100)/(Geometria!$N$1307/100))))))*(IF(OR(Geometria!$K$1405&gt;0,Geometria!$K$1403&gt;0,Geometria!$Q$1405&gt;0,Geometria!$Q$1403&gt;0),1,0))))/(Geometria!$L$53/100^3)+((Geometria!$R$676)/(Geometria!$L$53/100^3))+((Geometria!$R$687)/(Geometria!$M$53/100^3))+((Geometria!$L$77*Geometria!$R$698)/(Geometria!$M$53/100^3))</f>
        <v>4044.227522008663</v>
      </c>
      <c r="CA139" s="751"/>
      <c r="CC139" s="373">
        <f ca="1">(Geometria!$L$298-(Geometria!$L$298-IF(BS139&lt;Geometria!$L$1409/100,Geometria!$L$1442,Geometria!$L$1460))*(1-(MIN(MIN(1,MAX(0,(BS139-Geometria!$L$1409/100)/(Geometria!$N$1307/100))),MIN(1,MAX(0,((Geometria!$L$29/100-BS139)-Geometria!$R$1409/100)/(Geometria!$N$1307/100))))))*(IF(OR(Geometria!$K$1409&gt;0,Geometria!$K$1407&gt;0,Geometria!$Q$1409&gt;0,Geometria!$Q$1407&gt;0),1,0))-(Geometria!$L$298-IF(BS139&lt;Geometria!$L$1405/100,Geometria!$L$1444,Geometria!$L$1462))*(1-(MIN(MIN(1,MAX(0,(BS139-Geometria!$L$1405/100)/(Geometria!$N$1307/100))),MIN(1,MAX(0,((Geometria!$L$29/100-BS139)-Geometria!$R$1405/100)/(Geometria!$N$1307/100))))))*(IF(OR(Geometria!$K$1405&gt;0,Geometria!$K$1403&gt;0,Geometria!$Q$1405&gt;0,Geometria!$Q$1403&gt;0),1,0)))*BY139+Geometria!$P$1429*BY116</f>
        <v>814.6829754769093</v>
      </c>
      <c r="CD139" s="373">
        <f ca="1">(Geometria!$L$298-(Geometria!$L$298-IF(BS139&lt;Geometria!$L$1409/100,Geometria!$L$1442,Geometria!$L$1460))*(1-(MIN(MIN(1,MAX(0,(BS139-Geometria!$L$1409/100)/(Geometria!$N$1307/100))),MIN(1,MAX(0,((Geometria!$L$29/100-BS139)-Geometria!$R$1409/100)/(Geometria!$N$1307/100))))))*(IF(OR(Geometria!$K$1409&gt;0,Geometria!$K$1407&gt;0,Geometria!$Q$1409&gt;0,Geometria!$Q$1407&gt;0),1,0))-(Geometria!$L$298-IF(BS139&lt;Geometria!$L$1405/100,Geometria!$L$1444,Geometria!$L$1462))*(1-(MIN(MIN(1,MAX(0,(BS139-Geometria!$L$1405/100)/(Geometria!$N$1307/100))),MIN(1,MAX(0,((Geometria!$L$29/100-BS139)-Geometria!$R$1405/100)/(Geometria!$N$1307/100))))))*(IF(OR(Geometria!$K$1405&gt;0,Geometria!$K$1403&gt;0,Geometria!$Q$1405&gt;0,Geometria!$Q$1403&gt;0),1,0)))*BY139*(Geometria!$L$299-(Geometria!$L$299-IF(BS139&lt;Geometria!$L$1409/100,Geometria!$L$1443,Geometria!$L$1461))*(1-(MIN(MIN(1,MAX(0,(BS139-Geometria!$L$1409/100)/(Geometria!$N$1307/100))),MIN(1,MAX(0,((Geometria!$L$29/100-BS139)-Geometria!$R$1409/100)/(Geometria!$N$1307/100))))))*(IF(OR(Geometria!$K$1409&gt;0,Geometria!$K$1407&gt;0,Geometria!$Q$1409&gt;0,Geometria!$Q$1407&gt;0),1,0))-(Geometria!$L$299-IF(BS139&lt;Geometria!$L$1405/100,Geometria!$L$1445,Geometria!$L$1463))*(1-(MIN(MIN(1,MAX(0,(BS139-Geometria!$L$1405/100)/(Geometria!$N$1307/100))),MIN(1,MAX(0,((Geometria!$L$29/100-BS139)-Geometria!$R$1405/100)/(Geometria!$N$1307/100))))))*(IF(OR(Geometria!$K$1405&gt;0,Geometria!$K$1403&gt;0,Geometria!$Q$1405&gt;0,Geometria!$Q$1403&gt;0),1,0)))/100-Geometria!$P$1429*BY116*Geometria!$L$1438/100</f>
        <v>207.5415110399821</v>
      </c>
      <c r="CE139" s="365"/>
      <c r="CF139" s="371">
        <f ca="1">(IF(BT139="Sim",IF(BR139="Sim",$E$93,EX139),IF(BR139="Sim",EZ139,Geometria!$L$906)))</f>
        <v>1475.413282676191</v>
      </c>
      <c r="CG139" s="371">
        <f ca="1">(IF(BT139="Sim",IF(BR139="Sim",$E$94,EY139),IF(BR139="Sim",FA139,Geometria!$L$907)))</f>
        <v>276.63999050178586</v>
      </c>
      <c r="CI139" s="4" t="s">
        <v>444</v>
      </c>
      <c r="CJ139" s="202">
        <f t="shared" ca="1" si="42"/>
        <v>4044.227522008663</v>
      </c>
      <c r="CK139" s="38" t="s">
        <v>234</v>
      </c>
      <c r="CL139" s="203">
        <f t="shared" ca="1" si="32"/>
        <v>4.044227522008663</v>
      </c>
      <c r="CM139" s="38" t="s">
        <v>160</v>
      </c>
      <c r="CN139" s="399">
        <f t="shared" si="43"/>
        <v>0.0</v>
      </c>
      <c r="CO139" s="376" t="str">
        <f>IF(OR(AND(CP139&lt;Geometria!$L$1405/100,Geometria!$K$1405&gt;0),AND((Geometria!$L$29/100-CP139)&lt;Geometria!$R$1405/100,Geometria!$Q$1405&gt;0)),"Sim","Não")</f>
        <v>Não</v>
      </c>
      <c r="CP139" s="395">
        <f t="shared" si="33"/>
        <v>5.8875</v>
      </c>
      <c r="CQ139" s="376" t="str">
        <f>IF(OR(AND(CP139&lt;Geometria!$L$1409/100,OR(Geometria!$K$1409&gt;0,Geometria!$K$1407&gt;0)),AND((Geometria!$L$29/100-CP139)&lt;Geometria!$R$1409/100,OR(Geometria!$Q$1409&gt;0,Geometria!$Q$1407&gt;0))),"Sim","Não")</f>
        <v>Não</v>
      </c>
      <c r="CR139" s="122" t="s">
        <v>444</v>
      </c>
      <c r="CS139" s="198" t="str">
        <f ca="1">CS129</f>
        <v>OK</v>
      </c>
      <c r="CT139" s="401">
        <f t="shared" ca="1" si="34"/>
        <v>-2621.4886419679324</v>
      </c>
      <c r="CU139" s="403">
        <f ca="1">-(CZ139/(Geometria!$L$48/100^2))-(DA139/(Geometria!$L$53/100^3))+((Geometria!$R$419)/(Geometria!$L$53/100^3))+((Geometria!$R$430)/(Geometria!$M$53/100^3))+((Geometria!$L$76*Geometria!$R$441)/(Geometria!$M$53/100^3))</f>
        <v>2850.0543263746667</v>
      </c>
      <c r="CV139" s="400">
        <f ca="1">CV129</f>
        <v>111.03210918130361</v>
      </c>
      <c r="CW139" s="751">
        <f ca="1">-((Geometria!$L$373-(Geometria!$L$373-ER139)*(1-(MIN(MIN(1,MAX(0,(CP139-Geometria!$L$1409/100)/(Geometria!$N$1307/100))),MIN(1,MAX(0,((Geometria!$L$29/100-CP139)-Geometria!$R$1409/100)/(Geometria!$N$1307/100))))))*(IF(OR(Geometria!$K$1409&gt;0,Geometria!$K$1407&gt;0,Geometria!$Q$1409&gt;0,Geometria!$Q$1407&gt;0),1,0))-(Geometria!$L$373-ET139)*(1-(MIN(MIN(1,MAX(0,(CP139-Geometria!$L$1405/100)/(Geometria!$N$1307/100))),MIN(1,MAX(0,((Geometria!$L$29/100-CP139)-Geometria!$R$1405/100)/(Geometria!$N$1307/100))))))*(IF(OR(Geometria!$K$1405&gt;0,Geometria!$K$1403&gt;0,Geometria!$Q$1405&gt;0,Geometria!$Q$1403&gt;0),1,0))))/(Geometria!$L$48/100^2)-((Geometria!$L$374-(Geometria!$L$374-ES139)*(1-(MIN(MIN(1,MAX(0,(CP139-Geometria!$L$1409/100)/(Geometria!$N$1307/100))),MIN(1,MAX(0,((Geometria!$L$29/100-CP139)-Geometria!$R$1409/100)/(Geometria!$N$1307/100))))))*(IF(OR(Geometria!$K$1409&gt;0,Geometria!$K$1407&gt;0,Geometria!$Q$1409&gt;0,Geometria!$Q$1407&gt;0),1,0))-(Geometria!$L$374-EU139)*(1-(MIN(MIN(1,MAX(0,(CP139-Geometria!$L$1405/100)/(Geometria!$N$1307/100))),MIN(1,MAX(0,((Geometria!$L$29/100-CP139)-Geometria!$R$1405/100)/(Geometria!$N$1307/100))))))*(IF(OR(Geometria!$K$1405&gt;0,Geometria!$K$1403&gt;0,Geometria!$Q$1405&gt;0,Geometria!$Q$1403&gt;0),1,0))))/(Geometria!$L$53/100^3)+((Geometria!$R$676)/(Geometria!$L$53/100^3))+((Geometria!$R$687)/(Geometria!$M$53/100^3))</f>
        <v>-2621.4886419679324</v>
      </c>
      <c r="CX139" s="751"/>
      <c r="CZ139" s="373">
        <f ca="1">(IF(CQ139="Sim",IF(CO139="Sim",IF(CP139&lt;Geometria!$L$1405/100,Geometria!$L$1435,Geometria!$L$1476),IF(CP139&lt;Geometria!$L$1409/100,Geometria!$L$1442,Geometria!$L$1460)),IF(CO139="Sim",IF(CP139&lt;Geometria!$L$1405/100,Geometria!$L$1444,Geometria!$L$1462),Geometria!$L$298)))*CV139+Geometria!$P$1429*CV116</f>
        <v>1243.5596228306003</v>
      </c>
      <c r="DA139" s="373">
        <f ca="1">(IF(CQ139="Sim",IF(CO139="Sim",IF(CP139&lt;Geometria!$L$1405/100,Geometria!$L$1435,Geometria!$L$1476),IF(CP139&lt;Geometria!$L$1409/100,Geometria!$L$1442,Geometria!$L$1460)),IF(CO139="Sim",IF(CP139&lt;Geometria!$L$1405/100,Geometria!$L$1444,Geometria!$L$1462),Geometria!$L$298)))*CV139*(IF(CQ139="Sim",IF(CO139="Sim",IF(CP139&lt;Geometria!$L$1405/100,Geometria!$L$1436,Geometria!$L$1484),IF(CP139&lt;Geometria!$L$1409/100,Geometria!$L$1443,Geometria!$L$1461)),IF(CO139="Sim",IF(CP139&lt;Geometria!$L$1405/100,Geometria!$L$1445,Geometria!$L$1463),Geometria!$L$299)))/100-Geometria!$P$1429*CV116*Geometria!$L$1438/100</f>
        <v>233.16742928073757</v>
      </c>
      <c r="DB139" s="365"/>
      <c r="DC139" s="371">
        <f ca="1">(IF(CQ139="Sim",IF(CO139="Sim",$E$93,EX139),IF(CO139="Sim",EZ139,Geometria!$L$906)))</f>
        <v>1475.413282676191</v>
      </c>
      <c r="DD139" s="371">
        <f ca="1">(IF(CQ139="Sim",IF(CO139="Sim",$E$94,EY139),IF(CO139="Sim",FA139,Geometria!$L$907)))</f>
        <v>276.63999050178586</v>
      </c>
      <c r="DF139" s="4" t="s">
        <v>444</v>
      </c>
      <c r="DG139" s="202">
        <f t="shared" ca="1" si="44"/>
        <v>-2621.4886419679324</v>
      </c>
      <c r="DH139" s="38" t="s">
        <v>234</v>
      </c>
      <c r="DI139" s="203">
        <f t="shared" ca="1" si="35"/>
        <v>-2.6214886419679324</v>
      </c>
      <c r="DJ139" s="38" t="s">
        <v>160</v>
      </c>
      <c r="DK139" s="399">
        <f t="shared" si="45"/>
        <v>0.0</v>
      </c>
      <c r="EA139">
        <f ca="1">-L139/('Aberturas na Alma'!$M$112/100^2)-M139/('Aberturas na Alma'!$M$120/100^3)+Geometria!$L$898/('Aberturas na Alma'!$M$120/100^3)</f>
        <v>-31890.784777371457</v>
      </c>
      <c r="EB139">
        <f ca="1">-(IF(C139="Sim",IF(A139="Sim",$E$93,EX139),IF(A139="Sim",EZ139,Geometria!$L$906)))/('Aberturas na Alma'!$M$112/100^2)-(IF(C139="Sim",IF(A139="Sim",$E$94,EY139),IF(A139="Sim",FA139,Geometria!$L$907)))/('Aberturas na Alma'!$M$120/100^3)+Geometria!$R$901/('Aberturas na Alma'!$M$120/100^3)</f>
        <v>-24558.805284599257</v>
      </c>
      <c r="EC139">
        <f ca="1">IF(AND('Aberturas na Alma'!$M$18="NÃO DISPENSADO — furo deve ser verificado (cálculo abaixo)",OR(AND(B139&gt;=('Aberturas na Alma'!$M$4-'Aberturas na Alma'!$M$7/2)/100,B139&lt;=('Aberturas na Alma'!$M$4+'Aberturas na Alma'!$M$7/2)/100),ABS(B139-'Aberturas na Alma'!$M$4/100)&lt;=Geometria!$L$29/4000)),IF(E139="Reduzir",EA139,EB139),F139)</f>
        <v>-16665.431726427996</v>
      </c>
      <c r="ED139">
        <f ca="1">-(AI139/('Aberturas na Alma'!$M$112/100^2))-(AJ139/('Aberturas na Alma'!$M$120/100^3))+((Geometria!$R$419)/('Aberturas na Alma'!$M$120/100^3))+((Geometria!$R$430)/('Aberturas na Alma'!$M$120/100^3))+((Geometria!$L$76*Geometria!$R$441)/('Aberturas na Alma'!$M$120/100^3))</f>
        <v>19794.935203018824</v>
      </c>
      <c r="EE139">
        <f ca="1">-((IF(Z139="Sim",IF(X139="Sim",$AB$93,ER139),IF(X139="Sim",ET139,Geometria!$L$373)))/('Aberturas na Alma'!$M$112/100^2))-((IF(Z139="Sim",IF(X139="Sim",$AB$94,ES139),IF(X139="Sim",EU139,Geometria!$L$374)))/('Aberturas na Alma'!$M$120/100^3))+((Geometria!$R$419)/('Aberturas na Alma'!$M$120/100^3))+((Geometria!$R$430)/('Aberturas na Alma'!$M$120/100^3))+((Geometria!$L$76*Geometria!$R$441)/('Aberturas na Alma'!$M$120/100^3))</f>
        <v>19794.935203018824</v>
      </c>
      <c r="EF139" s="371">
        <f ca="1">IF(AND('Aberturas na Alma'!$M$18="NÃO DISPENSADO — furo deve ser verificado (cálculo abaixo)",OR(AND(B139&gt;=('Aberturas na Alma'!$M$4-'Aberturas na Alma'!$M$7/2)/100,B139&lt;=('Aberturas na Alma'!$M$4+'Aberturas na Alma'!$M$7/2)/100),ABS(B139-'Aberturas na Alma'!$M$4/100)&lt;=Geometria!$L$29/4000)),IF(AB139="Reduzir",ED139,EE139),AC139)</f>
        <v>7377.085603996959</v>
      </c>
      <c r="EG139">
        <f ca="1">-(BF139/('Aberturas na Alma'!$M$112/100^2))-(BG139/('Aberturas na Alma'!$M$120/100^3))+((Geometria!$R$419)/('Aberturas na Alma'!$M$120/100^3))+((Geometria!$R$430)/('Aberturas na Alma'!$M$120/100^3))+((Geometria!$L$76*Geometria!$R$441)/('Aberturas na Alma'!$M$120/100^3))</f>
        <v>24392.333784651593</v>
      </c>
      <c r="EH139">
        <f ca="1">-((IF(AW139="Sim",IF(AU139="Sim",$AB$93,ER139),IF(AU139="Sim",ET139,Geometria!$L$373)))/('Aberturas na Alma'!$M$112/100^2))-((IF(AW139="Sim",IF(AU139="Sim",$AB$94,ES139),IF(AU139="Sim",EU139,Geometria!$L$374)))/('Aberturas na Alma'!$M$120/100^3))+((Geometria!$R$419)/('Aberturas na Alma'!$M$120/100^3))+((Geometria!$R$430)/('Aberturas na Alma'!$M$120/100^3))</f>
        <v>-8246.555699468621</v>
      </c>
      <c r="EI139" s="371">
        <f ca="1">IF(AND('Aberturas na Alma'!$M$18="NÃO DISPENSADO — furo deve ser verificado (cálculo abaixo)",OR(AND(B139&gt;=('Aberturas na Alma'!$M$4-'Aberturas na Alma'!$M$7/2)/100,B139&lt;=('Aberturas na Alma'!$M$4+'Aberturas na Alma'!$M$7/2)/100),ABS(B139-'Aberturas na Alma'!$M$4/100)&lt;=Geometria!$L$29/4000)),IF(AY139="Reduzir",EG139,EH139),AZ139)</f>
        <v>-2621.4886419679324</v>
      </c>
      <c r="EJ139">
        <f ca="1">-(CC139/('Aberturas na Alma'!$M$112/100^2))-(CD139/('Aberturas na Alma'!$M$120/100^3))+((Geometria!$R$419)/('Aberturas na Alma'!$M$120/100^3))+((Geometria!$R$430)/('Aberturas na Alma'!$M$120/100^3))+((Geometria!$L$76*Geometria!$R$441)/('Aberturas na Alma'!$M$120/100^3))</f>
        <v>24392.333784651593</v>
      </c>
      <c r="EK139">
        <f ca="1">-((IF(BT139="Sim",IF(BR139="Sim",$AB$93,ER139),IF(BR139="Sim",ET139,Geometria!$L$373)))/('Aberturas na Alma'!$M$112/100^2))-((IF(BT139="Sim",IF(BR139="Sim",$AB$94,ES139),IF(BR139="Sim",EU139,Geometria!$L$374)))/('Aberturas na Alma'!$M$120/100^3))+((Geometria!$R$676)/('Aberturas na Alma'!$M$120/100^3))+((Geometria!$R$687)/('Aberturas na Alma'!$M$120/100^3))+((Geometria!$L$77*Geometria!$R$698)/('Aberturas na Alma'!$M$120/100^3))</f>
        <v>10447.771568856346</v>
      </c>
      <c r="EL139" s="371">
        <f ca="1">IF(AND('Aberturas na Alma'!$M$18="NÃO DISPENSADO — furo deve ser verificado (cálculo abaixo)",OR(AND(B139&gt;=('Aberturas na Alma'!$M$4-'Aberturas na Alma'!$M$7/2)/100,B139&lt;=('Aberturas na Alma'!$M$4+'Aberturas na Alma'!$M$7/2)/100),ABS(B139-'Aberturas na Alma'!$M$4/100)&lt;=Geometria!$L$29/4000)),IF(BV139="Reduzir",EJ139,EK139),BW139)</f>
        <v>4044.227522008663</v>
      </c>
      <c r="EM139">
        <f ca="1">-(CZ139/('Aberturas na Alma'!$M$112/100^2))-(DA139/('Aberturas na Alma'!$M$120/100^3))+((Geometria!$R$419)/('Aberturas na Alma'!$M$120/100^3))+((Geometria!$R$430)/('Aberturas na Alma'!$M$120/100^3))+((Geometria!$L$76*Geometria!$R$441)/('Aberturas na Alma'!$M$120/100^3))</f>
        <v>19794.935203018824</v>
      </c>
      <c r="EN139">
        <f ca="1">-((IF(CQ139="Sim",IF(CO139="Sim",$AB$93,ER139),IF(CO139="Sim",ET139,Geometria!$L$373)))/('Aberturas na Alma'!$M$112/100^2))-((IF(CQ139="Sim",IF(CO139="Sim",$AB$94,ES139),IF(CO139="Sim",EU139,Geometria!$L$374)))/('Aberturas na Alma'!$M$120/100^3))+((Geometria!$R$676)/('Aberturas na Alma'!$M$120/100^3))+((Geometria!$R$687)/('Aberturas na Alma'!$M$120/100^3))</f>
        <v>-8246.555699468621</v>
      </c>
      <c r="EO139" s="371">
        <f ca="1">IF(AND('Aberturas na Alma'!$M$18="NÃO DISPENSADO — furo deve ser verificado (cálculo abaixo)",OR(AND(B139&gt;=('Aberturas na Alma'!$M$4-'Aberturas na Alma'!$M$7/2)/100,B139&lt;=('Aberturas na Alma'!$M$4+'Aberturas na Alma'!$M$7/2)/100),ABS(B139-'Aberturas na Alma'!$M$4/100)&lt;=Geometria!$L$29/4000)),IF(CS139="Reduzir",EM139,EN139),CT139)</f>
        <v>-2621.4886419679324</v>
      </c>
      <c r="EP139" t="str">
        <f>IF(AND(Y139&lt;Geometria!$L$1409/100,OR(Geometria!$K$1409&gt;0,Geometria!$K$1407&gt;0)),"ESQ",IF(AND((Geometria!$L$29/100-Y139)&lt;Geometria!$R$1409/100,OR(Geometria!$Q$1409&gt;0,Geometria!$Q$1407&gt;0)),"DIR","N/A"))</f>
        <v>N/A</v>
      </c>
      <c r="EQ139" t="str">
        <f>IF(AND(Y139&lt;Geometria!$L$1405/100,Geometria!$K$1405&gt;0),"ESQ",IF(AND((Geometria!$L$29/100-Y139)&lt;Geometria!$R$1405/100,Geometria!$Q$1405&gt;0),"DIR","N/A"))</f>
        <v>N/A</v>
      </c>
      <c r="ER139">
        <f ca="1">IF(EP139="DIR",Geometria!$L$1470,Geometria!$L$1452)</f>
        <v>1243.5596228306003</v>
      </c>
      <c r="ES139">
        <f ca="1">IF(EP139="DIR",Geometria!$L$1471,Geometria!$L$1453)</f>
        <v>233.16742928073757</v>
      </c>
      <c r="ET139">
        <f ca="1">IF(EQ139="DIR",Geometria!$L$1472,Geometria!$L$1454)</f>
        <v>621.7798114153002</v>
      </c>
      <c r="EU139">
        <f ca="1">IF(EQ139="DIR",Geometria!$L$1473,Geometria!$L$1455)</f>
        <v>177.20724625336052</v>
      </c>
      <c r="EV139" t="str">
        <f>IF(AND(B139&lt;Geometria!$L$1409/100,OR(Geometria!$K$1409&gt;0,Geometria!$K$1407&gt;0)),"ESQ",IF(AND((Geometria!$L$29/100-B139)&lt;Geometria!$R$1409/100,OR(Geometria!$Q$1409&gt;0,Geometria!$Q$1407&gt;0)),"DIR","N/A"))</f>
        <v>N/A</v>
      </c>
      <c r="EW139" t="str">
        <f>IF(AND(B139&lt;Geometria!$L$1405/100,Geometria!$K$1405&gt;0),"ESQ",IF(AND((Geometria!$L$29/100-B139)&lt;Geometria!$R$1405/100,Geometria!$Q$1405&gt;0),"DIR","N/A"))</f>
        <v>N/A</v>
      </c>
      <c r="EX139">
        <f ca="1">IF(EV139="DIR",Geometria!$L$1465,Geometria!$L$1447)</f>
        <v>1499.8056003831216</v>
      </c>
      <c r="EY139">
        <f ca="1">IF(EV139="DIR",Geometria!$L$1466,Geometria!$L$1448)</f>
        <v>281.2135500718353</v>
      </c>
      <c r="EZ139">
        <f ca="1">IF(EW139="DIR",Geometria!$L$1467,Geometria!$L$1449)</f>
        <v>749.9028001915608</v>
      </c>
      <c r="FA139">
        <f ca="1">IF(EW139="DIR",Geometria!$L$1468,Geometria!$L$1450)</f>
        <v>213.72229805459483</v>
      </c>
    </row>
    <row r="140" spans="1:157" x14ac:dyDescent="0.25">
      <c r="A140" s="376" t="str">
        <f>IF(OR(AND(B140&lt;Geometria!$L$1405/100,Geometria!$K$1405&gt;0),AND((Geometria!$L$29/100-B140)&lt;Geometria!$R$1405/100,Geometria!$Q$1405&gt;0)),"Sim","Não")</f>
        <v>Sim</v>
      </c>
      <c r="B140" s="395">
        <f t="shared" si="21"/>
        <v>6.28</v>
      </c>
      <c r="C140" s="376" t="str">
        <f>IF(OR(AND(B140&lt;Geometria!$L$1409/100,OR(Geometria!$K$1409&gt;0,Geometria!$K$1407&gt;0)),AND((Geometria!$L$29/100-B140)&lt;Geometria!$R$1409/100,OR(Geometria!$Q$1409&gt;0,Geometria!$Q$1407&gt;0))),"Sim","Não")</f>
        <v>Não</v>
      </c>
      <c r="D140" s="122" t="s">
        <v>445</v>
      </c>
      <c r="E140" s="198" t="str">
        <f ca="1">E128</f>
        <v>OK</v>
      </c>
      <c r="F140" s="396">
        <f t="shared" ca="1" si="22"/>
        <v>-14581.188504097276</v>
      </c>
      <c r="G140" s="397">
        <f ca="1">-L140/(Geometria!$L$48/100^2)-M140/(Geometria!$L$53/100^3)+Geometria!$L$898/(Geometria!$L$53/100^3)</f>
        <v>-19173.893810210346</v>
      </c>
      <c r="H140" s="400">
        <f ca="1">H128</f>
        <v>163.69360349288556</v>
      </c>
      <c r="I140" s="743">
        <f ca="1">-(Geometria!$L$906-(Geometria!$L$906-EX140)*(1-(MIN(MIN(1,MAX(0,(B140-Geometria!$L$1409/100)/(Geometria!$N$1307/100))),MIN(1,MAX(0,((Geometria!$L$29/100-B140)-Geometria!$R$1409/100)/(Geometria!$N$1307/100))))))*(IF(OR(Geometria!$K$1409&gt;0,Geometria!$K$1407&gt;0,Geometria!$Q$1409&gt;0,Geometria!$Q$1407&gt;0),1,0))-(Geometria!$L$906-EZ140)*(1-(MIN(MIN(1,MAX(0,(B140-Geometria!$L$1405/100)/(Geometria!$N$1307/100))),MIN(1,MAX(0,((Geometria!$L$29/100-B140)-Geometria!$R$1405/100)/(Geometria!$N$1307/100))))))*(IF(OR(Geometria!$K$1405&gt;0,Geometria!$K$1403&gt;0,Geometria!$Q$1405&gt;0,Geometria!$Q$1403&gt;0),1,0)))/(Geometria!$L$48/100^2)-(Geometria!$L$907-(Geometria!$L$907-EY140)*(1-(MIN(MIN(1,MAX(0,(B140-Geometria!$L$1409/100)/(Geometria!$N$1307/100))),MIN(1,MAX(0,((Geometria!$L$29/100-B140)-Geometria!$R$1409/100)/(Geometria!$N$1307/100))))))*(IF(OR(Geometria!$K$1409&gt;0,Geometria!$K$1407&gt;0,Geometria!$Q$1409&gt;0,Geometria!$Q$1407&gt;0),1,0))-(Geometria!$L$907-FA140)*(1-(MIN(MIN(1,MAX(0,(B140-Geometria!$L$1405/100)/(Geometria!$N$1307/100))),MIN(1,MAX(0,((Geometria!$L$29/100-B140)-Geometria!$R$1405/100)/(Geometria!$N$1307/100))))))*(IF(OR(Geometria!$K$1405&gt;0,Geometria!$K$1403&gt;0,Geometria!$Q$1405&gt;0,Geometria!$Q$1403&gt;0),1,0)))/(Geometria!$L$53/100^3)+Geometria!$K$904/(Geometria!$L$53/100^3)</f>
        <v>-14581.188504097276</v>
      </c>
      <c r="J140" s="743"/>
      <c r="L140" s="373">
        <f ca="1">(Geometria!$L$298-(Geometria!$L$298-IF(B140&lt;Geometria!$L$1409/100,Geometria!$L$1442,Geometria!$L$1460))*(1-(MIN(MIN(1,MAX(0,(B140-Geometria!$L$1409/100)/(Geometria!$N$1307/100))),MIN(1,MAX(0,((Geometria!$L$29/100-B140)-Geometria!$R$1409/100)/(Geometria!$N$1307/100))))))*(IF(OR(Geometria!$K$1409&gt;0,Geometria!$K$1407&gt;0,Geometria!$Q$1409&gt;0,Geometria!$Q$1407&gt;0),1,0))-(Geometria!$L$298-IF(B140&lt;Geometria!$L$1405/100,Geometria!$L$1444,Geometria!$L$1462))*(1-(MIN(MIN(1,MAX(0,(B140-Geometria!$L$1405/100)/(Geometria!$N$1307/100))),MIN(1,MAX(0,((Geometria!$L$29/100-B140)-Geometria!$R$1405/100)/(Geometria!$N$1307/100))))))*(IF(OR(Geometria!$K$1405&gt;0,Geometria!$K$1403&gt;0,Geometria!$Q$1405&gt;0,Geometria!$Q$1403&gt;0),1,0)))*H140+Geometria!$P$1429*H117</f>
        <v>916.684179560159</v>
      </c>
      <c r="M140" s="373">
        <f ca="1">(Geometria!$L$298-(Geometria!$L$298-IF(B140&lt;Geometria!$L$1409/100,Geometria!$L$1442,Geometria!$L$1460))*(1-(MIN(MIN(1,MAX(0,(B140-Geometria!$L$1409/100)/(Geometria!$N$1307/100))),MIN(1,MAX(0,((Geometria!$L$29/100-B140)-Geometria!$R$1409/100)/(Geometria!$N$1307/100))))))*(IF(OR(Geometria!$K$1409&gt;0,Geometria!$K$1407&gt;0,Geometria!$Q$1409&gt;0,Geometria!$Q$1407&gt;0),1,0))-(Geometria!$L$298-IF(B140&lt;Geometria!$L$1405/100,Geometria!$L$1444,Geometria!$L$1462))*(1-(MIN(MIN(1,MAX(0,(B140-Geometria!$L$1405/100)/(Geometria!$N$1307/100))),MIN(1,MAX(0,((Geometria!$L$29/100-B140)-Geometria!$R$1405/100)/(Geometria!$N$1307/100))))))*(IF(OR(Geometria!$K$1405&gt;0,Geometria!$K$1403&gt;0,Geometria!$Q$1405&gt;0,Geometria!$Q$1403&gt;0),1,0)))*H140*(Geometria!$L$299-(Geometria!$L$299-IF(B140&lt;Geometria!$L$1409/100,Geometria!$L$1443,Geometria!$L$1461))*(1-(MIN(MIN(1,MAX(0,(B140-Geometria!$L$1409/100)/(Geometria!$N$1307/100))),MIN(1,MAX(0,((Geometria!$L$29/100-B140)-Geometria!$R$1409/100)/(Geometria!$N$1307/100))))))*(IF(OR(Geometria!$K$1409&gt;0,Geometria!$K$1407&gt;0,Geometria!$Q$1409&gt;0,Geometria!$Q$1407&gt;0),1,0))-(Geometria!$L$299-IF(B140&lt;Geometria!$L$1405/100,Geometria!$L$1445,Geometria!$L$1463))*(1-(MIN(MIN(1,MAX(0,(B140-Geometria!$L$1405/100)/(Geometria!$N$1307/100))),MIN(1,MAX(0,((Geometria!$L$29/100-B140)-Geometria!$R$1405/100)/(Geometria!$N$1307/100))))))*(IF(OR(Geometria!$K$1405&gt;0,Geometria!$K$1403&gt;0,Geometria!$Q$1405&gt;0,Geometria!$Q$1403&gt;0),1,0)))/100-Geometria!$P$1429*H117*Geometria!$L$1438/100</f>
        <v>261.25499117464534</v>
      </c>
      <c r="N140" s="365"/>
      <c r="O140" s="371">
        <f ca="1">(IF(C140="Sim",IF(A140="Sim",$E$93,EX140),IF(A140="Sim",EZ140,Geometria!$L$906)))</f>
        <v>749.9028001915608</v>
      </c>
      <c r="P140" s="371">
        <f ca="1">(IF(C140="Sim",IF(A140="Sim",$E$94,EY140),IF(A140="Sim",FA140,Geometria!$L$907)))</f>
        <v>213.72229805459483</v>
      </c>
      <c r="R140" s="4" t="s">
        <v>445</v>
      </c>
      <c r="S140" s="202">
        <f t="shared" ca="1" si="36"/>
        <v>-14581.188504097276</v>
      </c>
      <c r="T140" s="38" t="s">
        <v>234</v>
      </c>
      <c r="U140" s="203">
        <f t="shared" ca="1" si="23"/>
        <v>-14.581188504097275</v>
      </c>
      <c r="V140" s="38" t="s">
        <v>160</v>
      </c>
      <c r="W140" s="399">
        <f t="shared" si="37"/>
        <v>0.0</v>
      </c>
      <c r="X140" s="376" t="str">
        <f>IF(OR(AND(Y140&lt;Geometria!$L$1405/100,Geometria!$K$1405&gt;0),AND((Geometria!$L$29/100-Y140)&lt;Geometria!$R$1405/100,Geometria!$Q$1405&gt;0)),"Sim","Não")</f>
        <v>Sim</v>
      </c>
      <c r="Y140" s="395">
        <f t="shared" si="24"/>
        <v>6.28</v>
      </c>
      <c r="Z140" s="376" t="str">
        <f>IF(OR(AND(Y140&lt;Geometria!$L$1409/100,OR(Geometria!$K$1409&gt;0,Geometria!$K$1407&gt;0)),AND((Geometria!$L$29/100-Y140)&lt;Geometria!$R$1409/100,OR(Geometria!$Q$1409&gt;0,Geometria!$Q$1407&gt;0))),"Sim","Não")</f>
        <v>Não</v>
      </c>
      <c r="AA140" s="122" t="s">
        <v>445</v>
      </c>
      <c r="AB140" s="198" t="str">
        <f ca="1">AB128</f>
        <v>OK</v>
      </c>
      <c r="AC140" s="401">
        <f t="shared" ca="1" si="25"/>
        <v>6082.124140333237</v>
      </c>
      <c r="AD140" s="403">
        <f ca="1">-(AI140/(Geometria!$L$48/100^2))-(AJ140/(Geometria!$L$53/100^3))+((Geometria!$K$422)/(Geometria!$L$53/100^3))+((Geometria!$K$433)/(Geometria!$M$53/100^3))+((Geometria!$L$76*Geometria!$K$444)/(Geometria!$M$53/100^3))</f>
        <v>6082.124140333237</v>
      </c>
      <c r="AE140" s="400">
        <f ca="1">AE128</f>
        <v>111.03210918130361</v>
      </c>
      <c r="AF140" s="751">
        <f ca="1">-((Geometria!$L$373-(Geometria!$L$373-ER140)*(1-(MIN(MIN(1,MAX(0,(Y140-Geometria!$L$1409/100)/(Geometria!$N$1307/100))),MIN(1,MAX(0,((Geometria!$L$29/100-Y140)-Geometria!$R$1409/100)/(Geometria!$N$1307/100))))))*(IF(OR(Geometria!$K$1409&gt;0,Geometria!$K$1407&gt;0,Geometria!$Q$1409&gt;0,Geometria!$Q$1407&gt;0),1,0))-(Geometria!$L$373-ET140)*(1-(MIN(MIN(1,MAX(0,(Y140-Geometria!$L$1405/100)/(Geometria!$N$1307/100))),MIN(1,MAX(0,((Geometria!$L$29/100-Y140)-Geometria!$R$1405/100)/(Geometria!$N$1307/100))))))*(IF(OR(Geometria!$K$1405&gt;0,Geometria!$K$1403&gt;0,Geometria!$Q$1405&gt;0,Geometria!$Q$1403&gt;0),1,0))))/(Geometria!$L$48/100^2)-((Geometria!$L$374-(Geometria!$L$374-ES140)*(1-(MIN(MIN(1,MAX(0,(Y140-Geometria!$L$1409/100)/(Geometria!$N$1307/100))),MIN(1,MAX(0,((Geometria!$L$29/100-Y140)-Geometria!$R$1409/100)/(Geometria!$N$1307/100))))))*(IF(OR(Geometria!$K$1409&gt;0,Geometria!$K$1407&gt;0,Geometria!$Q$1409&gt;0,Geometria!$Q$1407&gt;0),1,0))-(Geometria!$L$374-EU140)*(1-(MIN(MIN(1,MAX(0,(Y140-Geometria!$L$1405/100)/(Geometria!$N$1307/100))),MIN(1,MAX(0,((Geometria!$L$29/100-Y140)-Geometria!$R$1405/100)/(Geometria!$N$1307/100))))))*(IF(OR(Geometria!$K$1405&gt;0,Geometria!$K$1403&gt;0,Geometria!$Q$1405&gt;0,Geometria!$Q$1403&gt;0),1,0))))/(Geometria!$L$53/100^3)+((Geometria!$K$422)/(Geometria!$L$53/100^3))+((Geometria!$K$433)/(Geometria!$M$53/100^3))+((Geometria!$L$76*Geometria!$K$444)/(Geometria!$M$53/100^3))</f>
        <v>6082.124140333237</v>
      </c>
      <c r="AG140" s="751"/>
      <c r="AI140" s="373">
        <f ca="1">(IF(Z140="Sim",IF(X140="Sim",IF(Y140&lt;Geometria!$L$1405/100,Geometria!$L$1435,Geometria!$L$1476),IF(Y140&lt;Geometria!$L$1409/100,Geometria!$L$1442,Geometria!$L$1460)),IF(X140="Sim",IF(Y140&lt;Geometria!$L$1405/100,Geometria!$L$1444,Geometria!$L$1462),Geometria!$L$298)))*AE140+Geometria!$P$1429*AE117</f>
        <v>621.7798114153002</v>
      </c>
      <c r="AJ140" s="373">
        <f ca="1">(IF(Z140="Sim",IF(X140="Sim",IF(Y140&lt;Geometria!$L$1405/100,Geometria!$L$1435,Geometria!$L$1476),IF(Y140&lt;Geometria!$L$1409/100,Geometria!$L$1442,Geometria!$L$1460)),IF(X140="Sim",IF(Y140&lt;Geometria!$L$1405/100,Geometria!$L$1444,Geometria!$L$1462),Geometria!$L$298)))*AE140*(IF(Z140="Sim",IF(X140="Sim",IF(Y140&lt;Geometria!$L$1405/100,Geometria!$L$1436,Geometria!$L$1484),IF(Y140&lt;Geometria!$L$1409/100,Geometria!$L$1443,Geometria!$L$1461)),IF(X140="Sim",IF(Y140&lt;Geometria!$L$1405/100,Geometria!$L$1445,Geometria!$L$1463),Geometria!$L$299)))/100-Geometria!$P$1429*AE117*Geometria!$L$1438/100</f>
        <v>177.20724625336052</v>
      </c>
      <c r="AK140" s="365"/>
      <c r="AL140" s="371">
        <f ca="1">(IF(Z140="Sim",IF(X140="Sim",$E$93,EX140),IF(X140="Sim",EZ140,Geometria!$L$906)))</f>
        <v>749.9028001915608</v>
      </c>
      <c r="AM140" s="371">
        <f ca="1">(IF(Z140="Sim",IF(X140="Sim",$E$94,EY140),IF(X140="Sim",FA140,Geometria!$L$907)))</f>
        <v>213.72229805459483</v>
      </c>
      <c r="AO140" s="4" t="s">
        <v>445</v>
      </c>
      <c r="AP140" s="202">
        <f t="shared" ca="1" si="38"/>
        <v>6082.124140333237</v>
      </c>
      <c r="AQ140" s="38" t="s">
        <v>234</v>
      </c>
      <c r="AR140" s="203">
        <f t="shared" ca="1" si="26"/>
        <v>6.082124140333237</v>
      </c>
      <c r="AS140" s="38" t="s">
        <v>160</v>
      </c>
      <c r="AT140" s="399">
        <f t="shared" si="39"/>
        <v>0.0</v>
      </c>
      <c r="AU140" s="376" t="str">
        <f>IF(OR(AND(AV140&lt;Geometria!$L$1405/100,Geometria!$K$1405&gt;0),AND((Geometria!$L$29/100-AV140)&lt;Geometria!$R$1405/100,Geometria!$Q$1405&gt;0)),"Sim","Não")</f>
        <v>Sim</v>
      </c>
      <c r="AV140" s="395">
        <f t="shared" si="27"/>
        <v>6.28</v>
      </c>
      <c r="AW140" s="376" t="str">
        <f>IF(OR(AND(AV140&lt;Geometria!$L$1409/100,OR(Geometria!$K$1409&gt;0,Geometria!$K$1407&gt;0)),AND((Geometria!$L$29/100-AV140)&lt;Geometria!$R$1409/100,OR(Geometria!$Q$1409&gt;0,Geometria!$Q$1407&gt;0))),"Sim","Não")</f>
        <v>Não</v>
      </c>
      <c r="AX140" s="122" t="s">
        <v>445</v>
      </c>
      <c r="AY140" s="198" t="str">
        <f ca="1">AY128</f>
        <v>OK</v>
      </c>
      <c r="AZ140" s="401">
        <f t="shared" ca="1" si="28"/>
        <v>-2449.9925495568054</v>
      </c>
      <c r="BA140" s="403">
        <f ca="1">-(BF140/(Geometria!$L$48/100^2))-(BG140/(Geometria!$L$53/100^3))+((Geometria!$K$422)/(Geometria!$L$53/100^3))+((Geometria!$K$433)/(Geometria!$M$53/100^3))+((Geometria!$L$76*Geometria!$K$444)/(Geometria!$M$53/100^3))</f>
        <v>6082.124140333237</v>
      </c>
      <c r="BB140" s="400">
        <f ca="1">BB128</f>
        <v>111.03210918130361</v>
      </c>
      <c r="BC140" s="751">
        <f ca="1">-((Geometria!$L$373-(Geometria!$L$373-ER140)*(1-(MIN(MIN(1,MAX(0,(AV140-Geometria!$L$1409/100)/(Geometria!$N$1307/100))),MIN(1,MAX(0,((Geometria!$L$29/100-AV140)-Geometria!$R$1409/100)/(Geometria!$N$1307/100))))))*(IF(OR(Geometria!$K$1409&gt;0,Geometria!$K$1407&gt;0,Geometria!$Q$1409&gt;0,Geometria!$Q$1407&gt;0),1,0))-(Geometria!$L$373-ET140)*(1-(MIN(MIN(1,MAX(0,(AV140-Geometria!$L$1405/100)/(Geometria!$N$1307/100))),MIN(1,MAX(0,((Geometria!$L$29/100-AV140)-Geometria!$R$1405/100)/(Geometria!$N$1307/100))))))*(IF(OR(Geometria!$K$1405&gt;0,Geometria!$K$1403&gt;0,Geometria!$Q$1405&gt;0,Geometria!$Q$1403&gt;0),1,0))))/(Geometria!$L$48/100^2)-((Geometria!$L$374-(Geometria!$L$374-ES140)*(1-(MIN(MIN(1,MAX(0,(AV140-Geometria!$L$1409/100)/(Geometria!$N$1307/100))),MIN(1,MAX(0,((Geometria!$L$29/100-AV140)-Geometria!$R$1409/100)/(Geometria!$N$1307/100))))))*(IF(OR(Geometria!$K$1409&gt;0,Geometria!$K$1407&gt;0,Geometria!$Q$1409&gt;0,Geometria!$Q$1407&gt;0),1,0))-(Geometria!$L$374-EU140)*(1-(MIN(MIN(1,MAX(0,(AV140-Geometria!$L$1405/100)/(Geometria!$N$1307/100))),MIN(1,MAX(0,((Geometria!$L$29/100-AV140)-Geometria!$R$1405/100)/(Geometria!$N$1307/100))))))*(IF(OR(Geometria!$K$1405&gt;0,Geometria!$K$1403&gt;0,Geometria!$Q$1405&gt;0,Geometria!$Q$1403&gt;0),1,0))))/(Geometria!$L$53/100^3)+((Geometria!$K$422)/(Geometria!$L$53/100^3))+((Geometria!$K$433)/(Geometria!$M$53/100^3))</f>
        <v>-2449.9925495568054</v>
      </c>
      <c r="BD140" s="751"/>
      <c r="BF140" s="373">
        <f ca="1">(Geometria!$L$298-(Geometria!$L$298-IF(AV140&lt;Geometria!$L$1409/100,Geometria!$L$1442,Geometria!$L$1460))*(1-(MIN(MIN(1,MAX(0,(AV140-Geometria!$L$1409/100)/(Geometria!$N$1307/100))),MIN(1,MAX(0,((Geometria!$L$29/100-AV140)-Geometria!$R$1409/100)/(Geometria!$N$1307/100))))))*(IF(OR(Geometria!$K$1409&gt;0,Geometria!$K$1407&gt;0,Geometria!$Q$1409&gt;0,Geometria!$Q$1407&gt;0),1,0))-(Geometria!$L$298-IF(AV140&lt;Geometria!$L$1405/100,Geometria!$L$1444,Geometria!$L$1462))*(1-(MIN(MIN(1,MAX(0,(AV140-Geometria!$L$1405/100)/(Geometria!$N$1307/100))),MIN(1,MAX(0,((Geometria!$L$29/100-AV140)-Geometria!$R$1405/100)/(Geometria!$N$1307/100))))))*(IF(OR(Geometria!$K$1405&gt;0,Geometria!$K$1403&gt;0,Geometria!$Q$1405&gt;0,Geometria!$Q$1403&gt;0),1,0)))*BB140+Geometria!$P$1429*BB117</f>
        <v>621.7798114153002</v>
      </c>
      <c r="BG140" s="373">
        <f ca="1">(Geometria!$L$298-(Geometria!$L$298-IF(AV140&lt;Geometria!$L$1409/100,Geometria!$L$1442,Geometria!$L$1460))*(1-(MIN(MIN(1,MAX(0,(AV140-Geometria!$L$1409/100)/(Geometria!$N$1307/100))),MIN(1,MAX(0,((Geometria!$L$29/100-AV140)-Geometria!$R$1409/100)/(Geometria!$N$1307/100))))))*(IF(OR(Geometria!$K$1409&gt;0,Geometria!$K$1407&gt;0,Geometria!$Q$1409&gt;0,Geometria!$Q$1407&gt;0),1,0))-(Geometria!$L$298-IF(AV140&lt;Geometria!$L$1405/100,Geometria!$L$1444,Geometria!$L$1462))*(1-(MIN(MIN(1,MAX(0,(AV140-Geometria!$L$1405/100)/(Geometria!$N$1307/100))),MIN(1,MAX(0,((Geometria!$L$29/100-AV140)-Geometria!$R$1405/100)/(Geometria!$N$1307/100))))))*(IF(OR(Geometria!$K$1405&gt;0,Geometria!$K$1403&gt;0,Geometria!$Q$1405&gt;0,Geometria!$Q$1403&gt;0),1,0)))*BB140*(Geometria!$L$299-(Geometria!$L$299-IF(AV140&lt;Geometria!$L$1409/100,Geometria!$L$1443,Geometria!$L$1461))*(1-(MIN(MIN(1,MAX(0,(AV140-Geometria!$L$1409/100)/(Geometria!$N$1307/100))),MIN(1,MAX(0,((Geometria!$L$29/100-AV140)-Geometria!$R$1409/100)/(Geometria!$N$1307/100))))))*(IF(OR(Geometria!$K$1409&gt;0,Geometria!$K$1407&gt;0,Geometria!$Q$1409&gt;0,Geometria!$Q$1407&gt;0),1,0))-(Geometria!$L$299-IF(AV140&lt;Geometria!$L$1405/100,Geometria!$L$1445,Geometria!$L$1463))*(1-(MIN(MIN(1,MAX(0,(AV140-Geometria!$L$1405/100)/(Geometria!$N$1307/100))),MIN(1,MAX(0,((Geometria!$L$29/100-AV140)-Geometria!$R$1405/100)/(Geometria!$N$1307/100))))))*(IF(OR(Geometria!$K$1405&gt;0,Geometria!$K$1403&gt;0,Geometria!$Q$1405&gt;0,Geometria!$Q$1403&gt;0),1,0)))/100-Geometria!$P$1429*BB117*Geometria!$L$1438/100</f>
        <v>177.20724625336052</v>
      </c>
      <c r="BH140" s="365"/>
      <c r="BI140" s="371">
        <f ca="1">(IF(AW140="Sim",IF(AU140="Sim",$E$93,EX140),IF(AU140="Sim",EZ140,Geometria!$L$906)))</f>
        <v>749.9028001915608</v>
      </c>
      <c r="BJ140" s="371">
        <f ca="1">(IF(AW140="Sim",IF(AU140="Sim",$E$94,EY140),IF(AU140="Sim",FA140,Geometria!$L$907)))</f>
        <v>213.72229805459483</v>
      </c>
      <c r="BL140" s="4" t="s">
        <v>445</v>
      </c>
      <c r="BM140" s="202">
        <f t="shared" ca="1" si="40"/>
        <v>-2449.9925495568054</v>
      </c>
      <c r="BN140" s="38" t="s">
        <v>234</v>
      </c>
      <c r="BO140" s="203">
        <f t="shared" ca="1" si="29"/>
        <v>-2.4499925495568053</v>
      </c>
      <c r="BP140" s="38" t="s">
        <v>160</v>
      </c>
      <c r="BQ140" s="399">
        <f t="shared" si="41"/>
        <v>0.0</v>
      </c>
      <c r="BR140" s="376" t="str">
        <f>IF(OR(AND(BS140&lt;Geometria!$L$1405/100,Geometria!$K$1405&gt;0),AND((Geometria!$L$29/100-BS140)&lt;Geometria!$R$1405/100,Geometria!$Q$1405&gt;0)),"Sim","Não")</f>
        <v>Sim</v>
      </c>
      <c r="BS140" s="395">
        <f t="shared" si="30"/>
        <v>6.28</v>
      </c>
      <c r="BT140" s="376" t="str">
        <f>IF(OR(AND(BS140&lt;Geometria!$L$1409/100,OR(Geometria!$K$1409&gt;0,Geometria!$K$1407&gt;0)),AND((Geometria!$L$29/100-BS140)&lt;Geometria!$R$1409/100,OR(Geometria!$Q$1409&gt;0,Geometria!$Q$1407&gt;0))),"Sim","Não")</f>
        <v>Não</v>
      </c>
      <c r="BU140" s="122" t="s">
        <v>445</v>
      </c>
      <c r="BV140" s="198" t="str">
        <f ca="1">BV128</f>
        <v>OK</v>
      </c>
      <c r="BW140" s="401">
        <f t="shared" ca="1" si="31"/>
        <v>3238.085243703223</v>
      </c>
      <c r="BX140" s="403">
        <f ca="1">-(CC140/(Geometria!$L$48/100^2))-(CD140/(Geometria!$L$53/100^3))+((Geometria!$K$422)/(Geometria!$L$53/100^3))+((Geometria!$K$433)/(Geometria!$M$53/100^3))+((Geometria!$L$76*Geometria!$K$444)/(Geometria!$M$53/100^3))</f>
        <v>6082.124140333237</v>
      </c>
      <c r="BY140" s="400">
        <f ca="1">BY128</f>
        <v>111.03210918130361</v>
      </c>
      <c r="BZ140" s="751">
        <f ca="1">-((Geometria!$L$373-(Geometria!$L$373-ER140)*(1-(MIN(MIN(1,MAX(0,(BS140-Geometria!$L$1409/100)/(Geometria!$N$1307/100))),MIN(1,MAX(0,((Geometria!$L$29/100-BS140)-Geometria!$R$1409/100)/(Geometria!$N$1307/100))))))*(IF(OR(Geometria!$K$1409&gt;0,Geometria!$K$1407&gt;0,Geometria!$Q$1409&gt;0,Geometria!$Q$1407&gt;0),1,0))-(Geometria!$L$373-ET140)*(1-(MIN(MIN(1,MAX(0,(BS140-Geometria!$L$1405/100)/(Geometria!$N$1307/100))),MIN(1,MAX(0,((Geometria!$L$29/100-BS140)-Geometria!$R$1405/100)/(Geometria!$N$1307/100))))))*(IF(OR(Geometria!$K$1405&gt;0,Geometria!$K$1403&gt;0,Geometria!$Q$1405&gt;0,Geometria!$Q$1403&gt;0),1,0))))/(Geometria!$L$48/100^2)-((Geometria!$L$374-(Geometria!$L$374-ES140)*(1-(MIN(MIN(1,MAX(0,(BS140-Geometria!$L$1409/100)/(Geometria!$N$1307/100))),MIN(1,MAX(0,((Geometria!$L$29/100-BS140)-Geometria!$R$1409/100)/(Geometria!$N$1307/100))))))*(IF(OR(Geometria!$K$1409&gt;0,Geometria!$K$1407&gt;0,Geometria!$Q$1409&gt;0,Geometria!$Q$1407&gt;0),1,0))-(Geometria!$L$374-EU140)*(1-(MIN(MIN(1,MAX(0,(BS140-Geometria!$L$1405/100)/(Geometria!$N$1307/100))),MIN(1,MAX(0,((Geometria!$L$29/100-BS140)-Geometria!$R$1405/100)/(Geometria!$N$1307/100))))))*(IF(OR(Geometria!$K$1405&gt;0,Geometria!$K$1403&gt;0,Geometria!$Q$1405&gt;0,Geometria!$Q$1403&gt;0),1,0))))/(Geometria!$L$53/100^3)+((Geometria!$K$679)/(Geometria!$L$53/100^3))+((Geometria!$K$690)/(Geometria!$M$53/100^3))+((Geometria!$L$77*Geometria!$K$701)/(Geometria!$M$53/100^3))</f>
        <v>3238.085243703223</v>
      </c>
      <c r="CA140" s="751"/>
      <c r="CC140" s="373">
        <f ca="1">(Geometria!$L$298-(Geometria!$L$298-IF(BS140&lt;Geometria!$L$1409/100,Geometria!$L$1442,Geometria!$L$1460))*(1-(MIN(MIN(1,MAX(0,(BS140-Geometria!$L$1409/100)/(Geometria!$N$1307/100))),MIN(1,MAX(0,((Geometria!$L$29/100-BS140)-Geometria!$R$1409/100)/(Geometria!$N$1307/100))))))*(IF(OR(Geometria!$K$1409&gt;0,Geometria!$K$1407&gt;0,Geometria!$Q$1409&gt;0,Geometria!$Q$1407&gt;0),1,0))-(Geometria!$L$298-IF(BS140&lt;Geometria!$L$1405/100,Geometria!$L$1444,Geometria!$L$1462))*(1-(MIN(MIN(1,MAX(0,(BS140-Geometria!$L$1405/100)/(Geometria!$N$1307/100))),MIN(1,MAX(0,((Geometria!$L$29/100-BS140)-Geometria!$R$1405/100)/(Geometria!$N$1307/100))))))*(IF(OR(Geometria!$K$1405&gt;0,Geometria!$K$1403&gt;0,Geometria!$Q$1405&gt;0,Geometria!$Q$1403&gt;0),1,0)))*BY140+Geometria!$P$1429*BY117</f>
        <v>621.7798114153002</v>
      </c>
      <c r="CD140" s="373">
        <f ca="1">(Geometria!$L$298-(Geometria!$L$298-IF(BS140&lt;Geometria!$L$1409/100,Geometria!$L$1442,Geometria!$L$1460))*(1-(MIN(MIN(1,MAX(0,(BS140-Geometria!$L$1409/100)/(Geometria!$N$1307/100))),MIN(1,MAX(0,((Geometria!$L$29/100-BS140)-Geometria!$R$1409/100)/(Geometria!$N$1307/100))))))*(IF(OR(Geometria!$K$1409&gt;0,Geometria!$K$1407&gt;0,Geometria!$Q$1409&gt;0,Geometria!$Q$1407&gt;0),1,0))-(Geometria!$L$298-IF(BS140&lt;Geometria!$L$1405/100,Geometria!$L$1444,Geometria!$L$1462))*(1-(MIN(MIN(1,MAX(0,(BS140-Geometria!$L$1405/100)/(Geometria!$N$1307/100))),MIN(1,MAX(0,((Geometria!$L$29/100-BS140)-Geometria!$R$1405/100)/(Geometria!$N$1307/100))))))*(IF(OR(Geometria!$K$1405&gt;0,Geometria!$K$1403&gt;0,Geometria!$Q$1405&gt;0,Geometria!$Q$1403&gt;0),1,0)))*BY140*(Geometria!$L$299-(Geometria!$L$299-IF(BS140&lt;Geometria!$L$1409/100,Geometria!$L$1443,Geometria!$L$1461))*(1-(MIN(MIN(1,MAX(0,(BS140-Geometria!$L$1409/100)/(Geometria!$N$1307/100))),MIN(1,MAX(0,((Geometria!$L$29/100-BS140)-Geometria!$R$1409/100)/(Geometria!$N$1307/100))))))*(IF(OR(Geometria!$K$1409&gt;0,Geometria!$K$1407&gt;0,Geometria!$Q$1409&gt;0,Geometria!$Q$1407&gt;0),1,0))-(Geometria!$L$299-IF(BS140&lt;Geometria!$L$1405/100,Geometria!$L$1445,Geometria!$L$1463))*(1-(MIN(MIN(1,MAX(0,(BS140-Geometria!$L$1405/100)/(Geometria!$N$1307/100))),MIN(1,MAX(0,((Geometria!$L$29/100-BS140)-Geometria!$R$1405/100)/(Geometria!$N$1307/100))))))*(IF(OR(Geometria!$K$1405&gt;0,Geometria!$K$1403&gt;0,Geometria!$Q$1405&gt;0,Geometria!$Q$1403&gt;0),1,0)))/100-Geometria!$P$1429*BY117*Geometria!$L$1438/100</f>
        <v>177.20724625336052</v>
      </c>
      <c r="CE140" s="365"/>
      <c r="CF140" s="371">
        <f ca="1">(IF(BT140="Sim",IF(BR140="Sim",$E$93,EX140),IF(BR140="Sim",EZ140,Geometria!$L$906)))</f>
        <v>749.9028001915608</v>
      </c>
      <c r="CG140" s="371">
        <f ca="1">(IF(BT140="Sim",IF(BR140="Sim",$E$94,EY140),IF(BR140="Sim",FA140,Geometria!$L$907)))</f>
        <v>213.72229805459483</v>
      </c>
      <c r="CI140" s="4" t="s">
        <v>445</v>
      </c>
      <c r="CJ140" s="202">
        <f t="shared" ca="1" si="42"/>
        <v>3238.085243703223</v>
      </c>
      <c r="CK140" s="38" t="s">
        <v>234</v>
      </c>
      <c r="CL140" s="203">
        <f t="shared" ca="1" si="32"/>
        <v>3.2380852437032233</v>
      </c>
      <c r="CM140" s="38" t="s">
        <v>160</v>
      </c>
      <c r="CN140" s="399">
        <f t="shared" si="43"/>
        <v>0.0</v>
      </c>
      <c r="CO140" s="376" t="str">
        <f>IF(OR(AND(CP140&lt;Geometria!$L$1405/100,Geometria!$K$1405&gt;0),AND((Geometria!$L$29/100-CP140)&lt;Geometria!$R$1405/100,Geometria!$Q$1405&gt;0)),"Sim","Não")</f>
        <v>Sim</v>
      </c>
      <c r="CP140" s="395">
        <f t="shared" si="33"/>
        <v>6.28</v>
      </c>
      <c r="CQ140" s="376" t="str">
        <f>IF(OR(AND(CP140&lt;Geometria!$L$1409/100,OR(Geometria!$K$1409&gt;0,Geometria!$K$1407&gt;0)),AND((Geometria!$L$29/100-CP140)&lt;Geometria!$R$1409/100,OR(Geometria!$Q$1409&gt;0,Geometria!$Q$1407&gt;0))),"Sim","Não")</f>
        <v>Não</v>
      </c>
      <c r="CR140" s="122" t="s">
        <v>445</v>
      </c>
      <c r="CS140" s="198" t="str">
        <f ca="1">CS128</f>
        <v>OK</v>
      </c>
      <c r="CT140" s="401">
        <f t="shared" ca="1" si="34"/>
        <v>-2449.9925495568054</v>
      </c>
      <c r="CU140" s="403">
        <f ca="1">-(CZ140/(Geometria!$L$48/100^2))-(DA140/(Geometria!$L$53/100^3))+((Geometria!$K$422)/(Geometria!$L$53/100^3))+((Geometria!$K$433)/(Geometria!$M$53/100^3))+((Geometria!$L$76*Geometria!$K$444)/(Geometria!$M$53/100^3))</f>
        <v>6082.124140333237</v>
      </c>
      <c r="CV140" s="400">
        <f ca="1">CV128</f>
        <v>111.03210918130361</v>
      </c>
      <c r="CW140" s="751">
        <f ca="1">-((Geometria!$L$373-(Geometria!$L$373-ER140)*(1-(MIN(MIN(1,MAX(0,(CP140-Geometria!$L$1409/100)/(Geometria!$N$1307/100))),MIN(1,MAX(0,((Geometria!$L$29/100-CP140)-Geometria!$R$1409/100)/(Geometria!$N$1307/100))))))*(IF(OR(Geometria!$K$1409&gt;0,Geometria!$K$1407&gt;0,Geometria!$Q$1409&gt;0,Geometria!$Q$1407&gt;0),1,0))-(Geometria!$L$373-ET140)*(1-(MIN(MIN(1,MAX(0,(CP140-Geometria!$L$1405/100)/(Geometria!$N$1307/100))),MIN(1,MAX(0,((Geometria!$L$29/100-CP140)-Geometria!$R$1405/100)/(Geometria!$N$1307/100))))))*(IF(OR(Geometria!$K$1405&gt;0,Geometria!$K$1403&gt;0,Geometria!$Q$1405&gt;0,Geometria!$Q$1403&gt;0),1,0))))/(Geometria!$L$48/100^2)-((Geometria!$L$374-(Geometria!$L$374-ES140)*(1-(MIN(MIN(1,MAX(0,(CP140-Geometria!$L$1409/100)/(Geometria!$N$1307/100))),MIN(1,MAX(0,((Geometria!$L$29/100-CP140)-Geometria!$R$1409/100)/(Geometria!$N$1307/100))))))*(IF(OR(Geometria!$K$1409&gt;0,Geometria!$K$1407&gt;0,Geometria!$Q$1409&gt;0,Geometria!$Q$1407&gt;0),1,0))-(Geometria!$L$374-EU140)*(1-(MIN(MIN(1,MAX(0,(CP140-Geometria!$L$1405/100)/(Geometria!$N$1307/100))),MIN(1,MAX(0,((Geometria!$L$29/100-CP140)-Geometria!$R$1405/100)/(Geometria!$N$1307/100))))))*(IF(OR(Geometria!$K$1405&gt;0,Geometria!$K$1403&gt;0,Geometria!$Q$1405&gt;0,Geometria!$Q$1403&gt;0),1,0))))/(Geometria!$L$53/100^3)+((Geometria!$K$679)/(Geometria!$L$53/100^3))+((Geometria!$K$690)/(Geometria!$M$53/100^3))</f>
        <v>-2449.9925495568054</v>
      </c>
      <c r="CX140" s="751"/>
      <c r="CZ140" s="373">
        <f ca="1">(IF(CQ140="Sim",IF(CO140="Sim",IF(CP140&lt;Geometria!$L$1405/100,Geometria!$L$1435,Geometria!$L$1476),IF(CP140&lt;Geometria!$L$1409/100,Geometria!$L$1442,Geometria!$L$1460)),IF(CO140="Sim",IF(CP140&lt;Geometria!$L$1405/100,Geometria!$L$1444,Geometria!$L$1462),Geometria!$L$298)))*CV140+Geometria!$P$1429*CV117</f>
        <v>621.7798114153002</v>
      </c>
      <c r="DA140" s="373">
        <f ca="1">(IF(CQ140="Sim",IF(CO140="Sim",IF(CP140&lt;Geometria!$L$1405/100,Geometria!$L$1435,Geometria!$L$1476),IF(CP140&lt;Geometria!$L$1409/100,Geometria!$L$1442,Geometria!$L$1460)),IF(CO140="Sim",IF(CP140&lt;Geometria!$L$1405/100,Geometria!$L$1444,Geometria!$L$1462),Geometria!$L$298)))*CV140*(IF(CQ140="Sim",IF(CO140="Sim",IF(CP140&lt;Geometria!$L$1405/100,Geometria!$L$1436,Geometria!$L$1484),IF(CP140&lt;Geometria!$L$1409/100,Geometria!$L$1443,Geometria!$L$1461)),IF(CO140="Sim",IF(CP140&lt;Geometria!$L$1405/100,Geometria!$L$1445,Geometria!$L$1463),Geometria!$L$299)))/100-Geometria!$P$1429*CV117*Geometria!$L$1438/100</f>
        <v>177.20724625336052</v>
      </c>
      <c r="DB140" s="365"/>
      <c r="DC140" s="371">
        <f ca="1">(IF(CQ140="Sim",IF(CO140="Sim",$E$93,EX140),IF(CO140="Sim",EZ140,Geometria!$L$906)))</f>
        <v>749.9028001915608</v>
      </c>
      <c r="DD140" s="371">
        <f ca="1">(IF(CQ140="Sim",IF(CO140="Sim",$E$94,EY140),IF(CO140="Sim",FA140,Geometria!$L$907)))</f>
        <v>213.72229805459483</v>
      </c>
      <c r="DF140" s="4" t="s">
        <v>445</v>
      </c>
      <c r="DG140" s="202">
        <f t="shared" ca="1" si="44"/>
        <v>-2449.9925495568054</v>
      </c>
      <c r="DH140" s="38" t="s">
        <v>234</v>
      </c>
      <c r="DI140" s="203">
        <f t="shared" ca="1" si="35"/>
        <v>-2.4499925495568053</v>
      </c>
      <c r="DJ140" s="38" t="s">
        <v>160</v>
      </c>
      <c r="DK140" s="399">
        <f t="shared" si="45"/>
        <v>0.0</v>
      </c>
      <c r="EA140">
        <f ca="1">-L140/('Aberturas na Alma'!$M$112/100^2)-M140/('Aberturas na Alma'!$M$120/100^3)+Geometria!$L$898/('Aberturas na Alma'!$M$120/100^3)</f>
        <v>-20840.522563729348</v>
      </c>
      <c r="EB140">
        <f ca="1">-(IF(C140="Sim",IF(A140="Sim",$E$93,EX140),IF(A140="Sim",EZ140,Geometria!$L$906)))/('Aberturas na Alma'!$M$112/100^2)-(IF(C140="Sim",IF(A140="Sim",$E$94,EY140),IF(A140="Sim",FA140,Geometria!$L$907)))/('Aberturas na Alma'!$M$120/100^3)+Geometria!$K$904/('Aberturas na Alma'!$M$120/100^3)</f>
        <v>-15947.016880483745</v>
      </c>
      <c r="EC140">
        <f ca="1">IF(AND('Aberturas na Alma'!$M$18="NÃO DISPENSADO — furo deve ser verificado (cálculo abaixo)",OR(AND(B140&gt;=('Aberturas na Alma'!$M$4-'Aberturas na Alma'!$M$7/2)/100,B140&lt;=('Aberturas na Alma'!$M$4+'Aberturas na Alma'!$M$7/2)/100),ABS(B140-'Aberturas na Alma'!$M$4/100)&lt;=Geometria!$L$29/4000)),IF(E140="Reduzir",EA140,EB140),F140)</f>
        <v>-14581.188504097276</v>
      </c>
      <c r="ED140">
        <f ca="1">-(AI140/('Aberturas na Alma'!$M$112/100^2))-(AJ140/('Aberturas na Alma'!$M$120/100^3))+((Geometria!$K$422)/('Aberturas na Alma'!$M$120/100^3))+((Geometria!$K$433)/('Aberturas na Alma'!$M$120/100^3))+((Geometria!$L$76*Geometria!$K$444)/('Aberturas na Alma'!$M$120/100^3))</f>
        <v>21352.786933505457</v>
      </c>
      <c r="EE140">
        <f ca="1">-((IF(Z140="Sim",IF(X140="Sim",$AB$93,ER140),IF(X140="Sim",ET140,Geometria!$L$373)))/('Aberturas na Alma'!$M$112/100^2))-((IF(Z140="Sim",IF(X140="Sim",$AB$94,ES140),IF(X140="Sim",EU140,Geometria!$L$374)))/('Aberturas na Alma'!$M$120/100^3))+((Geometria!$K$422)/('Aberturas na Alma'!$M$120/100^3))+((Geometria!$K$433)/('Aberturas na Alma'!$M$120/100^3))+((Geometria!$L$76*Geometria!$K$444)/('Aberturas na Alma'!$M$120/100^3))</f>
        <v>21352.786933505457</v>
      </c>
      <c r="EF140" s="371">
        <f ca="1">IF(AND('Aberturas na Alma'!$M$18="NÃO DISPENSADO — furo deve ser verificado (cálculo abaixo)",OR(AND(B140&gt;=('Aberturas na Alma'!$M$4-'Aberturas na Alma'!$M$7/2)/100,B140&lt;=('Aberturas na Alma'!$M$4+'Aberturas na Alma'!$M$7/2)/100),ABS(B140-'Aberturas na Alma'!$M$4/100)&lt;=Geometria!$L$29/4000)),IF(AB140="Reduzir",ED140,EE140),AC140)</f>
        <v>6082.124140333237</v>
      </c>
      <c r="EG140">
        <f ca="1">-(BF140/('Aberturas na Alma'!$M$112/100^2))-(BG140/('Aberturas na Alma'!$M$120/100^3))+((Geometria!$K$422)/('Aberturas na Alma'!$M$120/100^3))+((Geometria!$K$433)/('Aberturas na Alma'!$M$120/100^3))+((Geometria!$L$76*Geometria!$K$444)/('Aberturas na Alma'!$M$120/100^3))</f>
        <v>21352.786933505457</v>
      </c>
      <c r="EH140">
        <f ca="1">-((IF(AW140="Sim",IF(AU140="Sim",$AB$93,ER140),IF(AU140="Sim",ET140,Geometria!$L$373)))/('Aberturas na Alma'!$M$112/100^2))-((IF(AW140="Sim",IF(AU140="Sim",$AB$94,ES140),IF(AU140="Sim",EU140,Geometria!$L$374)))/('Aberturas na Alma'!$M$120/100^3))+((Geometria!$K$422)/('Aberturas na Alma'!$M$120/100^3))+((Geometria!$K$433)/('Aberturas na Alma'!$M$120/100^3))</f>
        <v>-2575.951969950507</v>
      </c>
      <c r="EI140" s="371">
        <f ca="1">IF(AND('Aberturas na Alma'!$M$18="NÃO DISPENSADO — furo deve ser verificado (cálculo abaixo)",OR(AND(B140&gt;=('Aberturas na Alma'!$M$4-'Aberturas na Alma'!$M$7/2)/100,B140&lt;=('Aberturas na Alma'!$M$4+'Aberturas na Alma'!$M$7/2)/100),ABS(B140-'Aberturas na Alma'!$M$4/100)&lt;=Geometria!$L$29/4000)),IF(AY140="Reduzir",EG140,EH140),AZ140)</f>
        <v>-2449.9925495568054</v>
      </c>
      <c r="EJ140">
        <f ca="1">-(CC140/('Aberturas na Alma'!$M$112/100^2))-(CD140/('Aberturas na Alma'!$M$120/100^3))+((Geometria!$K$422)/('Aberturas na Alma'!$M$120/100^3))+((Geometria!$K$433)/('Aberturas na Alma'!$M$120/100^3))+((Geometria!$L$76*Geometria!$K$444)/('Aberturas na Alma'!$M$120/100^3))</f>
        <v>21352.786933505457</v>
      </c>
      <c r="EK140">
        <f ca="1">-((IF(BT140="Sim",IF(BR140="Sim",$AB$93,ER140),IF(BR140="Sim",ET140,Geometria!$L$373)))/('Aberturas na Alma'!$M$112/100^2))-((IF(BT140="Sim",IF(BR140="Sim",$AB$94,ES140),IF(BR140="Sim",EU140,Geometria!$L$374)))/('Aberturas na Alma'!$M$120/100^3))+((Geometria!$K$679)/('Aberturas na Alma'!$M$120/100^3))+((Geometria!$K$690)/('Aberturas na Alma'!$M$120/100^3))+((Geometria!$L$77*Geometria!$K$701)/('Aberturas na Alma'!$M$120/100^3))</f>
        <v>13376.540632353468</v>
      </c>
      <c r="EL140" s="371">
        <f ca="1">IF(AND('Aberturas na Alma'!$M$18="NÃO DISPENSADO — furo deve ser verificado (cálculo abaixo)",OR(AND(B140&gt;=('Aberturas na Alma'!$M$4-'Aberturas na Alma'!$M$7/2)/100,B140&lt;=('Aberturas na Alma'!$M$4+'Aberturas na Alma'!$M$7/2)/100),ABS(B140-'Aberturas na Alma'!$M$4/100)&lt;=Geometria!$L$29/4000)),IF(BV140="Reduzir",EJ140,EK140),BW140)</f>
        <v>3238.085243703223</v>
      </c>
      <c r="EM140">
        <f ca="1">-(CZ140/('Aberturas na Alma'!$M$112/100^2))-(DA140/('Aberturas na Alma'!$M$120/100^3))+((Geometria!$K$422)/('Aberturas na Alma'!$M$120/100^3))+((Geometria!$K$433)/('Aberturas na Alma'!$M$120/100^3))+((Geometria!$L$76*Geometria!$K$444)/('Aberturas na Alma'!$M$120/100^3))</f>
        <v>21352.786933505457</v>
      </c>
      <c r="EN140">
        <f ca="1">-((IF(CQ140="Sim",IF(CO140="Sim",$AB$93,ER140),IF(CO140="Sim",ET140,Geometria!$L$373)))/('Aberturas na Alma'!$M$112/100^2))-((IF(CQ140="Sim",IF(CO140="Sim",$AB$94,ES140),IF(CO140="Sim",EU140,Geometria!$L$374)))/('Aberturas na Alma'!$M$120/100^3))+((Geometria!$K$679)/('Aberturas na Alma'!$M$120/100^3))+((Geometria!$K$690)/('Aberturas na Alma'!$M$120/100^3))</f>
        <v>-2575.951969950507</v>
      </c>
      <c r="EO140" s="371">
        <f ca="1">IF(AND('Aberturas na Alma'!$M$18="NÃO DISPENSADO — furo deve ser verificado (cálculo abaixo)",OR(AND(B140&gt;=('Aberturas na Alma'!$M$4-'Aberturas na Alma'!$M$7/2)/100,B140&lt;=('Aberturas na Alma'!$M$4+'Aberturas na Alma'!$M$7/2)/100),ABS(B140-'Aberturas na Alma'!$M$4/100)&lt;=Geometria!$L$29/4000)),IF(CS140="Reduzir",EM140,EN140),CT140)</f>
        <v>-2449.9925495568054</v>
      </c>
      <c r="EP140" t="str">
        <f>IF(AND(Y140&lt;Geometria!$L$1409/100,OR(Geometria!$K$1409&gt;0,Geometria!$K$1407&gt;0)),"ESQ",IF(AND((Geometria!$L$29/100-Y140)&lt;Geometria!$R$1409/100,OR(Geometria!$Q$1409&gt;0,Geometria!$Q$1407&gt;0)),"DIR","N/A"))</f>
        <v>N/A</v>
      </c>
      <c r="EQ140" t="str">
        <f>IF(AND(Y140&lt;Geometria!$L$1405/100,Geometria!$K$1405&gt;0),"ESQ",IF(AND((Geometria!$L$29/100-Y140)&lt;Geometria!$R$1405/100,Geometria!$Q$1405&gt;0),"DIR","N/A"))</f>
        <v>DIR</v>
      </c>
      <c r="ER140">
        <f ca="1">IF(EP140="DIR",Geometria!$L$1470,Geometria!$L$1452)</f>
        <v>1243.5596228306003</v>
      </c>
      <c r="ES140">
        <f ca="1">IF(EP140="DIR",Geometria!$L$1471,Geometria!$L$1453)</f>
        <v>233.16742928073757</v>
      </c>
      <c r="ET140">
        <f ca="1">IF(EQ140="DIR",Geometria!$L$1472,Geometria!$L$1454)</f>
        <v>621.7798114153002</v>
      </c>
      <c r="EU140">
        <f ca="1">IF(EQ140="DIR",Geometria!$L$1473,Geometria!$L$1455)</f>
        <v>177.20724625336052</v>
      </c>
      <c r="EV140" t="str">
        <f>IF(AND(B140&lt;Geometria!$L$1409/100,OR(Geometria!$K$1409&gt;0,Geometria!$K$1407&gt;0)),"ESQ",IF(AND((Geometria!$L$29/100-B140)&lt;Geometria!$R$1409/100,OR(Geometria!$Q$1409&gt;0,Geometria!$Q$1407&gt;0)),"DIR","N/A"))</f>
        <v>N/A</v>
      </c>
      <c r="EW140" t="str">
        <f>IF(AND(B140&lt;Geometria!$L$1405/100,Geometria!$K$1405&gt;0),"ESQ",IF(AND((Geometria!$L$29/100-B140)&lt;Geometria!$R$1405/100,Geometria!$Q$1405&gt;0),"DIR","N/A"))</f>
        <v>DIR</v>
      </c>
      <c r="EX140">
        <f ca="1">IF(EV140="DIR",Geometria!$L$1465,Geometria!$L$1447)</f>
        <v>1499.8056003831216</v>
      </c>
      <c r="EY140">
        <f ca="1">IF(EV140="DIR",Geometria!$L$1466,Geometria!$L$1448)</f>
        <v>281.2135500718353</v>
      </c>
      <c r="EZ140">
        <f ca="1">IF(EW140="DIR",Geometria!$L$1467,Geometria!$L$1449)</f>
        <v>749.9028001915608</v>
      </c>
      <c r="FA140">
        <f ca="1">IF(EW140="DIR",Geometria!$L$1468,Geometria!$L$1450)</f>
        <v>213.72229805459483</v>
      </c>
    </row>
    <row r="141" spans="1:157" x14ac:dyDescent="0.25">
      <c r="A141" s="376" t="str">
        <f>IF(OR(AND(B141&lt;Geometria!$L$1405/100,Geometria!$K$1405&gt;0),AND((Geometria!$L$29/100-B141)&lt;Geometria!$R$1405/100,Geometria!$Q$1405&gt;0)),"Sim","Não")</f>
        <v>Sim</v>
      </c>
      <c r="B141" s="395">
        <f t="shared" si="21"/>
        <v>6.6725</v>
      </c>
      <c r="C141" s="376" t="str">
        <f>IF(OR(AND(B141&lt;Geometria!$L$1409/100,OR(Geometria!$K$1409&gt;0,Geometria!$K$1407&gt;0)),AND((Geometria!$L$29/100-B141)&lt;Geometria!$R$1409/100,OR(Geometria!$Q$1409&gt;0,Geometria!$Q$1407&gt;0))),"Sim","Não")</f>
        <v>Não</v>
      </c>
      <c r="D141" s="122" t="s">
        <v>446</v>
      </c>
      <c r="E141" s="198" t="str">
        <f ca="1">E127</f>
        <v>Reduzir</v>
      </c>
      <c r="F141" s="396">
        <f t="shared" ca="1" si="22"/>
        <v>-14272.179794506716</v>
      </c>
      <c r="G141" s="397">
        <f ca="1">-L141/(Geometria!$L$48/100^2)-M141/(Geometria!$L$53/100^3)+Geometria!$L$898/(Geometria!$L$53/100^3)</f>
        <v>-14272.179794506716</v>
      </c>
      <c r="H141" s="400">
        <f ca="1">H127</f>
        <v>122.77020261966413</v>
      </c>
      <c r="I141" s="743">
        <f ca="1">-(Geometria!$L$906-(Geometria!$L$906-EX141)*(1-(MIN(MIN(1,MAX(0,(B141-Geometria!$L$1409/100)/(Geometria!$N$1307/100))),MIN(1,MAX(0,((Geometria!$L$29/100-B141)-Geometria!$R$1409/100)/(Geometria!$N$1307/100))))))*(IF(OR(Geometria!$K$1409&gt;0,Geometria!$K$1407&gt;0,Geometria!$Q$1409&gt;0,Geometria!$Q$1407&gt;0),1,0))-(Geometria!$L$906-EZ141)*(1-(MIN(MIN(1,MAX(0,(B141-Geometria!$L$1405/100)/(Geometria!$N$1307/100))),MIN(1,MAX(0,((Geometria!$L$29/100-B141)-Geometria!$R$1405/100)/(Geometria!$N$1307/100))))))*(IF(OR(Geometria!$K$1405&gt;0,Geometria!$K$1403&gt;0,Geometria!$Q$1405&gt;0,Geometria!$Q$1403&gt;0),1,0)))/(Geometria!$L$48/100^2)-(Geometria!$L$907-(Geometria!$L$907-EY141)*(1-(MIN(MIN(1,MAX(0,(B141-Geometria!$L$1409/100)/(Geometria!$N$1307/100))),MIN(1,MAX(0,((Geometria!$L$29/100-B141)-Geometria!$R$1409/100)/(Geometria!$N$1307/100))))))*(IF(OR(Geometria!$K$1409&gt;0,Geometria!$K$1407&gt;0,Geometria!$Q$1409&gt;0,Geometria!$Q$1407&gt;0),1,0))-(Geometria!$L$907-FA141)*(1-(MIN(MIN(1,MAX(0,(B141-Geometria!$L$1405/100)/(Geometria!$N$1307/100))),MIN(1,MAX(0,((Geometria!$L$29/100-B141)-Geometria!$R$1405/100)/(Geometria!$N$1307/100))))))*(IF(OR(Geometria!$K$1405&gt;0,Geometria!$K$1403&gt;0,Geometria!$Q$1405&gt;0,Geometria!$Q$1403&gt;0),1,0)))/(Geometria!$L$53/100^3)+Geometria!$L$904/(Geometria!$L$53/100^3)</f>
        <v>-14877.425834826443</v>
      </c>
      <c r="J141" s="743"/>
      <c r="L141" s="373">
        <f ca="1">(Geometria!$L$298-(Geometria!$L$298-IF(B141&lt;Geometria!$L$1409/100,Geometria!$L$1442,Geometria!$L$1460))*(1-(MIN(MIN(1,MAX(0,(B141-Geometria!$L$1409/100)/(Geometria!$N$1307/100))),MIN(1,MAX(0,((Geometria!$L$29/100-B141)-Geometria!$R$1409/100)/(Geometria!$N$1307/100))))))*(IF(OR(Geometria!$K$1409&gt;0,Geometria!$K$1407&gt;0,Geometria!$Q$1409&gt;0,Geometria!$Q$1407&gt;0),1,0))-(Geometria!$L$298-IF(B141&lt;Geometria!$L$1405/100,Geometria!$L$1444,Geometria!$L$1462))*(1-(MIN(MIN(1,MAX(0,(B141-Geometria!$L$1405/100)/(Geometria!$N$1307/100))),MIN(1,MAX(0,((Geometria!$L$29/100-B141)-Geometria!$R$1405/100)/(Geometria!$N$1307/100))))))*(IF(OR(Geometria!$K$1405&gt;0,Geometria!$K$1403&gt;0,Geometria!$Q$1405&gt;0,Geometria!$Q$1403&gt;0),1,0)))*H141+Geometria!$P$1429*H118</f>
        <v>687.5131346701191</v>
      </c>
      <c r="M141" s="373">
        <f ca="1">(Geometria!$L$298-(Geometria!$L$298-IF(B141&lt;Geometria!$L$1409/100,Geometria!$L$1442,Geometria!$L$1460))*(1-(MIN(MIN(1,MAX(0,(B141-Geometria!$L$1409/100)/(Geometria!$N$1307/100))),MIN(1,MAX(0,((Geometria!$L$29/100-B141)-Geometria!$R$1409/100)/(Geometria!$N$1307/100))))))*(IF(OR(Geometria!$K$1409&gt;0,Geometria!$K$1407&gt;0,Geometria!$Q$1409&gt;0,Geometria!$Q$1407&gt;0),1,0))-(Geometria!$L$298-IF(B141&lt;Geometria!$L$1405/100,Geometria!$L$1444,Geometria!$L$1462))*(1-(MIN(MIN(1,MAX(0,(B141-Geometria!$L$1405/100)/(Geometria!$N$1307/100))),MIN(1,MAX(0,((Geometria!$L$29/100-B141)-Geometria!$R$1405/100)/(Geometria!$N$1307/100))))))*(IF(OR(Geometria!$K$1405&gt;0,Geometria!$K$1403&gt;0,Geometria!$Q$1405&gt;0,Geometria!$Q$1403&gt;0),1,0)))*H141*(Geometria!$L$299-(Geometria!$L$299-IF(B141&lt;Geometria!$L$1409/100,Geometria!$L$1443,Geometria!$L$1461))*(1-(MIN(MIN(1,MAX(0,(B141-Geometria!$L$1409/100)/(Geometria!$N$1307/100))),MIN(1,MAX(0,((Geometria!$L$29/100-B141)-Geometria!$R$1409/100)/(Geometria!$N$1307/100))))))*(IF(OR(Geometria!$K$1409&gt;0,Geometria!$K$1407&gt;0,Geometria!$Q$1409&gt;0,Geometria!$Q$1407&gt;0),1,0))-(Geometria!$L$299-IF(B141&lt;Geometria!$L$1405/100,Geometria!$L$1445,Geometria!$L$1463))*(1-(MIN(MIN(1,MAX(0,(B141-Geometria!$L$1405/100)/(Geometria!$N$1307/100))),MIN(1,MAX(0,((Geometria!$L$29/100-B141)-Geometria!$R$1405/100)/(Geometria!$N$1307/100))))))*(IF(OR(Geometria!$K$1405&gt;0,Geometria!$K$1403&gt;0,Geometria!$Q$1405&gt;0,Geometria!$Q$1403&gt;0),1,0)))/100-Geometria!$P$1429*H118*Geometria!$L$1438/100</f>
        <v>195.94124338098393</v>
      </c>
      <c r="N141" s="365"/>
      <c r="O141" s="371">
        <f ca="1">(IF(C141="Sim",IF(A141="Sim",$E$93,EX141),IF(A141="Sim",EZ141,Geometria!$L$906)))</f>
        <v>749.9028001915608</v>
      </c>
      <c r="P141" s="371">
        <f ca="1">(IF(C141="Sim",IF(A141="Sim",$E$94,EY141),IF(A141="Sim",FA141,Geometria!$L$907)))</f>
        <v>213.72229805459483</v>
      </c>
      <c r="R141" s="4" t="s">
        <v>446</v>
      </c>
      <c r="S141" s="202">
        <f t="shared" ca="1" si="36"/>
        <v>-14272.179794506716</v>
      </c>
      <c r="T141" s="38" t="s">
        <v>234</v>
      </c>
      <c r="U141" s="203">
        <f t="shared" ca="1" si="23"/>
        <v>-14.272179794506716</v>
      </c>
      <c r="V141" s="38" t="s">
        <v>160</v>
      </c>
      <c r="W141" s="399">
        <f t="shared" si="37"/>
        <v>0.0</v>
      </c>
      <c r="X141" s="376" t="str">
        <f>IF(OR(AND(Y141&lt;Geometria!$L$1405/100,Geometria!$K$1405&gt;0),AND((Geometria!$L$29/100-Y141)&lt;Geometria!$R$1405/100,Geometria!$Q$1405&gt;0)),"Sim","Não")</f>
        <v>Sim</v>
      </c>
      <c r="Y141" s="395">
        <f t="shared" si="24"/>
        <v>6.6725</v>
      </c>
      <c r="Z141" s="376" t="str">
        <f>IF(OR(AND(Y141&lt;Geometria!$L$1409/100,OR(Geometria!$K$1409&gt;0,Geometria!$K$1407&gt;0)),AND((Geometria!$L$29/100-Y141)&lt;Geometria!$R$1409/100,OR(Geometria!$Q$1409&gt;0,Geometria!$Q$1407&gt;0))),"Sim","Não")</f>
        <v>Não</v>
      </c>
      <c r="AA141" s="122" t="s">
        <v>446</v>
      </c>
      <c r="AB141" s="198" t="str">
        <f ca="1">AB127</f>
        <v>Reduzir</v>
      </c>
      <c r="AC141" s="401">
        <f t="shared" ca="1" si="25"/>
        <v>3050.1720793941713</v>
      </c>
      <c r="AD141" s="403">
        <f ca="1">-(AI141/(Geometria!$L$48/100^2))-(AJ141/(Geometria!$L$53/100^3))+((Geometria!$L$422)/(Geometria!$L$53/100^3))+((Geometria!$L$433)/(Geometria!$M$53/100^3))+((Geometria!$L$76*Geometria!$L$444)/(Geometria!$M$53/100^3))</f>
        <v>3050.1720793941713</v>
      </c>
      <c r="AE141" s="400">
        <f ca="1">AE127</f>
        <v>103.47749248103581</v>
      </c>
      <c r="AF141" s="751">
        <f ca="1">-((Geometria!$L$373-(Geometria!$L$373-ER141)*(1-(MIN(MIN(1,MAX(0,(Y141-Geometria!$L$1409/100)/(Geometria!$N$1307/100))),MIN(1,MAX(0,((Geometria!$L$29/100-Y141)-Geometria!$R$1409/100)/(Geometria!$N$1307/100))))))*(IF(OR(Geometria!$K$1409&gt;0,Geometria!$K$1407&gt;0,Geometria!$Q$1409&gt;0,Geometria!$Q$1407&gt;0),1,0))-(Geometria!$L$373-ET141)*(1-(MIN(MIN(1,MAX(0,(Y141-Geometria!$L$1405/100)/(Geometria!$N$1307/100))),MIN(1,MAX(0,((Geometria!$L$29/100-Y141)-Geometria!$R$1405/100)/(Geometria!$N$1307/100))))))*(IF(OR(Geometria!$K$1405&gt;0,Geometria!$K$1403&gt;0,Geometria!$Q$1405&gt;0,Geometria!$Q$1403&gt;0),1,0))))/(Geometria!$L$48/100^2)-((Geometria!$L$374-(Geometria!$L$374-ES141)*(1-(MIN(MIN(1,MAX(0,(Y141-Geometria!$L$1409/100)/(Geometria!$N$1307/100))),MIN(1,MAX(0,((Geometria!$L$29/100-Y141)-Geometria!$R$1409/100)/(Geometria!$N$1307/100))))))*(IF(OR(Geometria!$K$1409&gt;0,Geometria!$K$1407&gt;0,Geometria!$Q$1409&gt;0,Geometria!$Q$1407&gt;0),1,0))-(Geometria!$L$374-EU141)*(1-(MIN(MIN(1,MAX(0,(Y141-Geometria!$L$1405/100)/(Geometria!$N$1307/100))),MIN(1,MAX(0,((Geometria!$L$29/100-Y141)-Geometria!$R$1405/100)/(Geometria!$N$1307/100))))))*(IF(OR(Geometria!$K$1405&gt;0,Geometria!$K$1403&gt;0,Geometria!$Q$1405&gt;0,Geometria!$Q$1403&gt;0),1,0))))/(Geometria!$L$53/100^3)+((Geometria!$L$422)/(Geometria!$L$53/100^3))+((Geometria!$L$433)/(Geometria!$M$53/100^3))+((Geometria!$L$76*Geometria!$L$444)/(Geometria!$M$53/100^3))</f>
        <v>2145.2968790732084</v>
      </c>
      <c r="AG141" s="751"/>
      <c r="AI141" s="373">
        <f ca="1">(IF(Z141="Sim",IF(X141="Sim",IF(Y141&lt;Geometria!$L$1405/100,Geometria!$L$1435,Geometria!$L$1476),IF(Y141&lt;Geometria!$L$1409/100,Geometria!$L$1442,Geometria!$L$1460)),IF(X141="Sim",IF(Y141&lt;Geometria!$L$1405/100,Geometria!$L$1444,Geometria!$L$1462),Geometria!$L$298)))*AE141+Geometria!$P$1429*AE118</f>
        <v>579.4739578938005</v>
      </c>
      <c r="AJ141" s="373">
        <f ca="1">(IF(Z141="Sim",IF(X141="Sim",IF(Y141&lt;Geometria!$L$1405/100,Geometria!$L$1435,Geometria!$L$1476),IF(Y141&lt;Geometria!$L$1409/100,Geometria!$L$1442,Geometria!$L$1460)),IF(X141="Sim",IF(Y141&lt;Geometria!$L$1405/100,Geometria!$L$1444,Geometria!$L$1462),Geometria!$L$298)))*AE141*(IF(Z141="Sim",IF(X141="Sim",IF(Y141&lt;Geometria!$L$1405/100,Geometria!$L$1436,Geometria!$L$1484),IF(Y141&lt;Geometria!$L$1409/100,Geometria!$L$1443,Geometria!$L$1461)),IF(X141="Sim",IF(Y141&lt;Geometria!$L$1405/100,Geometria!$L$1445,Geometria!$L$1463),Geometria!$L$299)))/100-Geometria!$P$1429*AE118*Geometria!$L$1438/100</f>
        <v>165.15007799973316</v>
      </c>
      <c r="AK141" s="365"/>
      <c r="AL141" s="371">
        <f ca="1">(IF(Z141="Sim",IF(X141="Sim",$E$93,EX141),IF(X141="Sim",EZ141,Geometria!$L$906)))</f>
        <v>749.9028001915608</v>
      </c>
      <c r="AM141" s="371">
        <f ca="1">(IF(Z141="Sim",IF(X141="Sim",$E$94,EY141),IF(X141="Sim",FA141,Geometria!$L$907)))</f>
        <v>213.72229805459483</v>
      </c>
      <c r="AO141" s="4" t="s">
        <v>446</v>
      </c>
      <c r="AP141" s="202">
        <f t="shared" ca="1" si="38"/>
        <v>3050.1720793941713</v>
      </c>
      <c r="AQ141" s="38" t="s">
        <v>234</v>
      </c>
      <c r="AR141" s="203">
        <f t="shared" ca="1" si="26"/>
        <v>3.050172079394171</v>
      </c>
      <c r="AS141" s="38" t="s">
        <v>160</v>
      </c>
      <c r="AT141" s="399">
        <f t="shared" si="39"/>
        <v>0.0</v>
      </c>
      <c r="AU141" s="376" t="str">
        <f>IF(OR(AND(AV141&lt;Geometria!$L$1405/100,Geometria!$K$1405&gt;0),AND((Geometria!$L$29/100-AV141)&lt;Geometria!$R$1405/100,Geometria!$Q$1405&gt;0)),"Sim","Não")</f>
        <v>Sim</v>
      </c>
      <c r="AV141" s="395">
        <f t="shared" si="27"/>
        <v>6.6725</v>
      </c>
      <c r="AW141" s="376" t="str">
        <f>IF(OR(AND(AV141&lt;Geometria!$L$1409/100,OR(Geometria!$K$1409&gt;0,Geometria!$K$1407&gt;0)),AND((Geometria!$L$29/100-AV141)&lt;Geometria!$R$1409/100,OR(Geometria!$Q$1409&gt;0,Geometria!$Q$1407&gt;0))),"Sim","Não")</f>
        <v>Não</v>
      </c>
      <c r="AX141" s="122" t="s">
        <v>446</v>
      </c>
      <c r="AY141" s="198" t="str">
        <f ca="1">AY127</f>
        <v>Reduzir</v>
      </c>
      <c r="AZ141" s="401">
        <f t="shared" ca="1" si="28"/>
        <v>3050.1720793941713</v>
      </c>
      <c r="BA141" s="403">
        <f ca="1">-(BF141/(Geometria!$L$48/100^2))-(BG141/(Geometria!$L$53/100^3))+((Geometria!$L$422)/(Geometria!$L$53/100^3))+((Geometria!$L$433)/(Geometria!$M$53/100^3))+((Geometria!$L$76*Geometria!$L$444)/(Geometria!$M$53/100^3))</f>
        <v>3050.1720793941713</v>
      </c>
      <c r="BB141" s="400">
        <f ca="1">BB127</f>
        <v>103.47749248103581</v>
      </c>
      <c r="BC141" s="751">
        <f ca="1">-((Geometria!$L$373-(Geometria!$L$373-ER141)*(1-(MIN(MIN(1,MAX(0,(AV141-Geometria!$L$1409/100)/(Geometria!$N$1307/100))),MIN(1,MAX(0,((Geometria!$L$29/100-AV141)-Geometria!$R$1409/100)/(Geometria!$N$1307/100))))))*(IF(OR(Geometria!$K$1409&gt;0,Geometria!$K$1407&gt;0,Geometria!$Q$1409&gt;0,Geometria!$Q$1407&gt;0),1,0))-(Geometria!$L$373-ET141)*(1-(MIN(MIN(1,MAX(0,(AV141-Geometria!$L$1405/100)/(Geometria!$N$1307/100))),MIN(1,MAX(0,((Geometria!$L$29/100-AV141)-Geometria!$R$1405/100)/(Geometria!$N$1307/100))))))*(IF(OR(Geometria!$K$1405&gt;0,Geometria!$K$1403&gt;0,Geometria!$Q$1405&gt;0,Geometria!$Q$1403&gt;0),1,0))))/(Geometria!$L$48/100^2)-((Geometria!$L$374-(Geometria!$L$374-ES141)*(1-(MIN(MIN(1,MAX(0,(AV141-Geometria!$L$1409/100)/(Geometria!$N$1307/100))),MIN(1,MAX(0,((Geometria!$L$29/100-AV141)-Geometria!$R$1409/100)/(Geometria!$N$1307/100))))))*(IF(OR(Geometria!$K$1409&gt;0,Geometria!$K$1407&gt;0,Geometria!$Q$1409&gt;0,Geometria!$Q$1407&gt;0),1,0))-(Geometria!$L$374-EU141)*(1-(MIN(MIN(1,MAX(0,(AV141-Geometria!$L$1405/100)/(Geometria!$N$1307/100))),MIN(1,MAX(0,((Geometria!$L$29/100-AV141)-Geometria!$R$1405/100)/(Geometria!$N$1307/100))))))*(IF(OR(Geometria!$K$1405&gt;0,Geometria!$K$1403&gt;0,Geometria!$Q$1405&gt;0,Geometria!$Q$1403&gt;0),1,0))))/(Geometria!$L$53/100^3)+((Geometria!$L$422)/(Geometria!$L$53/100^3))+((Geometria!$L$433)/(Geometria!$M$53/100^3))</f>
        <v>-4653.733608182921</v>
      </c>
      <c r="BD141" s="751"/>
      <c r="BF141" s="373">
        <f ca="1">(Geometria!$L$298-(Geometria!$L$298-IF(AV141&lt;Geometria!$L$1409/100,Geometria!$L$1442,Geometria!$L$1460))*(1-(MIN(MIN(1,MAX(0,(AV141-Geometria!$L$1409/100)/(Geometria!$N$1307/100))),MIN(1,MAX(0,((Geometria!$L$29/100-AV141)-Geometria!$R$1409/100)/(Geometria!$N$1307/100))))))*(IF(OR(Geometria!$K$1409&gt;0,Geometria!$K$1407&gt;0,Geometria!$Q$1409&gt;0,Geometria!$Q$1407&gt;0),1,0))-(Geometria!$L$298-IF(AV141&lt;Geometria!$L$1405/100,Geometria!$L$1444,Geometria!$L$1462))*(1-(MIN(MIN(1,MAX(0,(AV141-Geometria!$L$1405/100)/(Geometria!$N$1307/100))),MIN(1,MAX(0,((Geometria!$L$29/100-AV141)-Geometria!$R$1405/100)/(Geometria!$N$1307/100))))))*(IF(OR(Geometria!$K$1405&gt;0,Geometria!$K$1403&gt;0,Geometria!$Q$1405&gt;0,Geometria!$Q$1403&gt;0),1,0)))*BB141+Geometria!$P$1429*BB118</f>
        <v>579.4739578938005</v>
      </c>
      <c r="BG141" s="373">
        <f ca="1">(Geometria!$L$298-(Geometria!$L$298-IF(AV141&lt;Geometria!$L$1409/100,Geometria!$L$1442,Geometria!$L$1460))*(1-(MIN(MIN(1,MAX(0,(AV141-Geometria!$L$1409/100)/(Geometria!$N$1307/100))),MIN(1,MAX(0,((Geometria!$L$29/100-AV141)-Geometria!$R$1409/100)/(Geometria!$N$1307/100))))))*(IF(OR(Geometria!$K$1409&gt;0,Geometria!$K$1407&gt;0,Geometria!$Q$1409&gt;0,Geometria!$Q$1407&gt;0),1,0))-(Geometria!$L$298-IF(AV141&lt;Geometria!$L$1405/100,Geometria!$L$1444,Geometria!$L$1462))*(1-(MIN(MIN(1,MAX(0,(AV141-Geometria!$L$1405/100)/(Geometria!$N$1307/100))),MIN(1,MAX(0,((Geometria!$L$29/100-AV141)-Geometria!$R$1405/100)/(Geometria!$N$1307/100))))))*(IF(OR(Geometria!$K$1405&gt;0,Geometria!$K$1403&gt;0,Geometria!$Q$1405&gt;0,Geometria!$Q$1403&gt;0),1,0)))*BB141*(Geometria!$L$299-(Geometria!$L$299-IF(AV141&lt;Geometria!$L$1409/100,Geometria!$L$1443,Geometria!$L$1461))*(1-(MIN(MIN(1,MAX(0,(AV141-Geometria!$L$1409/100)/(Geometria!$N$1307/100))),MIN(1,MAX(0,((Geometria!$L$29/100-AV141)-Geometria!$R$1409/100)/(Geometria!$N$1307/100))))))*(IF(OR(Geometria!$K$1409&gt;0,Geometria!$K$1407&gt;0,Geometria!$Q$1409&gt;0,Geometria!$Q$1407&gt;0),1,0))-(Geometria!$L$299-IF(AV141&lt;Geometria!$L$1405/100,Geometria!$L$1445,Geometria!$L$1463))*(1-(MIN(MIN(1,MAX(0,(AV141-Geometria!$L$1405/100)/(Geometria!$N$1307/100))),MIN(1,MAX(0,((Geometria!$L$29/100-AV141)-Geometria!$R$1405/100)/(Geometria!$N$1307/100))))))*(IF(OR(Geometria!$K$1405&gt;0,Geometria!$K$1403&gt;0,Geometria!$Q$1405&gt;0,Geometria!$Q$1403&gt;0),1,0)))/100-Geometria!$P$1429*BB118*Geometria!$L$1438/100</f>
        <v>165.15007799973316</v>
      </c>
      <c r="BH141" s="365"/>
      <c r="BI141" s="371">
        <f ca="1">(IF(AW141="Sim",IF(AU141="Sim",$E$93,EX141),IF(AU141="Sim",EZ141,Geometria!$L$906)))</f>
        <v>749.9028001915608</v>
      </c>
      <c r="BJ141" s="371">
        <f ca="1">(IF(AW141="Sim",IF(AU141="Sim",$E$94,EY141),IF(AU141="Sim",FA141,Geometria!$L$907)))</f>
        <v>213.72229805459483</v>
      </c>
      <c r="BL141" s="4" t="s">
        <v>446</v>
      </c>
      <c r="BM141" s="202">
        <f t="shared" ca="1" si="40"/>
        <v>3050.1720793941713</v>
      </c>
      <c r="BN141" s="38" t="s">
        <v>234</v>
      </c>
      <c r="BO141" s="203">
        <f t="shared" ca="1" si="29"/>
        <v>3.050172079394171</v>
      </c>
      <c r="BP141" s="38" t="s">
        <v>160</v>
      </c>
      <c r="BQ141" s="399">
        <f t="shared" si="41"/>
        <v>0.0</v>
      </c>
      <c r="BR141" s="376" t="str">
        <f>IF(OR(AND(BS141&lt;Geometria!$L$1405/100,Geometria!$K$1405&gt;0),AND((Geometria!$L$29/100-BS141)&lt;Geometria!$R$1405/100,Geometria!$Q$1405&gt;0)),"Sim","Não")</f>
        <v>Sim</v>
      </c>
      <c r="BS141" s="395">
        <f t="shared" si="30"/>
        <v>6.6725</v>
      </c>
      <c r="BT141" s="376" t="str">
        <f>IF(OR(AND(BS141&lt;Geometria!$L$1409/100,OR(Geometria!$K$1409&gt;0,Geometria!$K$1407&gt;0)),AND((Geometria!$L$29/100-BS141)&lt;Geometria!$R$1409/100,OR(Geometria!$Q$1409&gt;0,Geometria!$Q$1407&gt;0))),"Sim","Não")</f>
        <v>Não</v>
      </c>
      <c r="BU141" s="122" t="s">
        <v>446</v>
      </c>
      <c r="BV141" s="198" t="str">
        <f ca="1">BV127</f>
        <v>Reduzir</v>
      </c>
      <c r="BW141" s="401">
        <f t="shared" ca="1" si="31"/>
        <v>3050.1720793941713</v>
      </c>
      <c r="BX141" s="403">
        <f ca="1">-(CC141/(Geometria!$L$48/100^2))-(CD141/(Geometria!$L$53/100^3))+((Geometria!$L$422)/(Geometria!$L$53/100^3))+((Geometria!$L$433)/(Geometria!$M$53/100^3))+((Geometria!$L$76*Geometria!$L$444)/(Geometria!$M$53/100^3))</f>
        <v>3050.1720793941713</v>
      </c>
      <c r="BY141" s="400">
        <f ca="1">BY127</f>
        <v>103.47749248103581</v>
      </c>
      <c r="BZ141" s="751">
        <f ca="1">-((Geometria!$L$373-(Geometria!$L$373-ER141)*(1-(MIN(MIN(1,MAX(0,(BS141-Geometria!$L$1409/100)/(Geometria!$N$1307/100))),MIN(1,MAX(0,((Geometria!$L$29/100-BS141)-Geometria!$R$1409/100)/(Geometria!$N$1307/100))))))*(IF(OR(Geometria!$K$1409&gt;0,Geometria!$K$1407&gt;0,Geometria!$Q$1409&gt;0,Geometria!$Q$1407&gt;0),1,0))-(Geometria!$L$373-ET141)*(1-(MIN(MIN(1,MAX(0,(BS141-Geometria!$L$1405/100)/(Geometria!$N$1307/100))),MIN(1,MAX(0,((Geometria!$L$29/100-BS141)-Geometria!$R$1405/100)/(Geometria!$N$1307/100))))))*(IF(OR(Geometria!$K$1405&gt;0,Geometria!$K$1403&gt;0,Geometria!$Q$1405&gt;0,Geometria!$Q$1403&gt;0),1,0))))/(Geometria!$L$48/100^2)-((Geometria!$L$374-(Geometria!$L$374-ES141)*(1-(MIN(MIN(1,MAX(0,(BS141-Geometria!$L$1409/100)/(Geometria!$N$1307/100))),MIN(1,MAX(0,((Geometria!$L$29/100-BS141)-Geometria!$R$1409/100)/(Geometria!$N$1307/100))))))*(IF(OR(Geometria!$K$1409&gt;0,Geometria!$K$1407&gt;0,Geometria!$Q$1409&gt;0,Geometria!$Q$1407&gt;0),1,0))-(Geometria!$L$374-EU141)*(1-(MIN(MIN(1,MAX(0,(BS141-Geometria!$L$1405/100)/(Geometria!$N$1307/100))),MIN(1,MAX(0,((Geometria!$L$29/100-BS141)-Geometria!$R$1405/100)/(Geometria!$N$1307/100))))))*(IF(OR(Geometria!$K$1405&gt;0,Geometria!$K$1403&gt;0,Geometria!$Q$1405&gt;0,Geometria!$Q$1403&gt;0),1,0))))/(Geometria!$L$53/100^3)+((Geometria!$L$679)/(Geometria!$L$53/100^3))+((Geometria!$L$690)/(Geometria!$M$53/100^3))+((Geometria!$L$77*Geometria!$L$701)/(Geometria!$M$53/100^3))</f>
        <v>-121.04661667883374</v>
      </c>
      <c r="CA141" s="751"/>
      <c r="CC141" s="373">
        <f ca="1">(Geometria!$L$298-(Geometria!$L$298-IF(BS141&lt;Geometria!$L$1409/100,Geometria!$L$1442,Geometria!$L$1460))*(1-(MIN(MIN(1,MAX(0,(BS141-Geometria!$L$1409/100)/(Geometria!$N$1307/100))),MIN(1,MAX(0,((Geometria!$L$29/100-BS141)-Geometria!$R$1409/100)/(Geometria!$N$1307/100))))))*(IF(OR(Geometria!$K$1409&gt;0,Geometria!$K$1407&gt;0,Geometria!$Q$1409&gt;0,Geometria!$Q$1407&gt;0),1,0))-(Geometria!$L$298-IF(BS141&lt;Geometria!$L$1405/100,Geometria!$L$1444,Geometria!$L$1462))*(1-(MIN(MIN(1,MAX(0,(BS141-Geometria!$L$1405/100)/(Geometria!$N$1307/100))),MIN(1,MAX(0,((Geometria!$L$29/100-BS141)-Geometria!$R$1405/100)/(Geometria!$N$1307/100))))))*(IF(OR(Geometria!$K$1405&gt;0,Geometria!$K$1403&gt;0,Geometria!$Q$1405&gt;0,Geometria!$Q$1403&gt;0),1,0)))*BY141+Geometria!$P$1429*BY118</f>
        <v>579.4739578938005</v>
      </c>
      <c r="CD141" s="373">
        <f ca="1">(Geometria!$L$298-(Geometria!$L$298-IF(BS141&lt;Geometria!$L$1409/100,Geometria!$L$1442,Geometria!$L$1460))*(1-(MIN(MIN(1,MAX(0,(BS141-Geometria!$L$1409/100)/(Geometria!$N$1307/100))),MIN(1,MAX(0,((Geometria!$L$29/100-BS141)-Geometria!$R$1409/100)/(Geometria!$N$1307/100))))))*(IF(OR(Geometria!$K$1409&gt;0,Geometria!$K$1407&gt;0,Geometria!$Q$1409&gt;0,Geometria!$Q$1407&gt;0),1,0))-(Geometria!$L$298-IF(BS141&lt;Geometria!$L$1405/100,Geometria!$L$1444,Geometria!$L$1462))*(1-(MIN(MIN(1,MAX(0,(BS141-Geometria!$L$1405/100)/(Geometria!$N$1307/100))),MIN(1,MAX(0,((Geometria!$L$29/100-BS141)-Geometria!$R$1405/100)/(Geometria!$N$1307/100))))))*(IF(OR(Geometria!$K$1405&gt;0,Geometria!$K$1403&gt;0,Geometria!$Q$1405&gt;0,Geometria!$Q$1403&gt;0),1,0)))*BY141*(Geometria!$L$299-(Geometria!$L$299-IF(BS141&lt;Geometria!$L$1409/100,Geometria!$L$1443,Geometria!$L$1461))*(1-(MIN(MIN(1,MAX(0,(BS141-Geometria!$L$1409/100)/(Geometria!$N$1307/100))),MIN(1,MAX(0,((Geometria!$L$29/100-BS141)-Geometria!$R$1409/100)/(Geometria!$N$1307/100))))))*(IF(OR(Geometria!$K$1409&gt;0,Geometria!$K$1407&gt;0,Geometria!$Q$1409&gt;0,Geometria!$Q$1407&gt;0),1,0))-(Geometria!$L$299-IF(BS141&lt;Geometria!$L$1405/100,Geometria!$L$1445,Geometria!$L$1463))*(1-(MIN(MIN(1,MAX(0,(BS141-Geometria!$L$1405/100)/(Geometria!$N$1307/100))),MIN(1,MAX(0,((Geometria!$L$29/100-BS141)-Geometria!$R$1405/100)/(Geometria!$N$1307/100))))))*(IF(OR(Geometria!$K$1405&gt;0,Geometria!$K$1403&gt;0,Geometria!$Q$1405&gt;0,Geometria!$Q$1403&gt;0),1,0)))/100-Geometria!$P$1429*BY118*Geometria!$L$1438/100</f>
        <v>165.15007799973316</v>
      </c>
      <c r="CE141" s="365"/>
      <c r="CF141" s="371">
        <f ca="1">(IF(BT141="Sim",IF(BR141="Sim",$E$93,EX141),IF(BR141="Sim",EZ141,Geometria!$L$906)))</f>
        <v>749.9028001915608</v>
      </c>
      <c r="CG141" s="371">
        <f ca="1">(IF(BT141="Sim",IF(BR141="Sim",$E$94,EY141),IF(BR141="Sim",FA141,Geometria!$L$907)))</f>
        <v>213.72229805459483</v>
      </c>
      <c r="CI141" s="4" t="s">
        <v>446</v>
      </c>
      <c r="CJ141" s="202">
        <f t="shared" ca="1" si="42"/>
        <v>3050.1720793941713</v>
      </c>
      <c r="CK141" s="38" t="s">
        <v>234</v>
      </c>
      <c r="CL141" s="203">
        <f t="shared" ca="1" si="32"/>
        <v>3.050172079394171</v>
      </c>
      <c r="CM141" s="38" t="s">
        <v>160</v>
      </c>
      <c r="CN141" s="399">
        <f t="shared" si="43"/>
        <v>0.0</v>
      </c>
      <c r="CO141" s="376" t="str">
        <f>IF(OR(AND(CP141&lt;Geometria!$L$1405/100,Geometria!$K$1405&gt;0),AND((Geometria!$L$29/100-CP141)&lt;Geometria!$R$1405/100,Geometria!$Q$1405&gt;0)),"Sim","Não")</f>
        <v>Sim</v>
      </c>
      <c r="CP141" s="395">
        <f t="shared" si="33"/>
        <v>6.6725</v>
      </c>
      <c r="CQ141" s="376" t="str">
        <f>IF(OR(AND(CP141&lt;Geometria!$L$1409/100,OR(Geometria!$K$1409&gt;0,Geometria!$K$1407&gt;0)),AND((Geometria!$L$29/100-CP141)&lt;Geometria!$R$1409/100,OR(Geometria!$Q$1409&gt;0,Geometria!$Q$1407&gt;0))),"Sim","Não")</f>
        <v>Não</v>
      </c>
      <c r="CR141" s="122" t="s">
        <v>446</v>
      </c>
      <c r="CS141" s="198" t="str">
        <f ca="1">CS127</f>
        <v>Reduzir</v>
      </c>
      <c r="CT141" s="401">
        <f t="shared" ca="1" si="34"/>
        <v>3050.1720793941713</v>
      </c>
      <c r="CU141" s="403">
        <f ca="1">-(CZ141/(Geometria!$L$48/100^2))-(DA141/(Geometria!$L$53/100^3))+((Geometria!$L$422)/(Geometria!$L$53/100^3))+((Geometria!$L$433)/(Geometria!$M$53/100^3))+((Geometria!$L$76*Geometria!$L$444)/(Geometria!$M$53/100^3))</f>
        <v>3050.1720793941713</v>
      </c>
      <c r="CV141" s="400">
        <f ca="1">CV127</f>
        <v>103.47749248103581</v>
      </c>
      <c r="CW141" s="751">
        <f ca="1">-((Geometria!$L$373-(Geometria!$L$373-ER141)*(1-(MIN(MIN(1,MAX(0,(CP141-Geometria!$L$1409/100)/(Geometria!$N$1307/100))),MIN(1,MAX(0,((Geometria!$L$29/100-CP141)-Geometria!$R$1409/100)/(Geometria!$N$1307/100))))))*(IF(OR(Geometria!$K$1409&gt;0,Geometria!$K$1407&gt;0,Geometria!$Q$1409&gt;0,Geometria!$Q$1407&gt;0),1,0))-(Geometria!$L$373-ET141)*(1-(MIN(MIN(1,MAX(0,(CP141-Geometria!$L$1405/100)/(Geometria!$N$1307/100))),MIN(1,MAX(0,((Geometria!$L$29/100-CP141)-Geometria!$R$1405/100)/(Geometria!$N$1307/100))))))*(IF(OR(Geometria!$K$1405&gt;0,Geometria!$K$1403&gt;0,Geometria!$Q$1405&gt;0,Geometria!$Q$1403&gt;0),1,0))))/(Geometria!$L$48/100^2)-((Geometria!$L$374-(Geometria!$L$374-ES141)*(1-(MIN(MIN(1,MAX(0,(CP141-Geometria!$L$1409/100)/(Geometria!$N$1307/100))),MIN(1,MAX(0,((Geometria!$L$29/100-CP141)-Geometria!$R$1409/100)/(Geometria!$N$1307/100))))))*(IF(OR(Geometria!$K$1409&gt;0,Geometria!$K$1407&gt;0,Geometria!$Q$1409&gt;0,Geometria!$Q$1407&gt;0),1,0))-(Geometria!$L$374-EU141)*(1-(MIN(MIN(1,MAX(0,(CP141-Geometria!$L$1405/100)/(Geometria!$N$1307/100))),MIN(1,MAX(0,((Geometria!$L$29/100-CP141)-Geometria!$R$1405/100)/(Geometria!$N$1307/100))))))*(IF(OR(Geometria!$K$1405&gt;0,Geometria!$K$1403&gt;0,Geometria!$Q$1405&gt;0,Geometria!$Q$1403&gt;0),1,0))))/(Geometria!$L$53/100^3)+((Geometria!$L$679)/(Geometria!$L$53/100^3))+((Geometria!$L$690)/(Geometria!$M$53/100^3))</f>
        <v>-4653.733608182921</v>
      </c>
      <c r="CX141" s="751"/>
      <c r="CZ141" s="373">
        <f ca="1">(IF(CQ141="Sim",IF(CO141="Sim",IF(CP141&lt;Geometria!$L$1405/100,Geometria!$L$1435,Geometria!$L$1476),IF(CP141&lt;Geometria!$L$1409/100,Geometria!$L$1442,Geometria!$L$1460)),IF(CO141="Sim",IF(CP141&lt;Geometria!$L$1405/100,Geometria!$L$1444,Geometria!$L$1462),Geometria!$L$298)))*CV141+Geometria!$P$1429*CV118</f>
        <v>579.4739578938005</v>
      </c>
      <c r="DA141" s="373">
        <f ca="1">(IF(CQ141="Sim",IF(CO141="Sim",IF(CP141&lt;Geometria!$L$1405/100,Geometria!$L$1435,Geometria!$L$1476),IF(CP141&lt;Geometria!$L$1409/100,Geometria!$L$1442,Geometria!$L$1460)),IF(CO141="Sim",IF(CP141&lt;Geometria!$L$1405/100,Geometria!$L$1444,Geometria!$L$1462),Geometria!$L$298)))*CV141*(IF(CQ141="Sim",IF(CO141="Sim",IF(CP141&lt;Geometria!$L$1405/100,Geometria!$L$1436,Geometria!$L$1484),IF(CP141&lt;Geometria!$L$1409/100,Geometria!$L$1443,Geometria!$L$1461)),IF(CO141="Sim",IF(CP141&lt;Geometria!$L$1405/100,Geometria!$L$1445,Geometria!$L$1463),Geometria!$L$299)))/100-Geometria!$P$1429*CV118*Geometria!$L$1438/100</f>
        <v>165.15007799973316</v>
      </c>
      <c r="DB141" s="365"/>
      <c r="DC141" s="371">
        <f ca="1">(IF(CQ141="Sim",IF(CO141="Sim",$E$93,EX141),IF(CO141="Sim",EZ141,Geometria!$L$906)))</f>
        <v>749.9028001915608</v>
      </c>
      <c r="DD141" s="371">
        <f ca="1">(IF(CQ141="Sim",IF(CO141="Sim",$E$94,EY141),IF(CO141="Sim",FA141,Geometria!$L$907)))</f>
        <v>213.72229805459483</v>
      </c>
      <c r="DF141" s="4" t="s">
        <v>446</v>
      </c>
      <c r="DG141" s="202">
        <f t="shared" ca="1" si="44"/>
        <v>3050.1720793941713</v>
      </c>
      <c r="DH141" s="38" t="s">
        <v>234</v>
      </c>
      <c r="DI141" s="203">
        <f t="shared" ca="1" si="35"/>
        <v>3.050172079394171</v>
      </c>
      <c r="DJ141" s="38" t="s">
        <v>160</v>
      </c>
      <c r="DK141" s="399">
        <f t="shared" si="45"/>
        <v>0.0</v>
      </c>
      <c r="EA141">
        <f ca="1">-L141/('Aberturas na Alma'!$M$112/100^2)-M141/('Aberturas na Alma'!$M$120/100^3)+Geometria!$L$898/('Aberturas na Alma'!$M$120/100^3)</f>
        <v>-15522.3891498421</v>
      </c>
      <c r="EB141">
        <f ca="1">-(IF(C141="Sim",IF(A141="Sim",$E$93,EX141),IF(A141="Sim",EZ141,Geometria!$L$906)))/('Aberturas na Alma'!$M$112/100^2)-(IF(C141="Sim",IF(A141="Sim",$E$94,EY141),IF(A141="Sim",FA141,Geometria!$L$907)))/('Aberturas na Alma'!$M$120/100^3)+Geometria!$L$904/('Aberturas na Alma'!$M$120/100^3)</f>
        <v>-16242.603416991908</v>
      </c>
      <c r="EC141">
        <f ca="1">IF(AND('Aberturas na Alma'!$M$18="NÃO DISPENSADO — furo deve ser verificado (cálculo abaixo)",OR(AND(B141&gt;=('Aberturas na Alma'!$M$4-'Aberturas na Alma'!$M$7/2)/100,B141&lt;=('Aberturas na Alma'!$M$4+'Aberturas na Alma'!$M$7/2)/100),ABS(B141-'Aberturas na Alma'!$M$4/100)&lt;=Geometria!$L$29/4000)),IF(E141="Reduzir",EA141,EB141),F141)</f>
        <v>-14272.179794506716</v>
      </c>
      <c r="ED141">
        <f ca="1">-(AI141/('Aberturas na Alma'!$M$112/100^2))-(AJ141/('Aberturas na Alma'!$M$120/100^3))+((Geometria!$L$422)/('Aberturas na Alma'!$M$120/100^3))+((Geometria!$L$433)/('Aberturas na Alma'!$M$120/100^3))+((Geometria!$L$76*Geometria!$L$444)/('Aberturas na Alma'!$M$120/100^3))</f>
        <v>15066.360180531636</v>
      </c>
      <c r="EE141">
        <f ca="1">-((IF(Z141="Sim",IF(X141="Sim",$AB$93,ER141),IF(X141="Sim",ET141,Geometria!$L$373)))/('Aberturas na Alma'!$M$112/100^2))-((IF(Z141="Sim",IF(X141="Sim",$AB$94,ES141),IF(X141="Sim",EU141,Geometria!$L$374)))/('Aberturas na Alma'!$M$120/100^3))+((Geometria!$L$422)/('Aberturas na Alma'!$M$120/100^3))+((Geometria!$L$433)/('Aberturas na Alma'!$M$120/100^3))+((Geometria!$L$76*Geometria!$L$444)/('Aberturas na Alma'!$M$120/100^3))</f>
        <v>14084.612362766704</v>
      </c>
      <c r="EF141" s="371">
        <f ca="1">IF(AND('Aberturas na Alma'!$M$18="NÃO DISPENSADO — furo deve ser verificado (cálculo abaixo)",OR(AND(B141&gt;=('Aberturas na Alma'!$M$4-'Aberturas na Alma'!$M$7/2)/100,B141&lt;=('Aberturas na Alma'!$M$4+'Aberturas na Alma'!$M$7/2)/100),ABS(B141-'Aberturas na Alma'!$M$4/100)&lt;=Geometria!$L$29/4000)),IF(AB141="Reduzir",ED141,EE141),AC141)</f>
        <v>3050.1720793941713</v>
      </c>
      <c r="EG141">
        <f ca="1">-(BF141/('Aberturas na Alma'!$M$112/100^2))-(BG141/('Aberturas na Alma'!$M$120/100^3))+((Geometria!$L$422)/('Aberturas na Alma'!$M$120/100^3))+((Geometria!$L$433)/('Aberturas na Alma'!$M$120/100^3))+((Geometria!$L$76*Geometria!$L$444)/('Aberturas na Alma'!$M$120/100^3))</f>
        <v>15066.360180531636</v>
      </c>
      <c r="EH141">
        <f ca="1">-((IF(AW141="Sim",IF(AU141="Sim",$AB$93,ER141),IF(AU141="Sim",ET141,Geometria!$L$373)))/('Aberturas na Alma'!$M$112/100^2))-((IF(AW141="Sim",IF(AU141="Sim",$AB$94,ES141),IF(AU141="Sim",EU141,Geometria!$L$374)))/('Aberturas na Alma'!$M$120/100^3))+((Geometria!$L$422)/('Aberturas na Alma'!$M$120/100^3))+((Geometria!$L$433)/('Aberturas na Alma'!$M$120/100^3))</f>
        <v>-4983.601450924768</v>
      </c>
      <c r="EI141" s="371">
        <f ca="1">IF(AND('Aberturas na Alma'!$M$18="NÃO DISPENSADO — furo deve ser verificado (cálculo abaixo)",OR(AND(B141&gt;=('Aberturas na Alma'!$M$4-'Aberturas na Alma'!$M$7/2)/100,B141&lt;=('Aberturas na Alma'!$M$4+'Aberturas na Alma'!$M$7/2)/100),ABS(B141-'Aberturas na Alma'!$M$4/100)&lt;=Geometria!$L$29/4000)),IF(AY141="Reduzir",EG141,EH141),AZ141)</f>
        <v>3050.1720793941713</v>
      </c>
      <c r="EJ141">
        <f ca="1">-(CC141/('Aberturas na Alma'!$M$112/100^2))-(CD141/('Aberturas na Alma'!$M$120/100^3))+((Geometria!$L$422)/('Aberturas na Alma'!$M$120/100^3))+((Geometria!$L$433)/('Aberturas na Alma'!$M$120/100^3))+((Geometria!$L$76*Geometria!$L$444)/('Aberturas na Alma'!$M$120/100^3))</f>
        <v>15066.360180531636</v>
      </c>
      <c r="EK141">
        <f ca="1">-((IF(BT141="Sim",IF(BR141="Sim",$AB$93,ER141),IF(BR141="Sim",ET141,Geometria!$L$373)))/('Aberturas na Alma'!$M$112/100^2))-((IF(BT141="Sim",IF(BR141="Sim",$AB$94,ES141),IF(BR141="Sim",EU141,Geometria!$L$374)))/('Aberturas na Alma'!$M$120/100^3))+((Geometria!$L$679)/('Aberturas na Alma'!$M$120/100^3))+((Geometria!$L$690)/('Aberturas na Alma'!$M$120/100^3))+((Geometria!$L$77*Geometria!$L$701)/('Aberturas na Alma'!$M$120/100^3))</f>
        <v>7728.541091536216</v>
      </c>
      <c r="EL141" s="371">
        <f ca="1">IF(AND('Aberturas na Alma'!$M$18="NÃO DISPENSADO — furo deve ser verificado (cálculo abaixo)",OR(AND(B141&gt;=('Aberturas na Alma'!$M$4-'Aberturas na Alma'!$M$7/2)/100,B141&lt;=('Aberturas na Alma'!$M$4+'Aberturas na Alma'!$M$7/2)/100),ABS(B141-'Aberturas na Alma'!$M$4/100)&lt;=Geometria!$L$29/4000)),IF(BV141="Reduzir",EJ141,EK141),BW141)</f>
        <v>3050.1720793941713</v>
      </c>
      <c r="EM141">
        <f ca="1">-(CZ141/('Aberturas na Alma'!$M$112/100^2))-(DA141/('Aberturas na Alma'!$M$120/100^3))+((Geometria!$L$422)/('Aberturas na Alma'!$M$120/100^3))+((Geometria!$L$433)/('Aberturas na Alma'!$M$120/100^3))+((Geometria!$L$76*Geometria!$L$444)/('Aberturas na Alma'!$M$120/100^3))</f>
        <v>15066.360180531636</v>
      </c>
      <c r="EN141">
        <f ca="1">-((IF(CQ141="Sim",IF(CO141="Sim",$AB$93,ER141),IF(CO141="Sim",ET141,Geometria!$L$373)))/('Aberturas na Alma'!$M$112/100^2))-((IF(CQ141="Sim",IF(CO141="Sim",$AB$94,ES141),IF(CO141="Sim",EU141,Geometria!$L$374)))/('Aberturas na Alma'!$M$120/100^3))+((Geometria!$L$679)/('Aberturas na Alma'!$M$120/100^3))+((Geometria!$L$690)/('Aberturas na Alma'!$M$120/100^3))</f>
        <v>-4983.601450924768</v>
      </c>
      <c r="EO141" s="371">
        <f ca="1">IF(AND('Aberturas na Alma'!$M$18="NÃO DISPENSADO — furo deve ser verificado (cálculo abaixo)",OR(AND(B141&gt;=('Aberturas na Alma'!$M$4-'Aberturas na Alma'!$M$7/2)/100,B141&lt;=('Aberturas na Alma'!$M$4+'Aberturas na Alma'!$M$7/2)/100),ABS(B141-'Aberturas na Alma'!$M$4/100)&lt;=Geometria!$L$29/4000)),IF(CS141="Reduzir",EM141,EN141),CT141)</f>
        <v>3050.1720793941713</v>
      </c>
      <c r="EP141" t="str">
        <f>IF(AND(Y141&lt;Geometria!$L$1409/100,OR(Geometria!$K$1409&gt;0,Geometria!$K$1407&gt;0)),"ESQ",IF(AND((Geometria!$L$29/100-Y141)&lt;Geometria!$R$1409/100,OR(Geometria!$Q$1409&gt;0,Geometria!$Q$1407&gt;0)),"DIR","N/A"))</f>
        <v>N/A</v>
      </c>
      <c r="EQ141" t="str">
        <f>IF(AND(Y141&lt;Geometria!$L$1405/100,Geometria!$K$1405&gt;0),"ESQ",IF(AND((Geometria!$L$29/100-Y141)&lt;Geometria!$R$1405/100,Geometria!$Q$1405&gt;0),"DIR","N/A"))</f>
        <v>DIR</v>
      </c>
      <c r="ER141">
        <f ca="1">IF(EP141="DIR",Geometria!$L$1470,Geometria!$L$1452)</f>
        <v>1243.5596228306003</v>
      </c>
      <c r="ES141">
        <f ca="1">IF(EP141="DIR",Geometria!$L$1471,Geometria!$L$1453)</f>
        <v>233.16742928073757</v>
      </c>
      <c r="ET141">
        <f ca="1">IF(EQ141="DIR",Geometria!$L$1472,Geometria!$L$1454)</f>
        <v>621.7798114153002</v>
      </c>
      <c r="EU141">
        <f ca="1">IF(EQ141="DIR",Geometria!$L$1473,Geometria!$L$1455)</f>
        <v>177.20724625336052</v>
      </c>
      <c r="EV141" t="str">
        <f>IF(AND(B141&lt;Geometria!$L$1409/100,OR(Geometria!$K$1409&gt;0,Geometria!$K$1407&gt;0)),"ESQ",IF(AND((Geometria!$L$29/100-B141)&lt;Geometria!$R$1409/100,OR(Geometria!$Q$1409&gt;0,Geometria!$Q$1407&gt;0)),"DIR","N/A"))</f>
        <v>N/A</v>
      </c>
      <c r="EW141" t="str">
        <f>IF(AND(B141&lt;Geometria!$L$1405/100,Geometria!$K$1405&gt;0),"ESQ",IF(AND((Geometria!$L$29/100-B141)&lt;Geometria!$R$1405/100,Geometria!$Q$1405&gt;0),"DIR","N/A"))</f>
        <v>DIR</v>
      </c>
      <c r="EX141">
        <f ca="1">IF(EV141="DIR",Geometria!$L$1465,Geometria!$L$1447)</f>
        <v>1499.8056003831216</v>
      </c>
      <c r="EY141">
        <f ca="1">IF(EV141="DIR",Geometria!$L$1466,Geometria!$L$1448)</f>
        <v>281.2135500718353</v>
      </c>
      <c r="EZ141">
        <f ca="1">IF(EW141="DIR",Geometria!$L$1467,Geometria!$L$1449)</f>
        <v>749.9028001915608</v>
      </c>
      <c r="FA141">
        <f ca="1">IF(EW141="DIR",Geometria!$L$1468,Geometria!$L$1450)</f>
        <v>213.72229805459483</v>
      </c>
    </row>
    <row r="142" spans="1:157" x14ac:dyDescent="0.25">
      <c r="A142" s="376" t="str">
        <f>IF(OR(AND(B142&lt;Geometria!$L$1405/100,Geometria!$K$1405&gt;0),AND((Geometria!$L$29/100-B142)&lt;Geometria!$R$1405/100,Geometria!$Q$1405&gt;0)),"Sim","Não")</f>
        <v>Sim</v>
      </c>
      <c r="B142" s="395">
        <f t="shared" si="21"/>
        <v>7.065</v>
      </c>
      <c r="C142" s="376" t="str">
        <f>IF(OR(AND(B142&lt;Geometria!$L$1409/100,OR(Geometria!$K$1409&gt;0,Geometria!$K$1407&gt;0)),AND((Geometria!$L$29/100-B142)&lt;Geometria!$R$1409/100,OR(Geometria!$Q$1409&gt;0,Geometria!$Q$1407&gt;0))),"Sim","Não")</f>
        <v>Não</v>
      </c>
      <c r="D142" s="122" t="s">
        <v>447</v>
      </c>
      <c r="E142" s="198" t="str">
        <f ca="1">E126</f>
        <v>Reduzir</v>
      </c>
      <c r="F142" s="396">
        <f t="shared" ca="1" si="22"/>
        <v>-9370.46577880309</v>
      </c>
      <c r="G142" s="397">
        <f ca="1">-L142/(Geometria!$L$48/100^2)-M142/(Geometria!$L$53/100^3)+Geometria!$L$898/(Geometria!$L$53/100^3)</f>
        <v>-9370.46577880309</v>
      </c>
      <c r="H142" s="400">
        <f ca="1">H126</f>
        <v>81.84680174644278</v>
      </c>
      <c r="I142" s="743">
        <f ca="1">-(Geometria!$L$906-(Geometria!$L$906-EX142)*(1-(MIN(MIN(1,MAX(0,(B142-Geometria!$L$1409/100)/(Geometria!$N$1307/100))),MIN(1,MAX(0,((Geometria!$L$29/100-B142)-Geometria!$R$1409/100)/(Geometria!$N$1307/100))))))*(IF(OR(Geometria!$K$1409&gt;0,Geometria!$K$1407&gt;0,Geometria!$Q$1409&gt;0,Geometria!$Q$1407&gt;0),1,0))-(Geometria!$L$906-EZ142)*(1-(MIN(MIN(1,MAX(0,(B142-Geometria!$L$1405/100)/(Geometria!$N$1307/100))),MIN(1,MAX(0,((Geometria!$L$29/100-B142)-Geometria!$R$1405/100)/(Geometria!$N$1307/100))))))*(IF(OR(Geometria!$K$1405&gt;0,Geometria!$K$1403&gt;0,Geometria!$Q$1405&gt;0,Geometria!$Q$1403&gt;0),1,0)))/(Geometria!$L$48/100^2)-(Geometria!$L$907-(Geometria!$L$907-EY142)*(1-(MIN(MIN(1,MAX(0,(B142-Geometria!$L$1409/100)/(Geometria!$N$1307/100))),MIN(1,MAX(0,((Geometria!$L$29/100-B142)-Geometria!$R$1409/100)/(Geometria!$N$1307/100))))))*(IF(OR(Geometria!$K$1409&gt;0,Geometria!$K$1407&gt;0,Geometria!$Q$1409&gt;0,Geometria!$Q$1407&gt;0),1,0))-(Geometria!$L$907-FA142)*(1-(MIN(MIN(1,MAX(0,(B142-Geometria!$L$1405/100)/(Geometria!$N$1307/100))),MIN(1,MAX(0,((Geometria!$L$29/100-B142)-Geometria!$R$1405/100)/(Geometria!$N$1307/100))))))*(IF(OR(Geometria!$K$1405&gt;0,Geometria!$K$1403&gt;0,Geometria!$Q$1405&gt;0,Geometria!$Q$1403&gt;0),1,0)))/(Geometria!$L$53/100^3)+Geometria!$M$904/(Geometria!$L$53/100^3)</f>
        <v>-15219.238139513942</v>
      </c>
      <c r="J142" s="743"/>
      <c r="L142" s="373">
        <f ca="1">(Geometria!$L$298-(Geometria!$L$298-IF(B142&lt;Geometria!$L$1409/100,Geometria!$L$1442,Geometria!$L$1460))*(1-(MIN(MIN(1,MAX(0,(B142-Geometria!$L$1409/100)/(Geometria!$N$1307/100))),MIN(1,MAX(0,((Geometria!$L$29/100-B142)-Geometria!$R$1409/100)/(Geometria!$N$1307/100))))))*(IF(OR(Geometria!$K$1409&gt;0,Geometria!$K$1407&gt;0,Geometria!$Q$1409&gt;0,Geometria!$Q$1407&gt;0),1,0))-(Geometria!$L$298-IF(B142&lt;Geometria!$L$1405/100,Geometria!$L$1444,Geometria!$L$1462))*(1-(MIN(MIN(1,MAX(0,(B142-Geometria!$L$1405/100)/(Geometria!$N$1307/100))),MIN(1,MAX(0,((Geometria!$L$29/100-B142)-Geometria!$R$1405/100)/(Geometria!$N$1307/100))))))*(IF(OR(Geometria!$K$1405&gt;0,Geometria!$K$1403&gt;0,Geometria!$Q$1405&gt;0,Geometria!$Q$1403&gt;0),1,0)))*H142+Geometria!$P$1429*H119</f>
        <v>458.3420897800795</v>
      </c>
      <c r="M142" s="373">
        <f ca="1">(Geometria!$L$298-(Geometria!$L$298-IF(B142&lt;Geometria!$L$1409/100,Geometria!$L$1442,Geometria!$L$1460))*(1-(MIN(MIN(1,MAX(0,(B142-Geometria!$L$1409/100)/(Geometria!$N$1307/100))),MIN(1,MAX(0,((Geometria!$L$29/100-B142)-Geometria!$R$1409/100)/(Geometria!$N$1307/100))))))*(IF(OR(Geometria!$K$1409&gt;0,Geometria!$K$1407&gt;0,Geometria!$Q$1409&gt;0,Geometria!$Q$1407&gt;0),1,0))-(Geometria!$L$298-IF(B142&lt;Geometria!$L$1405/100,Geometria!$L$1444,Geometria!$L$1462))*(1-(MIN(MIN(1,MAX(0,(B142-Geometria!$L$1405/100)/(Geometria!$N$1307/100))),MIN(1,MAX(0,((Geometria!$L$29/100-B142)-Geometria!$R$1405/100)/(Geometria!$N$1307/100))))))*(IF(OR(Geometria!$K$1405&gt;0,Geometria!$K$1403&gt;0,Geometria!$Q$1405&gt;0,Geometria!$Q$1403&gt;0),1,0)))*H142*(Geometria!$L$299-(Geometria!$L$299-IF(B142&lt;Geometria!$L$1409/100,Geometria!$L$1443,Geometria!$L$1461))*(1-(MIN(MIN(1,MAX(0,(B142-Geometria!$L$1409/100)/(Geometria!$N$1307/100))),MIN(1,MAX(0,((Geometria!$L$29/100-B142)-Geometria!$R$1409/100)/(Geometria!$N$1307/100))))))*(IF(OR(Geometria!$K$1409&gt;0,Geometria!$K$1407&gt;0,Geometria!$Q$1409&gt;0,Geometria!$Q$1407&gt;0),1,0))-(Geometria!$L$299-IF(B142&lt;Geometria!$L$1405/100,Geometria!$L$1445,Geometria!$L$1463))*(1-(MIN(MIN(1,MAX(0,(B142-Geometria!$L$1405/100)/(Geometria!$N$1307/100))),MIN(1,MAX(0,((Geometria!$L$29/100-B142)-Geometria!$R$1405/100)/(Geometria!$N$1307/100))))))*(IF(OR(Geometria!$K$1405&gt;0,Geometria!$K$1403&gt;0,Geometria!$Q$1405&gt;0,Geometria!$Q$1403&gt;0),1,0)))/100-Geometria!$P$1429*H119*Geometria!$L$1438/100</f>
        <v>130.62749558732267</v>
      </c>
      <c r="N142" s="365"/>
      <c r="O142" s="371">
        <f ca="1">(IF(C142="Sim",IF(A142="Sim",$E$93,EX142),IF(A142="Sim",EZ142,Geometria!$L$906)))</f>
        <v>749.9028001915608</v>
      </c>
      <c r="P142" s="371">
        <f ca="1">(IF(C142="Sim",IF(A142="Sim",$E$94,EY142),IF(A142="Sim",FA142,Geometria!$L$907)))</f>
        <v>213.72229805459483</v>
      </c>
      <c r="R142" s="4" t="s">
        <v>447</v>
      </c>
      <c r="S142" s="202">
        <f t="shared" ca="1" si="36"/>
        <v>-9370.46577880309</v>
      </c>
      <c r="T142" s="38" t="s">
        <v>234</v>
      </c>
      <c r="U142" s="203">
        <f t="shared" ca="1" si="23"/>
        <v>-9.37046577880309</v>
      </c>
      <c r="V142" s="38" t="s">
        <v>160</v>
      </c>
      <c r="W142" s="399">
        <f t="shared" si="37"/>
        <v>0.0</v>
      </c>
      <c r="X142" s="376" t="str">
        <f>IF(OR(AND(Y142&lt;Geometria!$L$1405/100,Geometria!$K$1405&gt;0),AND((Geometria!$L$29/100-Y142)&lt;Geometria!$R$1405/100,Geometria!$Q$1405&gt;0)),"Sim","Não")</f>
        <v>Sim</v>
      </c>
      <c r="Y142" s="395">
        <f t="shared" si="24"/>
        <v>7.065</v>
      </c>
      <c r="Z142" s="376" t="str">
        <f>IF(OR(AND(Y142&lt;Geometria!$L$1409/100,OR(Geometria!$K$1409&gt;0,Geometria!$K$1407&gt;0)),AND((Geometria!$L$29/100-Y142)&lt;Geometria!$R$1409/100,OR(Geometria!$Q$1409&gt;0,Geometria!$Q$1407&gt;0))),"Sim","Não")</f>
        <v>Não</v>
      </c>
      <c r="AA142" s="122" t="s">
        <v>447</v>
      </c>
      <c r="AB142" s="198" t="str">
        <f ca="1">AB126</f>
        <v>Reduzir</v>
      </c>
      <c r="AC142" s="401">
        <f t="shared" ca="1" si="25"/>
        <v>2639.1137854309954</v>
      </c>
      <c r="AD142" s="403">
        <f ca="1">-(AI142/(Geometria!$L$48/100^2))-(AJ142/(Geometria!$L$53/100^3))+((Geometria!$M$422)/(Geometria!$L$53/100^3))+((Geometria!$M$433)/(Geometria!$M$53/100^3))+((Geometria!$L$76*Geometria!$M$444)/(Geometria!$M$53/100^3))</f>
        <v>2639.1137854309954</v>
      </c>
      <c r="AE142" s="400">
        <f ca="1">AE126</f>
        <v>68.98499498735721</v>
      </c>
      <c r="AF142" s="751">
        <f ca="1">-((Geometria!$L$373-(Geometria!$L$373-ER142)*(1-(MIN(MIN(1,MAX(0,(Y142-Geometria!$L$1409/100)/(Geometria!$N$1307/100))),MIN(1,MAX(0,((Geometria!$L$29/100-Y142)-Geometria!$R$1409/100)/(Geometria!$N$1307/100))))))*(IF(OR(Geometria!$K$1409&gt;0,Geometria!$K$1407&gt;0,Geometria!$Q$1409&gt;0,Geometria!$Q$1407&gt;0),1,0))-(Geometria!$L$373-ET142)*(1-(MIN(MIN(1,MAX(0,(Y142-Geometria!$L$1405/100)/(Geometria!$N$1307/100))),MIN(1,MAX(0,((Geometria!$L$29/100-Y142)-Geometria!$R$1405/100)/(Geometria!$N$1307/100))))))*(IF(OR(Geometria!$K$1405&gt;0,Geometria!$K$1403&gt;0,Geometria!$Q$1405&gt;0,Geometria!$Q$1403&gt;0),1,0))))/(Geometria!$L$48/100^2)-((Geometria!$L$374-(Geometria!$L$374-ES142)*(1-(MIN(MIN(1,MAX(0,(Y142-Geometria!$L$1409/100)/(Geometria!$N$1307/100))),MIN(1,MAX(0,((Geometria!$L$29/100-Y142)-Geometria!$R$1409/100)/(Geometria!$N$1307/100))))))*(IF(OR(Geometria!$K$1409&gt;0,Geometria!$K$1407&gt;0,Geometria!$Q$1409&gt;0,Geometria!$Q$1407&gt;0),1,0))-(Geometria!$L$374-EU142)*(1-(MIN(MIN(1,MAX(0,(Y142-Geometria!$L$1405/100)/(Geometria!$N$1307/100))),MIN(1,MAX(0,((Geometria!$L$29/100-Y142)-Geometria!$R$1405/100)/(Geometria!$N$1307/100))))))*(IF(OR(Geometria!$K$1405&gt;0,Geometria!$K$1403&gt;0,Geometria!$Q$1405&gt;0,Geometria!$Q$1403&gt;0),1,0))))/(Geometria!$L$53/100^3)+((Geometria!$M$422)/(Geometria!$L$53/100^3))+((Geometria!$M$433)/(Geometria!$M$53/100^3))+((Geometria!$L$76*Geometria!$M$444)/(Geometria!$M$53/100^3))</f>
        <v>-2397.1961146883614</v>
      </c>
      <c r="AG142" s="751"/>
      <c r="AI142" s="373">
        <f ca="1">(IF(Z142="Sim",IF(X142="Sim",IF(Y142&lt;Geometria!$L$1405/100,Geometria!$L$1435,Geometria!$L$1476),IF(Y142&lt;Geometria!$L$1409/100,Geometria!$L$1442,Geometria!$L$1460)),IF(X142="Sim",IF(Y142&lt;Geometria!$L$1405/100,Geometria!$L$1444,Geometria!$L$1462),Geometria!$L$298)))*AE142+Geometria!$P$1429*AE119</f>
        <v>386.3159719292004</v>
      </c>
      <c r="AJ142" s="373">
        <f ca="1">(IF(Z142="Sim",IF(X142="Sim",IF(Y142&lt;Geometria!$L$1405/100,Geometria!$L$1435,Geometria!$L$1476),IF(Y142&lt;Geometria!$L$1409/100,Geometria!$L$1442,Geometria!$L$1460)),IF(X142="Sim",IF(Y142&lt;Geometria!$L$1405/100,Geometria!$L$1444,Geometria!$L$1462),Geometria!$L$298)))*AE142*(IF(Z142="Sim",IF(X142="Sim",IF(Y142&lt;Geometria!$L$1405/100,Geometria!$L$1436,Geometria!$L$1484),IF(Y142&lt;Geometria!$L$1409/100,Geometria!$L$1443,Geometria!$L$1461)),IF(X142="Sim",IF(Y142&lt;Geometria!$L$1405/100,Geometria!$L$1445,Geometria!$L$1463),Geometria!$L$299)))/100-Geometria!$P$1429*AE119*Geometria!$L$1438/100</f>
        <v>110.1000519998221</v>
      </c>
      <c r="AK142" s="365"/>
      <c r="AL142" s="371">
        <f ca="1">(IF(Z142="Sim",IF(X142="Sim",$E$93,EX142),IF(X142="Sim",EZ142,Geometria!$L$906)))</f>
        <v>749.9028001915608</v>
      </c>
      <c r="AM142" s="371">
        <f ca="1">(IF(Z142="Sim",IF(X142="Sim",$E$94,EY142),IF(X142="Sim",FA142,Geometria!$L$907)))</f>
        <v>213.72229805459483</v>
      </c>
      <c r="AO142" s="4" t="s">
        <v>447</v>
      </c>
      <c r="AP142" s="202">
        <f t="shared" ca="1" si="38"/>
        <v>2639.1137854309954</v>
      </c>
      <c r="AQ142" s="38" t="s">
        <v>234</v>
      </c>
      <c r="AR142" s="203">
        <f t="shared" ca="1" si="26"/>
        <v>2.6391137854309954</v>
      </c>
      <c r="AS142" s="38" t="s">
        <v>160</v>
      </c>
      <c r="AT142" s="399">
        <f t="shared" si="39"/>
        <v>0.0</v>
      </c>
      <c r="AU142" s="376" t="str">
        <f>IF(OR(AND(AV142&lt;Geometria!$L$1405/100,Geometria!$K$1405&gt;0),AND((Geometria!$L$29/100-AV142)&lt;Geometria!$R$1405/100,Geometria!$Q$1405&gt;0)),"Sim","Não")</f>
        <v>Sim</v>
      </c>
      <c r="AV142" s="395">
        <f t="shared" si="27"/>
        <v>7.065</v>
      </c>
      <c r="AW142" s="376" t="str">
        <f>IF(OR(AND(AV142&lt;Geometria!$L$1409/100,OR(Geometria!$K$1409&gt;0,Geometria!$K$1407&gt;0)),AND((Geometria!$L$29/100-AV142)&lt;Geometria!$R$1409/100,OR(Geometria!$Q$1409&gt;0,Geometria!$Q$1407&gt;0))),"Sim","Não")</f>
        <v>Não</v>
      </c>
      <c r="AX142" s="122" t="s">
        <v>447</v>
      </c>
      <c r="AY142" s="198" t="str">
        <f ca="1">AY126</f>
        <v>Reduzir</v>
      </c>
      <c r="AZ142" s="401">
        <f t="shared" ca="1" si="28"/>
        <v>2639.1137854309954</v>
      </c>
      <c r="BA142" s="403">
        <f ca="1">-(BF142/(Geometria!$L$48/100^2))-(BG142/(Geometria!$L$53/100^3))+((Geometria!$M$422)/(Geometria!$L$53/100^3))+((Geometria!$M$433)/(Geometria!$M$53/100^3))+((Geometria!$L$76*Geometria!$M$444)/(Geometria!$M$53/100^3))</f>
        <v>2639.1137854309954</v>
      </c>
      <c r="BB142" s="400">
        <f ca="1">BB126</f>
        <v>68.98499498735721</v>
      </c>
      <c r="BC142" s="751">
        <f ca="1">-((Geometria!$L$373-(Geometria!$L$373-ER142)*(1-(MIN(MIN(1,MAX(0,(AV142-Geometria!$L$1409/100)/(Geometria!$N$1307/100))),MIN(1,MAX(0,((Geometria!$L$29/100-AV142)-Geometria!$R$1409/100)/(Geometria!$N$1307/100))))))*(IF(OR(Geometria!$K$1409&gt;0,Geometria!$K$1407&gt;0,Geometria!$Q$1409&gt;0,Geometria!$Q$1407&gt;0),1,0))-(Geometria!$L$373-ET142)*(1-(MIN(MIN(1,MAX(0,(AV142-Geometria!$L$1405/100)/(Geometria!$N$1307/100))),MIN(1,MAX(0,((Geometria!$L$29/100-AV142)-Geometria!$R$1405/100)/(Geometria!$N$1307/100))))))*(IF(OR(Geometria!$K$1405&gt;0,Geometria!$K$1403&gt;0,Geometria!$Q$1405&gt;0,Geometria!$Q$1403&gt;0),1,0))))/(Geometria!$L$48/100^2)-((Geometria!$L$374-(Geometria!$L$374-ES142)*(1-(MIN(MIN(1,MAX(0,(AV142-Geometria!$L$1409/100)/(Geometria!$N$1307/100))),MIN(1,MAX(0,((Geometria!$L$29/100-AV142)-Geometria!$R$1409/100)/(Geometria!$N$1307/100))))))*(IF(OR(Geometria!$K$1409&gt;0,Geometria!$K$1407&gt;0,Geometria!$Q$1409&gt;0,Geometria!$Q$1407&gt;0),1,0))-(Geometria!$L$374-EU142)*(1-(MIN(MIN(1,MAX(0,(AV142-Geometria!$L$1405/100)/(Geometria!$N$1307/100))),MIN(1,MAX(0,((Geometria!$L$29/100-AV142)-Geometria!$R$1405/100)/(Geometria!$N$1307/100))))))*(IF(OR(Geometria!$K$1405&gt;0,Geometria!$K$1403&gt;0,Geometria!$Q$1405&gt;0,Geometria!$Q$1403&gt;0),1,0))))/(Geometria!$L$53/100^3)+((Geometria!$M$422)/(Geometria!$L$53/100^3))+((Geometria!$M$433)/(Geometria!$M$53/100^3))</f>
        <v>-7196.511752751515</v>
      </c>
      <c r="BD142" s="751"/>
      <c r="BF142" s="373">
        <f ca="1">(Geometria!$L$298-(Geometria!$L$298-IF(AV142&lt;Geometria!$L$1409/100,Geometria!$L$1442,Geometria!$L$1460))*(1-(MIN(MIN(1,MAX(0,(AV142-Geometria!$L$1409/100)/(Geometria!$N$1307/100))),MIN(1,MAX(0,((Geometria!$L$29/100-AV142)-Geometria!$R$1409/100)/(Geometria!$N$1307/100))))))*(IF(OR(Geometria!$K$1409&gt;0,Geometria!$K$1407&gt;0,Geometria!$Q$1409&gt;0,Geometria!$Q$1407&gt;0),1,0))-(Geometria!$L$298-IF(AV142&lt;Geometria!$L$1405/100,Geometria!$L$1444,Geometria!$L$1462))*(1-(MIN(MIN(1,MAX(0,(AV142-Geometria!$L$1405/100)/(Geometria!$N$1307/100))),MIN(1,MAX(0,((Geometria!$L$29/100-AV142)-Geometria!$R$1405/100)/(Geometria!$N$1307/100))))))*(IF(OR(Geometria!$K$1405&gt;0,Geometria!$K$1403&gt;0,Geometria!$Q$1405&gt;0,Geometria!$Q$1403&gt;0),1,0)))*BB142+Geometria!$P$1429*BB119</f>
        <v>386.3159719292004</v>
      </c>
      <c r="BG142" s="373">
        <f ca="1">(Geometria!$L$298-(Geometria!$L$298-IF(AV142&lt;Geometria!$L$1409/100,Geometria!$L$1442,Geometria!$L$1460))*(1-(MIN(MIN(1,MAX(0,(AV142-Geometria!$L$1409/100)/(Geometria!$N$1307/100))),MIN(1,MAX(0,((Geometria!$L$29/100-AV142)-Geometria!$R$1409/100)/(Geometria!$N$1307/100))))))*(IF(OR(Geometria!$K$1409&gt;0,Geometria!$K$1407&gt;0,Geometria!$Q$1409&gt;0,Geometria!$Q$1407&gt;0),1,0))-(Geometria!$L$298-IF(AV142&lt;Geometria!$L$1405/100,Geometria!$L$1444,Geometria!$L$1462))*(1-(MIN(MIN(1,MAX(0,(AV142-Geometria!$L$1405/100)/(Geometria!$N$1307/100))),MIN(1,MAX(0,((Geometria!$L$29/100-AV142)-Geometria!$R$1405/100)/(Geometria!$N$1307/100))))))*(IF(OR(Geometria!$K$1405&gt;0,Geometria!$K$1403&gt;0,Geometria!$Q$1405&gt;0,Geometria!$Q$1403&gt;0),1,0)))*BB142*(Geometria!$L$299-(Geometria!$L$299-IF(AV142&lt;Geometria!$L$1409/100,Geometria!$L$1443,Geometria!$L$1461))*(1-(MIN(MIN(1,MAX(0,(AV142-Geometria!$L$1409/100)/(Geometria!$N$1307/100))),MIN(1,MAX(0,((Geometria!$L$29/100-AV142)-Geometria!$R$1409/100)/(Geometria!$N$1307/100))))))*(IF(OR(Geometria!$K$1409&gt;0,Geometria!$K$1407&gt;0,Geometria!$Q$1409&gt;0,Geometria!$Q$1407&gt;0),1,0))-(Geometria!$L$299-IF(AV142&lt;Geometria!$L$1405/100,Geometria!$L$1445,Geometria!$L$1463))*(1-(MIN(MIN(1,MAX(0,(AV142-Geometria!$L$1405/100)/(Geometria!$N$1307/100))),MIN(1,MAX(0,((Geometria!$L$29/100-AV142)-Geometria!$R$1405/100)/(Geometria!$N$1307/100))))))*(IF(OR(Geometria!$K$1405&gt;0,Geometria!$K$1403&gt;0,Geometria!$Q$1405&gt;0,Geometria!$Q$1403&gt;0),1,0)))/100-Geometria!$P$1429*BB119*Geometria!$L$1438/100</f>
        <v>110.1000519998221</v>
      </c>
      <c r="BH142" s="365"/>
      <c r="BI142" s="371">
        <f ca="1">(IF(AW142="Sim",IF(AU142="Sim",$E$93,EX142),IF(AU142="Sim",EZ142,Geometria!$L$906)))</f>
        <v>749.9028001915608</v>
      </c>
      <c r="BJ142" s="371">
        <f ca="1">(IF(AW142="Sim",IF(AU142="Sim",$E$94,EY142),IF(AU142="Sim",FA142,Geometria!$L$907)))</f>
        <v>213.72229805459483</v>
      </c>
      <c r="BL142" s="4" t="s">
        <v>447</v>
      </c>
      <c r="BM142" s="202">
        <f t="shared" ca="1" si="40"/>
        <v>2639.1137854309954</v>
      </c>
      <c r="BN142" s="38" t="s">
        <v>234</v>
      </c>
      <c r="BO142" s="203">
        <f t="shared" ca="1" si="29"/>
        <v>2.6391137854309954</v>
      </c>
      <c r="BP142" s="38" t="s">
        <v>160</v>
      </c>
      <c r="BQ142" s="399">
        <f t="shared" si="41"/>
        <v>0.0</v>
      </c>
      <c r="BR142" s="376" t="str">
        <f>IF(OR(AND(BS142&lt;Geometria!$L$1405/100,Geometria!$K$1405&gt;0),AND((Geometria!$L$29/100-BS142)&lt;Geometria!$R$1405/100,Geometria!$Q$1405&gt;0)),"Sim","Não")</f>
        <v>Sim</v>
      </c>
      <c r="BS142" s="395">
        <f t="shared" si="30"/>
        <v>7.065</v>
      </c>
      <c r="BT142" s="376" t="str">
        <f>IF(OR(AND(BS142&lt;Geometria!$L$1409/100,OR(Geometria!$K$1409&gt;0,Geometria!$K$1407&gt;0)),AND((Geometria!$L$29/100-BS142)&lt;Geometria!$R$1409/100,OR(Geometria!$Q$1409&gt;0,Geometria!$Q$1407&gt;0))),"Sim","Não")</f>
        <v>Não</v>
      </c>
      <c r="BU142" s="122" t="s">
        <v>447</v>
      </c>
      <c r="BV142" s="198" t="str">
        <f ca="1">BV126</f>
        <v>Reduzir</v>
      </c>
      <c r="BW142" s="401">
        <f t="shared" ca="1" si="31"/>
        <v>2639.1137854309954</v>
      </c>
      <c r="BX142" s="403">
        <f ca="1">-(CC142/(Geometria!$L$48/100^2))-(CD142/(Geometria!$L$53/100^3))+((Geometria!$M$422)/(Geometria!$L$53/100^3))+((Geometria!$M$433)/(Geometria!$M$53/100^3))+((Geometria!$L$76*Geometria!$M$444)/(Geometria!$M$53/100^3))</f>
        <v>2639.1137854309954</v>
      </c>
      <c r="BY142" s="400">
        <f ca="1">BY126</f>
        <v>68.98499498735721</v>
      </c>
      <c r="BZ142" s="751">
        <f ca="1">-((Geometria!$L$373-(Geometria!$L$373-ER142)*(1-(MIN(MIN(1,MAX(0,(BS142-Geometria!$L$1409/100)/(Geometria!$N$1307/100))),MIN(1,MAX(0,((Geometria!$L$29/100-BS142)-Geometria!$R$1409/100)/(Geometria!$N$1307/100))))))*(IF(OR(Geometria!$K$1409&gt;0,Geometria!$K$1407&gt;0,Geometria!$Q$1409&gt;0,Geometria!$Q$1407&gt;0),1,0))-(Geometria!$L$373-ET142)*(1-(MIN(MIN(1,MAX(0,(BS142-Geometria!$L$1405/100)/(Geometria!$N$1307/100))),MIN(1,MAX(0,((Geometria!$L$29/100-BS142)-Geometria!$R$1405/100)/(Geometria!$N$1307/100))))))*(IF(OR(Geometria!$K$1405&gt;0,Geometria!$K$1403&gt;0,Geometria!$Q$1405&gt;0,Geometria!$Q$1403&gt;0),1,0))))/(Geometria!$L$48/100^2)-((Geometria!$L$374-(Geometria!$L$374-ES142)*(1-(MIN(MIN(1,MAX(0,(BS142-Geometria!$L$1409/100)/(Geometria!$N$1307/100))),MIN(1,MAX(0,((Geometria!$L$29/100-BS142)-Geometria!$R$1409/100)/(Geometria!$N$1307/100))))))*(IF(OR(Geometria!$K$1409&gt;0,Geometria!$K$1407&gt;0,Geometria!$Q$1409&gt;0,Geometria!$Q$1407&gt;0),1,0))-(Geometria!$L$374-EU142)*(1-(MIN(MIN(1,MAX(0,(BS142-Geometria!$L$1405/100)/(Geometria!$N$1307/100))),MIN(1,MAX(0,((Geometria!$L$29/100-BS142)-Geometria!$R$1405/100)/(Geometria!$N$1307/100))))))*(IF(OR(Geometria!$K$1405&gt;0,Geometria!$K$1403&gt;0,Geometria!$Q$1405&gt;0,Geometria!$Q$1403&gt;0),1,0))))/(Geometria!$L$53/100^3)+((Geometria!$M$679)/(Geometria!$L$53/100^3))+((Geometria!$M$690)/(Geometria!$M$53/100^3))+((Geometria!$L$77*Geometria!$M$701)/(Geometria!$M$53/100^3))</f>
        <v>-3996.9679940427454</v>
      </c>
      <c r="CA142" s="751"/>
      <c r="CC142" s="373">
        <f ca="1">(Geometria!$L$298-(Geometria!$L$298-IF(BS142&lt;Geometria!$L$1409/100,Geometria!$L$1442,Geometria!$L$1460))*(1-(MIN(MIN(1,MAX(0,(BS142-Geometria!$L$1409/100)/(Geometria!$N$1307/100))),MIN(1,MAX(0,((Geometria!$L$29/100-BS142)-Geometria!$R$1409/100)/(Geometria!$N$1307/100))))))*(IF(OR(Geometria!$K$1409&gt;0,Geometria!$K$1407&gt;0,Geometria!$Q$1409&gt;0,Geometria!$Q$1407&gt;0),1,0))-(Geometria!$L$298-IF(BS142&lt;Geometria!$L$1405/100,Geometria!$L$1444,Geometria!$L$1462))*(1-(MIN(MIN(1,MAX(0,(BS142-Geometria!$L$1405/100)/(Geometria!$N$1307/100))),MIN(1,MAX(0,((Geometria!$L$29/100-BS142)-Geometria!$R$1405/100)/(Geometria!$N$1307/100))))))*(IF(OR(Geometria!$K$1405&gt;0,Geometria!$K$1403&gt;0,Geometria!$Q$1405&gt;0,Geometria!$Q$1403&gt;0),1,0)))*BY142+Geometria!$P$1429*BY119</f>
        <v>386.3159719292004</v>
      </c>
      <c r="CD142" s="373">
        <f ca="1">(Geometria!$L$298-(Geometria!$L$298-IF(BS142&lt;Geometria!$L$1409/100,Geometria!$L$1442,Geometria!$L$1460))*(1-(MIN(MIN(1,MAX(0,(BS142-Geometria!$L$1409/100)/(Geometria!$N$1307/100))),MIN(1,MAX(0,((Geometria!$L$29/100-BS142)-Geometria!$R$1409/100)/(Geometria!$N$1307/100))))))*(IF(OR(Geometria!$K$1409&gt;0,Geometria!$K$1407&gt;0,Geometria!$Q$1409&gt;0,Geometria!$Q$1407&gt;0),1,0))-(Geometria!$L$298-IF(BS142&lt;Geometria!$L$1405/100,Geometria!$L$1444,Geometria!$L$1462))*(1-(MIN(MIN(1,MAX(0,(BS142-Geometria!$L$1405/100)/(Geometria!$N$1307/100))),MIN(1,MAX(0,((Geometria!$L$29/100-BS142)-Geometria!$R$1405/100)/(Geometria!$N$1307/100))))))*(IF(OR(Geometria!$K$1405&gt;0,Geometria!$K$1403&gt;0,Geometria!$Q$1405&gt;0,Geometria!$Q$1403&gt;0),1,0)))*BY142*(Geometria!$L$299-(Geometria!$L$299-IF(BS142&lt;Geometria!$L$1409/100,Geometria!$L$1443,Geometria!$L$1461))*(1-(MIN(MIN(1,MAX(0,(BS142-Geometria!$L$1409/100)/(Geometria!$N$1307/100))),MIN(1,MAX(0,((Geometria!$L$29/100-BS142)-Geometria!$R$1409/100)/(Geometria!$N$1307/100))))))*(IF(OR(Geometria!$K$1409&gt;0,Geometria!$K$1407&gt;0,Geometria!$Q$1409&gt;0,Geometria!$Q$1407&gt;0),1,0))-(Geometria!$L$299-IF(BS142&lt;Geometria!$L$1405/100,Geometria!$L$1445,Geometria!$L$1463))*(1-(MIN(MIN(1,MAX(0,(BS142-Geometria!$L$1405/100)/(Geometria!$N$1307/100))),MIN(1,MAX(0,((Geometria!$L$29/100-BS142)-Geometria!$R$1405/100)/(Geometria!$N$1307/100))))))*(IF(OR(Geometria!$K$1405&gt;0,Geometria!$K$1403&gt;0,Geometria!$Q$1405&gt;0,Geometria!$Q$1403&gt;0),1,0)))/100-Geometria!$P$1429*BY119*Geometria!$L$1438/100</f>
        <v>110.1000519998221</v>
      </c>
      <c r="CE142" s="365"/>
      <c r="CF142" s="371">
        <f ca="1">(IF(BT142="Sim",IF(BR142="Sim",$E$93,EX142),IF(BR142="Sim",EZ142,Geometria!$L$906)))</f>
        <v>749.9028001915608</v>
      </c>
      <c r="CG142" s="371">
        <f ca="1">(IF(BT142="Sim",IF(BR142="Sim",$E$94,EY142),IF(BR142="Sim",FA142,Geometria!$L$907)))</f>
        <v>213.72229805459483</v>
      </c>
      <c r="CI142" s="4" t="s">
        <v>447</v>
      </c>
      <c r="CJ142" s="202">
        <f t="shared" ca="1" si="42"/>
        <v>2639.1137854309954</v>
      </c>
      <c r="CK142" s="38" t="s">
        <v>234</v>
      </c>
      <c r="CL142" s="203">
        <f t="shared" ca="1" si="32"/>
        <v>2.6391137854309954</v>
      </c>
      <c r="CM142" s="38" t="s">
        <v>160</v>
      </c>
      <c r="CN142" s="399">
        <f t="shared" si="43"/>
        <v>0.0</v>
      </c>
      <c r="CO142" s="376" t="str">
        <f>IF(OR(AND(CP142&lt;Geometria!$L$1405/100,Geometria!$K$1405&gt;0),AND((Geometria!$L$29/100-CP142)&lt;Geometria!$R$1405/100,Geometria!$Q$1405&gt;0)),"Sim","Não")</f>
        <v>Sim</v>
      </c>
      <c r="CP142" s="395">
        <f t="shared" si="33"/>
        <v>7.065</v>
      </c>
      <c r="CQ142" s="376" t="str">
        <f>IF(OR(AND(CP142&lt;Geometria!$L$1409/100,OR(Geometria!$K$1409&gt;0,Geometria!$K$1407&gt;0)),AND((Geometria!$L$29/100-CP142)&lt;Geometria!$R$1409/100,OR(Geometria!$Q$1409&gt;0,Geometria!$Q$1407&gt;0))),"Sim","Não")</f>
        <v>Não</v>
      </c>
      <c r="CR142" s="122" t="s">
        <v>447</v>
      </c>
      <c r="CS142" s="198" t="str">
        <f ca="1">CS126</f>
        <v>Reduzir</v>
      </c>
      <c r="CT142" s="401">
        <f t="shared" ca="1" si="34"/>
        <v>2639.1137854309954</v>
      </c>
      <c r="CU142" s="403">
        <f ca="1">-(CZ142/(Geometria!$L$48/100^2))-(DA142/(Geometria!$L$53/100^3))+((Geometria!$M$422)/(Geometria!$L$53/100^3))+((Geometria!$M$433)/(Geometria!$M$53/100^3))+((Geometria!$L$76*Geometria!$M$444)/(Geometria!$M$53/100^3))</f>
        <v>2639.1137854309954</v>
      </c>
      <c r="CV142" s="400">
        <f ca="1">CV126</f>
        <v>68.98499498735721</v>
      </c>
      <c r="CW142" s="751">
        <f ca="1">-((Geometria!$L$373-(Geometria!$L$373-ER142)*(1-(MIN(MIN(1,MAX(0,(CP142-Geometria!$L$1409/100)/(Geometria!$N$1307/100))),MIN(1,MAX(0,((Geometria!$L$29/100-CP142)-Geometria!$R$1409/100)/(Geometria!$N$1307/100))))))*(IF(OR(Geometria!$K$1409&gt;0,Geometria!$K$1407&gt;0,Geometria!$Q$1409&gt;0,Geometria!$Q$1407&gt;0),1,0))-(Geometria!$L$373-ET142)*(1-(MIN(MIN(1,MAX(0,(CP142-Geometria!$L$1405/100)/(Geometria!$N$1307/100))),MIN(1,MAX(0,((Geometria!$L$29/100-CP142)-Geometria!$R$1405/100)/(Geometria!$N$1307/100))))))*(IF(OR(Geometria!$K$1405&gt;0,Geometria!$K$1403&gt;0,Geometria!$Q$1405&gt;0,Geometria!$Q$1403&gt;0),1,0))))/(Geometria!$L$48/100^2)-((Geometria!$L$374-(Geometria!$L$374-ES142)*(1-(MIN(MIN(1,MAX(0,(CP142-Geometria!$L$1409/100)/(Geometria!$N$1307/100))),MIN(1,MAX(0,((Geometria!$L$29/100-CP142)-Geometria!$R$1409/100)/(Geometria!$N$1307/100))))))*(IF(OR(Geometria!$K$1409&gt;0,Geometria!$K$1407&gt;0,Geometria!$Q$1409&gt;0,Geometria!$Q$1407&gt;0),1,0))-(Geometria!$L$374-EU142)*(1-(MIN(MIN(1,MAX(0,(CP142-Geometria!$L$1405/100)/(Geometria!$N$1307/100))),MIN(1,MAX(0,((Geometria!$L$29/100-CP142)-Geometria!$R$1405/100)/(Geometria!$N$1307/100))))))*(IF(OR(Geometria!$K$1405&gt;0,Geometria!$K$1403&gt;0,Geometria!$Q$1405&gt;0,Geometria!$Q$1403&gt;0),1,0))))/(Geometria!$L$53/100^3)+((Geometria!$M$679)/(Geometria!$L$53/100^3))+((Geometria!$M$690)/(Geometria!$M$53/100^3))</f>
        <v>-7196.511752751515</v>
      </c>
      <c r="CX142" s="751"/>
      <c r="CZ142" s="373">
        <f ca="1">(IF(CQ142="Sim",IF(CO142="Sim",IF(CP142&lt;Geometria!$L$1405/100,Geometria!$L$1435,Geometria!$L$1476),IF(CP142&lt;Geometria!$L$1409/100,Geometria!$L$1442,Geometria!$L$1460)),IF(CO142="Sim",IF(CP142&lt;Geometria!$L$1405/100,Geometria!$L$1444,Geometria!$L$1462),Geometria!$L$298)))*CV142+Geometria!$P$1429*CV119</f>
        <v>386.3159719292004</v>
      </c>
      <c r="DA142" s="373">
        <f ca="1">(IF(CQ142="Sim",IF(CO142="Sim",IF(CP142&lt;Geometria!$L$1405/100,Geometria!$L$1435,Geometria!$L$1476),IF(CP142&lt;Geometria!$L$1409/100,Geometria!$L$1442,Geometria!$L$1460)),IF(CO142="Sim",IF(CP142&lt;Geometria!$L$1405/100,Geometria!$L$1444,Geometria!$L$1462),Geometria!$L$298)))*CV142*(IF(CQ142="Sim",IF(CO142="Sim",IF(CP142&lt;Geometria!$L$1405/100,Geometria!$L$1436,Geometria!$L$1484),IF(CP142&lt;Geometria!$L$1409/100,Geometria!$L$1443,Geometria!$L$1461)),IF(CO142="Sim",IF(CP142&lt;Geometria!$L$1405/100,Geometria!$L$1445,Geometria!$L$1463),Geometria!$L$299)))/100-Geometria!$P$1429*CV119*Geometria!$L$1438/100</f>
        <v>110.1000519998221</v>
      </c>
      <c r="DB142" s="365"/>
      <c r="DC142" s="371">
        <f ca="1">(IF(CQ142="Sim",IF(CO142="Sim",$E$93,EX142),IF(CO142="Sim",EZ142,Geometria!$L$906)))</f>
        <v>749.9028001915608</v>
      </c>
      <c r="DD142" s="371">
        <f ca="1">(IF(CQ142="Sim",IF(CO142="Sim",$E$94,EY142),IF(CO142="Sim",FA142,Geometria!$L$907)))</f>
        <v>213.72229805459483</v>
      </c>
      <c r="DF142" s="4" t="s">
        <v>447</v>
      </c>
      <c r="DG142" s="202">
        <f t="shared" ca="1" si="44"/>
        <v>2639.1137854309954</v>
      </c>
      <c r="DH142" s="38" t="s">
        <v>234</v>
      </c>
      <c r="DI142" s="203">
        <f t="shared" ca="1" si="35"/>
        <v>2.6391137854309954</v>
      </c>
      <c r="DJ142" s="38" t="s">
        <v>160</v>
      </c>
      <c r="DK142" s="399">
        <f t="shared" si="45"/>
        <v>0.0</v>
      </c>
      <c r="EA142">
        <f ca="1">-L142/('Aberturas na Alma'!$M$112/100^2)-M142/('Aberturas na Alma'!$M$120/100^3)+Geometria!$L$898/('Aberturas na Alma'!$M$120/100^3)</f>
        <v>-10204.255735954863</v>
      </c>
      <c r="EB142">
        <f ca="1">-(IF(C142="Sim",IF(A142="Sim",$E$93,EX142),IF(A142="Sim",EZ142,Geometria!$L$906)))/('Aberturas na Alma'!$M$112/100^2)-(IF(C142="Sim",IF(A142="Sim",$E$94,EY142),IF(A142="Sim",FA142,Geometria!$L$907)))/('Aberturas na Alma'!$M$120/100^3)+Geometria!$M$904/('Aberturas na Alma'!$M$120/100^3)</f>
        <v>-16583.664805270557</v>
      </c>
      <c r="EC142">
        <f ca="1">IF(AND('Aberturas na Alma'!$M$18="NÃO DISPENSADO — furo deve ser verificado (cálculo abaixo)",OR(AND(B142&gt;=('Aberturas na Alma'!$M$4-'Aberturas na Alma'!$M$7/2)/100,B142&lt;=('Aberturas na Alma'!$M$4+'Aberturas na Alma'!$M$7/2)/100),ABS(B142-'Aberturas na Alma'!$M$4/100)&lt;=Geometria!$L$29/4000)),IF(E142="Reduzir",EA142,EB142),F142)</f>
        <v>-9370.46577880309</v>
      </c>
      <c r="ED142">
        <f ca="1">-(AI142/('Aberturas na Alma'!$M$112/100^2))-(AJ142/('Aberturas na Alma'!$M$120/100^3))+((Geometria!$M$422)/('Aberturas na Alma'!$M$120/100^3))+((Geometria!$M$433)/('Aberturas na Alma'!$M$120/100^3))+((Geometria!$L$76*Geometria!$M$444)/('Aberturas na Alma'!$M$120/100^3))</f>
        <v>11162.420823545015</v>
      </c>
      <c r="EE142">
        <f ca="1">-((IF(Z142="Sim",IF(X142="Sim",$AB$93,ER142),IF(X142="Sim",ET142,Geometria!$L$373)))/('Aberturas na Alma'!$M$112/100^2))-((IF(Z142="Sim",IF(X142="Sim",$AB$94,ES142),IF(X142="Sim",EU142,Geometria!$L$374)))/('Aberturas na Alma'!$M$120/100^3))+((Geometria!$M$422)/('Aberturas na Alma'!$M$120/100^3))+((Geometria!$M$433)/('Aberturas na Alma'!$M$120/100^3))+((Geometria!$L$76*Geometria!$M$444)/('Aberturas na Alma'!$M$120/100^3))</f>
        <v>5698.2570888373875</v>
      </c>
      <c r="EF142" s="371">
        <f ca="1">IF(AND('Aberturas na Alma'!$M$18="NÃO DISPENSADO — furo deve ser verificado (cálculo abaixo)",OR(AND(B142&gt;=('Aberturas na Alma'!$M$4-'Aberturas na Alma'!$M$7/2)/100,B142&lt;=('Aberturas na Alma'!$M$4+'Aberturas na Alma'!$M$7/2)/100),ABS(B142-'Aberturas na Alma'!$M$4/100)&lt;=Geometria!$L$29/4000)),IF(AB142="Reduzir",ED142,EE142),AC142)</f>
        <v>2639.1137854309954</v>
      </c>
      <c r="EG142">
        <f ca="1">-(BF142/('Aberturas na Alma'!$M$112/100^2))-(BG142/('Aberturas na Alma'!$M$120/100^3))+((Geometria!$M$422)/('Aberturas na Alma'!$M$120/100^3))+((Geometria!$M$433)/('Aberturas na Alma'!$M$120/100^3))+((Geometria!$L$76*Geometria!$M$444)/('Aberturas na Alma'!$M$120/100^3))</f>
        <v>11162.420823545015</v>
      </c>
      <c r="EH142">
        <f ca="1">-((IF(AW142="Sim",IF(AU142="Sim",$AB$93,ER142),IF(AU142="Sim",ET142,Geometria!$L$373)))/('Aberturas na Alma'!$M$112/100^2))-((IF(AW142="Sim",IF(AU142="Sim",$AB$94,ES142),IF(AU142="Sim",EU142,Geometria!$L$374)))/('Aberturas na Alma'!$M$120/100^3))+((Geometria!$M$422)/('Aberturas na Alma'!$M$120/100^3))+((Geometria!$M$433)/('Aberturas na Alma'!$M$120/100^3))</f>
        <v>-7761.658544356605</v>
      </c>
      <c r="EI142" s="371">
        <f ca="1">IF(AND('Aberturas na Alma'!$M$18="NÃO DISPENSADO — furo deve ser verificado (cálculo abaixo)",OR(AND(B142&gt;=('Aberturas na Alma'!$M$4-'Aberturas na Alma'!$M$7/2)/100,B142&lt;=('Aberturas na Alma'!$M$4+'Aberturas na Alma'!$M$7/2)/100),ABS(B142-'Aberturas na Alma'!$M$4/100)&lt;=Geometria!$L$29/4000)),IF(AY142="Reduzir",EG142,EH142),AZ142)</f>
        <v>2639.1137854309954</v>
      </c>
      <c r="EJ142">
        <f ca="1">-(CC142/('Aberturas na Alma'!$M$112/100^2))-(CD142/('Aberturas na Alma'!$M$120/100^3))+((Geometria!$M$422)/('Aberturas na Alma'!$M$120/100^3))+((Geometria!$M$433)/('Aberturas na Alma'!$M$120/100^3))+((Geometria!$L$76*Geometria!$M$444)/('Aberturas na Alma'!$M$120/100^3))</f>
        <v>11162.420823545015</v>
      </c>
      <c r="EK142">
        <f ca="1">-((IF(BT142="Sim",IF(BR142="Sim",$AB$93,ER142),IF(BR142="Sim",ET142,Geometria!$L$373)))/('Aberturas na Alma'!$M$112/100^2))-((IF(BT142="Sim",IF(BR142="Sim",$AB$94,ES142),IF(BR142="Sim",EU142,Geometria!$L$374)))/('Aberturas na Alma'!$M$120/100^3))+((Geometria!$M$679)/('Aberturas na Alma'!$M$120/100^3))+((Geometria!$M$690)/('Aberturas na Alma'!$M$120/100^3))+((Geometria!$L$77*Geometria!$M$701)/('Aberturas na Alma'!$M$120/100^3))</f>
        <v>1211.6185444393914</v>
      </c>
      <c r="EL142" s="371">
        <f ca="1">IF(AND('Aberturas na Alma'!$M$18="NÃO DISPENSADO — furo deve ser verificado (cálculo abaixo)",OR(AND(B142&gt;=('Aberturas na Alma'!$M$4-'Aberturas na Alma'!$M$7/2)/100,B142&lt;=('Aberturas na Alma'!$M$4+'Aberturas na Alma'!$M$7/2)/100),ABS(B142-'Aberturas na Alma'!$M$4/100)&lt;=Geometria!$L$29/4000)),IF(BV142="Reduzir",EJ142,EK142),BW142)</f>
        <v>2639.1137854309954</v>
      </c>
      <c r="EM142">
        <f ca="1">-(CZ142/('Aberturas na Alma'!$M$112/100^2))-(DA142/('Aberturas na Alma'!$M$120/100^3))+((Geometria!$M$422)/('Aberturas na Alma'!$M$120/100^3))+((Geometria!$M$433)/('Aberturas na Alma'!$M$120/100^3))+((Geometria!$L$76*Geometria!$M$444)/('Aberturas na Alma'!$M$120/100^3))</f>
        <v>11162.420823545015</v>
      </c>
      <c r="EN142">
        <f ca="1">-((IF(CQ142="Sim",IF(CO142="Sim",$AB$93,ER142),IF(CO142="Sim",ET142,Geometria!$L$373)))/('Aberturas na Alma'!$M$112/100^2))-((IF(CQ142="Sim",IF(CO142="Sim",$AB$94,ES142),IF(CO142="Sim",EU142,Geometria!$L$374)))/('Aberturas na Alma'!$M$120/100^3))+((Geometria!$M$679)/('Aberturas na Alma'!$M$120/100^3))+((Geometria!$M$690)/('Aberturas na Alma'!$M$120/100^3))</f>
        <v>-7761.658544356605</v>
      </c>
      <c r="EO142" s="371">
        <f ca="1">IF(AND('Aberturas na Alma'!$M$18="NÃO DISPENSADO — furo deve ser verificado (cálculo abaixo)",OR(AND(B142&gt;=('Aberturas na Alma'!$M$4-'Aberturas na Alma'!$M$7/2)/100,B142&lt;=('Aberturas na Alma'!$M$4+'Aberturas na Alma'!$M$7/2)/100),ABS(B142-'Aberturas na Alma'!$M$4/100)&lt;=Geometria!$L$29/4000)),IF(CS142="Reduzir",EM142,EN142),CT142)</f>
        <v>2639.1137854309954</v>
      </c>
      <c r="EP142" t="str">
        <f>IF(AND(Y142&lt;Geometria!$L$1409/100,OR(Geometria!$K$1409&gt;0,Geometria!$K$1407&gt;0)),"ESQ",IF(AND((Geometria!$L$29/100-Y142)&lt;Geometria!$R$1409/100,OR(Geometria!$Q$1409&gt;0,Geometria!$Q$1407&gt;0)),"DIR","N/A"))</f>
        <v>N/A</v>
      </c>
      <c r="EQ142" t="str">
        <f>IF(AND(Y142&lt;Geometria!$L$1405/100,Geometria!$K$1405&gt;0),"ESQ",IF(AND((Geometria!$L$29/100-Y142)&lt;Geometria!$R$1405/100,Geometria!$Q$1405&gt;0),"DIR","N/A"))</f>
        <v>DIR</v>
      </c>
      <c r="ER142">
        <f ca="1">IF(EP142="DIR",Geometria!$L$1470,Geometria!$L$1452)</f>
        <v>1243.5596228306003</v>
      </c>
      <c r="ES142">
        <f ca="1">IF(EP142="DIR",Geometria!$L$1471,Geometria!$L$1453)</f>
        <v>233.16742928073757</v>
      </c>
      <c r="ET142">
        <f ca="1">IF(EQ142="DIR",Geometria!$L$1472,Geometria!$L$1454)</f>
        <v>621.7798114153002</v>
      </c>
      <c r="EU142">
        <f ca="1">IF(EQ142="DIR",Geometria!$L$1473,Geometria!$L$1455)</f>
        <v>177.20724625336052</v>
      </c>
      <c r="EV142" t="str">
        <f>IF(AND(B142&lt;Geometria!$L$1409/100,OR(Geometria!$K$1409&gt;0,Geometria!$K$1407&gt;0)),"ESQ",IF(AND((Geometria!$L$29/100-B142)&lt;Geometria!$R$1409/100,OR(Geometria!$Q$1409&gt;0,Geometria!$Q$1407&gt;0)),"DIR","N/A"))</f>
        <v>N/A</v>
      </c>
      <c r="EW142" t="str">
        <f>IF(AND(B142&lt;Geometria!$L$1405/100,Geometria!$K$1405&gt;0),"ESQ",IF(AND((Geometria!$L$29/100-B142)&lt;Geometria!$R$1405/100,Geometria!$Q$1405&gt;0),"DIR","N/A"))</f>
        <v>DIR</v>
      </c>
      <c r="EX142">
        <f ca="1">IF(EV142="DIR",Geometria!$L$1465,Geometria!$L$1447)</f>
        <v>1499.8056003831216</v>
      </c>
      <c r="EY142">
        <f ca="1">IF(EV142="DIR",Geometria!$L$1466,Geometria!$L$1448)</f>
        <v>281.2135500718353</v>
      </c>
      <c r="EZ142">
        <f ca="1">IF(EW142="DIR",Geometria!$L$1467,Geometria!$L$1449)</f>
        <v>749.9028001915608</v>
      </c>
      <c r="FA142">
        <f ca="1">IF(EW142="DIR",Geometria!$L$1468,Geometria!$L$1450)</f>
        <v>213.72229805459483</v>
      </c>
    </row>
    <row r="143" spans="1:157" x14ac:dyDescent="0.25">
      <c r="A143" s="376" t="str">
        <f>IF(OR(AND(B143&lt;Geometria!$L$1405/100,Geometria!$K$1405&gt;0),AND((Geometria!$L$29/100-B143)&lt;Geometria!$R$1405/100,Geometria!$Q$1405&gt;0)),"Sim","Não")</f>
        <v>Sim</v>
      </c>
      <c r="B143" s="395">
        <f t="shared" si="21"/>
        <v>7.4575000000000005</v>
      </c>
      <c r="C143" s="376" t="str">
        <f>IF(OR(AND(B143&lt;Geometria!$L$1409/100,OR(Geometria!$K$1409&gt;0,Geometria!$K$1407&gt;0)),AND((Geometria!$L$29/100-B143)&lt;Geometria!$R$1409/100,OR(Geometria!$Q$1409&gt;0,Geometria!$Q$1407&gt;0))),"Sim","Não")</f>
        <v>Não</v>
      </c>
      <c r="D143" s="122" t="s">
        <v>448</v>
      </c>
      <c r="E143" s="198" t="str">
        <f ca="1">E125</f>
        <v>Reduzir</v>
      </c>
      <c r="F143" s="396">
        <f t="shared" ca="1" si="22"/>
        <v>-4468.751763099462</v>
      </c>
      <c r="G143" s="397">
        <f ca="1">-L143/(Geometria!$L$48/100^2)-M143/(Geometria!$L$53/100^3)+Geometria!$L$898/(Geometria!$L$53/100^3)</f>
        <v>-4468.751763099462</v>
      </c>
      <c r="H143" s="400">
        <f ca="1">H125</f>
        <v>40.92340087322139</v>
      </c>
      <c r="I143" s="743">
        <f ca="1">-(Geometria!$L$906-(Geometria!$L$906-EX143)*(1-(MIN(MIN(1,MAX(0,(B143-Geometria!$L$1409/100)/(Geometria!$N$1307/100))),MIN(1,MAX(0,((Geometria!$L$29/100-B143)-Geometria!$R$1409/100)/(Geometria!$N$1307/100))))))*(IF(OR(Geometria!$K$1409&gt;0,Geometria!$K$1407&gt;0,Geometria!$Q$1409&gt;0,Geometria!$Q$1407&gt;0),1,0))-(Geometria!$L$906-EZ143)*(1-(MIN(MIN(1,MAX(0,(B143-Geometria!$L$1405/100)/(Geometria!$N$1307/100))),MIN(1,MAX(0,((Geometria!$L$29/100-B143)-Geometria!$R$1405/100)/(Geometria!$N$1307/100))))))*(IF(OR(Geometria!$K$1405&gt;0,Geometria!$K$1403&gt;0,Geometria!$Q$1405&gt;0,Geometria!$Q$1403&gt;0),1,0)))/(Geometria!$L$48/100^2)-(Geometria!$L$907-(Geometria!$L$907-EY143)*(1-(MIN(MIN(1,MAX(0,(B143-Geometria!$L$1409/100)/(Geometria!$N$1307/100))),MIN(1,MAX(0,((Geometria!$L$29/100-B143)-Geometria!$R$1409/100)/(Geometria!$N$1307/100))))))*(IF(OR(Geometria!$K$1409&gt;0,Geometria!$K$1407&gt;0,Geometria!$Q$1409&gt;0,Geometria!$Q$1407&gt;0),1,0))-(Geometria!$L$907-FA143)*(1-(MIN(MIN(1,MAX(0,(B143-Geometria!$L$1405/100)/(Geometria!$N$1307/100))),MIN(1,MAX(0,((Geometria!$L$29/100-B143)-Geometria!$R$1405/100)/(Geometria!$N$1307/100))))))*(IF(OR(Geometria!$K$1405&gt;0,Geometria!$K$1403&gt;0,Geometria!$Q$1405&gt;0,Geometria!$Q$1403&gt;0),1,0)))/(Geometria!$L$53/100^3)+Geometria!$L$898/(Geometria!$L$53/100^3)</f>
        <v>-15606.625418159774</v>
      </c>
      <c r="J143" s="743"/>
      <c r="L143" s="373">
        <f ca="1">(Geometria!$L$298-(Geometria!$L$298-IF(B143&lt;Geometria!$L$1409/100,Geometria!$L$1442,Geometria!$L$1460))*(1-(MIN(MIN(1,MAX(0,(B143-Geometria!$L$1409/100)/(Geometria!$N$1307/100))),MIN(1,MAX(0,((Geometria!$L$29/100-B143)-Geometria!$R$1409/100)/(Geometria!$N$1307/100))))))*(IF(OR(Geometria!$K$1409&gt;0,Geometria!$K$1407&gt;0,Geometria!$Q$1409&gt;0,Geometria!$Q$1407&gt;0),1,0))-(Geometria!$L$298-IF(B143&lt;Geometria!$L$1405/100,Geometria!$L$1444,Geometria!$L$1462))*(1-(MIN(MIN(1,MAX(0,(B143-Geometria!$L$1405/100)/(Geometria!$N$1307/100))),MIN(1,MAX(0,((Geometria!$L$29/100-B143)-Geometria!$R$1405/100)/(Geometria!$N$1307/100))))))*(IF(OR(Geometria!$K$1405&gt;0,Geometria!$K$1403&gt;0,Geometria!$Q$1405&gt;0,Geometria!$Q$1403&gt;0),1,0)))*H143+Geometria!$P$1429*H120</f>
        <v>229.17104489003975</v>
      </c>
      <c r="M143" s="373">
        <f ca="1">(Geometria!$L$298-(Geometria!$L$298-IF(B143&lt;Geometria!$L$1409/100,Geometria!$L$1442,Geometria!$L$1460))*(1-(MIN(MIN(1,MAX(0,(B143-Geometria!$L$1409/100)/(Geometria!$N$1307/100))),MIN(1,MAX(0,((Geometria!$L$29/100-B143)-Geometria!$R$1409/100)/(Geometria!$N$1307/100))))))*(IF(OR(Geometria!$K$1409&gt;0,Geometria!$K$1407&gt;0,Geometria!$Q$1409&gt;0,Geometria!$Q$1407&gt;0),1,0))-(Geometria!$L$298-IF(B143&lt;Geometria!$L$1405/100,Geometria!$L$1444,Geometria!$L$1462))*(1-(MIN(MIN(1,MAX(0,(B143-Geometria!$L$1405/100)/(Geometria!$N$1307/100))),MIN(1,MAX(0,((Geometria!$L$29/100-B143)-Geometria!$R$1405/100)/(Geometria!$N$1307/100))))))*(IF(OR(Geometria!$K$1405&gt;0,Geometria!$K$1403&gt;0,Geometria!$Q$1405&gt;0,Geometria!$Q$1403&gt;0),1,0)))*H143*(Geometria!$L$299-(Geometria!$L$299-IF(B143&lt;Geometria!$L$1409/100,Geometria!$L$1443,Geometria!$L$1461))*(1-(MIN(MIN(1,MAX(0,(B143-Geometria!$L$1409/100)/(Geometria!$N$1307/100))),MIN(1,MAX(0,((Geometria!$L$29/100-B143)-Geometria!$R$1409/100)/(Geometria!$N$1307/100))))))*(IF(OR(Geometria!$K$1409&gt;0,Geometria!$K$1407&gt;0,Geometria!$Q$1409&gt;0,Geometria!$Q$1407&gt;0),1,0))-(Geometria!$L$299-IF(B143&lt;Geometria!$L$1405/100,Geometria!$L$1445,Geometria!$L$1463))*(1-(MIN(MIN(1,MAX(0,(B143-Geometria!$L$1405/100)/(Geometria!$N$1307/100))),MIN(1,MAX(0,((Geometria!$L$29/100-B143)-Geometria!$R$1405/100)/(Geometria!$N$1307/100))))))*(IF(OR(Geometria!$K$1405&gt;0,Geometria!$K$1403&gt;0,Geometria!$Q$1405&gt;0,Geometria!$Q$1403&gt;0),1,0)))/100-Geometria!$P$1429*H120*Geometria!$L$1438/100</f>
        <v>65.31374779366134</v>
      </c>
      <c r="N143" s="365"/>
      <c r="O143" s="371">
        <f ca="1">(IF(C143="Sim",IF(A143="Sim",$E$93,EX143),IF(A143="Sim",EZ143,Geometria!$L$906)))</f>
        <v>749.9028001915608</v>
      </c>
      <c r="P143" s="371">
        <f ca="1">(IF(C143="Sim",IF(A143="Sim",$E$94,EY143),IF(A143="Sim",FA143,Geometria!$L$907)))</f>
        <v>213.72229805459483</v>
      </c>
      <c r="R143" s="4" t="s">
        <v>448</v>
      </c>
      <c r="S143" s="204">
        <f t="shared" ca="1" si="36"/>
        <v>-4468.751763099462</v>
      </c>
      <c r="T143" s="38" t="s">
        <v>234</v>
      </c>
      <c r="U143" s="205">
        <f t="shared" ca="1" si="23"/>
        <v>-4.468751763099462</v>
      </c>
      <c r="V143" s="38" t="s">
        <v>160</v>
      </c>
      <c r="W143" s="399">
        <f t="shared" si="37"/>
        <v>0.0</v>
      </c>
      <c r="X143" s="376" t="str">
        <f>IF(OR(AND(Y143&lt;Geometria!$L$1405/100,Geometria!$K$1405&gt;0),AND((Geometria!$L$29/100-Y143)&lt;Geometria!$R$1405/100,Geometria!$Q$1405&gt;0)),"Sim","Não")</f>
        <v>Sim</v>
      </c>
      <c r="Y143" s="395">
        <f t="shared" si="24"/>
        <v>7.4575000000000005</v>
      </c>
      <c r="Z143" s="376" t="str">
        <f>IF(OR(AND(Y143&lt;Geometria!$L$1409/100,OR(Geometria!$K$1409&gt;0,Geometria!$K$1407&gt;0)),AND((Geometria!$L$29/100-Y143)&lt;Geometria!$R$1409/100,OR(Geometria!$Q$1409&gt;0,Geometria!$Q$1407&gt;0))),"Sim","Não")</f>
        <v>Não</v>
      </c>
      <c r="AA143" s="122" t="s">
        <v>448</v>
      </c>
      <c r="AB143" s="198" t="str">
        <f ca="1">AB125</f>
        <v>Reduzir</v>
      </c>
      <c r="AC143" s="401">
        <f t="shared" ca="1" si="25"/>
        <v>1622.3897589662758</v>
      </c>
      <c r="AD143" s="404">
        <f ca="1">-(AI143/(Geometria!$L$48/100^2))-(AJ143/(Geometria!$L$53/100^3))+((Geometria!$N$422)/(Geometria!$L$53/100^3))+((Geometria!$N$433)/(Geometria!$M$53/100^3))+((Geometria!$L$76*Geometria!$N$444)/(Geometria!$M$53/100^3))</f>
        <v>1622.3897589662758</v>
      </c>
      <c r="AE143" s="400">
        <f ca="1">AE125</f>
        <v>34.492497493678606</v>
      </c>
      <c r="AF143" s="752">
        <f ca="1">-((Geometria!$L$373-(Geometria!$L$373-ER143)*(1-(MIN(MIN(1,MAX(0,(Y143-Geometria!$L$1409/100)/(Geometria!$N$1307/100))),MIN(1,MAX(0,((Geometria!$L$29/100-Y143)-Geometria!$R$1409/100)/(Geometria!$N$1307/100))))))*(IF(OR(Geometria!$K$1409&gt;0,Geometria!$K$1407&gt;0,Geometria!$Q$1409&gt;0,Geometria!$Q$1407&gt;0),1,0))-(Geometria!$L$373-ET143)*(1-(MIN(MIN(1,MAX(0,(Y143-Geometria!$L$1405/100)/(Geometria!$N$1307/100))),MIN(1,MAX(0,((Geometria!$L$29/100-Y143)-Geometria!$R$1405/100)/(Geometria!$N$1307/100))))))*(IF(OR(Geometria!$K$1405&gt;0,Geometria!$K$1403&gt;0,Geometria!$Q$1405&gt;0,Geometria!$Q$1403&gt;0),1,0))))/(Geometria!$L$48/100^2)-((Geometria!$L$374-(Geometria!$L$374-ES143)*(1-(MIN(MIN(1,MAX(0,(Y143-Geometria!$L$1409/100)/(Geometria!$N$1307/100))),MIN(1,MAX(0,((Geometria!$L$29/100-Y143)-Geometria!$R$1409/100)/(Geometria!$N$1307/100))))))*(IF(OR(Geometria!$K$1409&gt;0,Geometria!$K$1407&gt;0,Geometria!$Q$1409&gt;0,Geometria!$Q$1407&gt;0),1,0))-(Geometria!$L$374-EU143)*(1-(MIN(MIN(1,MAX(0,(Y143-Geometria!$L$1405/100)/(Geometria!$N$1307/100))),MIN(1,MAX(0,((Geometria!$L$29/100-Y143)-Geometria!$R$1405/100)/(Geometria!$N$1307/100))))))*(IF(OR(Geometria!$K$1405&gt;0,Geometria!$K$1403&gt;0,Geometria!$Q$1405&gt;0,Geometria!$Q$1403&gt;0),1,0))))/(Geometria!$L$53/100^3)+((Geometria!$N$422)/(Geometria!$L$53/100^3))+((Geometria!$N$433)/(Geometria!$M$53/100^3))+((Geometria!$L$76*Geometria!$N$444)/(Geometria!$M$53/100^3))</f>
        <v>-7545.354840951475</v>
      </c>
      <c r="AG143" s="752"/>
      <c r="AI143" s="373">
        <f ca="1">(IF(Z143="Sim",IF(X143="Sim",IF(Y143&lt;Geometria!$L$1405/100,Geometria!$L$1435,Geometria!$L$1476),IF(Y143&lt;Geometria!$L$1409/100,Geometria!$L$1442,Geometria!$L$1460)),IF(X143="Sim",IF(Y143&lt;Geometria!$L$1405/100,Geometria!$L$1444,Geometria!$L$1462),Geometria!$L$298)))*AE143+Geometria!$P$1429*AE120</f>
        <v>193.1579859646002</v>
      </c>
      <c r="AJ143" s="373">
        <f ca="1">(IF(Z143="Sim",IF(X143="Sim",IF(Y143&lt;Geometria!$L$1405/100,Geometria!$L$1435,Geometria!$L$1476),IF(Y143&lt;Geometria!$L$1409/100,Geometria!$L$1442,Geometria!$L$1460)),IF(X143="Sim",IF(Y143&lt;Geometria!$L$1405/100,Geometria!$L$1444,Geometria!$L$1462),Geometria!$L$298)))*AE143*(IF(Z143="Sim",IF(X143="Sim",IF(Y143&lt;Geometria!$L$1405/100,Geometria!$L$1436,Geometria!$L$1484),IF(Y143&lt;Geometria!$L$1409/100,Geometria!$L$1443,Geometria!$L$1461)),IF(X143="Sim",IF(Y143&lt;Geometria!$L$1405/100,Geometria!$L$1445,Geometria!$L$1463),Geometria!$L$299)))/100-Geometria!$P$1429*AE120*Geometria!$L$1438/100</f>
        <v>55.05002599991105</v>
      </c>
      <c r="AK143" s="365"/>
      <c r="AL143" s="371">
        <f ca="1">(IF(Z143="Sim",IF(X143="Sim",$E$93,EX143),IF(X143="Sim",EZ143,Geometria!$L$906)))</f>
        <v>749.9028001915608</v>
      </c>
      <c r="AM143" s="371">
        <f ca="1">(IF(Z143="Sim",IF(X143="Sim",$E$94,EY143),IF(X143="Sim",FA143,Geometria!$L$907)))</f>
        <v>213.72229805459483</v>
      </c>
      <c r="AO143" s="4" t="s">
        <v>448</v>
      </c>
      <c r="AP143" s="204">
        <f t="shared" ca="1" si="38"/>
        <v>1622.3897589662758</v>
      </c>
      <c r="AQ143" s="38" t="s">
        <v>234</v>
      </c>
      <c r="AR143" s="205">
        <f t="shared" ca="1" si="26"/>
        <v>1.622389758966276</v>
      </c>
      <c r="AS143" s="38" t="s">
        <v>160</v>
      </c>
      <c r="AT143" s="399">
        <f t="shared" si="39"/>
        <v>0.0</v>
      </c>
      <c r="AU143" s="376" t="str">
        <f>IF(OR(AND(AV143&lt;Geometria!$L$1405/100,Geometria!$K$1405&gt;0),AND((Geometria!$L$29/100-AV143)&lt;Geometria!$R$1405/100,Geometria!$Q$1405&gt;0)),"Sim","Não")</f>
        <v>Sim</v>
      </c>
      <c r="AV143" s="395">
        <f t="shared" si="27"/>
        <v>7.4575000000000005</v>
      </c>
      <c r="AW143" s="376" t="str">
        <f>IF(OR(AND(AV143&lt;Geometria!$L$1409/100,OR(Geometria!$K$1409&gt;0,Geometria!$K$1407&gt;0)),AND((Geometria!$L$29/100-AV143)&lt;Geometria!$R$1409/100,OR(Geometria!$Q$1409&gt;0,Geometria!$Q$1407&gt;0))),"Sim","Não")</f>
        <v>Não</v>
      </c>
      <c r="AX143" s="122" t="s">
        <v>448</v>
      </c>
      <c r="AY143" s="198" t="str">
        <f ca="1">AY125</f>
        <v>Reduzir</v>
      </c>
      <c r="AZ143" s="401">
        <f t="shared" ca="1" si="28"/>
        <v>1622.3897589662758</v>
      </c>
      <c r="BA143" s="404">
        <f ca="1">-(BF143/(Geometria!$L$48/100^2))-(BG143/(Geometria!$L$53/100^3))+((Geometria!$N$422)/(Geometria!$L$53/100^3))+((Geometria!$N$433)/(Geometria!$M$53/100^3))+((Geometria!$L$76*Geometria!$N$444)/(Geometria!$M$53/100^3))</f>
        <v>1622.3897589662758</v>
      </c>
      <c r="BB143" s="415">
        <f ca="1">BB125</f>
        <v>34.492497493678606</v>
      </c>
      <c r="BC143" s="752">
        <f ca="1">-((Geometria!$L$373-(Geometria!$L$373-ER143)*(1-(MIN(MIN(1,MAX(0,(AV143-Geometria!$L$1409/100)/(Geometria!$N$1307/100))),MIN(1,MAX(0,((Geometria!$L$29/100-AV143)-Geometria!$R$1409/100)/(Geometria!$N$1307/100))))))*(IF(OR(Geometria!$K$1409&gt;0,Geometria!$K$1407&gt;0,Geometria!$Q$1409&gt;0,Geometria!$Q$1407&gt;0),1,0))-(Geometria!$L$373-ET143)*(1-(MIN(MIN(1,MAX(0,(AV143-Geometria!$L$1405/100)/(Geometria!$N$1307/100))),MIN(1,MAX(0,((Geometria!$L$29/100-AV143)-Geometria!$R$1405/100)/(Geometria!$N$1307/100))))))*(IF(OR(Geometria!$K$1405&gt;0,Geometria!$K$1403&gt;0,Geometria!$Q$1405&gt;0,Geometria!$Q$1403&gt;0),1,0))))/(Geometria!$L$48/100^2)-((Geometria!$L$374-(Geometria!$L$374-ES143)*(1-(MIN(MIN(1,MAX(0,(AV143-Geometria!$L$1409/100)/(Geometria!$N$1307/100))),MIN(1,MAX(0,((Geometria!$L$29/100-AV143)-Geometria!$R$1409/100)/(Geometria!$N$1307/100))))))*(IF(OR(Geometria!$K$1409&gt;0,Geometria!$K$1407&gt;0,Geometria!$Q$1409&gt;0,Geometria!$Q$1407&gt;0),1,0))-(Geometria!$L$374-EU143)*(1-(MIN(MIN(1,MAX(0,(AV143-Geometria!$L$1405/100)/(Geometria!$N$1307/100))),MIN(1,MAX(0,((Geometria!$L$29/100-AV143)-Geometria!$R$1405/100)/(Geometria!$N$1307/100))))))*(IF(OR(Geometria!$K$1405&gt;0,Geometria!$K$1403&gt;0,Geometria!$Q$1405&gt;0,Geometria!$Q$1403&gt;0),1,0))))/(Geometria!$L$53/100^3)+((Geometria!$N$422)/(Geometria!$L$53/100^3))+((Geometria!$N$433)/(Geometria!$M$53/100^3))</f>
        <v>-10078.32698326259</v>
      </c>
      <c r="BD143" s="752"/>
      <c r="BF143" s="373">
        <f ca="1">(Geometria!$L$298-(Geometria!$L$298-IF(AV143&lt;Geometria!$L$1409/100,Geometria!$L$1442,Geometria!$L$1460))*(1-(MIN(MIN(1,MAX(0,(AV143-Geometria!$L$1409/100)/(Geometria!$N$1307/100))),MIN(1,MAX(0,((Geometria!$L$29/100-AV143)-Geometria!$R$1409/100)/(Geometria!$N$1307/100))))))*(IF(OR(Geometria!$K$1409&gt;0,Geometria!$K$1407&gt;0,Geometria!$Q$1409&gt;0,Geometria!$Q$1407&gt;0),1,0))-(Geometria!$L$298-IF(AV143&lt;Geometria!$L$1405/100,Geometria!$L$1444,Geometria!$L$1462))*(1-(MIN(MIN(1,MAX(0,(AV143-Geometria!$L$1405/100)/(Geometria!$N$1307/100))),MIN(1,MAX(0,((Geometria!$L$29/100-AV143)-Geometria!$R$1405/100)/(Geometria!$N$1307/100))))))*(IF(OR(Geometria!$K$1405&gt;0,Geometria!$K$1403&gt;0,Geometria!$Q$1405&gt;0,Geometria!$Q$1403&gt;0),1,0)))*BB143+Geometria!$P$1429*BB120</f>
        <v>193.1579859646002</v>
      </c>
      <c r="BG143" s="373">
        <f ca="1">(Geometria!$L$298-(Geometria!$L$298-IF(AV143&lt;Geometria!$L$1409/100,Geometria!$L$1442,Geometria!$L$1460))*(1-(MIN(MIN(1,MAX(0,(AV143-Geometria!$L$1409/100)/(Geometria!$N$1307/100))),MIN(1,MAX(0,((Geometria!$L$29/100-AV143)-Geometria!$R$1409/100)/(Geometria!$N$1307/100))))))*(IF(OR(Geometria!$K$1409&gt;0,Geometria!$K$1407&gt;0,Geometria!$Q$1409&gt;0,Geometria!$Q$1407&gt;0),1,0))-(Geometria!$L$298-IF(AV143&lt;Geometria!$L$1405/100,Geometria!$L$1444,Geometria!$L$1462))*(1-(MIN(MIN(1,MAX(0,(AV143-Geometria!$L$1405/100)/(Geometria!$N$1307/100))),MIN(1,MAX(0,((Geometria!$L$29/100-AV143)-Geometria!$R$1405/100)/(Geometria!$N$1307/100))))))*(IF(OR(Geometria!$K$1405&gt;0,Geometria!$K$1403&gt;0,Geometria!$Q$1405&gt;0,Geometria!$Q$1403&gt;0),1,0)))*BB143*(Geometria!$L$299-(Geometria!$L$299-IF(AV143&lt;Geometria!$L$1409/100,Geometria!$L$1443,Geometria!$L$1461))*(1-(MIN(MIN(1,MAX(0,(AV143-Geometria!$L$1409/100)/(Geometria!$N$1307/100))),MIN(1,MAX(0,((Geometria!$L$29/100-AV143)-Geometria!$R$1409/100)/(Geometria!$N$1307/100))))))*(IF(OR(Geometria!$K$1409&gt;0,Geometria!$K$1407&gt;0,Geometria!$Q$1409&gt;0,Geometria!$Q$1407&gt;0),1,0))-(Geometria!$L$299-IF(AV143&lt;Geometria!$L$1405/100,Geometria!$L$1445,Geometria!$L$1463))*(1-(MIN(MIN(1,MAX(0,(AV143-Geometria!$L$1405/100)/(Geometria!$N$1307/100))),MIN(1,MAX(0,((Geometria!$L$29/100-AV143)-Geometria!$R$1405/100)/(Geometria!$N$1307/100))))))*(IF(OR(Geometria!$K$1405&gt;0,Geometria!$K$1403&gt;0,Geometria!$Q$1405&gt;0,Geometria!$Q$1403&gt;0),1,0)))/100-Geometria!$P$1429*BB120*Geometria!$L$1438/100</f>
        <v>55.05002599991105</v>
      </c>
      <c r="BH143" s="365"/>
      <c r="BI143" s="371">
        <f ca="1">(IF(AW143="Sim",IF(AU143="Sim",$E$93,EX143),IF(AU143="Sim",EZ143,Geometria!$L$906)))</f>
        <v>749.9028001915608</v>
      </c>
      <c r="BJ143" s="371">
        <f ca="1">(IF(AW143="Sim",IF(AU143="Sim",$E$94,EY143),IF(AU143="Sim",FA143,Geometria!$L$907)))</f>
        <v>213.72229805459483</v>
      </c>
      <c r="BL143" s="4" t="s">
        <v>448</v>
      </c>
      <c r="BM143" s="204">
        <f t="shared" ca="1" si="40"/>
        <v>1622.3897589662758</v>
      </c>
      <c r="BN143" s="38" t="s">
        <v>234</v>
      </c>
      <c r="BO143" s="205">
        <f t="shared" ca="1" si="29"/>
        <v>1.622389758966276</v>
      </c>
      <c r="BP143" s="38" t="s">
        <v>160</v>
      </c>
      <c r="BQ143" s="399">
        <f t="shared" si="41"/>
        <v>0.0</v>
      </c>
      <c r="BR143" s="376" t="str">
        <f>IF(OR(AND(BS143&lt;Geometria!$L$1405/100,Geometria!$K$1405&gt;0),AND((Geometria!$L$29/100-BS143)&lt;Geometria!$R$1405/100,Geometria!$Q$1405&gt;0)),"Sim","Não")</f>
        <v>Sim</v>
      </c>
      <c r="BS143" s="395">
        <f t="shared" si="30"/>
        <v>7.4575000000000005</v>
      </c>
      <c r="BT143" s="376" t="str">
        <f>IF(OR(AND(BS143&lt;Geometria!$L$1409/100,OR(Geometria!$K$1409&gt;0,Geometria!$K$1407&gt;0)),AND((Geometria!$L$29/100-BS143)&lt;Geometria!$R$1409/100,OR(Geometria!$Q$1409&gt;0,Geometria!$Q$1407&gt;0))),"Sim","Não")</f>
        <v>Não</v>
      </c>
      <c r="BU143" s="122" t="s">
        <v>448</v>
      </c>
      <c r="BV143" s="198" t="str">
        <f ca="1">BV125</f>
        <v>Reduzir</v>
      </c>
      <c r="BW143" s="401">
        <f t="shared" ca="1" si="31"/>
        <v>1622.3897589662758</v>
      </c>
      <c r="BX143" s="404">
        <f ca="1">-(CC143/(Geometria!$L$48/100^2))-(CD143/(Geometria!$L$53/100^3))+((Geometria!$N$422)/(Geometria!$L$53/100^3))+((Geometria!$N$433)/(Geometria!$M$53/100^3))+((Geometria!$L$76*Geometria!$N$444)/(Geometria!$M$53/100^3))</f>
        <v>1622.3897589662758</v>
      </c>
      <c r="BY143" s="415">
        <f ca="1">BY125</f>
        <v>34.492497493678606</v>
      </c>
      <c r="BZ143" s="751">
        <f ca="1">-((Geometria!$L$373-(Geometria!$L$373-ER143)*(1-(MIN(MIN(1,MAX(0,(BS143-Geometria!$L$1409/100)/(Geometria!$N$1307/100))),MIN(1,MAX(0,((Geometria!$L$29/100-BS143)-Geometria!$R$1409/100)/(Geometria!$N$1307/100))))))*(IF(OR(Geometria!$K$1409&gt;0,Geometria!$K$1407&gt;0,Geometria!$Q$1409&gt;0,Geometria!$Q$1407&gt;0),1,0))-(Geometria!$L$373-ET143)*(1-(MIN(MIN(1,MAX(0,(BS143-Geometria!$L$1405/100)/(Geometria!$N$1307/100))),MIN(1,MAX(0,((Geometria!$L$29/100-BS143)-Geometria!$R$1405/100)/(Geometria!$N$1307/100))))))*(IF(OR(Geometria!$K$1405&gt;0,Geometria!$K$1403&gt;0,Geometria!$Q$1405&gt;0,Geometria!$Q$1403&gt;0),1,0))))/(Geometria!$L$48/100^2)-((Geometria!$L$374-(Geometria!$L$374-ES143)*(1-(MIN(MIN(1,MAX(0,(BS143-Geometria!$L$1409/100)/(Geometria!$N$1307/100))),MIN(1,MAX(0,((Geometria!$L$29/100-BS143)-Geometria!$R$1409/100)/(Geometria!$N$1307/100))))))*(IF(OR(Geometria!$K$1409&gt;0,Geometria!$K$1407&gt;0,Geometria!$Q$1409&gt;0,Geometria!$Q$1407&gt;0),1,0))-(Geometria!$L$374-EU143)*(1-(MIN(MIN(1,MAX(0,(BS143-Geometria!$L$1405/100)/(Geometria!$N$1307/100))),MIN(1,MAX(0,((Geometria!$L$29/100-BS143)-Geometria!$R$1405/100)/(Geometria!$N$1307/100))))))*(IF(OR(Geometria!$K$1405&gt;0,Geometria!$K$1403&gt;0,Geometria!$Q$1405&gt;0,Geometria!$Q$1403&gt;0),1,0))))/(Geometria!$L$53/100^3)+((Geometria!$N$679)/(Geometria!$L$53/100^3))+((Geometria!$N$690)/(Geometria!$M$53/100^3))+((Geometria!$L$77*Geometria!$N$701)/(Geometria!$M$53/100^3))</f>
        <v>-8389.678888388513</v>
      </c>
      <c r="CA143" s="751"/>
      <c r="CC143" s="373">
        <f ca="1">(Geometria!$L$298-(Geometria!$L$298-IF(BS143&lt;Geometria!$L$1409/100,Geometria!$L$1442,Geometria!$L$1460))*(1-(MIN(MIN(1,MAX(0,(BS143-Geometria!$L$1409/100)/(Geometria!$N$1307/100))),MIN(1,MAX(0,((Geometria!$L$29/100-BS143)-Geometria!$R$1409/100)/(Geometria!$N$1307/100))))))*(IF(OR(Geometria!$K$1409&gt;0,Geometria!$K$1407&gt;0,Geometria!$Q$1409&gt;0,Geometria!$Q$1407&gt;0),1,0))-(Geometria!$L$298-IF(BS143&lt;Geometria!$L$1405/100,Geometria!$L$1444,Geometria!$L$1462))*(1-(MIN(MIN(1,MAX(0,(BS143-Geometria!$L$1405/100)/(Geometria!$N$1307/100))),MIN(1,MAX(0,((Geometria!$L$29/100-BS143)-Geometria!$R$1405/100)/(Geometria!$N$1307/100))))))*(IF(OR(Geometria!$K$1405&gt;0,Geometria!$K$1403&gt;0,Geometria!$Q$1405&gt;0,Geometria!$Q$1403&gt;0),1,0)))*BY143+Geometria!$P$1429*BY120</f>
        <v>193.1579859646002</v>
      </c>
      <c r="CD143" s="373">
        <f ca="1">(Geometria!$L$298-(Geometria!$L$298-IF(BS143&lt;Geometria!$L$1409/100,Geometria!$L$1442,Geometria!$L$1460))*(1-(MIN(MIN(1,MAX(0,(BS143-Geometria!$L$1409/100)/(Geometria!$N$1307/100))),MIN(1,MAX(0,((Geometria!$L$29/100-BS143)-Geometria!$R$1409/100)/(Geometria!$N$1307/100))))))*(IF(OR(Geometria!$K$1409&gt;0,Geometria!$K$1407&gt;0,Geometria!$Q$1409&gt;0,Geometria!$Q$1407&gt;0),1,0))-(Geometria!$L$298-IF(BS143&lt;Geometria!$L$1405/100,Geometria!$L$1444,Geometria!$L$1462))*(1-(MIN(MIN(1,MAX(0,(BS143-Geometria!$L$1405/100)/(Geometria!$N$1307/100))),MIN(1,MAX(0,((Geometria!$L$29/100-BS143)-Geometria!$R$1405/100)/(Geometria!$N$1307/100))))))*(IF(OR(Geometria!$K$1405&gt;0,Geometria!$K$1403&gt;0,Geometria!$Q$1405&gt;0,Geometria!$Q$1403&gt;0),1,0)))*BY143*(Geometria!$L$299-(Geometria!$L$299-IF(BS143&lt;Geometria!$L$1409/100,Geometria!$L$1443,Geometria!$L$1461))*(1-(MIN(MIN(1,MAX(0,(BS143-Geometria!$L$1409/100)/(Geometria!$N$1307/100))),MIN(1,MAX(0,((Geometria!$L$29/100-BS143)-Geometria!$R$1409/100)/(Geometria!$N$1307/100))))))*(IF(OR(Geometria!$K$1409&gt;0,Geometria!$K$1407&gt;0,Geometria!$Q$1409&gt;0,Geometria!$Q$1407&gt;0),1,0))-(Geometria!$L$299-IF(BS143&lt;Geometria!$L$1405/100,Geometria!$L$1445,Geometria!$L$1463))*(1-(MIN(MIN(1,MAX(0,(BS143-Geometria!$L$1405/100)/(Geometria!$N$1307/100))),MIN(1,MAX(0,((Geometria!$L$29/100-BS143)-Geometria!$R$1405/100)/(Geometria!$N$1307/100))))))*(IF(OR(Geometria!$K$1405&gt;0,Geometria!$K$1403&gt;0,Geometria!$Q$1405&gt;0,Geometria!$Q$1403&gt;0),1,0)))/100-Geometria!$P$1429*BY120*Geometria!$L$1438/100</f>
        <v>55.05002599991105</v>
      </c>
      <c r="CE143" s="365"/>
      <c r="CF143" s="371">
        <f ca="1">(IF(BT143="Sim",IF(BR143="Sim",$E$93,EX143),IF(BR143="Sim",EZ143,Geometria!$L$906)))</f>
        <v>749.9028001915608</v>
      </c>
      <c r="CG143" s="371">
        <f ca="1">(IF(BT143="Sim",IF(BR143="Sim",$E$94,EY143),IF(BR143="Sim",FA143,Geometria!$L$907)))</f>
        <v>213.72229805459483</v>
      </c>
      <c r="CI143" s="4" t="s">
        <v>448</v>
      </c>
      <c r="CJ143" s="204">
        <f t="shared" ca="1" si="42"/>
        <v>1622.3897589662758</v>
      </c>
      <c r="CK143" s="38" t="s">
        <v>234</v>
      </c>
      <c r="CL143" s="205">
        <f t="shared" ca="1" si="32"/>
        <v>1.622389758966276</v>
      </c>
      <c r="CM143" s="38" t="s">
        <v>160</v>
      </c>
      <c r="CN143" s="399">
        <f t="shared" si="43"/>
        <v>0.0</v>
      </c>
      <c r="CO143" s="376" t="str">
        <f>IF(OR(AND(CP143&lt;Geometria!$L$1405/100,Geometria!$K$1405&gt;0),AND((Geometria!$L$29/100-CP143)&lt;Geometria!$R$1405/100,Geometria!$Q$1405&gt;0)),"Sim","Não")</f>
        <v>Sim</v>
      </c>
      <c r="CP143" s="395">
        <f t="shared" si="33"/>
        <v>7.4575000000000005</v>
      </c>
      <c r="CQ143" s="376" t="str">
        <f>IF(OR(AND(CP143&lt;Geometria!$L$1409/100,OR(Geometria!$K$1409&gt;0,Geometria!$K$1407&gt;0)),AND((Geometria!$L$29/100-CP143)&lt;Geometria!$R$1409/100,OR(Geometria!$Q$1409&gt;0,Geometria!$Q$1407&gt;0))),"Sim","Não")</f>
        <v>Não</v>
      </c>
      <c r="CR143" s="122" t="s">
        <v>448</v>
      </c>
      <c r="CS143" s="198" t="str">
        <f ca="1">CS125</f>
        <v>Reduzir</v>
      </c>
      <c r="CT143" s="401">
        <f t="shared" ca="1" si="34"/>
        <v>1622.3897589662758</v>
      </c>
      <c r="CU143" s="404">
        <f ca="1">-(CZ143/(Geometria!$L$48/100^2))-(DA143/(Geometria!$L$53/100^3))+((Geometria!$N$422)/(Geometria!$L$53/100^3))+((Geometria!$N$433)/(Geometria!$M$53/100^3))+((Geometria!$L$76*Geometria!$N$444)/(Geometria!$M$53/100^3))</f>
        <v>1622.3897589662758</v>
      </c>
      <c r="CV143" s="415">
        <f ca="1">CV125</f>
        <v>34.492497493678606</v>
      </c>
      <c r="CW143" s="751">
        <f ca="1">-((Geometria!$L$373-(Geometria!$L$373-ER143)*(1-(MIN(MIN(1,MAX(0,(CP143-Geometria!$L$1409/100)/(Geometria!$N$1307/100))),MIN(1,MAX(0,((Geometria!$L$29/100-CP143)-Geometria!$R$1409/100)/(Geometria!$N$1307/100))))))*(IF(OR(Geometria!$K$1409&gt;0,Geometria!$K$1407&gt;0,Geometria!$Q$1409&gt;0,Geometria!$Q$1407&gt;0),1,0))-(Geometria!$L$373-ET143)*(1-(MIN(MIN(1,MAX(0,(CP143-Geometria!$L$1405/100)/(Geometria!$N$1307/100))),MIN(1,MAX(0,((Geometria!$L$29/100-CP143)-Geometria!$R$1405/100)/(Geometria!$N$1307/100))))))*(IF(OR(Geometria!$K$1405&gt;0,Geometria!$K$1403&gt;0,Geometria!$Q$1405&gt;0,Geometria!$Q$1403&gt;0),1,0))))/(Geometria!$L$48/100^2)-((Geometria!$L$374-(Geometria!$L$374-ES143)*(1-(MIN(MIN(1,MAX(0,(CP143-Geometria!$L$1409/100)/(Geometria!$N$1307/100))),MIN(1,MAX(0,((Geometria!$L$29/100-CP143)-Geometria!$R$1409/100)/(Geometria!$N$1307/100))))))*(IF(OR(Geometria!$K$1409&gt;0,Geometria!$K$1407&gt;0,Geometria!$Q$1409&gt;0,Geometria!$Q$1407&gt;0),1,0))-(Geometria!$L$374-EU143)*(1-(MIN(MIN(1,MAX(0,(CP143-Geometria!$L$1405/100)/(Geometria!$N$1307/100))),MIN(1,MAX(0,((Geometria!$L$29/100-CP143)-Geometria!$R$1405/100)/(Geometria!$N$1307/100))))))*(IF(OR(Geometria!$K$1405&gt;0,Geometria!$K$1403&gt;0,Geometria!$Q$1405&gt;0,Geometria!$Q$1403&gt;0),1,0))))/(Geometria!$L$53/100^3)+((Geometria!$N$679)/(Geometria!$L$53/100^3))+((Geometria!$N$690)/(Geometria!$M$53/100^3))</f>
        <v>-10078.32698326259</v>
      </c>
      <c r="CX143" s="751"/>
      <c r="CZ143" s="373">
        <f ca="1">(IF(CQ143="Sim",IF(CO143="Sim",IF(CP143&lt;Geometria!$L$1405/100,Geometria!$L$1435,Geometria!$L$1476),IF(CP143&lt;Geometria!$L$1409/100,Geometria!$L$1442,Geometria!$L$1460)),IF(CO143="Sim",IF(CP143&lt;Geometria!$L$1405/100,Geometria!$L$1444,Geometria!$L$1462),Geometria!$L$298)))*CV143+Geometria!$P$1429*CV120</f>
        <v>193.1579859646002</v>
      </c>
      <c r="DA143" s="373">
        <f ca="1">(IF(CQ143="Sim",IF(CO143="Sim",IF(CP143&lt;Geometria!$L$1405/100,Geometria!$L$1435,Geometria!$L$1476),IF(CP143&lt;Geometria!$L$1409/100,Geometria!$L$1442,Geometria!$L$1460)),IF(CO143="Sim",IF(CP143&lt;Geometria!$L$1405/100,Geometria!$L$1444,Geometria!$L$1462),Geometria!$L$298)))*CV143*(IF(CQ143="Sim",IF(CO143="Sim",IF(CP143&lt;Geometria!$L$1405/100,Geometria!$L$1436,Geometria!$L$1484),IF(CP143&lt;Geometria!$L$1409/100,Geometria!$L$1443,Geometria!$L$1461)),IF(CO143="Sim",IF(CP143&lt;Geometria!$L$1405/100,Geometria!$L$1445,Geometria!$L$1463),Geometria!$L$299)))/100-Geometria!$P$1429*CV120*Geometria!$L$1438/100</f>
        <v>55.05002599991105</v>
      </c>
      <c r="DB143" s="365"/>
      <c r="DC143" s="371">
        <f ca="1">(IF(CQ143="Sim",IF(CO143="Sim",$E$93,EX143),IF(CO143="Sim",EZ143,Geometria!$L$906)))</f>
        <v>749.9028001915608</v>
      </c>
      <c r="DD143" s="371">
        <f ca="1">(IF(CQ143="Sim",IF(CO143="Sim",$E$94,EY143),IF(CO143="Sim",FA143,Geometria!$L$907)))</f>
        <v>213.72229805459483</v>
      </c>
      <c r="DF143" s="4" t="s">
        <v>448</v>
      </c>
      <c r="DG143" s="204">
        <f t="shared" ca="1" si="44"/>
        <v>1622.3897589662758</v>
      </c>
      <c r="DH143" s="38" t="s">
        <v>234</v>
      </c>
      <c r="DI143" s="205">
        <f t="shared" ca="1" si="35"/>
        <v>1.622389758966276</v>
      </c>
      <c r="DJ143" s="38" t="s">
        <v>160</v>
      </c>
      <c r="DK143" s="399">
        <f t="shared" si="45"/>
        <v>0.0</v>
      </c>
      <c r="EA143">
        <f ca="1">-L143/('Aberturas na Alma'!$M$112/100^2)-M143/('Aberturas na Alma'!$M$120/100^3)+Geometria!$L$898/('Aberturas na Alma'!$M$120/100^3)</f>
        <v>-4886.122322067621</v>
      </c>
      <c r="EB143">
        <f ca="1">-(IF(C143="Sim",IF(A143="Sim",$E$93,EX143),IF(A143="Sim",EZ143,Geometria!$L$906)))/('Aberturas na Alma'!$M$112/100^2)-(IF(C143="Sim",IF(A143="Sim",$E$94,EY143),IF(A143="Sim",FA143,Geometria!$L$907)))/('Aberturas na Alma'!$M$120/100^3)+Geometria!$L$898/('Aberturas na Alma'!$M$120/100^3)</f>
        <v>-16970.20104531969</v>
      </c>
      <c r="EC143">
        <f ca="1">IF(AND('Aberturas na Alma'!$M$18="NÃO DISPENSADO — furo deve ser verificado (cálculo abaixo)",OR(AND(B143&gt;=('Aberturas na Alma'!$M$4-'Aberturas na Alma'!$M$7/2)/100,B143&lt;=('Aberturas na Alma'!$M$4+'Aberturas na Alma'!$M$7/2)/100),ABS(B143-'Aberturas na Alma'!$M$4/100)&lt;=Geometria!$L$29/4000)),IF(E143="Reduzir",EA143,EB143),F143)</f>
        <v>-4468.751763099462</v>
      </c>
      <c r="ED143">
        <f ca="1">-(AI143/('Aberturas na Alma'!$M$112/100^2))-(AJ143/('Aberturas na Alma'!$M$120/100^3))+((Geometria!$N$422)/('Aberturas na Alma'!$M$120/100^3))+((Geometria!$N$433)/('Aberturas na Alma'!$M$120/100^3))+((Geometria!$L$76*Geometria!$N$444)/('Aberturas na Alma'!$M$120/100^3))</f>
        <v>6140.300763367812</v>
      </c>
      <c r="EE143">
        <f ca="1">-((IF(Z143="Sim",IF(X143="Sim",$AB$93,ER143),IF(X143="Sim",ET143,Geometria!$L$373)))/('Aberturas na Alma'!$M$112/100^2))-((IF(Z143="Sim",IF(X143="Sim",$AB$94,ES143),IF(X143="Sim",EU143,Geometria!$L$374)))/('Aberturas na Alma'!$M$120/100^3))+((Geometria!$N$422)/('Aberturas na Alma'!$M$120/100^3))+((Geometria!$N$433)/('Aberturas na Alma'!$M$120/100^3))+((Geometria!$L$76*Geometria!$N$444)/('Aberturas na Alma'!$M$120/100^3))</f>
        <v>-3806.2788882825116</v>
      </c>
      <c r="EF143" s="371">
        <f ca="1">IF(AND('Aberturas na Alma'!$M$18="NÃO DISPENSADO — furo deve ser verificado (cálculo abaixo)",OR(AND(B143&gt;=('Aberturas na Alma'!$M$4-'Aberturas na Alma'!$M$7/2)/100,B143&lt;=('Aberturas na Alma'!$M$4+'Aberturas na Alma'!$M$7/2)/100),ABS(B143-'Aberturas na Alma'!$M$4/100)&lt;=Geometria!$L$29/4000)),IF(AB143="Reduzir",ED143,EE143),AC143)</f>
        <v>1622.3897589662758</v>
      </c>
      <c r="EG143">
        <f ca="1">-(BF143/('Aberturas na Alma'!$M$112/100^2))-(BG143/('Aberturas na Alma'!$M$120/100^3))+((Geometria!$N$422)/('Aberturas na Alma'!$M$120/100^3))+((Geometria!$N$433)/('Aberturas na Alma'!$M$120/100^3))+((Geometria!$L$76*Geometria!$N$444)/('Aberturas na Alma'!$M$120/100^3))</f>
        <v>6140.300763367812</v>
      </c>
      <c r="EH143">
        <f ca="1">-((IF(AW143="Sim",IF(AU143="Sim",$AB$93,ER143),IF(AU143="Sim",ET143,Geometria!$L$373)))/('Aberturas na Alma'!$M$112/100^2))-((IF(AW143="Sim",IF(AU143="Sim",$AB$94,ES143),IF(AU143="Sim",EU143,Geometria!$L$374)))/('Aberturas na Alma'!$M$120/100^3))+((Geometria!$N$422)/('Aberturas na Alma'!$M$120/100^3))+((Geometria!$N$433)/('Aberturas na Alma'!$M$120/100^3))</f>
        <v>-10910.123250246023</v>
      </c>
      <c r="EI143" s="371">
        <f ca="1">IF(AND('Aberturas na Alma'!$M$18="NÃO DISPENSADO — furo deve ser verificado (cálculo abaixo)",OR(AND(B143&gt;=('Aberturas na Alma'!$M$4-'Aberturas na Alma'!$M$7/2)/100,B143&lt;=('Aberturas na Alma'!$M$4+'Aberturas na Alma'!$M$7/2)/100),ABS(B143-'Aberturas na Alma'!$M$4/100)&lt;=Geometria!$L$29/4000)),IF(AY143="Reduzir",EG143,EH143),AZ143)</f>
        <v>1622.3897589662758</v>
      </c>
      <c r="EJ143">
        <f ca="1">-(CC143/('Aberturas na Alma'!$M$112/100^2))-(CD143/('Aberturas na Alma'!$M$120/100^3))+((Geometria!$N$422)/('Aberturas na Alma'!$M$120/100^3))+((Geometria!$N$433)/('Aberturas na Alma'!$M$120/100^3))+((Geometria!$L$76*Geometria!$N$444)/('Aberturas na Alma'!$M$120/100^3))</f>
        <v>6140.300763367812</v>
      </c>
      <c r="EK143">
        <f ca="1">-((IF(BT143="Sim",IF(BR143="Sim",$AB$93,ER143),IF(BR143="Sim",ET143,Geometria!$L$373)))/('Aberturas na Alma'!$M$112/100^2))-((IF(BT143="Sim",IF(BR143="Sim",$AB$94,ES143),IF(BR143="Sim",EU143,Geometria!$L$374)))/('Aberturas na Alma'!$M$120/100^3))+((Geometria!$N$679)/('Aberturas na Alma'!$M$120/100^3))+((Geometria!$N$690)/('Aberturas na Alma'!$M$120/100^3))+((Geometria!$L$77*Geometria!$N$701)/('Aberturas na Alma'!$M$120/100^3))</f>
        <v>-6174.227008937015</v>
      </c>
      <c r="EL143" s="371">
        <f ca="1">IF(AND('Aberturas na Alma'!$M$18="NÃO DISPENSADO — furo deve ser verificado (cálculo abaixo)",OR(AND(B143&gt;=('Aberturas na Alma'!$M$4-'Aberturas na Alma'!$M$7/2)/100,B143&lt;=('Aberturas na Alma'!$M$4+'Aberturas na Alma'!$M$7/2)/100),ABS(B143-'Aberturas na Alma'!$M$4/100)&lt;=Geometria!$L$29/4000)),IF(BV143="Reduzir",EJ143,EK143),BW143)</f>
        <v>1622.3897589662758</v>
      </c>
      <c r="EM143">
        <f ca="1">-(CZ143/('Aberturas na Alma'!$M$112/100^2))-(DA143/('Aberturas na Alma'!$M$120/100^3))+((Geometria!$N$422)/('Aberturas na Alma'!$M$120/100^3))+((Geometria!$N$433)/('Aberturas na Alma'!$M$120/100^3))+((Geometria!$L$76*Geometria!$N$444)/('Aberturas na Alma'!$M$120/100^3))</f>
        <v>6140.300763367812</v>
      </c>
      <c r="EN143">
        <f ca="1">-((IF(CQ143="Sim",IF(CO143="Sim",$AB$93,ER143),IF(CO143="Sim",ET143,Geometria!$L$373)))/('Aberturas na Alma'!$M$112/100^2))-((IF(CQ143="Sim",IF(CO143="Sim",$AB$94,ES143),IF(CO143="Sim",EU143,Geometria!$L$374)))/('Aberturas na Alma'!$M$120/100^3))+((Geometria!$N$679)/('Aberturas na Alma'!$M$120/100^3))+((Geometria!$N$690)/('Aberturas na Alma'!$M$120/100^3))</f>
        <v>-10910.123250246023</v>
      </c>
      <c r="EO143" s="371">
        <f ca="1">IF(AND('Aberturas na Alma'!$M$18="NÃO DISPENSADO — furo deve ser verificado (cálculo abaixo)",OR(AND(B143&gt;=('Aberturas na Alma'!$M$4-'Aberturas na Alma'!$M$7/2)/100,B143&lt;=('Aberturas na Alma'!$M$4+'Aberturas na Alma'!$M$7/2)/100),ABS(B143-'Aberturas na Alma'!$M$4/100)&lt;=Geometria!$L$29/4000)),IF(CS143="Reduzir",EM143,EN143),CT143)</f>
        <v>1622.3897589662758</v>
      </c>
      <c r="EP143" t="str">
        <f>IF(AND(Y143&lt;Geometria!$L$1409/100,OR(Geometria!$K$1409&gt;0,Geometria!$K$1407&gt;0)),"ESQ",IF(AND((Geometria!$L$29/100-Y143)&lt;Geometria!$R$1409/100,OR(Geometria!$Q$1409&gt;0,Geometria!$Q$1407&gt;0)),"DIR","N/A"))</f>
        <v>N/A</v>
      </c>
      <c r="EQ143" t="str">
        <f>IF(AND(Y143&lt;Geometria!$L$1405/100,Geometria!$K$1405&gt;0),"ESQ",IF(AND((Geometria!$L$29/100-Y143)&lt;Geometria!$R$1405/100,Geometria!$Q$1405&gt;0),"DIR","N/A"))</f>
        <v>DIR</v>
      </c>
      <c r="ER143">
        <f ca="1">IF(EP143="DIR",Geometria!$L$1470,Geometria!$L$1452)</f>
        <v>1243.5596228306003</v>
      </c>
      <c r="ES143">
        <f ca="1">IF(EP143="DIR",Geometria!$L$1471,Geometria!$L$1453)</f>
        <v>233.16742928073757</v>
      </c>
      <c r="ET143">
        <f ca="1">IF(EQ143="DIR",Geometria!$L$1472,Geometria!$L$1454)</f>
        <v>621.7798114153002</v>
      </c>
      <c r="EU143">
        <f ca="1">IF(EQ143="DIR",Geometria!$L$1473,Geometria!$L$1455)</f>
        <v>177.20724625336052</v>
      </c>
      <c r="EV143" t="str">
        <f>IF(AND(B143&lt;Geometria!$L$1409/100,OR(Geometria!$K$1409&gt;0,Geometria!$K$1407&gt;0)),"ESQ",IF(AND((Geometria!$L$29/100-B143)&lt;Geometria!$R$1409/100,OR(Geometria!$Q$1409&gt;0,Geometria!$Q$1407&gt;0)),"DIR","N/A"))</f>
        <v>N/A</v>
      </c>
      <c r="EW143" t="str">
        <f>IF(AND(B143&lt;Geometria!$L$1405/100,Geometria!$K$1405&gt;0),"ESQ",IF(AND((Geometria!$L$29/100-B143)&lt;Geometria!$R$1405/100,Geometria!$Q$1405&gt;0),"DIR","N/A"))</f>
        <v>DIR</v>
      </c>
      <c r="EX143">
        <f ca="1">IF(EV143="DIR",Geometria!$L$1465,Geometria!$L$1447)</f>
        <v>1499.8056003831216</v>
      </c>
      <c r="EY143">
        <f ca="1">IF(EV143="DIR",Geometria!$L$1466,Geometria!$L$1448)</f>
        <v>281.2135500718353</v>
      </c>
      <c r="EZ143">
        <f ca="1">IF(EW143="DIR",Geometria!$L$1467,Geometria!$L$1449)</f>
        <v>749.9028001915608</v>
      </c>
      <c r="FA143">
        <f ca="1">IF(EW143="DIR",Geometria!$L$1468,Geometria!$L$1450)</f>
        <v>213.72229805459483</v>
      </c>
    </row>
    <row r="144" spans="1:157" x14ac:dyDescent="0.25">
      <c r="A144" s="376" t="str">
        <f>IF(OR(AND(B144&lt;Geometria!$L$1405/100,Geometria!$K$1405&gt;0),AND((Geometria!$L$29/100-B144)&lt;Geometria!$R$1405/100,Geometria!$Q$1405&gt;0)),"Sim","Não")</f>
        <v>Sim</v>
      </c>
      <c r="B144" s="395">
        <f t="shared" si="21"/>
        <v>7.8500000000000005</v>
      </c>
      <c r="C144" s="376" t="str">
        <f>IF(OR(AND(B144&lt;Geometria!$L$1409/100,OR(Geometria!$K$1409&gt;0,Geometria!$K$1407&gt;0)),AND((Geometria!$L$29/100-B144)&lt;Geometria!$R$1409/100,OR(Geometria!$Q$1409&gt;0,Geometria!$Q$1407&gt;0))),"Sim","Não")</f>
        <v>Não</v>
      </c>
      <c r="D144" s="405" t="s">
        <v>449</v>
      </c>
      <c r="E144" s="198" t="str">
        <f ca="1">E124</f>
        <v>Reduzir</v>
      </c>
      <c r="F144" s="406">
        <v>0</v>
      </c>
      <c r="G144" s="407">
        <v>0</v>
      </c>
      <c r="H144" s="408">
        <v>0</v>
      </c>
      <c r="I144" s="744">
        <v>0</v>
      </c>
      <c r="J144" s="744"/>
      <c r="N144" s="365"/>
      <c r="R144" s="32" t="s">
        <v>449</v>
      </c>
      <c r="S144" s="206">
        <v>0</v>
      </c>
      <c r="T144" s="207" t="s">
        <v>234</v>
      </c>
      <c r="U144" s="208">
        <v>0</v>
      </c>
      <c r="V144" s="207" t="s">
        <v>160</v>
      </c>
      <c r="W144" s="409">
        <f t="shared" si="37"/>
        <v>0.0</v>
      </c>
      <c r="X144" s="376" t="str">
        <f>IF(OR(AND(Y144&lt;Geometria!$L$1405/100,Geometria!$K$1405&gt;0),AND((Geometria!$L$29/100-Y144)&lt;Geometria!$R$1405/100,Geometria!$Q$1405&gt;0)),"Sim","Não")</f>
        <v>Sim</v>
      </c>
      <c r="Y144" s="395">
        <f t="shared" si="24"/>
        <v>7.8500000000000005</v>
      </c>
      <c r="Z144" s="376" t="str">
        <f>IF(OR(AND(Y144&lt;Geometria!$L$1409/100,OR(Geometria!$K$1409&gt;0,Geometria!$K$1407&gt;0)),AND((Geometria!$L$29/100-Y144)&lt;Geometria!$R$1409/100,OR(Geometria!$Q$1409&gt;0,Geometria!$Q$1407&gt;0))),"Sim","Não")</f>
        <v>Não</v>
      </c>
      <c r="AA144" s="405" t="s">
        <v>449</v>
      </c>
      <c r="AB144" s="198" t="str">
        <f ca="1">AB124</f>
        <v>Reduzir</v>
      </c>
      <c r="AC144" s="406">
        <v>0</v>
      </c>
      <c r="AD144" s="407">
        <v>0</v>
      </c>
      <c r="AE144" s="408">
        <v>0</v>
      </c>
      <c r="AF144" s="744">
        <v>0</v>
      </c>
      <c r="AG144" s="744"/>
      <c r="AK144" s="365"/>
      <c r="AO144" s="32" t="s">
        <v>449</v>
      </c>
      <c r="AP144" s="206">
        <v>0</v>
      </c>
      <c r="AQ144" s="207" t="s">
        <v>234</v>
      </c>
      <c r="AR144" s="208">
        <v>0</v>
      </c>
      <c r="AS144" s="207" t="s">
        <v>160</v>
      </c>
      <c r="AT144" s="409">
        <f t="shared" si="39"/>
        <v>0.0</v>
      </c>
      <c r="AU144" s="376" t="str">
        <f>IF(OR(AND(AV144&lt;Geometria!$L$1405/100,Geometria!$K$1405&gt;0),AND((Geometria!$L$29/100-AV144)&lt;Geometria!$R$1405/100,Geometria!$Q$1405&gt;0)),"Sim","Não")</f>
        <v>Sim</v>
      </c>
      <c r="AV144" s="395">
        <f t="shared" si="27"/>
        <v>7.8500000000000005</v>
      </c>
      <c r="AW144" s="376" t="str">
        <f>IF(OR(AND(AV144&lt;Geometria!$L$1409/100,OR(Geometria!$K$1409&gt;0,Geometria!$K$1407&gt;0)),AND((Geometria!$L$29/100-AV144)&lt;Geometria!$R$1409/100,OR(Geometria!$Q$1409&gt;0,Geometria!$Q$1407&gt;0))),"Sim","Não")</f>
        <v>Não</v>
      </c>
      <c r="AX144" s="405" t="s">
        <v>449</v>
      </c>
      <c r="AY144" s="198" t="str">
        <f ca="1">AY124</f>
        <v>Reduzir</v>
      </c>
      <c r="AZ144" s="406">
        <v>0</v>
      </c>
      <c r="BA144" s="416">
        <v>0</v>
      </c>
      <c r="BB144" s="417">
        <v>0</v>
      </c>
      <c r="BC144" s="748">
        <v>0</v>
      </c>
      <c r="BD144" s="748"/>
      <c r="BH144" s="365"/>
      <c r="BL144" s="32" t="s">
        <v>449</v>
      </c>
      <c r="BM144" s="206">
        <v>0</v>
      </c>
      <c r="BN144" s="207" t="s">
        <v>234</v>
      </c>
      <c r="BO144" s="208">
        <v>0</v>
      </c>
      <c r="BP144" s="207" t="s">
        <v>160</v>
      </c>
      <c r="BQ144" s="409">
        <f t="shared" si="41"/>
        <v>0.0</v>
      </c>
      <c r="BR144" s="376" t="str">
        <f>IF(OR(AND(BS144&lt;Geometria!$L$1405/100,Geometria!$K$1405&gt;0),AND((Geometria!$L$29/100-BS144)&lt;Geometria!$R$1405/100,Geometria!$Q$1405&gt;0)),"Sim","Não")</f>
        <v>Sim</v>
      </c>
      <c r="BS144" s="395">
        <f t="shared" si="30"/>
        <v>7.8500000000000005</v>
      </c>
      <c r="BT144" s="376" t="str">
        <f>IF(OR(AND(BS144&lt;Geometria!$L$1409/100,OR(Geometria!$K$1409&gt;0,Geometria!$K$1407&gt;0)),AND((Geometria!$L$29/100-BS144)&lt;Geometria!$R$1409/100,OR(Geometria!$Q$1409&gt;0,Geometria!$Q$1407&gt;0))),"Sim","Não")</f>
        <v>Não</v>
      </c>
      <c r="BU144" s="405" t="s">
        <v>449</v>
      </c>
      <c r="BV144" s="198" t="str">
        <f ca="1">BV124</f>
        <v>Reduzir</v>
      </c>
      <c r="BW144" s="406">
        <v>0</v>
      </c>
      <c r="BX144" s="416">
        <v>0</v>
      </c>
      <c r="BY144" s="417">
        <v>0</v>
      </c>
      <c r="BZ144" s="748">
        <v>0</v>
      </c>
      <c r="CA144" s="748"/>
      <c r="CE144" s="365"/>
      <c r="CI144" s="32" t="s">
        <v>449</v>
      </c>
      <c r="CJ144" s="206">
        <v>0</v>
      </c>
      <c r="CK144" s="207" t="s">
        <v>234</v>
      </c>
      <c r="CL144" s="208">
        <v>0</v>
      </c>
      <c r="CM144" s="207" t="s">
        <v>160</v>
      </c>
      <c r="CN144" s="409">
        <f t="shared" si="43"/>
        <v>0.0</v>
      </c>
      <c r="CO144" s="376" t="str">
        <f>IF(OR(AND(CP144&lt;Geometria!$L$1405/100,Geometria!$K$1405&gt;0),AND((Geometria!$L$29/100-CP144)&lt;Geometria!$R$1405/100,Geometria!$Q$1405&gt;0)),"Sim","Não")</f>
        <v>Sim</v>
      </c>
      <c r="CP144" s="395">
        <f t="shared" si="33"/>
        <v>7.8500000000000005</v>
      </c>
      <c r="CQ144" s="376" t="str">
        <f>IF(OR(AND(CP144&lt;Geometria!$L$1409/100,OR(Geometria!$K$1409&gt;0,Geometria!$K$1407&gt;0)),AND((Geometria!$L$29/100-CP144)&lt;Geometria!$R$1409/100,OR(Geometria!$Q$1409&gt;0,Geometria!$Q$1407&gt;0))),"Sim","Não")</f>
        <v>Não</v>
      </c>
      <c r="CR144" s="405" t="s">
        <v>449</v>
      </c>
      <c r="CS144" s="198" t="str">
        <f ca="1">CS124</f>
        <v>Reduzir</v>
      </c>
      <c r="CT144" s="406">
        <v>0</v>
      </c>
      <c r="CU144" s="416">
        <v>0</v>
      </c>
      <c r="CV144" s="417">
        <v>0</v>
      </c>
      <c r="CW144" s="748">
        <v>0</v>
      </c>
      <c r="CX144" s="748"/>
      <c r="DB144" s="365"/>
      <c r="DF144" s="32" t="s">
        <v>449</v>
      </c>
      <c r="DG144" s="206">
        <v>0</v>
      </c>
      <c r="DH144" s="207" t="s">
        <v>234</v>
      </c>
      <c r="DI144" s="208">
        <v>0</v>
      </c>
      <c r="DJ144" s="207" t="s">
        <v>160</v>
      </c>
      <c r="DK144" s="409">
        <f t="shared" si="45"/>
        <v>0.0</v>
      </c>
      <c r="EA144">
        <f>0</f>
        <v>0.0</v>
      </c>
      <c r="EB144">
        <f>0</f>
        <v>0.0</v>
      </c>
      <c r="EC144">
        <f ca="1">IF(AND('Aberturas na Alma'!$M$18="NÃO DISPENSADO — furo deve ser verificado (cálculo abaixo)",OR(AND(B144&gt;=('Aberturas na Alma'!$M$4-'Aberturas na Alma'!$M$7/2)/100,B144&lt;=('Aberturas na Alma'!$M$4+'Aberturas na Alma'!$M$7/2)/100),ABS(B144-'Aberturas na Alma'!$M$4/100)&lt;=Geometria!$L$29/4000)),IF(E144="Reduzir",EA144,EB144),F144)</f>
        <v>0.0</v>
      </c>
      <c r="ED144">
        <f>0</f>
        <v>0.0</v>
      </c>
      <c r="EE144">
        <f>0</f>
        <v>0.0</v>
      </c>
      <c r="EF144">
        <f ca="1">IF(AND('Aberturas na Alma'!$M$18="NÃO DISPENSADO — furo deve ser verificado (cálculo abaixo)",OR(AND(B144&gt;=('Aberturas na Alma'!$M$4-'Aberturas na Alma'!$M$7/2)/100,B144&lt;=('Aberturas na Alma'!$M$4+'Aberturas na Alma'!$M$7/2)/100),ABS(B144-'Aberturas na Alma'!$M$4/100)&lt;=Geometria!$L$29/4000)),IF(AB144="Reduzir",ED144,EE144),AC144)</f>
        <v>0.0</v>
      </c>
      <c r="EG144">
        <f>0</f>
        <v>0.0</v>
      </c>
      <c r="EH144">
        <f>0</f>
        <v>0.0</v>
      </c>
      <c r="EI144">
        <f ca="1">IF(AND('Aberturas na Alma'!$M$18="NÃO DISPENSADO — furo deve ser verificado (cálculo abaixo)",OR(AND(B144&gt;=('Aberturas na Alma'!$M$4-'Aberturas na Alma'!$M$7/2)/100,B144&lt;=('Aberturas na Alma'!$M$4+'Aberturas na Alma'!$M$7/2)/100),ABS(B144-'Aberturas na Alma'!$M$4/100)&lt;=Geometria!$L$29/4000)),IF(AY144="Reduzir",EG144,EH144),AZ144)</f>
        <v>0.0</v>
      </c>
      <c r="EJ144">
        <f>0</f>
        <v>0.0</v>
      </c>
      <c r="EK144">
        <f>0</f>
        <v>0.0</v>
      </c>
      <c r="EL144">
        <f ca="1">IF(AND('Aberturas na Alma'!$M$18="NÃO DISPENSADO — furo deve ser verificado (cálculo abaixo)",OR(AND(B144&gt;=('Aberturas na Alma'!$M$4-'Aberturas na Alma'!$M$7/2)/100,B144&lt;=('Aberturas na Alma'!$M$4+'Aberturas na Alma'!$M$7/2)/100),ABS(B144-'Aberturas na Alma'!$M$4/100)&lt;=Geometria!$L$29/4000)),IF(BV144="Reduzir",EJ144,EK144),BW144)</f>
        <v>0.0</v>
      </c>
      <c r="EM144">
        <f>0</f>
        <v>0.0</v>
      </c>
      <c r="EN144">
        <f>0</f>
        <v>0.0</v>
      </c>
      <c r="EO144">
        <f ca="1">IF(AND('Aberturas na Alma'!$M$18="NÃO DISPENSADO — furo deve ser verificado (cálculo abaixo)",OR(AND(B144&gt;=('Aberturas na Alma'!$M$4-'Aberturas na Alma'!$M$7/2)/100,B144&lt;=('Aberturas na Alma'!$M$4+'Aberturas na Alma'!$M$7/2)/100),ABS(B144-'Aberturas na Alma'!$M$4/100)&lt;=Geometria!$L$29/4000)),IF(CS144="Reduzir",EM144,EN144),CT144)</f>
        <v>0.0</v>
      </c>
      <c r="EP144" t="str">
        <f>IF(AND(Y144&lt;Geometria!$L$1409/100,OR(Geometria!$K$1409&gt;0,Geometria!$K$1407&gt;0)),"ESQ",IF(AND((Geometria!$L$29/100-Y144)&lt;Geometria!$R$1409/100,OR(Geometria!$Q$1409&gt;0,Geometria!$Q$1407&gt;0)),"DIR","N/A"))</f>
        <v>N/A</v>
      </c>
      <c r="EQ144" t="str">
        <f>IF(AND(Y144&lt;Geometria!$L$1405/100,Geometria!$K$1405&gt;0),"ESQ",IF(AND((Geometria!$L$29/100-Y144)&lt;Geometria!$R$1405/100,Geometria!$Q$1405&gt;0),"DIR","N/A"))</f>
        <v>DIR</v>
      </c>
      <c r="ER144">
        <f ca="1">IF(EP144="DIR",Geometria!$L$1470,Geometria!$L$1452)</f>
        <v>1243.5596228306003</v>
      </c>
      <c r="ES144">
        <f ca="1">IF(EP144="DIR",Geometria!$L$1471,Geometria!$L$1453)</f>
        <v>233.16742928073757</v>
      </c>
      <c r="ET144">
        <f ca="1">IF(EQ144="DIR",Geometria!$L$1472,Geometria!$L$1454)</f>
        <v>621.7798114153002</v>
      </c>
      <c r="EU144">
        <f ca="1">IF(EQ144="DIR",Geometria!$L$1473,Geometria!$L$1455)</f>
        <v>177.20724625336052</v>
      </c>
      <c r="EV144" t="str">
        <f>IF(AND(B144&lt;Geometria!$L$1409/100,OR(Geometria!$K$1409&gt;0,Geometria!$K$1407&gt;0)),"ESQ",IF(AND((Geometria!$L$29/100-B144)&lt;Geometria!$R$1409/100,OR(Geometria!$Q$1409&gt;0,Geometria!$Q$1407&gt;0)),"DIR","N/A"))</f>
        <v>N/A</v>
      </c>
      <c r="EW144" t="str">
        <f>IF(AND(B144&lt;Geometria!$L$1405/100,Geometria!$K$1405&gt;0),"ESQ",IF(AND((Geometria!$L$29/100-B144)&lt;Geometria!$R$1405/100,Geometria!$Q$1405&gt;0),"DIR","N/A"))</f>
        <v>DIR</v>
      </c>
      <c r="EX144">
        <f ca="1">IF(EV144="DIR",Geometria!$L$1465,Geometria!$L$1447)</f>
        <v>1499.8056003831216</v>
      </c>
      <c r="EY144">
        <f ca="1">IF(EV144="DIR",Geometria!$L$1466,Geometria!$L$1448)</f>
        <v>281.2135500718353</v>
      </c>
      <c r="EZ144">
        <f ca="1">IF(EW144="DIR",Geometria!$L$1467,Geometria!$L$1449)</f>
        <v>749.9028001915608</v>
      </c>
      <c r="FA144">
        <f ca="1">IF(EW144="DIR",Geometria!$L$1468,Geometria!$L$1450)</f>
        <v>213.72229805459483</v>
      </c>
    </row>
    <row r="148" spans="1:23" ht="15" customHeight="1" x14ac:dyDescent="0.25">
      <c r="B148" s="361"/>
      <c r="C148" s="362"/>
      <c r="D148" s="749" t="s">
        <v>1088</v>
      </c>
      <c r="E148" s="749"/>
      <c r="F148" s="749"/>
      <c r="G148" s="749"/>
      <c r="H148" s="749"/>
      <c r="I148" s="749"/>
      <c r="J148" s="749"/>
      <c r="K148" s="749"/>
      <c r="L148" s="749"/>
      <c r="M148" s="749"/>
      <c r="N148" s="749"/>
    </row>
    <row r="150" spans="1:23" ht="15" customHeight="1" x14ac:dyDescent="0.25">
      <c r="B150" s="364"/>
      <c r="D150" s="364"/>
      <c r="F150" s="750" t="s">
        <v>1062</v>
      </c>
      <c r="G150" s="746" t="s">
        <v>1063</v>
      </c>
      <c r="H150" s="746"/>
      <c r="I150" s="746" t="s">
        <v>1064</v>
      </c>
      <c r="J150" s="746"/>
      <c r="L150" s="747" t="s">
        <v>291</v>
      </c>
      <c r="M150" s="747" t="s">
        <v>295</v>
      </c>
    </row>
    <row r="151" spans="1:23" x14ac:dyDescent="0.25">
      <c r="B151" s="392" t="s">
        <v>1065</v>
      </c>
      <c r="C151" s="393" t="s">
        <v>1066</v>
      </c>
      <c r="D151" s="364"/>
      <c r="F151" s="750"/>
      <c r="G151" s="746"/>
      <c r="H151" s="746"/>
      <c r="I151" s="746"/>
      <c r="J151" s="746"/>
      <c r="L151" s="747"/>
      <c r="M151" s="747"/>
      <c r="N151" s="365"/>
      <c r="R151" s="691" t="s">
        <v>478</v>
      </c>
      <c r="S151" s="691"/>
      <c r="T151" s="691"/>
      <c r="U151" s="691"/>
      <c r="V151" s="691"/>
      <c r="W151" s="394" t="s">
        <v>428</v>
      </c>
    </row>
    <row r="152" spans="1:23" x14ac:dyDescent="0.25">
      <c r="A152" s="376" t="str">
        <f>IF(OR(B152&lt;Geometria!$L$1405/100,(Geometria!$L$29/100-B152)&lt;Geometria!$R$1405/100),"Sim","Não")</f>
        <v>Sim</v>
      </c>
      <c r="B152" s="395">
        <f>Tensões!$B$63</f>
        <v>-0.0</v>
      </c>
      <c r="C152" s="376" t="str">
        <f>IF(OR(B152&lt;Geometria!$L$1409/100,(Geometria!$L$29/100-B152)&lt;Geometria!$R$1409/100),"Sim","Não")</f>
        <v>Sim</v>
      </c>
      <c r="D152" s="122" t="s">
        <v>429</v>
      </c>
      <c r="E152" s="198" t="str">
        <f ca="1">IF(Geometria!$K$437&lt;Geometria!$N$1307/100,"Reduzir","OK")</f>
        <v>Reduzir</v>
      </c>
      <c r="F152" s="396">
        <f t="shared" ref="F152:F171" ca="1" si="46">IF(E152="Reduzir",G152,I152)</f>
        <v>0.0</v>
      </c>
      <c r="G152" s="397">
        <v>0</v>
      </c>
      <c r="H152" s="398">
        <v>0</v>
      </c>
      <c r="I152" s="743">
        <f>Geometria!$C$913</f>
        <v>0.0</v>
      </c>
      <c r="J152" s="743"/>
      <c r="L152">
        <v>0</v>
      </c>
      <c r="M152">
        <v>0</v>
      </c>
      <c r="N152" s="365"/>
      <c r="R152" s="4" t="s">
        <v>429</v>
      </c>
      <c r="S152" s="105">
        <v>0</v>
      </c>
      <c r="T152" s="38" t="s">
        <v>234</v>
      </c>
      <c r="U152" s="138">
        <f t="shared" ref="U152:U172" si="47">S152/1000</f>
        <v>0.0</v>
      </c>
      <c r="V152" s="38" t="s">
        <v>160</v>
      </c>
      <c r="W152" s="399">
        <f>Geometria!V989</f>
        <v>0.0</v>
      </c>
    </row>
    <row r="153" spans="1:23" x14ac:dyDescent="0.25">
      <c r="A153" s="376" t="str">
        <f>IF(OR(B153&lt;Geometria!$L$1405/100,(Geometria!$L$29/100-B153)&lt;Geometria!$R$1405/100),"Sim","Não")</f>
        <v>Sim</v>
      </c>
      <c r="B153" s="395">
        <f>Tensões!$C$63</f>
        <v>0.39249999999999996</v>
      </c>
      <c r="C153" s="376" t="str">
        <f>IF(OR(B153&lt;Geometria!$L$1409/100,(Geometria!$L$29/100-B153)&lt;Geometria!$R$1409/100),"Sim","Não")</f>
        <v>Sim</v>
      </c>
      <c r="D153" s="122" t="s">
        <v>430</v>
      </c>
      <c r="E153" s="198" t="str">
        <f ca="1">IF(Geometria!$L$437&lt;Geometria!$N$1307/100,"Reduzir","OK")</f>
        <v>Reduzir</v>
      </c>
      <c r="F153" s="396">
        <f t="shared" ca="1" si="46"/>
        <v>1961.3470350745501</v>
      </c>
      <c r="G153" s="397">
        <f ca="1">-L153/(Geometria!$L$48/100^2)+M153/(Geometria!$L$52/100^3)-Geometria!$L$898/(Geometria!$L$52/100^3)</f>
        <v>1961.3470350745501</v>
      </c>
      <c r="H153" s="400">
        <f ca="1">(((Geometria!$L$326*(Geometria!$L$897*100))/Geometria!$N$1307))</f>
        <v>48.97918844669016</v>
      </c>
      <c r="I153" s="743">
        <f ca="1">-($E$93*(1-IF(IF(OR(Geometria!$K$1409&gt;0,Geometria!$K$1407&gt;0,Geometria!$Q$1409&gt;0,Geometria!$Q$1407&gt;0),1,0),MIN(MIN(1,MAX(0,(B153-Geometria!$L$1409/100)/(Geometria!$N$1307/100))),MIN(1,MAX(0,((Geometria!$L$29/100-B153)-Geometria!$R$1409/100)/(Geometria!$N$1307/100)))),1))*(1-IF(IF(OR(Geometria!$K$1405&gt;0,Geometria!$K$1403&gt;0,Geometria!$Q$1405&gt;0,Geometria!$Q$1403&gt;0),1,0),MIN(MIN(1,MAX(0,(B153-Geometria!$L$1405/100)/(Geometria!$N$1307/100))),MIN(1,MAX(0,((Geometria!$L$29/100-B153)-Geometria!$R$1405/100)/(Geometria!$N$1307/100)))),1))+Geometria!$L$1447*(1-IF(IF(OR(Geometria!$K$1409&gt;0,Geometria!$K$1407&gt;0,Geometria!$Q$1409&gt;0,Geometria!$Q$1407&gt;0),1,0),MIN(MIN(1,MAX(0,(B153-Geometria!$L$1409/100)/(Geometria!$N$1307/100))),MIN(1,MAX(0,((Geometria!$L$29/100-B153)-Geometria!$R$1409/100)/(Geometria!$N$1307/100)))),1))*IF(IF(OR(Geometria!$K$1405&gt;0,Geometria!$K$1403&gt;0,Geometria!$Q$1405&gt;0,Geometria!$Q$1403&gt;0),1,0),MIN(MIN(1,MAX(0,(B153-Geometria!$L$1405/100)/(Geometria!$N$1307/100))),MIN(1,MAX(0,((Geometria!$L$29/100-B153)-Geometria!$R$1405/100)/(Geometria!$N$1307/100)))),1)+Geometria!$L$1449*IF(IF(OR(Geometria!$K$1409&gt;0,Geometria!$K$1407&gt;0,Geometria!$Q$1409&gt;0,Geometria!$Q$1407&gt;0),1,0),MIN(MIN(1,MAX(0,(B153-Geometria!$L$1409/100)/(Geometria!$N$1307/100))),MIN(1,MAX(0,((Geometria!$L$29/100-B153)-Geometria!$R$1409/100)/(Geometria!$N$1307/100)))),1)*(1-IF(IF(OR(Geometria!$K$1405&gt;0,Geometria!$K$1403&gt;0,Geometria!$Q$1405&gt;0,Geometria!$Q$1403&gt;0),1,0),MIN(MIN(1,MAX(0,(B153-Geometria!$L$1405/100)/(Geometria!$N$1307/100))),MIN(1,MAX(0,((Geometria!$L$29/100-B153)-Geometria!$R$1405/100)/(Geometria!$N$1307/100)))),1))+Geometria!$L$906*IF(IF(OR(Geometria!$K$1409&gt;0,Geometria!$K$1407&gt;0,Geometria!$Q$1409&gt;0,Geometria!$Q$1407&gt;0),1,0),MIN(MIN(1,MAX(0,(B153-Geometria!$L$1409/100)/(Geometria!$N$1307/100))),MIN(1,MAX(0,((Geometria!$L$29/100-B153)-Geometria!$R$1409/100)/(Geometria!$N$1307/100)))),1)*IF(IF(OR(Geometria!$K$1405&gt;0,Geometria!$K$1403&gt;0,Geometria!$Q$1405&gt;0,Geometria!$Q$1403&gt;0),1,0),MIN(MIN(1,MAX(0,(B153-Geometria!$L$1405/100)/(Geometria!$N$1307/100))),MIN(1,MAX(0,((Geometria!$L$29/100-B153)-Geometria!$R$1405/100)/(Geometria!$N$1307/100)))),1))/(Geometria!$L$48/100^2)+($E$94*(1-IF(IF(OR(Geometria!$K$1409&gt;0,Geometria!$K$1407&gt;0,Geometria!$Q$1409&gt;0,Geometria!$Q$1407&gt;0),1,0),MIN(MIN(1,MAX(0,(B153-Geometria!$L$1409/100)/(Geometria!$N$1307/100))),MIN(1,MAX(0,((Geometria!$L$29/100-B153)-Geometria!$R$1409/100)/(Geometria!$N$1307/100)))),1))*(1-IF(IF(OR(Geometria!$K$1405&gt;0,Geometria!$K$1403&gt;0,Geometria!$Q$1405&gt;0,Geometria!$Q$1403&gt;0),1,0),MIN(MIN(1,MAX(0,(B153-Geometria!$L$1405/100)/(Geometria!$N$1307/100))),MIN(1,MAX(0,((Geometria!$L$29/100-B153)-Geometria!$R$1405/100)/(Geometria!$N$1307/100)))),1))+Geometria!$L$1448*(1-IF(IF(OR(Geometria!$K$1409&gt;0,Geometria!$K$1407&gt;0,Geometria!$Q$1409&gt;0,Geometria!$Q$1407&gt;0),1,0),MIN(MIN(1,MAX(0,(B153-Geometria!$L$1409/100)/(Geometria!$N$1307/100))),MIN(1,MAX(0,((Geometria!$L$29/100-B153)-Geometria!$R$1409/100)/(Geometria!$N$1307/100)))),1))*IF(IF(OR(Geometria!$K$1405&gt;0,Geometria!$K$1403&gt;0,Geometria!$Q$1405&gt;0,Geometria!$Q$1403&gt;0),1,0),MIN(MIN(1,MAX(0,(B153-Geometria!$L$1405/100)/(Geometria!$N$1307/100))),MIN(1,MAX(0,((Geometria!$L$29/100-B153)-Geometria!$R$1405/100)/(Geometria!$N$1307/100)))),1)+Geometria!$L$1450*IF(IF(OR(Geometria!$K$1409&gt;0,Geometria!$K$1407&gt;0,Geometria!$Q$1409&gt;0,Geometria!$Q$1407&gt;0),1,0),MIN(MIN(1,MAX(0,(B153-Geometria!$L$1409/100)/(Geometria!$N$1307/100))),MIN(1,MAX(0,((Geometria!$L$29/100-B153)-Geometria!$R$1409/100)/(Geometria!$N$1307/100)))),1)*(1-IF(IF(OR(Geometria!$K$1405&gt;0,Geometria!$K$1403&gt;0,Geometria!$Q$1405&gt;0,Geometria!$Q$1403&gt;0),1,0),MIN(MIN(1,MAX(0,(B153-Geometria!$L$1405/100)/(Geometria!$N$1307/100))),MIN(1,MAX(0,((Geometria!$L$29/100-B153)-Geometria!$R$1405/100)/(Geometria!$N$1307/100)))),1))+Geometria!$L$907*IF(IF(OR(Geometria!$K$1409&gt;0,Geometria!$K$1407&gt;0,Geometria!$Q$1409&gt;0,Geometria!$Q$1407&gt;0),1,0),MIN(MIN(1,MAX(0,(B153-Geometria!$L$1409/100)/(Geometria!$N$1307/100))),MIN(1,MAX(0,((Geometria!$L$29/100-B153)-Geometria!$R$1409/100)/(Geometria!$N$1307/100)))),1)*IF(IF(OR(Geometria!$K$1405&gt;0,Geometria!$K$1403&gt;0,Geometria!$Q$1405&gt;0,Geometria!$Q$1403&gt;0),1,0),MIN(MIN(1,MAX(0,(B153-Geometria!$L$1405/100)/(Geometria!$N$1307/100))),MIN(1,MAX(0,((Geometria!$L$29/100-B153)-Geometria!$R$1405/100)/(Geometria!$N$1307/100)))),1))/(Geometria!$L$52/100^3)-Tensões!$C$64/(Geometria!$L$52/100^3)</f>
        <v>7730.121822281321</v>
      </c>
      <c r="J153" s="743"/>
      <c r="L153" s="373">
        <f ca="1">(Geometria!$L$298-(Geometria!$L$298-IF(B153&lt;Geometria!$L$1409/100,Geometria!$L$1442,Geometria!$L$1460))*(1-(MIN(MIN(1,MAX(0,(B153-Geometria!$L$1409/100)/(Geometria!$N$1307/100))),MIN(1,MAX(0,((Geometria!$L$29/100-B153)-Geometria!$R$1409/100)/(Geometria!$N$1307/100))))))*(IF(OR(Geometria!$K$1409&gt;0,Geometria!$K$1407&gt;0,Geometria!$Q$1409&gt;0,Geometria!$Q$1407&gt;0),1,0))-(Geometria!$L$298-IF(B153&lt;Geometria!$L$1405/100,Geometria!$L$1444,Geometria!$L$1462))*(1-(MIN(MIN(1,MAX(0,(B153-Geometria!$L$1405/100)/(Geometria!$N$1307/100))),MIN(1,MAX(0,((Geometria!$L$29/100-B153)-Geometria!$R$1405/100)/(Geometria!$N$1307/100))))))*(IF(OR(Geometria!$K$1405&gt;0,Geometria!$K$1403&gt;0,Geometria!$Q$1405&gt;0,Geometria!$Q$1403&gt;0),1,0)))*H176+Geometria!$P$1429*H153</f>
        <v>232.9598225849562</v>
      </c>
      <c r="M153" s="373">
        <f ca="1">(Geometria!$L$298-(Geometria!$L$298-IF(B153&lt;Geometria!$L$1409/100,Geometria!$L$1442,Geometria!$L$1460))*(1-(MIN(MIN(1,MAX(0,(B153-Geometria!$L$1409/100)/(Geometria!$N$1307/100))),MIN(1,MAX(0,((Geometria!$L$29/100-B153)-Geometria!$R$1409/100)/(Geometria!$N$1307/100))))))*(IF(OR(Geometria!$K$1409&gt;0,Geometria!$K$1407&gt;0,Geometria!$Q$1409&gt;0,Geometria!$Q$1407&gt;0),1,0))-(Geometria!$L$298-IF(B153&lt;Geometria!$L$1405/100,Geometria!$L$1444,Geometria!$L$1462))*(1-(MIN(MIN(1,MAX(0,(B153-Geometria!$L$1405/100)/(Geometria!$N$1307/100))),MIN(1,MAX(0,((Geometria!$L$29/100-B153)-Geometria!$R$1405/100)/(Geometria!$N$1307/100))))))*(IF(OR(Geometria!$K$1405&gt;0,Geometria!$K$1403&gt;0,Geometria!$Q$1405&gt;0,Geometria!$Q$1403&gt;0),1,0)))*H176*(Geometria!$L$299-(Geometria!$L$299-IF(B153&lt;Geometria!$L$1409/100,Geometria!$L$1443,Geometria!$L$1461))*(1-(MIN(MIN(1,MAX(0,(B153-Geometria!$L$1409/100)/(Geometria!$N$1307/100))),MIN(1,MAX(0,((Geometria!$L$29/100-B153)-Geometria!$R$1409/100)/(Geometria!$N$1307/100))))))*(IF(OR(Geometria!$K$1409&gt;0,Geometria!$K$1407&gt;0,Geometria!$Q$1409&gt;0,Geometria!$Q$1407&gt;0),1,0))-(Geometria!$L$299-IF(B153&lt;Geometria!$L$1405/100,Geometria!$L$1445,Geometria!$L$1463))*(1-(MIN(MIN(1,MAX(0,(B153-Geometria!$L$1405/100)/(Geometria!$N$1307/100))),MIN(1,MAX(0,((Geometria!$L$29/100-B153)-Geometria!$R$1405/100)/(Geometria!$N$1307/100))))))*(IF(OR(Geometria!$K$1405&gt;0,Geometria!$K$1403&gt;0,Geometria!$Q$1405&gt;0,Geometria!$Q$1403&gt;0),1,0)))/100-Geometria!$P$1429*H153*Geometria!$L$1438/100</f>
        <v>66.39354943671252</v>
      </c>
      <c r="N153" s="365"/>
      <c r="O153" s="371">
        <f ca="1">(IF(C153="Sim",IF(A153="Sim",$E$93,Geometria!$L$1447),IF(A153="Sim",Geometria!$L$1449,Geometria!$L$906)))</f>
        <v>749.9028001915608</v>
      </c>
      <c r="P153" s="371">
        <f ca="1">(IF(C153="Sim",IF(A153="Sim",$E$94,Geometria!$L$1448),IF(A153="Sim",Geometria!$L$1450,Geometria!$L$907)))</f>
        <v>213.72229805459483</v>
      </c>
      <c r="R153" s="4" t="s">
        <v>430</v>
      </c>
      <c r="S153" s="200">
        <f t="shared" ref="S153:S171" ca="1" si="48">F153</f>
        <v>1961.3470350745501</v>
      </c>
      <c r="T153" s="38" t="s">
        <v>234</v>
      </c>
      <c r="U153" s="201">
        <f t="shared" ca="1" si="47"/>
        <v>1.96134703507455</v>
      </c>
      <c r="V153" s="38" t="s">
        <v>160</v>
      </c>
      <c r="W153" s="399">
        <f t="shared" ref="W153:W172" si="49">W152</f>
        <v>0.0</v>
      </c>
    </row>
    <row r="154" spans="1:23" x14ac:dyDescent="0.25">
      <c r="A154" s="376" t="str">
        <f>IF(OR(B154&lt;Geometria!$L$1405/100,(Geometria!$L$29/100-B154)&lt;Geometria!$R$1405/100),"Sim","Não")</f>
        <v>Sim</v>
      </c>
      <c r="B154" s="395">
        <f>Tensões!$D$63</f>
        <v>0.7849999999999999</v>
      </c>
      <c r="C154" s="376" t="str">
        <f>IF(OR(B154&lt;Geometria!$L$1409/100,(Geometria!$L$29/100-B154)&lt;Geometria!$R$1409/100),"Sim","Não")</f>
        <v>Sim</v>
      </c>
      <c r="D154" s="122" t="s">
        <v>431</v>
      </c>
      <c r="E154" s="198" t="str">
        <f ca="1">IF(Geometria!$M$437&lt;Geometria!$N$1307/100,"Reduzir","OK")</f>
        <v>Reduzir</v>
      </c>
      <c r="F154" s="396">
        <f t="shared" ca="1" si="46"/>
        <v>4355.656322753267</v>
      </c>
      <c r="G154" s="397">
        <f ca="1">-L154/(Geometria!$L$48/100^2)+M154/(Geometria!$L$52/100^3)-Geometria!$L$898/(Geometria!$L$52/100^3)</f>
        <v>4355.656322753267</v>
      </c>
      <c r="H154" s="400">
        <f ca="1">((Geometria!$L$326*(Geometria!$M$897*100))/Geometria!$N$1307)</f>
        <v>97.95837689338032</v>
      </c>
      <c r="I154" s="743">
        <f ca="1">-($E$93*(1-IF(IF(OR(Geometria!$K$1409&gt;0,Geometria!$K$1407&gt;0,Geometria!$Q$1409&gt;0,Geometria!$Q$1407&gt;0),1,0),MIN(MIN(1,MAX(0,(B154-Geometria!$L$1409/100)/(Geometria!$N$1307/100))),MIN(1,MAX(0,((Geometria!$L$29/100-B154)-Geometria!$R$1409/100)/(Geometria!$N$1307/100)))),1))*(1-IF(IF(OR(Geometria!$K$1405&gt;0,Geometria!$K$1403&gt;0,Geometria!$Q$1405&gt;0,Geometria!$Q$1403&gt;0),1,0),MIN(MIN(1,MAX(0,(B154-Geometria!$L$1405/100)/(Geometria!$N$1307/100))),MIN(1,MAX(0,((Geometria!$L$29/100-B154)-Geometria!$R$1405/100)/(Geometria!$N$1307/100)))),1))+Geometria!$L$1447*(1-IF(IF(OR(Geometria!$K$1409&gt;0,Geometria!$K$1407&gt;0,Geometria!$Q$1409&gt;0,Geometria!$Q$1407&gt;0),1,0),MIN(MIN(1,MAX(0,(B154-Geometria!$L$1409/100)/(Geometria!$N$1307/100))),MIN(1,MAX(0,((Geometria!$L$29/100-B154)-Geometria!$R$1409/100)/(Geometria!$N$1307/100)))),1))*IF(IF(OR(Geometria!$K$1405&gt;0,Geometria!$K$1403&gt;0,Geometria!$Q$1405&gt;0,Geometria!$Q$1403&gt;0),1,0),MIN(MIN(1,MAX(0,(B154-Geometria!$L$1405/100)/(Geometria!$N$1307/100))),MIN(1,MAX(0,((Geometria!$L$29/100-B154)-Geometria!$R$1405/100)/(Geometria!$N$1307/100)))),1)+Geometria!$L$1449*IF(IF(OR(Geometria!$K$1409&gt;0,Geometria!$K$1407&gt;0,Geometria!$Q$1409&gt;0,Geometria!$Q$1407&gt;0),1,0),MIN(MIN(1,MAX(0,(B154-Geometria!$L$1409/100)/(Geometria!$N$1307/100))),MIN(1,MAX(0,((Geometria!$L$29/100-B154)-Geometria!$R$1409/100)/(Geometria!$N$1307/100)))),1)*(1-IF(IF(OR(Geometria!$K$1405&gt;0,Geometria!$K$1403&gt;0,Geometria!$Q$1405&gt;0,Geometria!$Q$1403&gt;0),1,0),MIN(MIN(1,MAX(0,(B154-Geometria!$L$1405/100)/(Geometria!$N$1307/100))),MIN(1,MAX(0,((Geometria!$L$29/100-B154)-Geometria!$R$1405/100)/(Geometria!$N$1307/100)))),1))+Geometria!$L$906*IF(IF(OR(Geometria!$K$1409&gt;0,Geometria!$K$1407&gt;0,Geometria!$Q$1409&gt;0,Geometria!$Q$1407&gt;0),1,0),MIN(MIN(1,MAX(0,(B154-Geometria!$L$1409/100)/(Geometria!$N$1307/100))),MIN(1,MAX(0,((Geometria!$L$29/100-B154)-Geometria!$R$1409/100)/(Geometria!$N$1307/100)))),1)*IF(IF(OR(Geometria!$K$1405&gt;0,Geometria!$K$1403&gt;0,Geometria!$Q$1405&gt;0,Geometria!$Q$1403&gt;0),1,0),MIN(MIN(1,MAX(0,(B154-Geometria!$L$1405/100)/(Geometria!$N$1307/100))),MIN(1,MAX(0,((Geometria!$L$29/100-B154)-Geometria!$R$1405/100)/(Geometria!$N$1307/100)))),1))/(Geometria!$L$48/100^2)+($E$94*(1-IF(IF(OR(Geometria!$K$1409&gt;0,Geometria!$K$1407&gt;0,Geometria!$Q$1409&gt;0,Geometria!$Q$1407&gt;0),1,0),MIN(MIN(1,MAX(0,(B154-Geometria!$L$1409/100)/(Geometria!$N$1307/100))),MIN(1,MAX(0,((Geometria!$L$29/100-B154)-Geometria!$R$1409/100)/(Geometria!$N$1307/100)))),1))*(1-IF(IF(OR(Geometria!$K$1405&gt;0,Geometria!$K$1403&gt;0,Geometria!$Q$1405&gt;0,Geometria!$Q$1403&gt;0),1,0),MIN(MIN(1,MAX(0,(B154-Geometria!$L$1405/100)/(Geometria!$N$1307/100))),MIN(1,MAX(0,((Geometria!$L$29/100-B154)-Geometria!$R$1405/100)/(Geometria!$N$1307/100)))),1))+Geometria!$L$1448*(1-IF(IF(OR(Geometria!$K$1409&gt;0,Geometria!$K$1407&gt;0,Geometria!$Q$1409&gt;0,Geometria!$Q$1407&gt;0),1,0),MIN(MIN(1,MAX(0,(B154-Geometria!$L$1409/100)/(Geometria!$N$1307/100))),MIN(1,MAX(0,((Geometria!$L$29/100-B154)-Geometria!$R$1409/100)/(Geometria!$N$1307/100)))),1))*IF(IF(OR(Geometria!$K$1405&gt;0,Geometria!$K$1403&gt;0,Geometria!$Q$1405&gt;0,Geometria!$Q$1403&gt;0),1,0),MIN(MIN(1,MAX(0,(B154-Geometria!$L$1405/100)/(Geometria!$N$1307/100))),MIN(1,MAX(0,((Geometria!$L$29/100-B154)-Geometria!$R$1405/100)/(Geometria!$N$1307/100)))),1)+Geometria!$L$1450*IF(IF(OR(Geometria!$K$1409&gt;0,Geometria!$K$1407&gt;0,Geometria!$Q$1409&gt;0,Geometria!$Q$1407&gt;0),1,0),MIN(MIN(1,MAX(0,(B154-Geometria!$L$1409/100)/(Geometria!$N$1307/100))),MIN(1,MAX(0,((Geometria!$L$29/100-B154)-Geometria!$R$1409/100)/(Geometria!$N$1307/100)))),1)*(1-IF(IF(OR(Geometria!$K$1405&gt;0,Geometria!$K$1403&gt;0,Geometria!$Q$1405&gt;0,Geometria!$Q$1403&gt;0),1,0),MIN(MIN(1,MAX(0,(B154-Geometria!$L$1405/100)/(Geometria!$N$1307/100))),MIN(1,MAX(0,((Geometria!$L$29/100-B154)-Geometria!$R$1405/100)/(Geometria!$N$1307/100)))),1))+Geometria!$L$907*IF(IF(OR(Geometria!$K$1409&gt;0,Geometria!$K$1407&gt;0,Geometria!$Q$1409&gt;0,Geometria!$Q$1407&gt;0),1,0),MIN(MIN(1,MAX(0,(B154-Geometria!$L$1409/100)/(Geometria!$N$1307/100))),MIN(1,MAX(0,((Geometria!$L$29/100-B154)-Geometria!$R$1409/100)/(Geometria!$N$1307/100)))),1)*IF(IF(OR(Geometria!$K$1405&gt;0,Geometria!$K$1403&gt;0,Geometria!$Q$1405&gt;0,Geometria!$Q$1403&gt;0),1,0),MIN(MIN(1,MAX(0,(B154-Geometria!$L$1405/100)/(Geometria!$N$1307/100))),MIN(1,MAX(0,((Geometria!$L$29/100-B154)-Geometria!$R$1405/100)/(Geometria!$N$1307/100)))),1))/(Geometria!$L$52/100^3)-Tensões!$D$64/(Geometria!$L$52/100^3)</f>
        <v>7757.844179052155</v>
      </c>
      <c r="J154" s="743"/>
      <c r="L154" s="373">
        <f ca="1">(Geometria!$L$298-(Geometria!$L$298-IF(B154&lt;Geometria!$L$1409/100,Geometria!$L$1442,Geometria!$L$1460))*(1-(MIN(MIN(1,MAX(0,(B154-Geometria!$L$1409/100)/(Geometria!$N$1307/100))),MIN(1,MAX(0,((Geometria!$L$29/100-B154)-Geometria!$R$1409/100)/(Geometria!$N$1307/100))))))*(IF(OR(Geometria!$K$1409&gt;0,Geometria!$K$1407&gt;0,Geometria!$Q$1409&gt;0,Geometria!$Q$1407&gt;0),1,0))-(Geometria!$L$298-IF(B154&lt;Geometria!$L$1405/100,Geometria!$L$1444,Geometria!$L$1462))*(1-(MIN(MIN(1,MAX(0,(B154-Geometria!$L$1405/100)/(Geometria!$N$1307/100))),MIN(1,MAX(0,((Geometria!$L$29/100-B154)-Geometria!$R$1405/100)/(Geometria!$N$1307/100))))))*(IF(OR(Geometria!$K$1405&gt;0,Geometria!$K$1403&gt;0,Geometria!$Q$1405&gt;0,Geometria!$Q$1403&gt;0),1,0)))*H177+Geometria!$P$1429*H154</f>
        <v>465.9196451699124</v>
      </c>
      <c r="M154" s="373">
        <f ca="1">(Geometria!$L$298-(Geometria!$L$298-IF(B154&lt;Geometria!$L$1409/100,Geometria!$L$1442,Geometria!$L$1460))*(1-(MIN(MIN(1,MAX(0,(B154-Geometria!$L$1409/100)/(Geometria!$N$1307/100))),MIN(1,MAX(0,((Geometria!$L$29/100-B154)-Geometria!$R$1409/100)/(Geometria!$N$1307/100))))))*(IF(OR(Geometria!$K$1409&gt;0,Geometria!$K$1407&gt;0,Geometria!$Q$1409&gt;0,Geometria!$Q$1407&gt;0),1,0))-(Geometria!$L$298-IF(B154&lt;Geometria!$L$1405/100,Geometria!$L$1444,Geometria!$L$1462))*(1-(MIN(MIN(1,MAX(0,(B154-Geometria!$L$1405/100)/(Geometria!$N$1307/100))),MIN(1,MAX(0,((Geometria!$L$29/100-B154)-Geometria!$R$1405/100)/(Geometria!$N$1307/100))))))*(IF(OR(Geometria!$K$1405&gt;0,Geometria!$K$1403&gt;0,Geometria!$Q$1405&gt;0,Geometria!$Q$1403&gt;0),1,0)))*H177*(Geometria!$L$299-(Geometria!$L$299-IF(B154&lt;Geometria!$L$1409/100,Geometria!$L$1443,Geometria!$L$1461))*(1-(MIN(MIN(1,MAX(0,(B154-Geometria!$L$1409/100)/(Geometria!$N$1307/100))),MIN(1,MAX(0,((Geometria!$L$29/100-B154)-Geometria!$R$1409/100)/(Geometria!$N$1307/100))))))*(IF(OR(Geometria!$K$1409&gt;0,Geometria!$K$1407&gt;0,Geometria!$Q$1409&gt;0,Geometria!$Q$1407&gt;0),1,0))-(Geometria!$L$299-IF(B154&lt;Geometria!$L$1405/100,Geometria!$L$1445,Geometria!$L$1463))*(1-(MIN(MIN(1,MAX(0,(B154-Geometria!$L$1405/100)/(Geometria!$N$1307/100))),MIN(1,MAX(0,((Geometria!$L$29/100-B154)-Geometria!$R$1405/100)/(Geometria!$N$1307/100))))))*(IF(OR(Geometria!$K$1405&gt;0,Geometria!$K$1403&gt;0,Geometria!$Q$1405&gt;0,Geometria!$Q$1403&gt;0),1,0)))/100-Geometria!$P$1429*H154*Geometria!$L$1438/100</f>
        <v>132.78709887342504</v>
      </c>
      <c r="N154" s="365"/>
      <c r="O154" s="371">
        <f ca="1">(IF(C154="Sim",IF(A154="Sim",$E$93,Geometria!$L$1447),IF(A154="Sim",Geometria!$L$1449,Geometria!$L$906)))</f>
        <v>749.9028001915608</v>
      </c>
      <c r="P154" s="371">
        <f ca="1">(IF(C154="Sim",IF(A154="Sim",$E$94,Geometria!$L$1448),IF(A154="Sim",Geometria!$L$1450,Geometria!$L$907)))</f>
        <v>213.72229805459483</v>
      </c>
      <c r="R154" s="4" t="s">
        <v>431</v>
      </c>
      <c r="S154" s="202">
        <f t="shared" ca="1" si="48"/>
        <v>4355.656322753267</v>
      </c>
      <c r="T154" s="38" t="s">
        <v>234</v>
      </c>
      <c r="U154" s="203">
        <f t="shared" ca="1" si="47"/>
        <v>4.355656322753267</v>
      </c>
      <c r="V154" s="38" t="s">
        <v>160</v>
      </c>
      <c r="W154" s="399">
        <f t="shared" si="49"/>
        <v>0.0</v>
      </c>
    </row>
    <row r="155" spans="1:23" x14ac:dyDescent="0.25">
      <c r="A155" s="376" t="str">
        <f>IF(OR(B155&lt;Geometria!$L$1405/100,(Geometria!$L$29/100-B155)&lt;Geometria!$R$1405/100),"Sim","Não")</f>
        <v>Sim</v>
      </c>
      <c r="B155" s="395">
        <f>Tensões!$E$63</f>
        <v>1.1774999999999998</v>
      </c>
      <c r="C155" s="376" t="str">
        <f>IF(OR(B155&lt;Geometria!$L$1409/100,(Geometria!$L$29/100-B155)&lt;Geometria!$R$1409/100),"Sim","Não")</f>
        <v>Sim</v>
      </c>
      <c r="D155" s="122" t="s">
        <v>432</v>
      </c>
      <c r="E155" s="198" t="str">
        <f ca="1">IF(Geometria!$N$437&lt;Geometria!$N$1307/100,"Reduzir","OK")</f>
        <v>OK</v>
      </c>
      <c r="F155" s="396">
        <f t="shared" ca="1" si="46"/>
        <v>7416.031874364655</v>
      </c>
      <c r="G155" s="397">
        <f ca="1">-L155/(Geometria!$L$48/100^2)+M155/(Geometria!$L$52/100^3)-Geometria!$L$898/(Geometria!$L$52/100^3)</f>
        <v>6749.965610431982</v>
      </c>
      <c r="H155" s="400">
        <f ca="1">((Geometria!$L$326*(Geometria!$N$897*100))/Geometria!$N$1307)</f>
        <v>146.93756534007045</v>
      </c>
      <c r="I155" s="743">
        <f ca="1">-($E$93*(1-IF(IF(OR(Geometria!$K$1409&gt;0,Geometria!$K$1407&gt;0,Geometria!$Q$1409&gt;0,Geometria!$Q$1407&gt;0),1,0),MIN(MIN(1,MAX(0,(B155-Geometria!$L$1409/100)/(Geometria!$N$1307/100))),MIN(1,MAX(0,((Geometria!$L$29/100-B155)-Geometria!$R$1409/100)/(Geometria!$N$1307/100)))),1))*(1-IF(IF(OR(Geometria!$K$1405&gt;0,Geometria!$K$1403&gt;0,Geometria!$Q$1405&gt;0,Geometria!$Q$1403&gt;0),1,0),MIN(MIN(1,MAX(0,(B155-Geometria!$L$1405/100)/(Geometria!$N$1307/100))),MIN(1,MAX(0,((Geometria!$L$29/100-B155)-Geometria!$R$1405/100)/(Geometria!$N$1307/100)))),1))+Geometria!$L$1447*(1-IF(IF(OR(Geometria!$K$1409&gt;0,Geometria!$K$1407&gt;0,Geometria!$Q$1409&gt;0,Geometria!$Q$1407&gt;0),1,0),MIN(MIN(1,MAX(0,(B155-Geometria!$L$1409/100)/(Geometria!$N$1307/100))),MIN(1,MAX(0,((Geometria!$L$29/100-B155)-Geometria!$R$1409/100)/(Geometria!$N$1307/100)))),1))*IF(IF(OR(Geometria!$K$1405&gt;0,Geometria!$K$1403&gt;0,Geometria!$Q$1405&gt;0,Geometria!$Q$1403&gt;0),1,0),MIN(MIN(1,MAX(0,(B155-Geometria!$L$1405/100)/(Geometria!$N$1307/100))),MIN(1,MAX(0,((Geometria!$L$29/100-B155)-Geometria!$R$1405/100)/(Geometria!$N$1307/100)))),1)+Geometria!$L$1449*IF(IF(OR(Geometria!$K$1409&gt;0,Geometria!$K$1407&gt;0,Geometria!$Q$1409&gt;0,Geometria!$Q$1407&gt;0),1,0),MIN(MIN(1,MAX(0,(B155-Geometria!$L$1409/100)/(Geometria!$N$1307/100))),MIN(1,MAX(0,((Geometria!$L$29/100-B155)-Geometria!$R$1409/100)/(Geometria!$N$1307/100)))),1)*(1-IF(IF(OR(Geometria!$K$1405&gt;0,Geometria!$K$1403&gt;0,Geometria!$Q$1405&gt;0,Geometria!$Q$1403&gt;0),1,0),MIN(MIN(1,MAX(0,(B155-Geometria!$L$1405/100)/(Geometria!$N$1307/100))),MIN(1,MAX(0,((Geometria!$L$29/100-B155)-Geometria!$R$1405/100)/(Geometria!$N$1307/100)))),1))+Geometria!$L$906*IF(IF(OR(Geometria!$K$1409&gt;0,Geometria!$K$1407&gt;0,Geometria!$Q$1409&gt;0,Geometria!$Q$1407&gt;0),1,0),MIN(MIN(1,MAX(0,(B155-Geometria!$L$1409/100)/(Geometria!$N$1307/100))),MIN(1,MAX(0,((Geometria!$L$29/100-B155)-Geometria!$R$1409/100)/(Geometria!$N$1307/100)))),1)*IF(IF(OR(Geometria!$K$1405&gt;0,Geometria!$K$1403&gt;0,Geometria!$Q$1405&gt;0,Geometria!$Q$1403&gt;0),1,0),MIN(MIN(1,MAX(0,(B155-Geometria!$L$1405/100)/(Geometria!$N$1307/100))),MIN(1,MAX(0,((Geometria!$L$29/100-B155)-Geometria!$R$1405/100)/(Geometria!$N$1307/100)))),1))/(Geometria!$L$48/100^2)+($E$94*(1-IF(IF(OR(Geometria!$K$1409&gt;0,Geometria!$K$1407&gt;0,Geometria!$Q$1409&gt;0,Geometria!$Q$1407&gt;0),1,0),MIN(MIN(1,MAX(0,(B155-Geometria!$L$1409/100)/(Geometria!$N$1307/100))),MIN(1,MAX(0,((Geometria!$L$29/100-B155)-Geometria!$R$1409/100)/(Geometria!$N$1307/100)))),1))*(1-IF(IF(OR(Geometria!$K$1405&gt;0,Geometria!$K$1403&gt;0,Geometria!$Q$1405&gt;0,Geometria!$Q$1403&gt;0),1,0),MIN(MIN(1,MAX(0,(B155-Geometria!$L$1405/100)/(Geometria!$N$1307/100))),MIN(1,MAX(0,((Geometria!$L$29/100-B155)-Geometria!$R$1405/100)/(Geometria!$N$1307/100)))),1))+Geometria!$L$1448*(1-IF(IF(OR(Geometria!$K$1409&gt;0,Geometria!$K$1407&gt;0,Geometria!$Q$1409&gt;0,Geometria!$Q$1407&gt;0),1,0),MIN(MIN(1,MAX(0,(B155-Geometria!$L$1409/100)/(Geometria!$N$1307/100))),MIN(1,MAX(0,((Geometria!$L$29/100-B155)-Geometria!$R$1409/100)/(Geometria!$N$1307/100)))),1))*IF(IF(OR(Geometria!$K$1405&gt;0,Geometria!$K$1403&gt;0,Geometria!$Q$1405&gt;0,Geometria!$Q$1403&gt;0),1,0),MIN(MIN(1,MAX(0,(B155-Geometria!$L$1405/100)/(Geometria!$N$1307/100))),MIN(1,MAX(0,((Geometria!$L$29/100-B155)-Geometria!$R$1405/100)/(Geometria!$N$1307/100)))),1)+Geometria!$L$1450*IF(IF(OR(Geometria!$K$1409&gt;0,Geometria!$K$1407&gt;0,Geometria!$Q$1409&gt;0,Geometria!$Q$1407&gt;0),1,0),MIN(MIN(1,MAX(0,(B155-Geometria!$L$1409/100)/(Geometria!$N$1307/100))),MIN(1,MAX(0,((Geometria!$L$29/100-B155)-Geometria!$R$1409/100)/(Geometria!$N$1307/100)))),1)*(1-IF(IF(OR(Geometria!$K$1405&gt;0,Geometria!$K$1403&gt;0,Geometria!$Q$1405&gt;0,Geometria!$Q$1403&gt;0),1,0),MIN(MIN(1,MAX(0,(B155-Geometria!$L$1405/100)/(Geometria!$N$1307/100))),MIN(1,MAX(0,((Geometria!$L$29/100-B155)-Geometria!$R$1405/100)/(Geometria!$N$1307/100)))),1))+Geometria!$L$907*IF(IF(OR(Geometria!$K$1409&gt;0,Geometria!$K$1407&gt;0,Geometria!$Q$1409&gt;0,Geometria!$Q$1407&gt;0),1,0),MIN(MIN(1,MAX(0,(B155-Geometria!$L$1409/100)/(Geometria!$N$1307/100))),MIN(1,MAX(0,((Geometria!$L$29/100-B155)-Geometria!$R$1409/100)/(Geometria!$N$1307/100)))),1)*IF(IF(OR(Geometria!$K$1405&gt;0,Geometria!$K$1403&gt;0,Geometria!$Q$1405&gt;0,Geometria!$Q$1403&gt;0),1,0),MIN(MIN(1,MAX(0,(B155-Geometria!$L$1405/100)/(Geometria!$N$1307/100))),MIN(1,MAX(0,((Geometria!$L$29/100-B155)-Geometria!$R$1405/100)/(Geometria!$N$1307/100)))),1))/(Geometria!$L$52/100^3)-Tensões!$E$64/(Geometria!$L$52/100^3)</f>
        <v>7416.031874364655</v>
      </c>
      <c r="J155" s="743"/>
      <c r="L155" s="373">
        <f ca="1">(Geometria!$L$298-(Geometria!$L$298-IF(B155&lt;Geometria!$L$1409/100,Geometria!$L$1442,Geometria!$L$1460))*(1-(MIN(MIN(1,MAX(0,(B155-Geometria!$L$1409/100)/(Geometria!$N$1307/100))),MIN(1,MAX(0,((Geometria!$L$29/100-B155)-Geometria!$R$1409/100)/(Geometria!$N$1307/100))))))*(IF(OR(Geometria!$K$1409&gt;0,Geometria!$K$1407&gt;0,Geometria!$Q$1409&gt;0,Geometria!$Q$1407&gt;0),1,0))-(Geometria!$L$298-IF(B155&lt;Geometria!$L$1405/100,Geometria!$L$1444,Geometria!$L$1462))*(1-(MIN(MIN(1,MAX(0,(B155-Geometria!$L$1405/100)/(Geometria!$N$1307/100))),MIN(1,MAX(0,((Geometria!$L$29/100-B155)-Geometria!$R$1405/100)/(Geometria!$N$1307/100))))))*(IF(OR(Geometria!$K$1405&gt;0,Geometria!$K$1403&gt;0,Geometria!$Q$1405&gt;0,Geometria!$Q$1403&gt;0),1,0)))*H178+Geometria!$P$1429*H155</f>
        <v>698.8794677548686</v>
      </c>
      <c r="M155" s="373">
        <f ca="1">(Geometria!$L$298-(Geometria!$L$298-IF(B155&lt;Geometria!$L$1409/100,Geometria!$L$1442,Geometria!$L$1460))*(1-(MIN(MIN(1,MAX(0,(B155-Geometria!$L$1409/100)/(Geometria!$N$1307/100))),MIN(1,MAX(0,((Geometria!$L$29/100-B155)-Geometria!$R$1409/100)/(Geometria!$N$1307/100))))))*(IF(OR(Geometria!$K$1409&gt;0,Geometria!$K$1407&gt;0,Geometria!$Q$1409&gt;0,Geometria!$Q$1407&gt;0),1,0))-(Geometria!$L$298-IF(B155&lt;Geometria!$L$1405/100,Geometria!$L$1444,Geometria!$L$1462))*(1-(MIN(MIN(1,MAX(0,(B155-Geometria!$L$1405/100)/(Geometria!$N$1307/100))),MIN(1,MAX(0,((Geometria!$L$29/100-B155)-Geometria!$R$1405/100)/(Geometria!$N$1307/100))))))*(IF(OR(Geometria!$K$1405&gt;0,Geometria!$K$1403&gt;0,Geometria!$Q$1405&gt;0,Geometria!$Q$1403&gt;0),1,0)))*H178*(Geometria!$L$299-(Geometria!$L$299-IF(B155&lt;Geometria!$L$1409/100,Geometria!$L$1443,Geometria!$L$1461))*(1-(MIN(MIN(1,MAX(0,(B155-Geometria!$L$1409/100)/(Geometria!$N$1307/100))),MIN(1,MAX(0,((Geometria!$L$29/100-B155)-Geometria!$R$1409/100)/(Geometria!$N$1307/100))))))*(IF(OR(Geometria!$K$1409&gt;0,Geometria!$K$1407&gt;0,Geometria!$Q$1409&gt;0,Geometria!$Q$1407&gt;0),1,0))-(Geometria!$L$299-IF(B155&lt;Geometria!$L$1405/100,Geometria!$L$1445,Geometria!$L$1463))*(1-(MIN(MIN(1,MAX(0,(B155-Geometria!$L$1405/100)/(Geometria!$N$1307/100))),MIN(1,MAX(0,((Geometria!$L$29/100-B155)-Geometria!$R$1405/100)/(Geometria!$N$1307/100))))))*(IF(OR(Geometria!$K$1405&gt;0,Geometria!$K$1403&gt;0,Geometria!$Q$1405&gt;0,Geometria!$Q$1403&gt;0),1,0)))/100-Geometria!$P$1429*H155*Geometria!$L$1438/100</f>
        <v>199.18064831013754</v>
      </c>
      <c r="N155" s="365"/>
      <c r="O155" s="371">
        <f ca="1">(IF(C155="Sim",IF(A155="Sim",$E$93,Geometria!$L$1447),IF(A155="Sim",Geometria!$L$1449,Geometria!$L$906)))</f>
        <v>749.9028001915608</v>
      </c>
      <c r="P155" s="371">
        <f ca="1">(IF(C155="Sim",IF(A155="Sim",$E$94,Geometria!$L$1448),IF(A155="Sim",Geometria!$L$1450,Geometria!$L$907)))</f>
        <v>213.72229805459483</v>
      </c>
      <c r="R155" s="4" t="s">
        <v>432</v>
      </c>
      <c r="S155" s="202">
        <f t="shared" ca="1" si="48"/>
        <v>7416.031874364655</v>
      </c>
      <c r="T155" s="38" t="s">
        <v>234</v>
      </c>
      <c r="U155" s="203">
        <f t="shared" ca="1" si="47"/>
        <v>7.416031874364655</v>
      </c>
      <c r="V155" s="38" t="s">
        <v>160</v>
      </c>
      <c r="W155" s="399">
        <f t="shared" si="49"/>
        <v>0.0</v>
      </c>
    </row>
    <row r="156" spans="1:23" x14ac:dyDescent="0.25">
      <c r="A156" s="376" t="str">
        <f>IF(OR(B156&lt;Geometria!$L$1405/100,(Geometria!$L$29/100-B156)&lt;Geometria!$R$1405/100),"Sim","Não")</f>
        <v>Sim</v>
      </c>
      <c r="B156" s="395">
        <f>Tensões!$F$63</f>
        <v>1.5699999999999998</v>
      </c>
      <c r="C156" s="376" t="str">
        <f>IF(OR(B156&lt;Geometria!$L$1409/100,(Geometria!$L$29/100-B156)&lt;Geometria!$R$1409/100),"Sim","Não")</f>
        <v>Sim</v>
      </c>
      <c r="D156" s="122" t="s">
        <v>433</v>
      </c>
      <c r="E156" s="198" t="str">
        <f ca="1">IF(Geometria!$O$437&lt;Geometria!$N$1307/100,"Reduzir","OK")</f>
        <v>OK</v>
      </c>
      <c r="F156" s="396">
        <f t="shared" ca="1" si="46"/>
        <v>7119.7945436354885</v>
      </c>
      <c r="G156" s="397">
        <f ca="1">-L156/(Geometria!$L$48/100^2)+M156/(Geometria!$L$52/100^3)-Geometria!$L$898/(Geometria!$L$52/100^3)</f>
        <v>9144.274898110702</v>
      </c>
      <c r="H156" s="400">
        <f ca="1">((Geometria!$L$326*(Geometria!$O$897*100))/Geometria!$N$1307)</f>
        <v>195.91675378676064</v>
      </c>
      <c r="I156" s="743">
        <f ca="1">-($E$93*(1-IF(IF(OR(Geometria!$K$1409&gt;0,Geometria!$K$1407&gt;0,Geometria!$Q$1409&gt;0,Geometria!$Q$1407&gt;0),1,0),MIN(MIN(1,MAX(0,(B156-Geometria!$L$1409/100)/(Geometria!$N$1307/100))),MIN(1,MAX(0,((Geometria!$L$29/100-B156)-Geometria!$R$1409/100)/(Geometria!$N$1307/100)))),1))*(1-IF(IF(OR(Geometria!$K$1405&gt;0,Geometria!$K$1403&gt;0,Geometria!$Q$1405&gt;0,Geometria!$Q$1403&gt;0),1,0),MIN(MIN(1,MAX(0,(B156-Geometria!$L$1405/100)/(Geometria!$N$1307/100))),MIN(1,MAX(0,((Geometria!$L$29/100-B156)-Geometria!$R$1405/100)/(Geometria!$N$1307/100)))),1))+Geometria!$L$1447*(1-IF(IF(OR(Geometria!$K$1409&gt;0,Geometria!$K$1407&gt;0,Geometria!$Q$1409&gt;0,Geometria!$Q$1407&gt;0),1,0),MIN(MIN(1,MAX(0,(B156-Geometria!$L$1409/100)/(Geometria!$N$1307/100))),MIN(1,MAX(0,((Geometria!$L$29/100-B156)-Geometria!$R$1409/100)/(Geometria!$N$1307/100)))),1))*IF(IF(OR(Geometria!$K$1405&gt;0,Geometria!$K$1403&gt;0,Geometria!$Q$1405&gt;0,Geometria!$Q$1403&gt;0),1,0),MIN(MIN(1,MAX(0,(B156-Geometria!$L$1405/100)/(Geometria!$N$1307/100))),MIN(1,MAX(0,((Geometria!$L$29/100-B156)-Geometria!$R$1405/100)/(Geometria!$N$1307/100)))),1)+Geometria!$L$1449*IF(IF(OR(Geometria!$K$1409&gt;0,Geometria!$K$1407&gt;0,Geometria!$Q$1409&gt;0,Geometria!$Q$1407&gt;0),1,0),MIN(MIN(1,MAX(0,(B156-Geometria!$L$1409/100)/(Geometria!$N$1307/100))),MIN(1,MAX(0,((Geometria!$L$29/100-B156)-Geometria!$R$1409/100)/(Geometria!$N$1307/100)))),1)*(1-IF(IF(OR(Geometria!$K$1405&gt;0,Geometria!$K$1403&gt;0,Geometria!$Q$1405&gt;0,Geometria!$Q$1403&gt;0),1,0),MIN(MIN(1,MAX(0,(B156-Geometria!$L$1405/100)/(Geometria!$N$1307/100))),MIN(1,MAX(0,((Geometria!$L$29/100-B156)-Geometria!$R$1405/100)/(Geometria!$N$1307/100)))),1))+Geometria!$L$906*IF(IF(OR(Geometria!$K$1409&gt;0,Geometria!$K$1407&gt;0,Geometria!$Q$1409&gt;0,Geometria!$Q$1407&gt;0),1,0),MIN(MIN(1,MAX(0,(B156-Geometria!$L$1409/100)/(Geometria!$N$1307/100))),MIN(1,MAX(0,((Geometria!$L$29/100-B156)-Geometria!$R$1409/100)/(Geometria!$N$1307/100)))),1)*IF(IF(OR(Geometria!$K$1405&gt;0,Geometria!$K$1403&gt;0,Geometria!$Q$1405&gt;0,Geometria!$Q$1403&gt;0),1,0),MIN(MIN(1,MAX(0,(B156-Geometria!$L$1405/100)/(Geometria!$N$1307/100))),MIN(1,MAX(0,((Geometria!$L$29/100-B156)-Geometria!$R$1405/100)/(Geometria!$N$1307/100)))),1))/(Geometria!$L$48/100^2)+($E$94*(1-IF(IF(OR(Geometria!$K$1409&gt;0,Geometria!$K$1407&gt;0,Geometria!$Q$1409&gt;0,Geometria!$Q$1407&gt;0),1,0),MIN(MIN(1,MAX(0,(B156-Geometria!$L$1409/100)/(Geometria!$N$1307/100))),MIN(1,MAX(0,((Geometria!$L$29/100-B156)-Geometria!$R$1409/100)/(Geometria!$N$1307/100)))),1))*(1-IF(IF(OR(Geometria!$K$1405&gt;0,Geometria!$K$1403&gt;0,Geometria!$Q$1405&gt;0,Geometria!$Q$1403&gt;0),1,0),MIN(MIN(1,MAX(0,(B156-Geometria!$L$1405/100)/(Geometria!$N$1307/100))),MIN(1,MAX(0,((Geometria!$L$29/100-B156)-Geometria!$R$1405/100)/(Geometria!$N$1307/100)))),1))+Geometria!$L$1448*(1-IF(IF(OR(Geometria!$K$1409&gt;0,Geometria!$K$1407&gt;0,Geometria!$Q$1409&gt;0,Geometria!$Q$1407&gt;0),1,0),MIN(MIN(1,MAX(0,(B156-Geometria!$L$1409/100)/(Geometria!$N$1307/100))),MIN(1,MAX(0,((Geometria!$L$29/100-B156)-Geometria!$R$1409/100)/(Geometria!$N$1307/100)))),1))*IF(IF(OR(Geometria!$K$1405&gt;0,Geometria!$K$1403&gt;0,Geometria!$Q$1405&gt;0,Geometria!$Q$1403&gt;0),1,0),MIN(MIN(1,MAX(0,(B156-Geometria!$L$1405/100)/(Geometria!$N$1307/100))),MIN(1,MAX(0,((Geometria!$L$29/100-B156)-Geometria!$R$1405/100)/(Geometria!$N$1307/100)))),1)+Geometria!$L$1450*IF(IF(OR(Geometria!$K$1409&gt;0,Geometria!$K$1407&gt;0,Geometria!$Q$1409&gt;0,Geometria!$Q$1407&gt;0),1,0),MIN(MIN(1,MAX(0,(B156-Geometria!$L$1409/100)/(Geometria!$N$1307/100))),MIN(1,MAX(0,((Geometria!$L$29/100-B156)-Geometria!$R$1409/100)/(Geometria!$N$1307/100)))),1)*(1-IF(IF(OR(Geometria!$K$1405&gt;0,Geometria!$K$1403&gt;0,Geometria!$Q$1405&gt;0,Geometria!$Q$1403&gt;0),1,0),MIN(MIN(1,MAX(0,(B156-Geometria!$L$1405/100)/(Geometria!$N$1307/100))),MIN(1,MAX(0,((Geometria!$L$29/100-B156)-Geometria!$R$1405/100)/(Geometria!$N$1307/100)))),1))+Geometria!$L$907*IF(IF(OR(Geometria!$K$1409&gt;0,Geometria!$K$1407&gt;0,Geometria!$Q$1409&gt;0,Geometria!$Q$1407&gt;0),1,0),MIN(MIN(1,MAX(0,(B156-Geometria!$L$1409/100)/(Geometria!$N$1307/100))),MIN(1,MAX(0,((Geometria!$L$29/100-B156)-Geometria!$R$1409/100)/(Geometria!$N$1307/100)))),1)*IF(IF(OR(Geometria!$K$1405&gt;0,Geometria!$K$1403&gt;0,Geometria!$Q$1405&gt;0,Geometria!$Q$1403&gt;0),1,0),MIN(MIN(1,MAX(0,(B156-Geometria!$L$1405/100)/(Geometria!$N$1307/100))),MIN(1,MAX(0,((Geometria!$L$29/100-B156)-Geometria!$R$1405/100)/(Geometria!$N$1307/100)))),1))/(Geometria!$L$52/100^3)-Tensões!$F$64/(Geometria!$L$52/100^3)</f>
        <v>7119.7945436354885</v>
      </c>
      <c r="J156" s="743"/>
      <c r="L156" s="373">
        <f ca="1">(Geometria!$L$298-(Geometria!$L$298-IF(B156&lt;Geometria!$L$1409/100,Geometria!$L$1442,Geometria!$L$1460))*(1-(MIN(MIN(1,MAX(0,(B156-Geometria!$L$1409/100)/(Geometria!$N$1307/100))),MIN(1,MAX(0,((Geometria!$L$29/100-B156)-Geometria!$R$1409/100)/(Geometria!$N$1307/100))))))*(IF(OR(Geometria!$K$1409&gt;0,Geometria!$K$1407&gt;0,Geometria!$Q$1409&gt;0,Geometria!$Q$1407&gt;0),1,0))-(Geometria!$L$298-IF(B156&lt;Geometria!$L$1405/100,Geometria!$L$1444,Geometria!$L$1462))*(1-(MIN(MIN(1,MAX(0,(B156-Geometria!$L$1405/100)/(Geometria!$N$1307/100))),MIN(1,MAX(0,((Geometria!$L$29/100-B156)-Geometria!$R$1405/100)/(Geometria!$N$1307/100))))))*(IF(OR(Geometria!$K$1405&gt;0,Geometria!$K$1403&gt;0,Geometria!$Q$1405&gt;0,Geometria!$Q$1403&gt;0),1,0)))*H179+Geometria!$P$1429*H156</f>
        <v>931.8392903398249</v>
      </c>
      <c r="M156" s="373">
        <f ca="1">(Geometria!$L$298-(Geometria!$L$298-IF(B156&lt;Geometria!$L$1409/100,Geometria!$L$1442,Geometria!$L$1460))*(1-(MIN(MIN(1,MAX(0,(B156-Geometria!$L$1409/100)/(Geometria!$N$1307/100))),MIN(1,MAX(0,((Geometria!$L$29/100-B156)-Geometria!$R$1409/100)/(Geometria!$N$1307/100))))))*(IF(OR(Geometria!$K$1409&gt;0,Geometria!$K$1407&gt;0,Geometria!$Q$1409&gt;0,Geometria!$Q$1407&gt;0),1,0))-(Geometria!$L$298-IF(B156&lt;Geometria!$L$1405/100,Geometria!$L$1444,Geometria!$L$1462))*(1-(MIN(MIN(1,MAX(0,(B156-Geometria!$L$1405/100)/(Geometria!$N$1307/100))),MIN(1,MAX(0,((Geometria!$L$29/100-B156)-Geometria!$R$1405/100)/(Geometria!$N$1307/100))))))*(IF(OR(Geometria!$K$1405&gt;0,Geometria!$K$1403&gt;0,Geometria!$Q$1405&gt;0,Geometria!$Q$1403&gt;0),1,0)))*H179*(Geometria!$L$299-(Geometria!$L$299-IF(B156&lt;Geometria!$L$1409/100,Geometria!$L$1443,Geometria!$L$1461))*(1-(MIN(MIN(1,MAX(0,(B156-Geometria!$L$1409/100)/(Geometria!$N$1307/100))),MIN(1,MAX(0,((Geometria!$L$29/100-B156)-Geometria!$R$1409/100)/(Geometria!$N$1307/100))))))*(IF(OR(Geometria!$K$1409&gt;0,Geometria!$K$1407&gt;0,Geometria!$Q$1409&gt;0,Geometria!$Q$1407&gt;0),1,0))-(Geometria!$L$299-IF(B156&lt;Geometria!$L$1405/100,Geometria!$L$1445,Geometria!$L$1463))*(1-(MIN(MIN(1,MAX(0,(B156-Geometria!$L$1405/100)/(Geometria!$N$1307/100))),MIN(1,MAX(0,((Geometria!$L$29/100-B156)-Geometria!$R$1405/100)/(Geometria!$N$1307/100))))))*(IF(OR(Geometria!$K$1405&gt;0,Geometria!$K$1403&gt;0,Geometria!$Q$1405&gt;0,Geometria!$Q$1403&gt;0),1,0)))/100-Geometria!$P$1429*H156*Geometria!$L$1438/100</f>
        <v>265.5741977468501</v>
      </c>
      <c r="N156" s="365"/>
      <c r="O156" s="371">
        <f ca="1">(IF(C156="Sim",IF(A156="Sim",$E$93,Geometria!$L$1447),IF(A156="Sim",Geometria!$L$1449,Geometria!$L$906)))</f>
        <v>749.9028001915608</v>
      </c>
      <c r="P156" s="371">
        <f ca="1">(IF(C156="Sim",IF(A156="Sim",$E$94,Geometria!$L$1448),IF(A156="Sim",Geometria!$L$1450,Geometria!$L$907)))</f>
        <v>213.72229805459483</v>
      </c>
      <c r="R156" s="4" t="s">
        <v>433</v>
      </c>
      <c r="S156" s="202">
        <f t="shared" ca="1" si="48"/>
        <v>7119.7945436354885</v>
      </c>
      <c r="T156" s="38" t="s">
        <v>234</v>
      </c>
      <c r="U156" s="203">
        <f t="shared" ca="1" si="47"/>
        <v>7.119794543635488</v>
      </c>
      <c r="V156" s="38" t="s">
        <v>160</v>
      </c>
      <c r="W156" s="399">
        <f t="shared" si="49"/>
        <v>0.0</v>
      </c>
    </row>
    <row r="157" spans="1:23" x14ac:dyDescent="0.25">
      <c r="A157" s="376" t="str">
        <f>IF(OR(B157&lt;Geometria!$L$1405/100,(Geometria!$L$29/100-B157)&lt;Geometria!$R$1405/100),"Sim","Não")</f>
        <v>Não</v>
      </c>
      <c r="B157" s="395">
        <f>Tensões!$G$63</f>
        <v>1.9625</v>
      </c>
      <c r="C157" s="376" t="str">
        <f>IF(OR(B157&lt;Geometria!$L$1409/100,(Geometria!$L$29/100-B157)&lt;Geometria!$R$1409/100),"Sim","Não")</f>
        <v>Não</v>
      </c>
      <c r="D157" s="122" t="s">
        <v>434</v>
      </c>
      <c r="E157" s="198" t="str">
        <f ca="1">IF(Geometria!$P$437&lt;Geometria!$N$1307/100,"Reduzir","OK")</f>
        <v>OK</v>
      </c>
      <c r="F157" s="396">
        <f t="shared" ca="1" si="46"/>
        <v>6703.094058139494</v>
      </c>
      <c r="G157" s="397">
        <f ca="1">-L157/(Geometria!$L$48/100^2)+M157/(Geometria!$L$52/100^3)-Geometria!$L$898/(Geometria!$L$52/100^3)</f>
        <v>12474.57686969402</v>
      </c>
      <c r="H157" s="400">
        <f ca="1">((Geometria!$L$326*(Geometria!$P$897*100))/Geometria!$N$1307)</f>
        <v>244.89594223345082</v>
      </c>
      <c r="I157" s="743">
        <f ca="1">-($E$93*(1-IF(IF(OR(Geometria!$K$1409&gt;0,Geometria!$K$1407&gt;0,Geometria!$Q$1409&gt;0,Geometria!$Q$1407&gt;0),1,0),MIN(MIN(1,MAX(0,(B157-Geometria!$L$1409/100)/(Geometria!$N$1307/100))),MIN(1,MAX(0,((Geometria!$L$29/100-B157)-Geometria!$R$1409/100)/(Geometria!$N$1307/100)))),1))*(1-IF(IF(OR(Geometria!$K$1405&gt;0,Geometria!$K$1403&gt;0,Geometria!$Q$1405&gt;0,Geometria!$Q$1403&gt;0),1,0),MIN(MIN(1,MAX(0,(B157-Geometria!$L$1405/100)/(Geometria!$N$1307/100))),MIN(1,MAX(0,((Geometria!$L$29/100-B157)-Geometria!$R$1405/100)/(Geometria!$N$1307/100)))),1))+Geometria!$L$1447*(1-IF(IF(OR(Geometria!$K$1409&gt;0,Geometria!$K$1407&gt;0,Geometria!$Q$1409&gt;0,Geometria!$Q$1407&gt;0),1,0),MIN(MIN(1,MAX(0,(B157-Geometria!$L$1409/100)/(Geometria!$N$1307/100))),MIN(1,MAX(0,((Geometria!$L$29/100-B157)-Geometria!$R$1409/100)/(Geometria!$N$1307/100)))),1))*IF(IF(OR(Geometria!$K$1405&gt;0,Geometria!$K$1403&gt;0,Geometria!$Q$1405&gt;0,Geometria!$Q$1403&gt;0),1,0),MIN(MIN(1,MAX(0,(B157-Geometria!$L$1405/100)/(Geometria!$N$1307/100))),MIN(1,MAX(0,((Geometria!$L$29/100-B157)-Geometria!$R$1405/100)/(Geometria!$N$1307/100)))),1)+Geometria!$L$1449*IF(IF(OR(Geometria!$K$1409&gt;0,Geometria!$K$1407&gt;0,Geometria!$Q$1409&gt;0,Geometria!$Q$1407&gt;0),1,0),MIN(MIN(1,MAX(0,(B157-Geometria!$L$1409/100)/(Geometria!$N$1307/100))),MIN(1,MAX(0,((Geometria!$L$29/100-B157)-Geometria!$R$1409/100)/(Geometria!$N$1307/100)))),1)*(1-IF(IF(OR(Geometria!$K$1405&gt;0,Geometria!$K$1403&gt;0,Geometria!$Q$1405&gt;0,Geometria!$Q$1403&gt;0),1,0),MIN(MIN(1,MAX(0,(B157-Geometria!$L$1405/100)/(Geometria!$N$1307/100))),MIN(1,MAX(0,((Geometria!$L$29/100-B157)-Geometria!$R$1405/100)/(Geometria!$N$1307/100)))),1))+Geometria!$L$906*IF(IF(OR(Geometria!$K$1409&gt;0,Geometria!$K$1407&gt;0,Geometria!$Q$1409&gt;0,Geometria!$Q$1407&gt;0),1,0),MIN(MIN(1,MAX(0,(B157-Geometria!$L$1409/100)/(Geometria!$N$1307/100))),MIN(1,MAX(0,((Geometria!$L$29/100-B157)-Geometria!$R$1409/100)/(Geometria!$N$1307/100)))),1)*IF(IF(OR(Geometria!$K$1405&gt;0,Geometria!$K$1403&gt;0,Geometria!$Q$1405&gt;0,Geometria!$Q$1403&gt;0),1,0),MIN(MIN(1,MAX(0,(B157-Geometria!$L$1405/100)/(Geometria!$N$1307/100))),MIN(1,MAX(0,((Geometria!$L$29/100-B157)-Geometria!$R$1405/100)/(Geometria!$N$1307/100)))),1))/(Geometria!$L$48/100^2)+($E$94*(1-IF(IF(OR(Geometria!$K$1409&gt;0,Geometria!$K$1407&gt;0,Geometria!$Q$1409&gt;0,Geometria!$Q$1407&gt;0),1,0),MIN(MIN(1,MAX(0,(B157-Geometria!$L$1409/100)/(Geometria!$N$1307/100))),MIN(1,MAX(0,((Geometria!$L$29/100-B157)-Geometria!$R$1409/100)/(Geometria!$N$1307/100)))),1))*(1-IF(IF(OR(Geometria!$K$1405&gt;0,Geometria!$K$1403&gt;0,Geometria!$Q$1405&gt;0,Geometria!$Q$1403&gt;0),1,0),MIN(MIN(1,MAX(0,(B157-Geometria!$L$1405/100)/(Geometria!$N$1307/100))),MIN(1,MAX(0,((Geometria!$L$29/100-B157)-Geometria!$R$1405/100)/(Geometria!$N$1307/100)))),1))+Geometria!$L$1448*(1-IF(IF(OR(Geometria!$K$1409&gt;0,Geometria!$K$1407&gt;0,Geometria!$Q$1409&gt;0,Geometria!$Q$1407&gt;0),1,0),MIN(MIN(1,MAX(0,(B157-Geometria!$L$1409/100)/(Geometria!$N$1307/100))),MIN(1,MAX(0,((Geometria!$L$29/100-B157)-Geometria!$R$1409/100)/(Geometria!$N$1307/100)))),1))*IF(IF(OR(Geometria!$K$1405&gt;0,Geometria!$K$1403&gt;0,Geometria!$Q$1405&gt;0,Geometria!$Q$1403&gt;0),1,0),MIN(MIN(1,MAX(0,(B157-Geometria!$L$1405/100)/(Geometria!$N$1307/100))),MIN(1,MAX(0,((Geometria!$L$29/100-B157)-Geometria!$R$1405/100)/(Geometria!$N$1307/100)))),1)+Geometria!$L$1450*IF(IF(OR(Geometria!$K$1409&gt;0,Geometria!$K$1407&gt;0,Geometria!$Q$1409&gt;0,Geometria!$Q$1407&gt;0),1,0),MIN(MIN(1,MAX(0,(B157-Geometria!$L$1409/100)/(Geometria!$N$1307/100))),MIN(1,MAX(0,((Geometria!$L$29/100-B157)-Geometria!$R$1409/100)/(Geometria!$N$1307/100)))),1)*(1-IF(IF(OR(Geometria!$K$1405&gt;0,Geometria!$K$1403&gt;0,Geometria!$Q$1405&gt;0,Geometria!$Q$1403&gt;0),1,0),MIN(MIN(1,MAX(0,(B157-Geometria!$L$1405/100)/(Geometria!$N$1307/100))),MIN(1,MAX(0,((Geometria!$L$29/100-B157)-Geometria!$R$1405/100)/(Geometria!$N$1307/100)))),1))+Geometria!$L$907*IF(IF(OR(Geometria!$K$1409&gt;0,Geometria!$K$1407&gt;0,Geometria!$Q$1409&gt;0,Geometria!$Q$1407&gt;0),1,0),MIN(MIN(1,MAX(0,(B157-Geometria!$L$1409/100)/(Geometria!$N$1307/100))),MIN(1,MAX(0,((Geometria!$L$29/100-B157)-Geometria!$R$1409/100)/(Geometria!$N$1307/100)))),1)*IF(IF(OR(Geometria!$K$1405&gt;0,Geometria!$K$1403&gt;0,Geometria!$Q$1405&gt;0,Geometria!$Q$1403&gt;0),1,0),MIN(MIN(1,MAX(0,(B157-Geometria!$L$1405/100)/(Geometria!$N$1307/100))),MIN(1,MAX(0,((Geometria!$L$29/100-B157)-Geometria!$R$1405/100)/(Geometria!$N$1307/100)))),1))/(Geometria!$L$52/100^3)-Tensões!$G$64/(Geometria!$L$52/100^3)</f>
        <v>6703.094058139494</v>
      </c>
      <c r="J157" s="743"/>
      <c r="L157" s="373">
        <f ca="1">(Geometria!$L$298-(Geometria!$L$298-IF(B157&lt;Geometria!$L$1409/100,Geometria!$L$1442,Geometria!$L$1460))*(1-(MIN(MIN(1,MAX(0,(B157-Geometria!$L$1409/100)/(Geometria!$N$1307/100))),MIN(1,MAX(0,((Geometria!$L$29/100-B157)-Geometria!$R$1409/100)/(Geometria!$N$1307/100))))))*(IF(OR(Geometria!$K$1409&gt;0,Geometria!$K$1407&gt;0,Geometria!$Q$1409&gt;0,Geometria!$Q$1407&gt;0),1,0))-(Geometria!$L$298-IF(B157&lt;Geometria!$L$1405/100,Geometria!$L$1444,Geometria!$L$1462))*(1-(MIN(MIN(1,MAX(0,(B157-Geometria!$L$1405/100)/(Geometria!$N$1307/100))),MIN(1,MAX(0,((Geometria!$L$29/100-B157)-Geometria!$R$1405/100)/(Geometria!$N$1307/100))))))*(IF(OR(Geometria!$K$1405&gt;0,Geometria!$K$1403&gt;0,Geometria!$Q$1405&gt;0,Geometria!$Q$1403&gt;0),1,0)))*H180+Geometria!$P$1429*H157</f>
        <v>1501.3493950470825</v>
      </c>
      <c r="M157" s="373">
        <f ca="1">(Geometria!$L$298-(Geometria!$L$298-IF(B157&lt;Geometria!$L$1409/100,Geometria!$L$1442,Geometria!$L$1460))*(1-(MIN(MIN(1,MAX(0,(B157-Geometria!$L$1409/100)/(Geometria!$N$1307/100))),MIN(1,MAX(0,((Geometria!$L$29/100-B157)-Geometria!$R$1409/100)/(Geometria!$N$1307/100))))))*(IF(OR(Geometria!$K$1409&gt;0,Geometria!$K$1407&gt;0,Geometria!$Q$1409&gt;0,Geometria!$Q$1407&gt;0),1,0))-(Geometria!$L$298-IF(B157&lt;Geometria!$L$1405/100,Geometria!$L$1444,Geometria!$L$1462))*(1-(MIN(MIN(1,MAX(0,(B157-Geometria!$L$1405/100)/(Geometria!$N$1307/100))),MIN(1,MAX(0,((Geometria!$L$29/100-B157)-Geometria!$R$1405/100)/(Geometria!$N$1307/100))))))*(IF(OR(Geometria!$K$1405&gt;0,Geometria!$K$1403&gt;0,Geometria!$Q$1405&gt;0,Geometria!$Q$1403&gt;0),1,0)))*H180*(Geometria!$L$299-(Geometria!$L$299-IF(B157&lt;Geometria!$L$1409/100,Geometria!$L$1443,Geometria!$L$1461))*(1-(MIN(MIN(1,MAX(0,(B157-Geometria!$L$1409/100)/(Geometria!$N$1307/100))),MIN(1,MAX(0,((Geometria!$L$29/100-B157)-Geometria!$R$1409/100)/(Geometria!$N$1307/100))))))*(IF(OR(Geometria!$K$1409&gt;0,Geometria!$K$1407&gt;0,Geometria!$Q$1409&gt;0,Geometria!$Q$1407&gt;0),1,0))-(Geometria!$L$299-IF(B157&lt;Geometria!$L$1405/100,Geometria!$L$1445,Geometria!$L$1463))*(1-(MIN(MIN(1,MAX(0,(B157-Geometria!$L$1405/100)/(Geometria!$N$1307/100))),MIN(1,MAX(0,((Geometria!$L$29/100-B157)-Geometria!$R$1405/100)/(Geometria!$N$1307/100))))))*(IF(OR(Geometria!$K$1405&gt;0,Geometria!$K$1403&gt;0,Geometria!$Q$1405&gt;0,Geometria!$Q$1403&gt;0),1,0)))/100-Geometria!$P$1429*H157*Geometria!$L$1438/100</f>
        <v>382.4706437060756</v>
      </c>
      <c r="N157" s="365"/>
      <c r="O157" s="371">
        <f ca="1">(IF(C157="Sim",IF(A157="Sim",$E$93,Geometria!$L$1447),IF(A157="Sim",Geometria!$L$1449,Geometria!$L$906)))</f>
        <v>1475.413282676191</v>
      </c>
      <c r="P157" s="371">
        <f ca="1">(IF(C157="Sim",IF(A157="Sim",$E$94,Geometria!$L$1448),IF(A157="Sim",Geometria!$L$1450,Geometria!$L$907)))</f>
        <v>276.63999050178586</v>
      </c>
      <c r="R157" s="4" t="s">
        <v>434</v>
      </c>
      <c r="S157" s="202">
        <f t="shared" ca="1" si="48"/>
        <v>6703.094058139494</v>
      </c>
      <c r="T157" s="38" t="s">
        <v>234</v>
      </c>
      <c r="U157" s="203">
        <f t="shared" ca="1" si="47"/>
        <v>6.703094058139494</v>
      </c>
      <c r="V157" s="38" t="s">
        <v>160</v>
      </c>
      <c r="W157" s="399">
        <f t="shared" si="49"/>
        <v>0.0</v>
      </c>
    </row>
    <row r="158" spans="1:23" x14ac:dyDescent="0.25">
      <c r="A158" s="376" t="str">
        <f>IF(OR(B158&lt;Geometria!$L$1405/100,(Geometria!$L$29/100-B158)&lt;Geometria!$R$1405/100),"Sim","Não")</f>
        <v>Não</v>
      </c>
      <c r="B158" s="395">
        <f>Tensões!$H$63</f>
        <v>2.355</v>
      </c>
      <c r="C158" s="376" t="str">
        <f>IF(OR(B158&lt;Geometria!$L$1409/100,(Geometria!$L$29/100-B158)&lt;Geometria!$R$1409/100),"Sim","Não")</f>
        <v>Não</v>
      </c>
      <c r="D158" s="122" t="s">
        <v>435</v>
      </c>
      <c r="E158" s="198" t="str">
        <f ca="1">IF(Geometria!$Q$437&lt;Geometria!$N$1307/100,"Reduzir","OK")</f>
        <v>OK</v>
      </c>
      <c r="F158" s="396">
        <f t="shared" ca="1" si="46"/>
        <v>6318.2274600866485</v>
      </c>
      <c r="G158" s="397">
        <f ca="1">-L158/(Geometria!$L$48/100^2)+M158/(Geometria!$L$52/100^3)-Geometria!$L$898/(Geometria!$L$52/100^3)</f>
        <v>14908.54503454353</v>
      </c>
      <c r="H158" s="400">
        <f ca="1">((Geometria!$L$326*(Geometria!$Q$897*100))/Geometria!$N$1307)</f>
        <v>293.87513068014107</v>
      </c>
      <c r="I158" s="743">
        <f ca="1">-($E$93*(1-IF(IF(OR(Geometria!$K$1409&gt;0,Geometria!$K$1407&gt;0,Geometria!$Q$1409&gt;0,Geometria!$Q$1407&gt;0),1,0),MIN(MIN(1,MAX(0,(B158-Geometria!$L$1409/100)/(Geometria!$N$1307/100))),MIN(1,MAX(0,((Geometria!$L$29/100-B158)-Geometria!$R$1409/100)/(Geometria!$N$1307/100)))),1))*(1-IF(IF(OR(Geometria!$K$1405&gt;0,Geometria!$K$1403&gt;0,Geometria!$Q$1405&gt;0,Geometria!$Q$1403&gt;0),1,0),MIN(MIN(1,MAX(0,(B158-Geometria!$L$1405/100)/(Geometria!$N$1307/100))),MIN(1,MAX(0,((Geometria!$L$29/100-B158)-Geometria!$R$1405/100)/(Geometria!$N$1307/100)))),1))+Geometria!$L$1447*(1-IF(IF(OR(Geometria!$K$1409&gt;0,Geometria!$K$1407&gt;0,Geometria!$Q$1409&gt;0,Geometria!$Q$1407&gt;0),1,0),MIN(MIN(1,MAX(0,(B158-Geometria!$L$1409/100)/(Geometria!$N$1307/100))),MIN(1,MAX(0,((Geometria!$L$29/100-B158)-Geometria!$R$1409/100)/(Geometria!$N$1307/100)))),1))*IF(IF(OR(Geometria!$K$1405&gt;0,Geometria!$K$1403&gt;0,Geometria!$Q$1405&gt;0,Geometria!$Q$1403&gt;0),1,0),MIN(MIN(1,MAX(0,(B158-Geometria!$L$1405/100)/(Geometria!$N$1307/100))),MIN(1,MAX(0,((Geometria!$L$29/100-B158)-Geometria!$R$1405/100)/(Geometria!$N$1307/100)))),1)+Geometria!$L$1449*IF(IF(OR(Geometria!$K$1409&gt;0,Geometria!$K$1407&gt;0,Geometria!$Q$1409&gt;0,Geometria!$Q$1407&gt;0),1,0),MIN(MIN(1,MAX(0,(B158-Geometria!$L$1409/100)/(Geometria!$N$1307/100))),MIN(1,MAX(0,((Geometria!$L$29/100-B158)-Geometria!$R$1409/100)/(Geometria!$N$1307/100)))),1)*(1-IF(IF(OR(Geometria!$K$1405&gt;0,Geometria!$K$1403&gt;0,Geometria!$Q$1405&gt;0,Geometria!$Q$1403&gt;0),1,0),MIN(MIN(1,MAX(0,(B158-Geometria!$L$1405/100)/(Geometria!$N$1307/100))),MIN(1,MAX(0,((Geometria!$L$29/100-B158)-Geometria!$R$1405/100)/(Geometria!$N$1307/100)))),1))+Geometria!$L$906*IF(IF(OR(Geometria!$K$1409&gt;0,Geometria!$K$1407&gt;0,Geometria!$Q$1409&gt;0,Geometria!$Q$1407&gt;0),1,0),MIN(MIN(1,MAX(0,(B158-Geometria!$L$1409/100)/(Geometria!$N$1307/100))),MIN(1,MAX(0,((Geometria!$L$29/100-B158)-Geometria!$R$1409/100)/(Geometria!$N$1307/100)))),1)*IF(IF(OR(Geometria!$K$1405&gt;0,Geometria!$K$1403&gt;0,Geometria!$Q$1405&gt;0,Geometria!$Q$1403&gt;0),1,0),MIN(MIN(1,MAX(0,(B158-Geometria!$L$1405/100)/(Geometria!$N$1307/100))),MIN(1,MAX(0,((Geometria!$L$29/100-B158)-Geometria!$R$1405/100)/(Geometria!$N$1307/100)))),1))/(Geometria!$L$48/100^2)+($E$94*(1-IF(IF(OR(Geometria!$K$1409&gt;0,Geometria!$K$1407&gt;0,Geometria!$Q$1409&gt;0,Geometria!$Q$1407&gt;0),1,0),MIN(MIN(1,MAX(0,(B158-Geometria!$L$1409/100)/(Geometria!$N$1307/100))),MIN(1,MAX(0,((Geometria!$L$29/100-B158)-Geometria!$R$1409/100)/(Geometria!$N$1307/100)))),1))*(1-IF(IF(OR(Geometria!$K$1405&gt;0,Geometria!$K$1403&gt;0,Geometria!$Q$1405&gt;0,Geometria!$Q$1403&gt;0),1,0),MIN(MIN(1,MAX(0,(B158-Geometria!$L$1405/100)/(Geometria!$N$1307/100))),MIN(1,MAX(0,((Geometria!$L$29/100-B158)-Geometria!$R$1405/100)/(Geometria!$N$1307/100)))),1))+Geometria!$L$1448*(1-IF(IF(OR(Geometria!$K$1409&gt;0,Geometria!$K$1407&gt;0,Geometria!$Q$1409&gt;0,Geometria!$Q$1407&gt;0),1,0),MIN(MIN(1,MAX(0,(B158-Geometria!$L$1409/100)/(Geometria!$N$1307/100))),MIN(1,MAX(0,((Geometria!$L$29/100-B158)-Geometria!$R$1409/100)/(Geometria!$N$1307/100)))),1))*IF(IF(OR(Geometria!$K$1405&gt;0,Geometria!$K$1403&gt;0,Geometria!$Q$1405&gt;0,Geometria!$Q$1403&gt;0),1,0),MIN(MIN(1,MAX(0,(B158-Geometria!$L$1405/100)/(Geometria!$N$1307/100))),MIN(1,MAX(0,((Geometria!$L$29/100-B158)-Geometria!$R$1405/100)/(Geometria!$N$1307/100)))),1)+Geometria!$L$1450*IF(IF(OR(Geometria!$K$1409&gt;0,Geometria!$K$1407&gt;0,Geometria!$Q$1409&gt;0,Geometria!$Q$1407&gt;0),1,0),MIN(MIN(1,MAX(0,(B158-Geometria!$L$1409/100)/(Geometria!$N$1307/100))),MIN(1,MAX(0,((Geometria!$L$29/100-B158)-Geometria!$R$1409/100)/(Geometria!$N$1307/100)))),1)*(1-IF(IF(OR(Geometria!$K$1405&gt;0,Geometria!$K$1403&gt;0,Geometria!$Q$1405&gt;0,Geometria!$Q$1403&gt;0),1,0),MIN(MIN(1,MAX(0,(B158-Geometria!$L$1405/100)/(Geometria!$N$1307/100))),MIN(1,MAX(0,((Geometria!$L$29/100-B158)-Geometria!$R$1405/100)/(Geometria!$N$1307/100)))),1))+Geometria!$L$907*IF(IF(OR(Geometria!$K$1409&gt;0,Geometria!$K$1407&gt;0,Geometria!$Q$1409&gt;0,Geometria!$Q$1407&gt;0),1,0),MIN(MIN(1,MAX(0,(B158-Geometria!$L$1409/100)/(Geometria!$N$1307/100))),MIN(1,MAX(0,((Geometria!$L$29/100-B158)-Geometria!$R$1409/100)/(Geometria!$N$1307/100)))),1)*IF(IF(OR(Geometria!$K$1405&gt;0,Geometria!$K$1403&gt;0,Geometria!$Q$1405&gt;0,Geometria!$Q$1403&gt;0),1,0),MIN(MIN(1,MAX(0,(B158-Geometria!$L$1405/100)/(Geometria!$N$1307/100))),MIN(1,MAX(0,((Geometria!$L$29/100-B158)-Geometria!$R$1405/100)/(Geometria!$N$1307/100)))),1))/(Geometria!$L$52/100^3)-Tensões!$H$64/(Geometria!$L$52/100^3)</f>
        <v>6318.2274600866485</v>
      </c>
      <c r="J158" s="743"/>
      <c r="L158" s="373">
        <f ca="1">(Geometria!$L$298-(Geometria!$L$298-IF(B158&lt;Geometria!$L$1409/100,Geometria!$L$1442,Geometria!$L$1460))*(1-(MIN(MIN(1,MAX(0,(B158-Geometria!$L$1409/100)/(Geometria!$N$1307/100))),MIN(1,MAX(0,((Geometria!$L$29/100-B158)-Geometria!$R$1409/100)/(Geometria!$N$1307/100))))))*(IF(OR(Geometria!$K$1409&gt;0,Geometria!$K$1407&gt;0,Geometria!$Q$1409&gt;0,Geometria!$Q$1407&gt;0),1,0))-(Geometria!$L$298-IF(B158&lt;Geometria!$L$1405/100,Geometria!$L$1444,Geometria!$L$1462))*(1-(MIN(MIN(1,MAX(0,(B158-Geometria!$L$1405/100)/(Geometria!$N$1307/100))),MIN(1,MAX(0,((Geometria!$L$29/100-B158)-Geometria!$R$1405/100)/(Geometria!$N$1307/100))))))*(IF(OR(Geometria!$K$1405&gt;0,Geometria!$K$1403&gt;0,Geometria!$Q$1405&gt;0,Geometria!$Q$1403&gt;0),1,0)))*H181+Geometria!$P$1429*H158</f>
        <v>2263.5165274389333</v>
      </c>
      <c r="M158" s="373">
        <f ca="1">(Geometria!$L$298-(Geometria!$L$298-IF(B158&lt;Geometria!$L$1409/100,Geometria!$L$1442,Geometria!$L$1460))*(1-(MIN(MIN(1,MAX(0,(B158-Geometria!$L$1409/100)/(Geometria!$N$1307/100))),MIN(1,MAX(0,((Geometria!$L$29/100-B158)-Geometria!$R$1409/100)/(Geometria!$N$1307/100))))))*(IF(OR(Geometria!$K$1409&gt;0,Geometria!$K$1407&gt;0,Geometria!$Q$1409&gt;0,Geometria!$Q$1407&gt;0),1,0))-(Geometria!$L$298-IF(B158&lt;Geometria!$L$1405/100,Geometria!$L$1444,Geometria!$L$1462))*(1-(MIN(MIN(1,MAX(0,(B158-Geometria!$L$1405/100)/(Geometria!$N$1307/100))),MIN(1,MAX(0,((Geometria!$L$29/100-B158)-Geometria!$R$1405/100)/(Geometria!$N$1307/100))))))*(IF(OR(Geometria!$K$1405&gt;0,Geometria!$K$1403&gt;0,Geometria!$Q$1405&gt;0,Geometria!$Q$1403&gt;0),1,0)))*H181*(Geometria!$L$299-(Geometria!$L$299-IF(B158&lt;Geometria!$L$1409/100,Geometria!$L$1443,Geometria!$L$1461))*(1-(MIN(MIN(1,MAX(0,(B158-Geometria!$L$1409/100)/(Geometria!$N$1307/100))),MIN(1,MAX(0,((Geometria!$L$29/100-B158)-Geometria!$R$1409/100)/(Geometria!$N$1307/100))))))*(IF(OR(Geometria!$K$1409&gt;0,Geometria!$K$1407&gt;0,Geometria!$Q$1409&gt;0,Geometria!$Q$1407&gt;0),1,0))-(Geometria!$L$299-IF(B158&lt;Geometria!$L$1405/100,Geometria!$L$1445,Geometria!$L$1463))*(1-(MIN(MIN(1,MAX(0,(B158-Geometria!$L$1405/100)/(Geometria!$N$1307/100))),MIN(1,MAX(0,((Geometria!$L$29/100-B158)-Geometria!$R$1405/100)/(Geometria!$N$1307/100))))))*(IF(OR(Geometria!$K$1405&gt;0,Geometria!$K$1403&gt;0,Geometria!$Q$1405&gt;0,Geometria!$Q$1403&gt;0),1,0)))/100-Geometria!$P$1429*H158*Geometria!$L$1438/100</f>
        <v>502.4987839125518</v>
      </c>
      <c r="N158" s="365"/>
      <c r="O158" s="371">
        <f ca="1">(IF(C158="Sim",IF(A158="Sim",$E$93,Geometria!$L$1447),IF(A158="Sim",Geometria!$L$1449,Geometria!$L$906)))</f>
        <v>1475.413282676191</v>
      </c>
      <c r="P158" s="371">
        <f ca="1">(IF(C158="Sim",IF(A158="Sim",$E$94,Geometria!$L$1448),IF(A158="Sim",Geometria!$L$1450,Geometria!$L$907)))</f>
        <v>276.63999050178586</v>
      </c>
      <c r="R158" s="4" t="s">
        <v>435</v>
      </c>
      <c r="S158" s="202">
        <f t="shared" ca="1" si="48"/>
        <v>6318.2274600866485</v>
      </c>
      <c r="T158" s="38" t="s">
        <v>234</v>
      </c>
      <c r="U158" s="203">
        <f t="shared" ca="1" si="47"/>
        <v>6.318227460086648</v>
      </c>
      <c r="V158" s="38" t="s">
        <v>160</v>
      </c>
      <c r="W158" s="399">
        <f t="shared" si="49"/>
        <v>0.0</v>
      </c>
    </row>
    <row r="159" spans="1:23" x14ac:dyDescent="0.25">
      <c r="A159" s="376" t="str">
        <f>IF(OR(B159&lt;Geometria!$L$1405/100,(Geometria!$L$29/100-B159)&lt;Geometria!$R$1405/100),"Sim","Não")</f>
        <v>Não</v>
      </c>
      <c r="B159" s="395">
        <f>Tensões!$I$63</f>
        <v>2.7475</v>
      </c>
      <c r="C159" s="376" t="str">
        <f>IF(OR(B159&lt;Geometria!$L$1409/100,(Geometria!$L$29/100-B159)&lt;Geometria!$R$1409/100),"Sim","Não")</f>
        <v>Não</v>
      </c>
      <c r="D159" s="122" t="s">
        <v>436</v>
      </c>
      <c r="E159" s="198" t="str">
        <f ca="1">IF(Geometria!$R$437&lt;Geometria!$N$1307/100,"Reduzir","OK")</f>
        <v>OK</v>
      </c>
      <c r="F159" s="396">
        <f t="shared" ca="1" si="46"/>
        <v>5978.935835992132</v>
      </c>
      <c r="G159" s="397">
        <f ca="1">-L159/(Geometria!$L$48/100^2)+M159/(Geometria!$L$52/100^3)-Geometria!$L$898/(Geometria!$L$52/100^3)</f>
        <v>15332.283342900419</v>
      </c>
      <c r="H159" s="400">
        <f ca="1">((Geometria!$L$326*(Geometria!$R$897*100))/Geometria!$N$1307)</f>
        <v>342.8543191268312</v>
      </c>
      <c r="I159" s="743">
        <f ca="1">-($E$93*(1-IF(IF(OR(Geometria!$K$1409&gt;0,Geometria!$K$1407&gt;0,Geometria!$Q$1409&gt;0,Geometria!$Q$1407&gt;0),1,0),MIN(MIN(1,MAX(0,(B159-Geometria!$L$1409/100)/(Geometria!$N$1307/100))),MIN(1,MAX(0,((Geometria!$L$29/100-B159)-Geometria!$R$1409/100)/(Geometria!$N$1307/100)))),1))*(1-IF(IF(OR(Geometria!$K$1405&gt;0,Geometria!$K$1403&gt;0,Geometria!$Q$1405&gt;0,Geometria!$Q$1403&gt;0),1,0),MIN(MIN(1,MAX(0,(B159-Geometria!$L$1405/100)/(Geometria!$N$1307/100))),MIN(1,MAX(0,((Geometria!$L$29/100-B159)-Geometria!$R$1405/100)/(Geometria!$N$1307/100)))),1))+Geometria!$L$1447*(1-IF(IF(OR(Geometria!$K$1409&gt;0,Geometria!$K$1407&gt;0,Geometria!$Q$1409&gt;0,Geometria!$Q$1407&gt;0),1,0),MIN(MIN(1,MAX(0,(B159-Geometria!$L$1409/100)/(Geometria!$N$1307/100))),MIN(1,MAX(0,((Geometria!$L$29/100-B159)-Geometria!$R$1409/100)/(Geometria!$N$1307/100)))),1))*IF(IF(OR(Geometria!$K$1405&gt;0,Geometria!$K$1403&gt;0,Geometria!$Q$1405&gt;0,Geometria!$Q$1403&gt;0),1,0),MIN(MIN(1,MAX(0,(B159-Geometria!$L$1405/100)/(Geometria!$N$1307/100))),MIN(1,MAX(0,((Geometria!$L$29/100-B159)-Geometria!$R$1405/100)/(Geometria!$N$1307/100)))),1)+Geometria!$L$1449*IF(IF(OR(Geometria!$K$1409&gt;0,Geometria!$K$1407&gt;0,Geometria!$Q$1409&gt;0,Geometria!$Q$1407&gt;0),1,0),MIN(MIN(1,MAX(0,(B159-Geometria!$L$1409/100)/(Geometria!$N$1307/100))),MIN(1,MAX(0,((Geometria!$L$29/100-B159)-Geometria!$R$1409/100)/(Geometria!$N$1307/100)))),1)*(1-IF(IF(OR(Geometria!$K$1405&gt;0,Geometria!$K$1403&gt;0,Geometria!$Q$1405&gt;0,Geometria!$Q$1403&gt;0),1,0),MIN(MIN(1,MAX(0,(B159-Geometria!$L$1405/100)/(Geometria!$N$1307/100))),MIN(1,MAX(0,((Geometria!$L$29/100-B159)-Geometria!$R$1405/100)/(Geometria!$N$1307/100)))),1))+Geometria!$L$906*IF(IF(OR(Geometria!$K$1409&gt;0,Geometria!$K$1407&gt;0,Geometria!$Q$1409&gt;0,Geometria!$Q$1407&gt;0),1,0),MIN(MIN(1,MAX(0,(B159-Geometria!$L$1409/100)/(Geometria!$N$1307/100))),MIN(1,MAX(0,((Geometria!$L$29/100-B159)-Geometria!$R$1409/100)/(Geometria!$N$1307/100)))),1)*IF(IF(OR(Geometria!$K$1405&gt;0,Geometria!$K$1403&gt;0,Geometria!$Q$1405&gt;0,Geometria!$Q$1403&gt;0),1,0),MIN(MIN(1,MAX(0,(B159-Geometria!$L$1405/100)/(Geometria!$N$1307/100))),MIN(1,MAX(0,((Geometria!$L$29/100-B159)-Geometria!$R$1405/100)/(Geometria!$N$1307/100)))),1))/(Geometria!$L$48/100^2)+($E$94*(1-IF(IF(OR(Geometria!$K$1409&gt;0,Geometria!$K$1407&gt;0,Geometria!$Q$1409&gt;0,Geometria!$Q$1407&gt;0),1,0),MIN(MIN(1,MAX(0,(B159-Geometria!$L$1409/100)/(Geometria!$N$1307/100))),MIN(1,MAX(0,((Geometria!$L$29/100-B159)-Geometria!$R$1409/100)/(Geometria!$N$1307/100)))),1))*(1-IF(IF(OR(Geometria!$K$1405&gt;0,Geometria!$K$1403&gt;0,Geometria!$Q$1405&gt;0,Geometria!$Q$1403&gt;0),1,0),MIN(MIN(1,MAX(0,(B159-Geometria!$L$1405/100)/(Geometria!$N$1307/100))),MIN(1,MAX(0,((Geometria!$L$29/100-B159)-Geometria!$R$1405/100)/(Geometria!$N$1307/100)))),1))+Geometria!$L$1448*(1-IF(IF(OR(Geometria!$K$1409&gt;0,Geometria!$K$1407&gt;0,Geometria!$Q$1409&gt;0,Geometria!$Q$1407&gt;0),1,0),MIN(MIN(1,MAX(0,(B159-Geometria!$L$1409/100)/(Geometria!$N$1307/100))),MIN(1,MAX(0,((Geometria!$L$29/100-B159)-Geometria!$R$1409/100)/(Geometria!$N$1307/100)))),1))*IF(IF(OR(Geometria!$K$1405&gt;0,Geometria!$K$1403&gt;0,Geometria!$Q$1405&gt;0,Geometria!$Q$1403&gt;0),1,0),MIN(MIN(1,MAX(0,(B159-Geometria!$L$1405/100)/(Geometria!$N$1307/100))),MIN(1,MAX(0,((Geometria!$L$29/100-B159)-Geometria!$R$1405/100)/(Geometria!$N$1307/100)))),1)+Geometria!$L$1450*IF(IF(OR(Geometria!$K$1409&gt;0,Geometria!$K$1407&gt;0,Geometria!$Q$1409&gt;0,Geometria!$Q$1407&gt;0),1,0),MIN(MIN(1,MAX(0,(B159-Geometria!$L$1409/100)/(Geometria!$N$1307/100))),MIN(1,MAX(0,((Geometria!$L$29/100-B159)-Geometria!$R$1409/100)/(Geometria!$N$1307/100)))),1)*(1-IF(IF(OR(Geometria!$K$1405&gt;0,Geometria!$K$1403&gt;0,Geometria!$Q$1405&gt;0,Geometria!$Q$1403&gt;0),1,0),MIN(MIN(1,MAX(0,(B159-Geometria!$L$1405/100)/(Geometria!$N$1307/100))),MIN(1,MAX(0,((Geometria!$L$29/100-B159)-Geometria!$R$1405/100)/(Geometria!$N$1307/100)))),1))+Geometria!$L$907*IF(IF(OR(Geometria!$K$1409&gt;0,Geometria!$K$1407&gt;0,Geometria!$Q$1409&gt;0,Geometria!$Q$1407&gt;0),1,0),MIN(MIN(1,MAX(0,(B159-Geometria!$L$1409/100)/(Geometria!$N$1307/100))),MIN(1,MAX(0,((Geometria!$L$29/100-B159)-Geometria!$R$1409/100)/(Geometria!$N$1307/100)))),1)*IF(IF(OR(Geometria!$K$1405&gt;0,Geometria!$K$1403&gt;0,Geometria!$Q$1405&gt;0,Geometria!$Q$1403&gt;0),1,0),MIN(MIN(1,MAX(0,(B159-Geometria!$L$1405/100)/(Geometria!$N$1307/100))),MIN(1,MAX(0,((Geometria!$L$29/100-B159)-Geometria!$R$1405/100)/(Geometria!$N$1307/100)))),1))/(Geometria!$L$52/100^3)-Tensões!$I$64/(Geometria!$L$52/100^3)</f>
        <v>5978.935835992132</v>
      </c>
      <c r="J159" s="743"/>
      <c r="L159" s="373">
        <f ca="1">(Geometria!$L$298-(Geometria!$L$298-IF(B159&lt;Geometria!$L$1409/100,Geometria!$L$1442,Geometria!$L$1460))*(1-(MIN(MIN(1,MAX(0,(B159-Geometria!$L$1409/100)/(Geometria!$N$1307/100))),MIN(1,MAX(0,((Geometria!$L$29/100-B159)-Geometria!$R$1409/100)/(Geometria!$N$1307/100))))))*(IF(OR(Geometria!$K$1409&gt;0,Geometria!$K$1407&gt;0,Geometria!$Q$1409&gt;0,Geometria!$Q$1407&gt;0),1,0))-(Geometria!$L$298-IF(B159&lt;Geometria!$L$1405/100,Geometria!$L$1444,Geometria!$L$1462))*(1-(MIN(MIN(1,MAX(0,(B159-Geometria!$L$1405/100)/(Geometria!$N$1307/100))),MIN(1,MAX(0,((Geometria!$L$29/100-B159)-Geometria!$R$1405/100)/(Geometria!$N$1307/100))))))*(IF(OR(Geometria!$K$1405&gt;0,Geometria!$K$1403&gt;0,Geometria!$Q$1405&gt;0,Geometria!$Q$1403&gt;0),1,0)))*H182+Geometria!$P$1429*H159</f>
        <v>3179.649410958262</v>
      </c>
      <c r="M159" s="373">
        <f ca="1">(Geometria!$L$298-(Geometria!$L$298-IF(B159&lt;Geometria!$L$1409/100,Geometria!$L$1442,Geometria!$L$1460))*(1-(MIN(MIN(1,MAX(0,(B159-Geometria!$L$1409/100)/(Geometria!$N$1307/100))),MIN(1,MAX(0,((Geometria!$L$29/100-B159)-Geometria!$R$1409/100)/(Geometria!$N$1307/100))))))*(IF(OR(Geometria!$K$1409&gt;0,Geometria!$K$1407&gt;0,Geometria!$Q$1409&gt;0,Geometria!$Q$1407&gt;0),1,0))-(Geometria!$L$298-IF(B159&lt;Geometria!$L$1405/100,Geometria!$L$1444,Geometria!$L$1462))*(1-(MIN(MIN(1,MAX(0,(B159-Geometria!$L$1405/100)/(Geometria!$N$1307/100))),MIN(1,MAX(0,((Geometria!$L$29/100-B159)-Geometria!$R$1405/100)/(Geometria!$N$1307/100))))))*(IF(OR(Geometria!$K$1405&gt;0,Geometria!$K$1403&gt;0,Geometria!$Q$1405&gt;0,Geometria!$Q$1403&gt;0),1,0)))*H182*(Geometria!$L$299-(Geometria!$L$299-IF(B159&lt;Geometria!$L$1409/100,Geometria!$L$1443,Geometria!$L$1461))*(1-(MIN(MIN(1,MAX(0,(B159-Geometria!$L$1409/100)/(Geometria!$N$1307/100))),MIN(1,MAX(0,((Geometria!$L$29/100-B159)-Geometria!$R$1409/100)/(Geometria!$N$1307/100))))))*(IF(OR(Geometria!$K$1409&gt;0,Geometria!$K$1407&gt;0,Geometria!$Q$1409&gt;0,Geometria!$Q$1407&gt;0),1,0))-(Geometria!$L$299-IF(B159&lt;Geometria!$L$1405/100,Geometria!$L$1445,Geometria!$L$1463))*(1-(MIN(MIN(1,MAX(0,(B159-Geometria!$L$1405/100)/(Geometria!$N$1307/100))),MIN(1,MAX(0,((Geometria!$L$29/100-B159)-Geometria!$R$1405/100)/(Geometria!$N$1307/100))))))*(IF(OR(Geometria!$K$1405&gt;0,Geometria!$K$1403&gt;0,Geometria!$Q$1405&gt;0,Geometria!$Q$1403&gt;0),1,0)))/100-Geometria!$P$1429*H159*Geometria!$L$1438/100</f>
        <v>601.7393618149086</v>
      </c>
      <c r="N159" s="365"/>
      <c r="O159" s="371">
        <f ca="1">(IF(C159="Sim",IF(A159="Sim",$E$93,Geometria!$L$1447),IF(A159="Sim",Geometria!$L$1449,Geometria!$L$906)))</f>
        <v>1475.413282676191</v>
      </c>
      <c r="P159" s="371">
        <f ca="1">(IF(C159="Sim",IF(A159="Sim",$E$94,Geometria!$L$1448),IF(A159="Sim",Geometria!$L$1450,Geometria!$L$907)))</f>
        <v>276.63999050178586</v>
      </c>
      <c r="R159" s="4" t="s">
        <v>436</v>
      </c>
      <c r="S159" s="202">
        <f t="shared" ca="1" si="48"/>
        <v>5978.935835992132</v>
      </c>
      <c r="T159" s="38" t="s">
        <v>234</v>
      </c>
      <c r="U159" s="203">
        <f t="shared" ca="1" si="47"/>
        <v>5.978935835992131</v>
      </c>
      <c r="V159" s="38" t="s">
        <v>160</v>
      </c>
      <c r="W159" s="399">
        <f t="shared" si="49"/>
        <v>0.0</v>
      </c>
    </row>
    <row r="160" spans="1:23" x14ac:dyDescent="0.25">
      <c r="A160" s="376" t="str">
        <f>IF(OR(B160&lt;Geometria!$L$1405/100,(Geometria!$L$29/100-B160)&lt;Geometria!$R$1405/100),"Sim","Não")</f>
        <v>Não</v>
      </c>
      <c r="B160" s="395">
        <f>Tensões!$B$66</f>
        <v>3.14</v>
      </c>
      <c r="C160" s="376" t="str">
        <f>IF(OR(B160&lt;Geometria!$L$1409/100,(Geometria!$L$29/100-B160)&lt;Geometria!$R$1409/100),"Sim","Não")</f>
        <v>Não</v>
      </c>
      <c r="D160" s="122" t="s">
        <v>437</v>
      </c>
      <c r="E160" s="198" t="str">
        <f ca="1">IF(Geometria!$K$440&lt;Geometria!$N$1307/100,"Reduzir","OK")</f>
        <v>OK</v>
      </c>
      <c r="F160" s="396">
        <f t="shared" ca="1" si="46"/>
        <v>5855.408526898154</v>
      </c>
      <c r="G160" s="397">
        <f ca="1">-L160/(Geometria!$L$48/100^2)+M160/(Geometria!$L$52/100^3)-Geometria!$L$898/(Geometria!$L$52/100^3)</f>
        <v>17391.45234995449</v>
      </c>
      <c r="H160" s="400">
        <f ca="1">((Geometria!$L$326*(Geometria!$K$900*100))/Geometria!$N$1307)</f>
        <v>391.83350757352133</v>
      </c>
      <c r="I160" s="743">
        <f ca="1">-($E$93*(1-IF(IF(OR(Geometria!$K$1409&gt;0,Geometria!$K$1407&gt;0,Geometria!$Q$1409&gt;0,Geometria!$Q$1407&gt;0),1,0),MIN(MIN(1,MAX(0,(B160-Geometria!$L$1409/100)/(Geometria!$N$1307/100))),MIN(1,MAX(0,((Geometria!$L$29/100-B160)-Geometria!$R$1409/100)/(Geometria!$N$1307/100)))),1))*(1-IF(IF(OR(Geometria!$K$1405&gt;0,Geometria!$K$1403&gt;0,Geometria!$Q$1405&gt;0,Geometria!$Q$1403&gt;0),1,0),MIN(MIN(1,MAX(0,(B160-Geometria!$L$1405/100)/(Geometria!$N$1307/100))),MIN(1,MAX(0,((Geometria!$L$29/100-B160)-Geometria!$R$1405/100)/(Geometria!$N$1307/100)))),1))+Geometria!$L$1447*(1-IF(IF(OR(Geometria!$K$1409&gt;0,Geometria!$K$1407&gt;0,Geometria!$Q$1409&gt;0,Geometria!$Q$1407&gt;0),1,0),MIN(MIN(1,MAX(0,(B160-Geometria!$L$1409/100)/(Geometria!$N$1307/100))),MIN(1,MAX(0,((Geometria!$L$29/100-B160)-Geometria!$R$1409/100)/(Geometria!$N$1307/100)))),1))*IF(IF(OR(Geometria!$K$1405&gt;0,Geometria!$K$1403&gt;0,Geometria!$Q$1405&gt;0,Geometria!$Q$1403&gt;0),1,0),MIN(MIN(1,MAX(0,(B160-Geometria!$L$1405/100)/(Geometria!$N$1307/100))),MIN(1,MAX(0,((Geometria!$L$29/100-B160)-Geometria!$R$1405/100)/(Geometria!$N$1307/100)))),1)+Geometria!$L$1449*IF(IF(OR(Geometria!$K$1409&gt;0,Geometria!$K$1407&gt;0,Geometria!$Q$1409&gt;0,Geometria!$Q$1407&gt;0),1,0),MIN(MIN(1,MAX(0,(B160-Geometria!$L$1409/100)/(Geometria!$N$1307/100))),MIN(1,MAX(0,((Geometria!$L$29/100-B160)-Geometria!$R$1409/100)/(Geometria!$N$1307/100)))),1)*(1-IF(IF(OR(Geometria!$K$1405&gt;0,Geometria!$K$1403&gt;0,Geometria!$Q$1405&gt;0,Geometria!$Q$1403&gt;0),1,0),MIN(MIN(1,MAX(0,(B160-Geometria!$L$1405/100)/(Geometria!$N$1307/100))),MIN(1,MAX(0,((Geometria!$L$29/100-B160)-Geometria!$R$1405/100)/(Geometria!$N$1307/100)))),1))+Geometria!$L$906*IF(IF(OR(Geometria!$K$1409&gt;0,Geometria!$K$1407&gt;0,Geometria!$Q$1409&gt;0,Geometria!$Q$1407&gt;0),1,0),MIN(MIN(1,MAX(0,(B160-Geometria!$L$1409/100)/(Geometria!$N$1307/100))),MIN(1,MAX(0,((Geometria!$L$29/100-B160)-Geometria!$R$1409/100)/(Geometria!$N$1307/100)))),1)*IF(IF(OR(Geometria!$K$1405&gt;0,Geometria!$K$1403&gt;0,Geometria!$Q$1405&gt;0,Geometria!$Q$1403&gt;0),1,0),MIN(MIN(1,MAX(0,(B160-Geometria!$L$1405/100)/(Geometria!$N$1307/100))),MIN(1,MAX(0,((Geometria!$L$29/100-B160)-Geometria!$R$1405/100)/(Geometria!$N$1307/100)))),1))/(Geometria!$L$48/100^2)+($E$94*(1-IF(IF(OR(Geometria!$K$1409&gt;0,Geometria!$K$1407&gt;0,Geometria!$Q$1409&gt;0,Geometria!$Q$1407&gt;0),1,0),MIN(MIN(1,MAX(0,(B160-Geometria!$L$1409/100)/(Geometria!$N$1307/100))),MIN(1,MAX(0,((Geometria!$L$29/100-B160)-Geometria!$R$1409/100)/(Geometria!$N$1307/100)))),1))*(1-IF(IF(OR(Geometria!$K$1405&gt;0,Geometria!$K$1403&gt;0,Geometria!$Q$1405&gt;0,Geometria!$Q$1403&gt;0),1,0),MIN(MIN(1,MAX(0,(B160-Geometria!$L$1405/100)/(Geometria!$N$1307/100))),MIN(1,MAX(0,((Geometria!$L$29/100-B160)-Geometria!$R$1405/100)/(Geometria!$N$1307/100)))),1))+Geometria!$L$1448*(1-IF(IF(OR(Geometria!$K$1409&gt;0,Geometria!$K$1407&gt;0,Geometria!$Q$1409&gt;0,Geometria!$Q$1407&gt;0),1,0),MIN(MIN(1,MAX(0,(B160-Geometria!$L$1409/100)/(Geometria!$N$1307/100))),MIN(1,MAX(0,((Geometria!$L$29/100-B160)-Geometria!$R$1409/100)/(Geometria!$N$1307/100)))),1))*IF(IF(OR(Geometria!$K$1405&gt;0,Geometria!$K$1403&gt;0,Geometria!$Q$1405&gt;0,Geometria!$Q$1403&gt;0),1,0),MIN(MIN(1,MAX(0,(B160-Geometria!$L$1405/100)/(Geometria!$N$1307/100))),MIN(1,MAX(0,((Geometria!$L$29/100-B160)-Geometria!$R$1405/100)/(Geometria!$N$1307/100)))),1)+Geometria!$L$1450*IF(IF(OR(Geometria!$K$1409&gt;0,Geometria!$K$1407&gt;0,Geometria!$Q$1409&gt;0,Geometria!$Q$1407&gt;0),1,0),MIN(MIN(1,MAX(0,(B160-Geometria!$L$1409/100)/(Geometria!$N$1307/100))),MIN(1,MAX(0,((Geometria!$L$29/100-B160)-Geometria!$R$1409/100)/(Geometria!$N$1307/100)))),1)*(1-IF(IF(OR(Geometria!$K$1405&gt;0,Geometria!$K$1403&gt;0,Geometria!$Q$1405&gt;0,Geometria!$Q$1403&gt;0),1,0),MIN(MIN(1,MAX(0,(B160-Geometria!$L$1405/100)/(Geometria!$N$1307/100))),MIN(1,MAX(0,((Geometria!$L$29/100-B160)-Geometria!$R$1405/100)/(Geometria!$N$1307/100)))),1))+Geometria!$L$907*IF(IF(OR(Geometria!$K$1409&gt;0,Geometria!$K$1407&gt;0,Geometria!$Q$1409&gt;0,Geometria!$Q$1407&gt;0),1,0),MIN(MIN(1,MAX(0,(B160-Geometria!$L$1409/100)/(Geometria!$N$1307/100))),MIN(1,MAX(0,((Geometria!$L$29/100-B160)-Geometria!$R$1409/100)/(Geometria!$N$1307/100)))),1)*IF(IF(OR(Geometria!$K$1405&gt;0,Geometria!$K$1403&gt;0,Geometria!$Q$1405&gt;0,Geometria!$Q$1403&gt;0),1,0),MIN(MIN(1,MAX(0,(B160-Geometria!$L$1405/100)/(Geometria!$N$1307/100))),MIN(1,MAX(0,((Geometria!$L$29/100-B160)-Geometria!$R$1405/100)/(Geometria!$N$1307/100)))),1))/(Geometria!$L$52/100^3)-Tensões!$B$67/(Geometria!$L$52/100^3)</f>
        <v>5855.408526898154</v>
      </c>
      <c r="J160" s="743"/>
      <c r="L160" s="373">
        <f ca="1">(Geometria!$L$298-(Geometria!$L$298-IF(B160&lt;Geometria!$L$1409/100,Geometria!$L$1442,Geometria!$L$1460))*(1-(MIN(MIN(1,MAX(0,(B160-Geometria!$L$1409/100)/(Geometria!$N$1307/100))),MIN(1,MAX(0,((Geometria!$L$29/100-B160)-Geometria!$R$1409/100)/(Geometria!$N$1307/100))))))*(IF(OR(Geometria!$K$1409&gt;0,Geometria!$K$1407&gt;0,Geometria!$Q$1409&gt;0,Geometria!$Q$1407&gt;0),1,0))-(Geometria!$L$298-IF(B160&lt;Geometria!$L$1405/100,Geometria!$L$1444,Geometria!$L$1462))*(1-(MIN(MIN(1,MAX(0,(B160-Geometria!$L$1405/100)/(Geometria!$N$1307/100))),MIN(1,MAX(0,((Geometria!$L$29/100-B160)-Geometria!$R$1405/100)/(Geometria!$N$1307/100))))))*(IF(OR(Geometria!$K$1405&gt;0,Geometria!$K$1403&gt;0,Geometria!$Q$1405&gt;0,Geometria!$Q$1403&gt;0),1,0)))*H183+Geometria!$P$1429*H160</f>
        <v>3666.736718240637</v>
      </c>
      <c r="M160" s="373">
        <f ca="1">(Geometria!$L$298-(Geometria!$L$298-IF(B160&lt;Geometria!$L$1409/100,Geometria!$L$1442,Geometria!$L$1460))*(1-(MIN(MIN(1,MAX(0,(B160-Geometria!$L$1409/100)/(Geometria!$N$1307/100))),MIN(1,MAX(0,((Geometria!$L$29/100-B160)-Geometria!$R$1409/100)/(Geometria!$N$1307/100))))))*(IF(OR(Geometria!$K$1409&gt;0,Geometria!$K$1407&gt;0,Geometria!$Q$1409&gt;0,Geometria!$Q$1407&gt;0),1,0))-(Geometria!$L$298-IF(B160&lt;Geometria!$L$1405/100,Geometria!$L$1444,Geometria!$L$1462))*(1-(MIN(MIN(1,MAX(0,(B160-Geometria!$L$1405/100)/(Geometria!$N$1307/100))),MIN(1,MAX(0,((Geometria!$L$29/100-B160)-Geometria!$R$1405/100)/(Geometria!$N$1307/100))))))*(IF(OR(Geometria!$K$1405&gt;0,Geometria!$K$1403&gt;0,Geometria!$Q$1405&gt;0,Geometria!$Q$1403&gt;0),1,0)))*H183*(Geometria!$L$299-(Geometria!$L$299-IF(B160&lt;Geometria!$L$1409/100,Geometria!$L$1443,Geometria!$L$1461))*(1-(MIN(MIN(1,MAX(0,(B160-Geometria!$L$1409/100)/(Geometria!$N$1307/100))),MIN(1,MAX(0,((Geometria!$L$29/100-B160)-Geometria!$R$1409/100)/(Geometria!$N$1307/100))))))*(IF(OR(Geometria!$K$1409&gt;0,Geometria!$K$1407&gt;0,Geometria!$Q$1409&gt;0,Geometria!$Q$1407&gt;0),1,0))-(Geometria!$L$299-IF(B160&lt;Geometria!$L$1405/100,Geometria!$L$1445,Geometria!$L$1463))*(1-(MIN(MIN(1,MAX(0,(B160-Geometria!$L$1405/100)/(Geometria!$N$1307/100))),MIN(1,MAX(0,((Geometria!$L$29/100-B160)-Geometria!$R$1405/100)/(Geometria!$N$1307/100))))))*(IF(OR(Geometria!$K$1405&gt;0,Geometria!$K$1403&gt;0,Geometria!$Q$1405&gt;0,Geometria!$Q$1403&gt;0),1,0)))/100-Geometria!$P$1429*H160*Geometria!$L$1438/100</f>
        <v>687.5131346701195</v>
      </c>
      <c r="N160" s="365"/>
      <c r="O160" s="371">
        <f ca="1">(IF(C160="Sim",IF(A160="Sim",$E$93,Geometria!$L$1447),IF(A160="Sim",Geometria!$L$1449,Geometria!$L$906)))</f>
        <v>1475.413282676191</v>
      </c>
      <c r="P160" s="371">
        <f ca="1">(IF(C160="Sim",IF(A160="Sim",$E$94,Geometria!$L$1448),IF(A160="Sim",Geometria!$L$1450,Geometria!$L$907)))</f>
        <v>276.63999050178586</v>
      </c>
      <c r="R160" s="4" t="s">
        <v>437</v>
      </c>
      <c r="S160" s="202">
        <f t="shared" ca="1" si="48"/>
        <v>5855.408526898154</v>
      </c>
      <c r="T160" s="38" t="s">
        <v>234</v>
      </c>
      <c r="U160" s="203">
        <f t="shared" ca="1" si="47"/>
        <v>5.855408526898154</v>
      </c>
      <c r="V160" s="38" t="s">
        <v>160</v>
      </c>
      <c r="W160" s="399">
        <f t="shared" si="49"/>
        <v>0.0</v>
      </c>
    </row>
    <row r="161" spans="1:23" x14ac:dyDescent="0.25">
      <c r="A161" s="376" t="str">
        <f>IF(OR(B161&lt;Geometria!$L$1405/100,(Geometria!$L$29/100-B161)&lt;Geometria!$R$1405/100),"Sim","Não")</f>
        <v>Não</v>
      </c>
      <c r="B161" s="395">
        <f>Tensões!$C$66</f>
        <v>3.5325</v>
      </c>
      <c r="C161" s="376" t="str">
        <f>IF(OR(B161&lt;Geometria!$L$1409/100,(Geometria!$L$29/100-B161)&lt;Geometria!$R$1409/100),"Sim","Não")</f>
        <v>Não</v>
      </c>
      <c r="D161" s="122" t="s">
        <v>438</v>
      </c>
      <c r="E161" s="198" t="str">
        <f ca="1">IF(Geometria!$L$440&lt;Geometria!$N$1307/100,"Reduzir","OK")</f>
        <v>OK</v>
      </c>
      <c r="F161" s="396">
        <f t="shared" ca="1" si="46"/>
        <v>5787.046065960654</v>
      </c>
      <c r="G161" s="397">
        <f ca="1">-L161/(Geometria!$L$48/100^2)+M161/(Geometria!$L$52/100^3)-Geometria!$L$898/(Geometria!$L$52/100^3)</f>
        <v>19619.50417527431</v>
      </c>
      <c r="H161" s="400">
        <f ca="1">((Geometria!$L$326*(Geometria!$L$900*100))/Geometria!$N$1307)</f>
        <v>440.81269602021155</v>
      </c>
      <c r="I161" s="743">
        <f ca="1">-($E$93*(1-IF(IF(OR(Geometria!$K$1409&gt;0,Geometria!$K$1407&gt;0,Geometria!$Q$1409&gt;0,Geometria!$Q$1407&gt;0),1,0),MIN(MIN(1,MAX(0,(B161-Geometria!$L$1409/100)/(Geometria!$N$1307/100))),MIN(1,MAX(0,((Geometria!$L$29/100-B161)-Geometria!$R$1409/100)/(Geometria!$N$1307/100)))),1))*(1-IF(IF(OR(Geometria!$K$1405&gt;0,Geometria!$K$1403&gt;0,Geometria!$Q$1405&gt;0,Geometria!$Q$1403&gt;0),1,0),MIN(MIN(1,MAX(0,(B161-Geometria!$L$1405/100)/(Geometria!$N$1307/100))),MIN(1,MAX(0,((Geometria!$L$29/100-B161)-Geometria!$R$1405/100)/(Geometria!$N$1307/100)))),1))+Geometria!$L$1447*(1-IF(IF(OR(Geometria!$K$1409&gt;0,Geometria!$K$1407&gt;0,Geometria!$Q$1409&gt;0,Geometria!$Q$1407&gt;0),1,0),MIN(MIN(1,MAX(0,(B161-Geometria!$L$1409/100)/(Geometria!$N$1307/100))),MIN(1,MAX(0,((Geometria!$L$29/100-B161)-Geometria!$R$1409/100)/(Geometria!$N$1307/100)))),1))*IF(IF(OR(Geometria!$K$1405&gt;0,Geometria!$K$1403&gt;0,Geometria!$Q$1405&gt;0,Geometria!$Q$1403&gt;0),1,0),MIN(MIN(1,MAX(0,(B161-Geometria!$L$1405/100)/(Geometria!$N$1307/100))),MIN(1,MAX(0,((Geometria!$L$29/100-B161)-Geometria!$R$1405/100)/(Geometria!$N$1307/100)))),1)+Geometria!$L$1449*IF(IF(OR(Geometria!$K$1409&gt;0,Geometria!$K$1407&gt;0,Geometria!$Q$1409&gt;0,Geometria!$Q$1407&gt;0),1,0),MIN(MIN(1,MAX(0,(B161-Geometria!$L$1409/100)/(Geometria!$N$1307/100))),MIN(1,MAX(0,((Geometria!$L$29/100-B161)-Geometria!$R$1409/100)/(Geometria!$N$1307/100)))),1)*(1-IF(IF(OR(Geometria!$K$1405&gt;0,Geometria!$K$1403&gt;0,Geometria!$Q$1405&gt;0,Geometria!$Q$1403&gt;0),1,0),MIN(MIN(1,MAX(0,(B161-Geometria!$L$1405/100)/(Geometria!$N$1307/100))),MIN(1,MAX(0,((Geometria!$L$29/100-B161)-Geometria!$R$1405/100)/(Geometria!$N$1307/100)))),1))+Geometria!$L$906*IF(IF(OR(Geometria!$K$1409&gt;0,Geometria!$K$1407&gt;0,Geometria!$Q$1409&gt;0,Geometria!$Q$1407&gt;0),1,0),MIN(MIN(1,MAX(0,(B161-Geometria!$L$1409/100)/(Geometria!$N$1307/100))),MIN(1,MAX(0,((Geometria!$L$29/100-B161)-Geometria!$R$1409/100)/(Geometria!$N$1307/100)))),1)*IF(IF(OR(Geometria!$K$1405&gt;0,Geometria!$K$1403&gt;0,Geometria!$Q$1405&gt;0,Geometria!$Q$1403&gt;0),1,0),MIN(MIN(1,MAX(0,(B161-Geometria!$L$1405/100)/(Geometria!$N$1307/100))),MIN(1,MAX(0,((Geometria!$L$29/100-B161)-Geometria!$R$1405/100)/(Geometria!$N$1307/100)))),1))/(Geometria!$L$48/100^2)+($E$94*(1-IF(IF(OR(Geometria!$K$1409&gt;0,Geometria!$K$1407&gt;0,Geometria!$Q$1409&gt;0,Geometria!$Q$1407&gt;0),1,0),MIN(MIN(1,MAX(0,(B161-Geometria!$L$1409/100)/(Geometria!$N$1307/100))),MIN(1,MAX(0,((Geometria!$L$29/100-B161)-Geometria!$R$1409/100)/(Geometria!$N$1307/100)))),1))*(1-IF(IF(OR(Geometria!$K$1405&gt;0,Geometria!$K$1403&gt;0,Geometria!$Q$1405&gt;0,Geometria!$Q$1403&gt;0),1,0),MIN(MIN(1,MAX(0,(B161-Geometria!$L$1405/100)/(Geometria!$N$1307/100))),MIN(1,MAX(0,((Geometria!$L$29/100-B161)-Geometria!$R$1405/100)/(Geometria!$N$1307/100)))),1))+Geometria!$L$1448*(1-IF(IF(OR(Geometria!$K$1409&gt;0,Geometria!$K$1407&gt;0,Geometria!$Q$1409&gt;0,Geometria!$Q$1407&gt;0),1,0),MIN(MIN(1,MAX(0,(B161-Geometria!$L$1409/100)/(Geometria!$N$1307/100))),MIN(1,MAX(0,((Geometria!$L$29/100-B161)-Geometria!$R$1409/100)/(Geometria!$N$1307/100)))),1))*IF(IF(OR(Geometria!$K$1405&gt;0,Geometria!$K$1403&gt;0,Geometria!$Q$1405&gt;0,Geometria!$Q$1403&gt;0),1,0),MIN(MIN(1,MAX(0,(B161-Geometria!$L$1405/100)/(Geometria!$N$1307/100))),MIN(1,MAX(0,((Geometria!$L$29/100-B161)-Geometria!$R$1405/100)/(Geometria!$N$1307/100)))),1)+Geometria!$L$1450*IF(IF(OR(Geometria!$K$1409&gt;0,Geometria!$K$1407&gt;0,Geometria!$Q$1409&gt;0,Geometria!$Q$1407&gt;0),1,0),MIN(MIN(1,MAX(0,(B161-Geometria!$L$1409/100)/(Geometria!$N$1307/100))),MIN(1,MAX(0,((Geometria!$L$29/100-B161)-Geometria!$R$1409/100)/(Geometria!$N$1307/100)))),1)*(1-IF(IF(OR(Geometria!$K$1405&gt;0,Geometria!$K$1403&gt;0,Geometria!$Q$1405&gt;0,Geometria!$Q$1403&gt;0),1,0),MIN(MIN(1,MAX(0,(B161-Geometria!$L$1405/100)/(Geometria!$N$1307/100))),MIN(1,MAX(0,((Geometria!$L$29/100-B161)-Geometria!$R$1405/100)/(Geometria!$N$1307/100)))),1))+Geometria!$L$907*IF(IF(OR(Geometria!$K$1409&gt;0,Geometria!$K$1407&gt;0,Geometria!$Q$1409&gt;0,Geometria!$Q$1407&gt;0),1,0),MIN(MIN(1,MAX(0,(B161-Geometria!$L$1409/100)/(Geometria!$N$1307/100))),MIN(1,MAX(0,((Geometria!$L$29/100-B161)-Geometria!$R$1409/100)/(Geometria!$N$1307/100)))),1)*IF(IF(OR(Geometria!$K$1405&gt;0,Geometria!$K$1403&gt;0,Geometria!$Q$1405&gt;0,Geometria!$Q$1403&gt;0),1,0),MIN(MIN(1,MAX(0,(B161-Geometria!$L$1405/100)/(Geometria!$N$1307/100))),MIN(1,MAX(0,((Geometria!$L$29/100-B161)-Geometria!$R$1405/100)/(Geometria!$N$1307/100)))),1))/(Geometria!$L$52/100^3)-Tensões!$C$67/(Geometria!$L$52/100^3)</f>
        <v>5787.046065960654</v>
      </c>
      <c r="J161" s="743"/>
      <c r="L161" s="373">
        <f ca="1">(Geometria!$L$298-(Geometria!$L$298-IF(B161&lt;Geometria!$L$1409/100,Geometria!$L$1442,Geometria!$L$1460))*(1-(MIN(MIN(1,MAX(0,(B161-Geometria!$L$1409/100)/(Geometria!$N$1307/100))),MIN(1,MAX(0,((Geometria!$L$29/100-B161)-Geometria!$R$1409/100)/(Geometria!$N$1307/100))))))*(IF(OR(Geometria!$K$1409&gt;0,Geometria!$K$1407&gt;0,Geometria!$Q$1409&gt;0,Geometria!$Q$1407&gt;0),1,0))-(Geometria!$L$298-IF(B161&lt;Geometria!$L$1405/100,Geometria!$L$1444,Geometria!$L$1462))*(1-(MIN(MIN(1,MAX(0,(B161-Geometria!$L$1405/100)/(Geometria!$N$1307/100))),MIN(1,MAX(0,((Geometria!$L$29/100-B161)-Geometria!$R$1405/100)/(Geometria!$N$1307/100))))))*(IF(OR(Geometria!$K$1405&gt;0,Geometria!$K$1403&gt;0,Geometria!$Q$1405&gt;0,Geometria!$Q$1403&gt;0),1,0)))*H184+Geometria!$P$1429*H161</f>
        <v>4125.078808020716</v>
      </c>
      <c r="M161" s="373">
        <f ca="1">(Geometria!$L$298-(Geometria!$L$298-IF(B161&lt;Geometria!$L$1409/100,Geometria!$L$1442,Geometria!$L$1460))*(1-(MIN(MIN(1,MAX(0,(B161-Geometria!$L$1409/100)/(Geometria!$N$1307/100))),MIN(1,MAX(0,((Geometria!$L$29/100-B161)-Geometria!$R$1409/100)/(Geometria!$N$1307/100))))))*(IF(OR(Geometria!$K$1409&gt;0,Geometria!$K$1407&gt;0,Geometria!$Q$1409&gt;0,Geometria!$Q$1407&gt;0),1,0))-(Geometria!$L$298-IF(B161&lt;Geometria!$L$1405/100,Geometria!$L$1444,Geometria!$L$1462))*(1-(MIN(MIN(1,MAX(0,(B161-Geometria!$L$1405/100)/(Geometria!$N$1307/100))),MIN(1,MAX(0,((Geometria!$L$29/100-B161)-Geometria!$R$1405/100)/(Geometria!$N$1307/100))))))*(IF(OR(Geometria!$K$1405&gt;0,Geometria!$K$1403&gt;0,Geometria!$Q$1405&gt;0,Geometria!$Q$1403&gt;0),1,0)))*H184*(Geometria!$L$299-(Geometria!$L$299-IF(B161&lt;Geometria!$L$1409/100,Geometria!$L$1443,Geometria!$L$1461))*(1-(MIN(MIN(1,MAX(0,(B161-Geometria!$L$1409/100)/(Geometria!$N$1307/100))),MIN(1,MAX(0,((Geometria!$L$29/100-B161)-Geometria!$R$1409/100)/(Geometria!$N$1307/100))))))*(IF(OR(Geometria!$K$1409&gt;0,Geometria!$K$1407&gt;0,Geometria!$Q$1409&gt;0,Geometria!$Q$1407&gt;0),1,0))-(Geometria!$L$299-IF(B161&lt;Geometria!$L$1405/100,Geometria!$L$1445,Geometria!$L$1463))*(1-(MIN(MIN(1,MAX(0,(B161-Geometria!$L$1405/100)/(Geometria!$N$1307/100))),MIN(1,MAX(0,((Geometria!$L$29/100-B161)-Geometria!$R$1405/100)/(Geometria!$N$1307/100))))))*(IF(OR(Geometria!$K$1405&gt;0,Geometria!$K$1403&gt;0,Geometria!$Q$1405&gt;0,Geometria!$Q$1403&gt;0),1,0)))/100-Geometria!$P$1429*H161*Geometria!$L$1438/100</f>
        <v>773.4522765038841</v>
      </c>
      <c r="N161" s="365"/>
      <c r="O161" s="371">
        <f ca="1">(IF(C161="Sim",IF(A161="Sim",$E$93,Geometria!$L$1447),IF(A161="Sim",Geometria!$L$1449,Geometria!$L$906)))</f>
        <v>1475.413282676191</v>
      </c>
      <c r="P161" s="371">
        <f ca="1">(IF(C161="Sim",IF(A161="Sim",$E$94,Geometria!$L$1448),IF(A161="Sim",Geometria!$L$1450,Geometria!$L$907)))</f>
        <v>276.63999050178586</v>
      </c>
      <c r="R161" s="4" t="s">
        <v>438</v>
      </c>
      <c r="S161" s="202">
        <f t="shared" ca="1" si="48"/>
        <v>5787.046065960654</v>
      </c>
      <c r="T161" s="38" t="s">
        <v>234</v>
      </c>
      <c r="U161" s="203">
        <f t="shared" ca="1" si="47"/>
        <v>5.787046065960654</v>
      </c>
      <c r="V161" s="38" t="s">
        <v>160</v>
      </c>
      <c r="W161" s="399">
        <f t="shared" si="49"/>
        <v>0.0</v>
      </c>
    </row>
    <row r="162" spans="1:23" x14ac:dyDescent="0.25">
      <c r="A162" s="376" t="str">
        <f>IF(OR(B162&lt;Geometria!$L$1405/100,(Geometria!$L$29/100-B162)&lt;Geometria!$R$1405/100),"Sim","Não")</f>
        <v>Não</v>
      </c>
      <c r="B162" s="395">
        <f>Tensões!$D$66</f>
        <v>3.9250000000000003</v>
      </c>
      <c r="C162" s="376" t="str">
        <f>IF(OR(B162&lt;Geometria!$L$1409/100,(Geometria!$L$29/100-B162)&lt;Geometria!$R$1409/100),"Sim","Não")</f>
        <v>Não</v>
      </c>
      <c r="D162" s="122" t="s">
        <v>439</v>
      </c>
      <c r="E162" s="198" t="str">
        <f ca="1">IF(Geometria!$M$440&lt;Geometria!$N$1307/100,"Reduzir","OK")</f>
        <v>OK</v>
      </c>
      <c r="F162" s="396">
        <f t="shared" ca="1" si="46"/>
        <v>5764.2585789814875</v>
      </c>
      <c r="G162" s="397">
        <f ca="1">-L162/(Geometria!$L$48/100^2)+M162/(Geometria!$L$52/100^3)-Geometria!$L$898/(Geometria!$L$52/100^3)</f>
        <v>21847.556000594137</v>
      </c>
      <c r="H162" s="400">
        <f ca="1">((Geometria!$L$326*(Geometria!$M$900*100))/Geometria!$N$1307)</f>
        <v>489.79188446690165</v>
      </c>
      <c r="I162" s="743">
        <f ca="1">-($E$93*(1-IF(IF(OR(Geometria!$K$1409&gt;0,Geometria!$K$1407&gt;0,Geometria!$Q$1409&gt;0,Geometria!$Q$1407&gt;0),1,0),MIN(MIN(1,MAX(0,(B162-Geometria!$L$1409/100)/(Geometria!$N$1307/100))),MIN(1,MAX(0,((Geometria!$L$29/100-B162)-Geometria!$R$1409/100)/(Geometria!$N$1307/100)))),1))*(1-IF(IF(OR(Geometria!$K$1405&gt;0,Geometria!$K$1403&gt;0,Geometria!$Q$1405&gt;0,Geometria!$Q$1403&gt;0),1,0),MIN(MIN(1,MAX(0,(B162-Geometria!$L$1405/100)/(Geometria!$N$1307/100))),MIN(1,MAX(0,((Geometria!$L$29/100-B162)-Geometria!$R$1405/100)/(Geometria!$N$1307/100)))),1))+Geometria!$L$1447*(1-IF(IF(OR(Geometria!$K$1409&gt;0,Geometria!$K$1407&gt;0,Geometria!$Q$1409&gt;0,Geometria!$Q$1407&gt;0),1,0),MIN(MIN(1,MAX(0,(B162-Geometria!$L$1409/100)/(Geometria!$N$1307/100))),MIN(1,MAX(0,((Geometria!$L$29/100-B162)-Geometria!$R$1409/100)/(Geometria!$N$1307/100)))),1))*IF(IF(OR(Geometria!$K$1405&gt;0,Geometria!$K$1403&gt;0,Geometria!$Q$1405&gt;0,Geometria!$Q$1403&gt;0),1,0),MIN(MIN(1,MAX(0,(B162-Geometria!$L$1405/100)/(Geometria!$N$1307/100))),MIN(1,MAX(0,((Geometria!$L$29/100-B162)-Geometria!$R$1405/100)/(Geometria!$N$1307/100)))),1)+Geometria!$L$1449*IF(IF(OR(Geometria!$K$1409&gt;0,Geometria!$K$1407&gt;0,Geometria!$Q$1409&gt;0,Geometria!$Q$1407&gt;0),1,0),MIN(MIN(1,MAX(0,(B162-Geometria!$L$1409/100)/(Geometria!$N$1307/100))),MIN(1,MAX(0,((Geometria!$L$29/100-B162)-Geometria!$R$1409/100)/(Geometria!$N$1307/100)))),1)*(1-IF(IF(OR(Geometria!$K$1405&gt;0,Geometria!$K$1403&gt;0,Geometria!$Q$1405&gt;0,Geometria!$Q$1403&gt;0),1,0),MIN(MIN(1,MAX(0,(B162-Geometria!$L$1405/100)/(Geometria!$N$1307/100))),MIN(1,MAX(0,((Geometria!$L$29/100-B162)-Geometria!$R$1405/100)/(Geometria!$N$1307/100)))),1))+Geometria!$L$906*IF(IF(OR(Geometria!$K$1409&gt;0,Geometria!$K$1407&gt;0,Geometria!$Q$1409&gt;0,Geometria!$Q$1407&gt;0),1,0),MIN(MIN(1,MAX(0,(B162-Geometria!$L$1409/100)/(Geometria!$N$1307/100))),MIN(1,MAX(0,((Geometria!$L$29/100-B162)-Geometria!$R$1409/100)/(Geometria!$N$1307/100)))),1)*IF(IF(OR(Geometria!$K$1405&gt;0,Geometria!$K$1403&gt;0,Geometria!$Q$1405&gt;0,Geometria!$Q$1403&gt;0),1,0),MIN(MIN(1,MAX(0,(B162-Geometria!$L$1405/100)/(Geometria!$N$1307/100))),MIN(1,MAX(0,((Geometria!$L$29/100-B162)-Geometria!$R$1405/100)/(Geometria!$N$1307/100)))),1))/(Geometria!$L$48/100^2)+($E$94*(1-IF(IF(OR(Geometria!$K$1409&gt;0,Geometria!$K$1407&gt;0,Geometria!$Q$1409&gt;0,Geometria!$Q$1407&gt;0),1,0),MIN(MIN(1,MAX(0,(B162-Geometria!$L$1409/100)/(Geometria!$N$1307/100))),MIN(1,MAX(0,((Geometria!$L$29/100-B162)-Geometria!$R$1409/100)/(Geometria!$N$1307/100)))),1))*(1-IF(IF(OR(Geometria!$K$1405&gt;0,Geometria!$K$1403&gt;0,Geometria!$Q$1405&gt;0,Geometria!$Q$1403&gt;0),1,0),MIN(MIN(1,MAX(0,(B162-Geometria!$L$1405/100)/(Geometria!$N$1307/100))),MIN(1,MAX(0,((Geometria!$L$29/100-B162)-Geometria!$R$1405/100)/(Geometria!$N$1307/100)))),1))+Geometria!$L$1448*(1-IF(IF(OR(Geometria!$K$1409&gt;0,Geometria!$K$1407&gt;0,Geometria!$Q$1409&gt;0,Geometria!$Q$1407&gt;0),1,0),MIN(MIN(1,MAX(0,(B162-Geometria!$L$1409/100)/(Geometria!$N$1307/100))),MIN(1,MAX(0,((Geometria!$L$29/100-B162)-Geometria!$R$1409/100)/(Geometria!$N$1307/100)))),1))*IF(IF(OR(Geometria!$K$1405&gt;0,Geometria!$K$1403&gt;0,Geometria!$Q$1405&gt;0,Geometria!$Q$1403&gt;0),1,0),MIN(MIN(1,MAX(0,(B162-Geometria!$L$1405/100)/(Geometria!$N$1307/100))),MIN(1,MAX(0,((Geometria!$L$29/100-B162)-Geometria!$R$1405/100)/(Geometria!$N$1307/100)))),1)+Geometria!$L$1450*IF(IF(OR(Geometria!$K$1409&gt;0,Geometria!$K$1407&gt;0,Geometria!$Q$1409&gt;0,Geometria!$Q$1407&gt;0),1,0),MIN(MIN(1,MAX(0,(B162-Geometria!$L$1409/100)/(Geometria!$N$1307/100))),MIN(1,MAX(0,((Geometria!$L$29/100-B162)-Geometria!$R$1409/100)/(Geometria!$N$1307/100)))),1)*(1-IF(IF(OR(Geometria!$K$1405&gt;0,Geometria!$K$1403&gt;0,Geometria!$Q$1405&gt;0,Geometria!$Q$1403&gt;0),1,0),MIN(MIN(1,MAX(0,(B162-Geometria!$L$1405/100)/(Geometria!$N$1307/100))),MIN(1,MAX(0,((Geometria!$L$29/100-B162)-Geometria!$R$1405/100)/(Geometria!$N$1307/100)))),1))+Geometria!$L$907*IF(IF(OR(Geometria!$K$1409&gt;0,Geometria!$K$1407&gt;0,Geometria!$Q$1409&gt;0,Geometria!$Q$1407&gt;0),1,0),MIN(MIN(1,MAX(0,(B162-Geometria!$L$1409/100)/(Geometria!$N$1307/100))),MIN(1,MAX(0,((Geometria!$L$29/100-B162)-Geometria!$R$1409/100)/(Geometria!$N$1307/100)))),1)*IF(IF(OR(Geometria!$K$1405&gt;0,Geometria!$K$1403&gt;0,Geometria!$Q$1405&gt;0,Geometria!$Q$1403&gt;0),1,0),MIN(MIN(1,MAX(0,(B162-Geometria!$L$1405/100)/(Geometria!$N$1307/100))),MIN(1,MAX(0,((Geometria!$L$29/100-B162)-Geometria!$R$1405/100)/(Geometria!$N$1307/100)))),1))/(Geometria!$L$52/100^3)-Tensões!$D$67/(Geometria!$L$52/100^3)</f>
        <v>5764.2585789814875</v>
      </c>
      <c r="J162" s="743"/>
      <c r="L162" s="373">
        <f ca="1">(Geometria!$L$298-(Geometria!$L$298-IF(B162&lt;Geometria!$L$1409/100,Geometria!$L$1442,Geometria!$L$1460))*(1-(MIN(MIN(1,MAX(0,(B162-Geometria!$L$1409/100)/(Geometria!$N$1307/100))),MIN(1,MAX(0,((Geometria!$L$29/100-B162)-Geometria!$R$1409/100)/(Geometria!$N$1307/100))))))*(IF(OR(Geometria!$K$1409&gt;0,Geometria!$K$1407&gt;0,Geometria!$Q$1409&gt;0,Geometria!$Q$1407&gt;0),1,0))-(Geometria!$L$298-IF(B162&lt;Geometria!$L$1405/100,Geometria!$L$1444,Geometria!$L$1462))*(1-(MIN(MIN(1,MAX(0,(B162-Geometria!$L$1405/100)/(Geometria!$N$1307/100))),MIN(1,MAX(0,((Geometria!$L$29/100-B162)-Geometria!$R$1405/100)/(Geometria!$N$1307/100))))))*(IF(OR(Geometria!$K$1405&gt;0,Geometria!$K$1403&gt;0,Geometria!$Q$1405&gt;0,Geometria!$Q$1403&gt;0),1,0)))*H185+Geometria!$P$1429*H162</f>
        <v>4583.4208978007955</v>
      </c>
      <c r="M162" s="373">
        <f ca="1">(Geometria!$L$298-(Geometria!$L$298-IF(B162&lt;Geometria!$L$1409/100,Geometria!$L$1442,Geometria!$L$1460))*(1-(MIN(MIN(1,MAX(0,(B162-Geometria!$L$1409/100)/(Geometria!$N$1307/100))),MIN(1,MAX(0,((Geometria!$L$29/100-B162)-Geometria!$R$1409/100)/(Geometria!$N$1307/100))))))*(IF(OR(Geometria!$K$1409&gt;0,Geometria!$K$1407&gt;0,Geometria!$Q$1409&gt;0,Geometria!$Q$1407&gt;0),1,0))-(Geometria!$L$298-IF(B162&lt;Geometria!$L$1405/100,Geometria!$L$1444,Geometria!$L$1462))*(1-(MIN(MIN(1,MAX(0,(B162-Geometria!$L$1405/100)/(Geometria!$N$1307/100))),MIN(1,MAX(0,((Geometria!$L$29/100-B162)-Geometria!$R$1405/100)/(Geometria!$N$1307/100))))))*(IF(OR(Geometria!$K$1405&gt;0,Geometria!$K$1403&gt;0,Geometria!$Q$1405&gt;0,Geometria!$Q$1403&gt;0),1,0)))*H185*(Geometria!$L$299-(Geometria!$L$299-IF(B162&lt;Geometria!$L$1409/100,Geometria!$L$1443,Geometria!$L$1461))*(1-(MIN(MIN(1,MAX(0,(B162-Geometria!$L$1409/100)/(Geometria!$N$1307/100))),MIN(1,MAX(0,((Geometria!$L$29/100-B162)-Geometria!$R$1409/100)/(Geometria!$N$1307/100))))))*(IF(OR(Geometria!$K$1409&gt;0,Geometria!$K$1407&gt;0,Geometria!$Q$1409&gt;0,Geometria!$Q$1407&gt;0),1,0))-(Geometria!$L$299-IF(B162&lt;Geometria!$L$1405/100,Geometria!$L$1445,Geometria!$L$1463))*(1-(MIN(MIN(1,MAX(0,(B162-Geometria!$L$1405/100)/(Geometria!$N$1307/100))),MIN(1,MAX(0,((Geometria!$L$29/100-B162)-Geometria!$R$1405/100)/(Geometria!$N$1307/100))))))*(IF(OR(Geometria!$K$1405&gt;0,Geometria!$K$1403&gt;0,Geometria!$Q$1405&gt;0,Geometria!$Q$1403&gt;0),1,0)))/100-Geometria!$P$1429*H162*Geometria!$L$1438/100</f>
        <v>859.391418337649</v>
      </c>
      <c r="N162" s="365"/>
      <c r="O162" s="371">
        <f ca="1">(IF(C162="Sim",IF(A162="Sim",$E$93,Geometria!$L$1447),IF(A162="Sim",Geometria!$L$1449,Geometria!$L$906)))</f>
        <v>1475.413282676191</v>
      </c>
      <c r="P162" s="371">
        <f ca="1">(IF(C162="Sim",IF(A162="Sim",$E$94,Geometria!$L$1448),IF(A162="Sim",Geometria!$L$1450,Geometria!$L$907)))</f>
        <v>276.63999050178586</v>
      </c>
      <c r="R162" s="4" t="s">
        <v>439</v>
      </c>
      <c r="S162" s="202">
        <f t="shared" ca="1" si="48"/>
        <v>5764.2585789814875</v>
      </c>
      <c r="T162" s="38" t="s">
        <v>234</v>
      </c>
      <c r="U162" s="203">
        <f t="shared" ca="1" si="47"/>
        <v>5.7642585789814875</v>
      </c>
      <c r="V162" s="38" t="s">
        <v>160</v>
      </c>
      <c r="W162" s="399">
        <f t="shared" si="49"/>
        <v>0.0</v>
      </c>
    </row>
    <row r="163" spans="1:23" x14ac:dyDescent="0.25">
      <c r="A163" s="376" t="str">
        <f>IF(OR(B163&lt;Geometria!$L$1405/100,(Geometria!$L$29/100-B163)&lt;Geometria!$R$1405/100),"Sim","Não")</f>
        <v>Não</v>
      </c>
      <c r="B163" s="395">
        <f>Tensões!$E$66</f>
        <v>4.3175</v>
      </c>
      <c r="C163" s="376" t="str">
        <f>IF(OR(B163&lt;Geometria!$L$1409/100,(Geometria!$L$29/100-B163)&lt;Geometria!$R$1409/100),"Sim","Não")</f>
        <v>Não</v>
      </c>
      <c r="D163" s="122" t="s">
        <v>440</v>
      </c>
      <c r="E163" s="198" t="str">
        <f ca="1">E161</f>
        <v>OK</v>
      </c>
      <c r="F163" s="396">
        <f t="shared" ca="1" si="46"/>
        <v>5787.046065960654</v>
      </c>
      <c r="G163" s="397">
        <f ca="1">-L163/(Geometria!$L$48/100^2)+M163/(Geometria!$L$52/100^3)-Geometria!$L$898/(Geometria!$L$52/100^3)</f>
        <v>19619.50417527431</v>
      </c>
      <c r="H163" s="400">
        <f ca="1">H161</f>
        <v>440.81269602021155</v>
      </c>
      <c r="I163" s="743">
        <f ca="1">-($E$93*(1-IF(IF(OR(Geometria!$K$1409&gt;0,Geometria!$K$1407&gt;0,Geometria!$Q$1409&gt;0,Geometria!$Q$1407&gt;0),1,0),MIN(MIN(1,MAX(0,(B163-Geometria!$L$1409/100)/(Geometria!$N$1307/100))),MIN(1,MAX(0,((Geometria!$L$29/100-B163)-Geometria!$R$1409/100)/(Geometria!$N$1307/100)))),1))*(1-IF(IF(OR(Geometria!$K$1405&gt;0,Geometria!$K$1403&gt;0,Geometria!$Q$1405&gt;0,Geometria!$Q$1403&gt;0),1,0),MIN(MIN(1,MAX(0,(B163-Geometria!$L$1405/100)/(Geometria!$N$1307/100))),MIN(1,MAX(0,((Geometria!$L$29/100-B163)-Geometria!$R$1405/100)/(Geometria!$N$1307/100)))),1))+Geometria!$L$1447*(1-IF(IF(OR(Geometria!$K$1409&gt;0,Geometria!$K$1407&gt;0,Geometria!$Q$1409&gt;0,Geometria!$Q$1407&gt;0),1,0),MIN(MIN(1,MAX(0,(B163-Geometria!$L$1409/100)/(Geometria!$N$1307/100))),MIN(1,MAX(0,((Geometria!$L$29/100-B163)-Geometria!$R$1409/100)/(Geometria!$N$1307/100)))),1))*IF(IF(OR(Geometria!$K$1405&gt;0,Geometria!$K$1403&gt;0,Geometria!$Q$1405&gt;0,Geometria!$Q$1403&gt;0),1,0),MIN(MIN(1,MAX(0,(B163-Geometria!$L$1405/100)/(Geometria!$N$1307/100))),MIN(1,MAX(0,((Geometria!$L$29/100-B163)-Geometria!$R$1405/100)/(Geometria!$N$1307/100)))),1)+Geometria!$L$1449*IF(IF(OR(Geometria!$K$1409&gt;0,Geometria!$K$1407&gt;0,Geometria!$Q$1409&gt;0,Geometria!$Q$1407&gt;0),1,0),MIN(MIN(1,MAX(0,(B163-Geometria!$L$1409/100)/(Geometria!$N$1307/100))),MIN(1,MAX(0,((Geometria!$L$29/100-B163)-Geometria!$R$1409/100)/(Geometria!$N$1307/100)))),1)*(1-IF(IF(OR(Geometria!$K$1405&gt;0,Geometria!$K$1403&gt;0,Geometria!$Q$1405&gt;0,Geometria!$Q$1403&gt;0),1,0),MIN(MIN(1,MAX(0,(B163-Geometria!$L$1405/100)/(Geometria!$N$1307/100))),MIN(1,MAX(0,((Geometria!$L$29/100-B163)-Geometria!$R$1405/100)/(Geometria!$N$1307/100)))),1))+Geometria!$L$906*IF(IF(OR(Geometria!$K$1409&gt;0,Geometria!$K$1407&gt;0,Geometria!$Q$1409&gt;0,Geometria!$Q$1407&gt;0),1,0),MIN(MIN(1,MAX(0,(B163-Geometria!$L$1409/100)/(Geometria!$N$1307/100))),MIN(1,MAX(0,((Geometria!$L$29/100-B163)-Geometria!$R$1409/100)/(Geometria!$N$1307/100)))),1)*IF(IF(OR(Geometria!$K$1405&gt;0,Geometria!$K$1403&gt;0,Geometria!$Q$1405&gt;0,Geometria!$Q$1403&gt;0),1,0),MIN(MIN(1,MAX(0,(B163-Geometria!$L$1405/100)/(Geometria!$N$1307/100))),MIN(1,MAX(0,((Geometria!$L$29/100-B163)-Geometria!$R$1405/100)/(Geometria!$N$1307/100)))),1))/(Geometria!$L$48/100^2)+($E$94*(1-IF(IF(OR(Geometria!$K$1409&gt;0,Geometria!$K$1407&gt;0,Geometria!$Q$1409&gt;0,Geometria!$Q$1407&gt;0),1,0),MIN(MIN(1,MAX(0,(B163-Geometria!$L$1409/100)/(Geometria!$N$1307/100))),MIN(1,MAX(0,((Geometria!$L$29/100-B163)-Geometria!$R$1409/100)/(Geometria!$N$1307/100)))),1))*(1-IF(IF(OR(Geometria!$K$1405&gt;0,Geometria!$K$1403&gt;0,Geometria!$Q$1405&gt;0,Geometria!$Q$1403&gt;0),1,0),MIN(MIN(1,MAX(0,(B163-Geometria!$L$1405/100)/(Geometria!$N$1307/100))),MIN(1,MAX(0,((Geometria!$L$29/100-B163)-Geometria!$R$1405/100)/(Geometria!$N$1307/100)))),1))+Geometria!$L$1448*(1-IF(IF(OR(Geometria!$K$1409&gt;0,Geometria!$K$1407&gt;0,Geometria!$Q$1409&gt;0,Geometria!$Q$1407&gt;0),1,0),MIN(MIN(1,MAX(0,(B163-Geometria!$L$1409/100)/(Geometria!$N$1307/100))),MIN(1,MAX(0,((Geometria!$L$29/100-B163)-Geometria!$R$1409/100)/(Geometria!$N$1307/100)))),1))*IF(IF(OR(Geometria!$K$1405&gt;0,Geometria!$K$1403&gt;0,Geometria!$Q$1405&gt;0,Geometria!$Q$1403&gt;0),1,0),MIN(MIN(1,MAX(0,(B163-Geometria!$L$1405/100)/(Geometria!$N$1307/100))),MIN(1,MAX(0,((Geometria!$L$29/100-B163)-Geometria!$R$1405/100)/(Geometria!$N$1307/100)))),1)+Geometria!$L$1450*IF(IF(OR(Geometria!$K$1409&gt;0,Geometria!$K$1407&gt;0,Geometria!$Q$1409&gt;0,Geometria!$Q$1407&gt;0),1,0),MIN(MIN(1,MAX(0,(B163-Geometria!$L$1409/100)/(Geometria!$N$1307/100))),MIN(1,MAX(0,((Geometria!$L$29/100-B163)-Geometria!$R$1409/100)/(Geometria!$N$1307/100)))),1)*(1-IF(IF(OR(Geometria!$K$1405&gt;0,Geometria!$K$1403&gt;0,Geometria!$Q$1405&gt;0,Geometria!$Q$1403&gt;0),1,0),MIN(MIN(1,MAX(0,(B163-Geometria!$L$1405/100)/(Geometria!$N$1307/100))),MIN(1,MAX(0,((Geometria!$L$29/100-B163)-Geometria!$R$1405/100)/(Geometria!$N$1307/100)))),1))+Geometria!$L$907*IF(IF(OR(Geometria!$K$1409&gt;0,Geometria!$K$1407&gt;0,Geometria!$Q$1409&gt;0,Geometria!$Q$1407&gt;0),1,0),MIN(MIN(1,MAX(0,(B163-Geometria!$L$1409/100)/(Geometria!$N$1307/100))),MIN(1,MAX(0,((Geometria!$L$29/100-B163)-Geometria!$R$1409/100)/(Geometria!$N$1307/100)))),1)*IF(IF(OR(Geometria!$K$1405&gt;0,Geometria!$K$1403&gt;0,Geometria!$Q$1405&gt;0,Geometria!$Q$1403&gt;0),1,0),MIN(MIN(1,MAX(0,(B163-Geometria!$L$1405/100)/(Geometria!$N$1307/100))),MIN(1,MAX(0,((Geometria!$L$29/100-B163)-Geometria!$R$1405/100)/(Geometria!$N$1307/100)))),1))/(Geometria!$L$52/100^3)-Tensões!$E$67/(Geometria!$L$52/100^3)</f>
        <v>5787.046065960654</v>
      </c>
      <c r="J163" s="743"/>
      <c r="L163" s="373">
        <f ca="1">(Geometria!$L$298-(Geometria!$L$298-IF(B163&lt;Geometria!$L$1409/100,Geometria!$L$1442,Geometria!$L$1460))*(1-(MIN(MIN(1,MAX(0,(B163-Geometria!$L$1409/100)/(Geometria!$N$1307/100))),MIN(1,MAX(0,((Geometria!$L$29/100-B163)-Geometria!$R$1409/100)/(Geometria!$N$1307/100))))))*(IF(OR(Geometria!$K$1409&gt;0,Geometria!$K$1407&gt;0,Geometria!$Q$1409&gt;0,Geometria!$Q$1407&gt;0),1,0))-(Geometria!$L$298-IF(B163&lt;Geometria!$L$1405/100,Geometria!$L$1444,Geometria!$L$1462))*(1-(MIN(MIN(1,MAX(0,(B163-Geometria!$L$1405/100)/(Geometria!$N$1307/100))),MIN(1,MAX(0,((Geometria!$L$29/100-B163)-Geometria!$R$1405/100)/(Geometria!$N$1307/100))))))*(IF(OR(Geometria!$K$1405&gt;0,Geometria!$K$1403&gt;0,Geometria!$Q$1405&gt;0,Geometria!$Q$1403&gt;0),1,0)))*H186+Geometria!$P$1429*H163</f>
        <v>4125.078808020716</v>
      </c>
      <c r="M163" s="373">
        <f ca="1">(Geometria!$L$298-(Geometria!$L$298-IF(B163&lt;Geometria!$L$1409/100,Geometria!$L$1442,Geometria!$L$1460))*(1-(MIN(MIN(1,MAX(0,(B163-Geometria!$L$1409/100)/(Geometria!$N$1307/100))),MIN(1,MAX(0,((Geometria!$L$29/100-B163)-Geometria!$R$1409/100)/(Geometria!$N$1307/100))))))*(IF(OR(Geometria!$K$1409&gt;0,Geometria!$K$1407&gt;0,Geometria!$Q$1409&gt;0,Geometria!$Q$1407&gt;0),1,0))-(Geometria!$L$298-IF(B163&lt;Geometria!$L$1405/100,Geometria!$L$1444,Geometria!$L$1462))*(1-(MIN(MIN(1,MAX(0,(B163-Geometria!$L$1405/100)/(Geometria!$N$1307/100))),MIN(1,MAX(0,((Geometria!$L$29/100-B163)-Geometria!$R$1405/100)/(Geometria!$N$1307/100))))))*(IF(OR(Geometria!$K$1405&gt;0,Geometria!$K$1403&gt;0,Geometria!$Q$1405&gt;0,Geometria!$Q$1403&gt;0),1,0)))*H186*(Geometria!$L$299-(Geometria!$L$299-IF(B163&lt;Geometria!$L$1409/100,Geometria!$L$1443,Geometria!$L$1461))*(1-(MIN(MIN(1,MAX(0,(B163-Geometria!$L$1409/100)/(Geometria!$N$1307/100))),MIN(1,MAX(0,((Geometria!$L$29/100-B163)-Geometria!$R$1409/100)/(Geometria!$N$1307/100))))))*(IF(OR(Geometria!$K$1409&gt;0,Geometria!$K$1407&gt;0,Geometria!$Q$1409&gt;0,Geometria!$Q$1407&gt;0),1,0))-(Geometria!$L$299-IF(B163&lt;Geometria!$L$1405/100,Geometria!$L$1445,Geometria!$L$1463))*(1-(MIN(MIN(1,MAX(0,(B163-Geometria!$L$1405/100)/(Geometria!$N$1307/100))),MIN(1,MAX(0,((Geometria!$L$29/100-B163)-Geometria!$R$1405/100)/(Geometria!$N$1307/100))))))*(IF(OR(Geometria!$K$1405&gt;0,Geometria!$K$1403&gt;0,Geometria!$Q$1405&gt;0,Geometria!$Q$1403&gt;0),1,0)))/100-Geometria!$P$1429*H163*Geometria!$L$1438/100</f>
        <v>773.4522765038841</v>
      </c>
      <c r="N163" s="365"/>
      <c r="O163" s="371">
        <f ca="1">(IF(C163="Sim",IF(A163="Sim",$E$93,Geometria!$L$1447),IF(A163="Sim",Geometria!$L$1449,Geometria!$L$906)))</f>
        <v>1475.413282676191</v>
      </c>
      <c r="P163" s="371">
        <f ca="1">(IF(C163="Sim",IF(A163="Sim",$E$94,Geometria!$L$1448),IF(A163="Sim",Geometria!$L$1450,Geometria!$L$907)))</f>
        <v>276.63999050178586</v>
      </c>
      <c r="R163" s="4" t="s">
        <v>440</v>
      </c>
      <c r="S163" s="202">
        <f t="shared" ca="1" si="48"/>
        <v>5787.046065960654</v>
      </c>
      <c r="T163" s="38" t="s">
        <v>234</v>
      </c>
      <c r="U163" s="203">
        <f t="shared" ca="1" si="47"/>
        <v>5.787046065960654</v>
      </c>
      <c r="V163" s="38" t="s">
        <v>160</v>
      </c>
      <c r="W163" s="399">
        <f t="shared" si="49"/>
        <v>0.0</v>
      </c>
    </row>
    <row r="164" spans="1:23" x14ac:dyDescent="0.25">
      <c r="A164" s="376" t="str">
        <f>IF(OR(B164&lt;Geometria!$L$1405/100,(Geometria!$L$29/100-B164)&lt;Geometria!$R$1405/100),"Sim","Não")</f>
        <v>Não</v>
      </c>
      <c r="B164" s="395">
        <f>Tensões!$F$66</f>
        <v>4.71</v>
      </c>
      <c r="C164" s="376" t="str">
        <f>IF(OR(B164&lt;Geometria!$L$1409/100,(Geometria!$L$29/100-B164)&lt;Geometria!$R$1409/100),"Sim","Não")</f>
        <v>Não</v>
      </c>
      <c r="D164" s="122" t="s">
        <v>441</v>
      </c>
      <c r="E164" s="198" t="str">
        <f ca="1">E160</f>
        <v>OK</v>
      </c>
      <c r="F164" s="396">
        <f t="shared" ca="1" si="46"/>
        <v>5855.408526898154</v>
      </c>
      <c r="G164" s="397">
        <f ca="1">-L164/(Geometria!$L$48/100^2)+M164/(Geometria!$L$52/100^3)-Geometria!$L$898/(Geometria!$L$52/100^3)</f>
        <v>17391.45234995449</v>
      </c>
      <c r="H164" s="400">
        <f ca="1">H160</f>
        <v>391.83350757352133</v>
      </c>
      <c r="I164" s="743">
        <f ca="1">-($E$93*(1-IF(IF(OR(Geometria!$K$1409&gt;0,Geometria!$K$1407&gt;0,Geometria!$Q$1409&gt;0,Geometria!$Q$1407&gt;0),1,0),MIN(MIN(1,MAX(0,(B164-Geometria!$L$1409/100)/(Geometria!$N$1307/100))),MIN(1,MAX(0,((Geometria!$L$29/100-B164)-Geometria!$R$1409/100)/(Geometria!$N$1307/100)))),1))*(1-IF(IF(OR(Geometria!$K$1405&gt;0,Geometria!$K$1403&gt;0,Geometria!$Q$1405&gt;0,Geometria!$Q$1403&gt;0),1,0),MIN(MIN(1,MAX(0,(B164-Geometria!$L$1405/100)/(Geometria!$N$1307/100))),MIN(1,MAX(0,((Geometria!$L$29/100-B164)-Geometria!$R$1405/100)/(Geometria!$N$1307/100)))),1))+Geometria!$L$1447*(1-IF(IF(OR(Geometria!$K$1409&gt;0,Geometria!$K$1407&gt;0,Geometria!$Q$1409&gt;0,Geometria!$Q$1407&gt;0),1,0),MIN(MIN(1,MAX(0,(B164-Geometria!$L$1409/100)/(Geometria!$N$1307/100))),MIN(1,MAX(0,((Geometria!$L$29/100-B164)-Geometria!$R$1409/100)/(Geometria!$N$1307/100)))),1))*IF(IF(OR(Geometria!$K$1405&gt;0,Geometria!$K$1403&gt;0,Geometria!$Q$1405&gt;0,Geometria!$Q$1403&gt;0),1,0),MIN(MIN(1,MAX(0,(B164-Geometria!$L$1405/100)/(Geometria!$N$1307/100))),MIN(1,MAX(0,((Geometria!$L$29/100-B164)-Geometria!$R$1405/100)/(Geometria!$N$1307/100)))),1)+Geometria!$L$1449*IF(IF(OR(Geometria!$K$1409&gt;0,Geometria!$K$1407&gt;0,Geometria!$Q$1409&gt;0,Geometria!$Q$1407&gt;0),1,0),MIN(MIN(1,MAX(0,(B164-Geometria!$L$1409/100)/(Geometria!$N$1307/100))),MIN(1,MAX(0,((Geometria!$L$29/100-B164)-Geometria!$R$1409/100)/(Geometria!$N$1307/100)))),1)*(1-IF(IF(OR(Geometria!$K$1405&gt;0,Geometria!$K$1403&gt;0,Geometria!$Q$1405&gt;0,Geometria!$Q$1403&gt;0),1,0),MIN(MIN(1,MAX(0,(B164-Geometria!$L$1405/100)/(Geometria!$N$1307/100))),MIN(1,MAX(0,((Geometria!$L$29/100-B164)-Geometria!$R$1405/100)/(Geometria!$N$1307/100)))),1))+Geometria!$L$906*IF(IF(OR(Geometria!$K$1409&gt;0,Geometria!$K$1407&gt;0,Geometria!$Q$1409&gt;0,Geometria!$Q$1407&gt;0),1,0),MIN(MIN(1,MAX(0,(B164-Geometria!$L$1409/100)/(Geometria!$N$1307/100))),MIN(1,MAX(0,((Geometria!$L$29/100-B164)-Geometria!$R$1409/100)/(Geometria!$N$1307/100)))),1)*IF(IF(OR(Geometria!$K$1405&gt;0,Geometria!$K$1403&gt;0,Geometria!$Q$1405&gt;0,Geometria!$Q$1403&gt;0),1,0),MIN(MIN(1,MAX(0,(B164-Geometria!$L$1405/100)/(Geometria!$N$1307/100))),MIN(1,MAX(0,((Geometria!$L$29/100-B164)-Geometria!$R$1405/100)/(Geometria!$N$1307/100)))),1))/(Geometria!$L$48/100^2)+($E$94*(1-IF(IF(OR(Geometria!$K$1409&gt;0,Geometria!$K$1407&gt;0,Geometria!$Q$1409&gt;0,Geometria!$Q$1407&gt;0),1,0),MIN(MIN(1,MAX(0,(B164-Geometria!$L$1409/100)/(Geometria!$N$1307/100))),MIN(1,MAX(0,((Geometria!$L$29/100-B164)-Geometria!$R$1409/100)/(Geometria!$N$1307/100)))),1))*(1-IF(IF(OR(Geometria!$K$1405&gt;0,Geometria!$K$1403&gt;0,Geometria!$Q$1405&gt;0,Geometria!$Q$1403&gt;0),1,0),MIN(MIN(1,MAX(0,(B164-Geometria!$L$1405/100)/(Geometria!$N$1307/100))),MIN(1,MAX(0,((Geometria!$L$29/100-B164)-Geometria!$R$1405/100)/(Geometria!$N$1307/100)))),1))+Geometria!$L$1448*(1-IF(IF(OR(Geometria!$K$1409&gt;0,Geometria!$K$1407&gt;0,Geometria!$Q$1409&gt;0,Geometria!$Q$1407&gt;0),1,0),MIN(MIN(1,MAX(0,(B164-Geometria!$L$1409/100)/(Geometria!$N$1307/100))),MIN(1,MAX(0,((Geometria!$L$29/100-B164)-Geometria!$R$1409/100)/(Geometria!$N$1307/100)))),1))*IF(IF(OR(Geometria!$K$1405&gt;0,Geometria!$K$1403&gt;0,Geometria!$Q$1405&gt;0,Geometria!$Q$1403&gt;0),1,0),MIN(MIN(1,MAX(0,(B164-Geometria!$L$1405/100)/(Geometria!$N$1307/100))),MIN(1,MAX(0,((Geometria!$L$29/100-B164)-Geometria!$R$1405/100)/(Geometria!$N$1307/100)))),1)+Geometria!$L$1450*IF(IF(OR(Geometria!$K$1409&gt;0,Geometria!$K$1407&gt;0,Geometria!$Q$1409&gt;0,Geometria!$Q$1407&gt;0),1,0),MIN(MIN(1,MAX(0,(B164-Geometria!$L$1409/100)/(Geometria!$N$1307/100))),MIN(1,MAX(0,((Geometria!$L$29/100-B164)-Geometria!$R$1409/100)/(Geometria!$N$1307/100)))),1)*(1-IF(IF(OR(Geometria!$K$1405&gt;0,Geometria!$K$1403&gt;0,Geometria!$Q$1405&gt;0,Geometria!$Q$1403&gt;0),1,0),MIN(MIN(1,MAX(0,(B164-Geometria!$L$1405/100)/(Geometria!$N$1307/100))),MIN(1,MAX(0,((Geometria!$L$29/100-B164)-Geometria!$R$1405/100)/(Geometria!$N$1307/100)))),1))+Geometria!$L$907*IF(IF(OR(Geometria!$K$1409&gt;0,Geometria!$K$1407&gt;0,Geometria!$Q$1409&gt;0,Geometria!$Q$1407&gt;0),1,0),MIN(MIN(1,MAX(0,(B164-Geometria!$L$1409/100)/(Geometria!$N$1307/100))),MIN(1,MAX(0,((Geometria!$L$29/100-B164)-Geometria!$R$1409/100)/(Geometria!$N$1307/100)))),1)*IF(IF(OR(Geometria!$K$1405&gt;0,Geometria!$K$1403&gt;0,Geometria!$Q$1405&gt;0,Geometria!$Q$1403&gt;0),1,0),MIN(MIN(1,MAX(0,(B164-Geometria!$L$1405/100)/(Geometria!$N$1307/100))),MIN(1,MAX(0,((Geometria!$L$29/100-B164)-Geometria!$R$1405/100)/(Geometria!$N$1307/100)))),1))/(Geometria!$L$52/100^3)-Tensões!$F$67/(Geometria!$L$52/100^3)</f>
        <v>5855.408526898154</v>
      </c>
      <c r="J164" s="743"/>
      <c r="L164" s="373">
        <f ca="1">(Geometria!$L$298-(Geometria!$L$298-IF(B164&lt;Geometria!$L$1409/100,Geometria!$L$1442,Geometria!$L$1460))*(1-(MIN(MIN(1,MAX(0,(B164-Geometria!$L$1409/100)/(Geometria!$N$1307/100))),MIN(1,MAX(0,((Geometria!$L$29/100-B164)-Geometria!$R$1409/100)/(Geometria!$N$1307/100))))))*(IF(OR(Geometria!$K$1409&gt;0,Geometria!$K$1407&gt;0,Geometria!$Q$1409&gt;0,Geometria!$Q$1407&gt;0),1,0))-(Geometria!$L$298-IF(B164&lt;Geometria!$L$1405/100,Geometria!$L$1444,Geometria!$L$1462))*(1-(MIN(MIN(1,MAX(0,(B164-Geometria!$L$1405/100)/(Geometria!$N$1307/100))),MIN(1,MAX(0,((Geometria!$L$29/100-B164)-Geometria!$R$1405/100)/(Geometria!$N$1307/100))))))*(IF(OR(Geometria!$K$1405&gt;0,Geometria!$K$1403&gt;0,Geometria!$Q$1405&gt;0,Geometria!$Q$1403&gt;0),1,0)))*H187+Geometria!$P$1429*H164</f>
        <v>3666.736718240637</v>
      </c>
      <c r="M164" s="373">
        <f ca="1">(Geometria!$L$298-(Geometria!$L$298-IF(B164&lt;Geometria!$L$1409/100,Geometria!$L$1442,Geometria!$L$1460))*(1-(MIN(MIN(1,MAX(0,(B164-Geometria!$L$1409/100)/(Geometria!$N$1307/100))),MIN(1,MAX(0,((Geometria!$L$29/100-B164)-Geometria!$R$1409/100)/(Geometria!$N$1307/100))))))*(IF(OR(Geometria!$K$1409&gt;0,Geometria!$K$1407&gt;0,Geometria!$Q$1409&gt;0,Geometria!$Q$1407&gt;0),1,0))-(Geometria!$L$298-IF(B164&lt;Geometria!$L$1405/100,Geometria!$L$1444,Geometria!$L$1462))*(1-(MIN(MIN(1,MAX(0,(B164-Geometria!$L$1405/100)/(Geometria!$N$1307/100))),MIN(1,MAX(0,((Geometria!$L$29/100-B164)-Geometria!$R$1405/100)/(Geometria!$N$1307/100))))))*(IF(OR(Geometria!$K$1405&gt;0,Geometria!$K$1403&gt;0,Geometria!$Q$1405&gt;0,Geometria!$Q$1403&gt;0),1,0)))*H187*(Geometria!$L$299-(Geometria!$L$299-IF(B164&lt;Geometria!$L$1409/100,Geometria!$L$1443,Geometria!$L$1461))*(1-(MIN(MIN(1,MAX(0,(B164-Geometria!$L$1409/100)/(Geometria!$N$1307/100))),MIN(1,MAX(0,((Geometria!$L$29/100-B164)-Geometria!$R$1409/100)/(Geometria!$N$1307/100))))))*(IF(OR(Geometria!$K$1409&gt;0,Geometria!$K$1407&gt;0,Geometria!$Q$1409&gt;0,Geometria!$Q$1407&gt;0),1,0))-(Geometria!$L$299-IF(B164&lt;Geometria!$L$1405/100,Geometria!$L$1445,Geometria!$L$1463))*(1-(MIN(MIN(1,MAX(0,(B164-Geometria!$L$1405/100)/(Geometria!$N$1307/100))),MIN(1,MAX(0,((Geometria!$L$29/100-B164)-Geometria!$R$1405/100)/(Geometria!$N$1307/100))))))*(IF(OR(Geometria!$K$1405&gt;0,Geometria!$K$1403&gt;0,Geometria!$Q$1405&gt;0,Geometria!$Q$1403&gt;0),1,0)))/100-Geometria!$P$1429*H164*Geometria!$L$1438/100</f>
        <v>687.5131346701195</v>
      </c>
      <c r="N164" s="365"/>
      <c r="O164" s="371">
        <f ca="1">(IF(C164="Sim",IF(A164="Sim",$E$93,Geometria!$L$1447),IF(A164="Sim",Geometria!$L$1449,Geometria!$L$906)))</f>
        <v>1475.413282676191</v>
      </c>
      <c r="P164" s="371">
        <f ca="1">(IF(C164="Sim",IF(A164="Sim",$E$94,Geometria!$L$1448),IF(A164="Sim",Geometria!$L$1450,Geometria!$L$907)))</f>
        <v>276.63999050178586</v>
      </c>
      <c r="R164" s="4" t="s">
        <v>441</v>
      </c>
      <c r="S164" s="202">
        <f t="shared" ca="1" si="48"/>
        <v>5855.408526898154</v>
      </c>
      <c r="T164" s="38" t="s">
        <v>234</v>
      </c>
      <c r="U164" s="203">
        <f t="shared" ca="1" si="47"/>
        <v>5.855408526898154</v>
      </c>
      <c r="V164" s="38" t="s">
        <v>160</v>
      </c>
      <c r="W164" s="399">
        <f t="shared" si="49"/>
        <v>0.0</v>
      </c>
    </row>
    <row r="165" spans="1:23" x14ac:dyDescent="0.25">
      <c r="A165" s="376" t="str">
        <f>IF(OR(B165&lt;Geometria!$L$1405/100,(Geometria!$L$29/100-B165)&lt;Geometria!$R$1405/100),"Sim","Não")</f>
        <v>Não</v>
      </c>
      <c r="B165" s="395">
        <f>Tensões!$G$66</f>
        <v>5.1025</v>
      </c>
      <c r="C165" s="376" t="str">
        <f>IF(OR(B165&lt;Geometria!$L$1409/100,(Geometria!$L$29/100-B165)&lt;Geometria!$R$1409/100),"Sim","Não")</f>
        <v>Não</v>
      </c>
      <c r="D165" s="122" t="s">
        <v>442</v>
      </c>
      <c r="E165" s="198" t="str">
        <f ca="1">E159</f>
        <v>OK</v>
      </c>
      <c r="F165" s="396">
        <f t="shared" ca="1" si="46"/>
        <v>5978.935835992139</v>
      </c>
      <c r="G165" s="397">
        <f ca="1">-L165/(Geometria!$L$48/100^2)+M165/(Geometria!$L$52/100^3)-Geometria!$L$898/(Geometria!$L$52/100^3)</f>
        <v>15332.283342900422</v>
      </c>
      <c r="H165" s="400">
        <f ca="1">H159</f>
        <v>342.8543191268312</v>
      </c>
      <c r="I165" s="743">
        <f ca="1">-($E$93*(1-IF(IF(OR(Geometria!$K$1409&gt;0,Geometria!$K$1407&gt;0,Geometria!$Q$1409&gt;0,Geometria!$Q$1407&gt;0),1,0),MIN(MIN(1,MAX(0,(B165-Geometria!$L$1409/100)/(Geometria!$N$1307/100))),MIN(1,MAX(0,((Geometria!$L$29/100-B165)-Geometria!$R$1409/100)/(Geometria!$N$1307/100)))),1))*(1-IF(IF(OR(Geometria!$K$1405&gt;0,Geometria!$K$1403&gt;0,Geometria!$Q$1405&gt;0,Geometria!$Q$1403&gt;0),1,0),MIN(MIN(1,MAX(0,(B165-Geometria!$L$1405/100)/(Geometria!$N$1307/100))),MIN(1,MAX(0,((Geometria!$L$29/100-B165)-Geometria!$R$1405/100)/(Geometria!$N$1307/100)))),1))+Geometria!$L$1447*(1-IF(IF(OR(Geometria!$K$1409&gt;0,Geometria!$K$1407&gt;0,Geometria!$Q$1409&gt;0,Geometria!$Q$1407&gt;0),1,0),MIN(MIN(1,MAX(0,(B165-Geometria!$L$1409/100)/(Geometria!$N$1307/100))),MIN(1,MAX(0,((Geometria!$L$29/100-B165)-Geometria!$R$1409/100)/(Geometria!$N$1307/100)))),1))*IF(IF(OR(Geometria!$K$1405&gt;0,Geometria!$K$1403&gt;0,Geometria!$Q$1405&gt;0,Geometria!$Q$1403&gt;0),1,0),MIN(MIN(1,MAX(0,(B165-Geometria!$L$1405/100)/(Geometria!$N$1307/100))),MIN(1,MAX(0,((Geometria!$L$29/100-B165)-Geometria!$R$1405/100)/(Geometria!$N$1307/100)))),1)+Geometria!$L$1449*IF(IF(OR(Geometria!$K$1409&gt;0,Geometria!$K$1407&gt;0,Geometria!$Q$1409&gt;0,Geometria!$Q$1407&gt;0),1,0),MIN(MIN(1,MAX(0,(B165-Geometria!$L$1409/100)/(Geometria!$N$1307/100))),MIN(1,MAX(0,((Geometria!$L$29/100-B165)-Geometria!$R$1409/100)/(Geometria!$N$1307/100)))),1)*(1-IF(IF(OR(Geometria!$K$1405&gt;0,Geometria!$K$1403&gt;0,Geometria!$Q$1405&gt;0,Geometria!$Q$1403&gt;0),1,0),MIN(MIN(1,MAX(0,(B165-Geometria!$L$1405/100)/(Geometria!$N$1307/100))),MIN(1,MAX(0,((Geometria!$L$29/100-B165)-Geometria!$R$1405/100)/(Geometria!$N$1307/100)))),1))+Geometria!$L$906*IF(IF(OR(Geometria!$K$1409&gt;0,Geometria!$K$1407&gt;0,Geometria!$Q$1409&gt;0,Geometria!$Q$1407&gt;0),1,0),MIN(MIN(1,MAX(0,(B165-Geometria!$L$1409/100)/(Geometria!$N$1307/100))),MIN(1,MAX(0,((Geometria!$L$29/100-B165)-Geometria!$R$1409/100)/(Geometria!$N$1307/100)))),1)*IF(IF(OR(Geometria!$K$1405&gt;0,Geometria!$K$1403&gt;0,Geometria!$Q$1405&gt;0,Geometria!$Q$1403&gt;0),1,0),MIN(MIN(1,MAX(0,(B165-Geometria!$L$1405/100)/(Geometria!$N$1307/100))),MIN(1,MAX(0,((Geometria!$L$29/100-B165)-Geometria!$R$1405/100)/(Geometria!$N$1307/100)))),1))/(Geometria!$L$48/100^2)+($E$94*(1-IF(IF(OR(Geometria!$K$1409&gt;0,Geometria!$K$1407&gt;0,Geometria!$Q$1409&gt;0,Geometria!$Q$1407&gt;0),1,0),MIN(MIN(1,MAX(0,(B165-Geometria!$L$1409/100)/(Geometria!$N$1307/100))),MIN(1,MAX(0,((Geometria!$L$29/100-B165)-Geometria!$R$1409/100)/(Geometria!$N$1307/100)))),1))*(1-IF(IF(OR(Geometria!$K$1405&gt;0,Geometria!$K$1403&gt;0,Geometria!$Q$1405&gt;0,Geometria!$Q$1403&gt;0),1,0),MIN(MIN(1,MAX(0,(B165-Geometria!$L$1405/100)/(Geometria!$N$1307/100))),MIN(1,MAX(0,((Geometria!$L$29/100-B165)-Geometria!$R$1405/100)/(Geometria!$N$1307/100)))),1))+Geometria!$L$1448*(1-IF(IF(OR(Geometria!$K$1409&gt;0,Geometria!$K$1407&gt;0,Geometria!$Q$1409&gt;0,Geometria!$Q$1407&gt;0),1,0),MIN(MIN(1,MAX(0,(B165-Geometria!$L$1409/100)/(Geometria!$N$1307/100))),MIN(1,MAX(0,((Geometria!$L$29/100-B165)-Geometria!$R$1409/100)/(Geometria!$N$1307/100)))),1))*IF(IF(OR(Geometria!$K$1405&gt;0,Geometria!$K$1403&gt;0,Geometria!$Q$1405&gt;0,Geometria!$Q$1403&gt;0),1,0),MIN(MIN(1,MAX(0,(B165-Geometria!$L$1405/100)/(Geometria!$N$1307/100))),MIN(1,MAX(0,((Geometria!$L$29/100-B165)-Geometria!$R$1405/100)/(Geometria!$N$1307/100)))),1)+Geometria!$L$1450*IF(IF(OR(Geometria!$K$1409&gt;0,Geometria!$K$1407&gt;0,Geometria!$Q$1409&gt;0,Geometria!$Q$1407&gt;0),1,0),MIN(MIN(1,MAX(0,(B165-Geometria!$L$1409/100)/(Geometria!$N$1307/100))),MIN(1,MAX(0,((Geometria!$L$29/100-B165)-Geometria!$R$1409/100)/(Geometria!$N$1307/100)))),1)*(1-IF(IF(OR(Geometria!$K$1405&gt;0,Geometria!$K$1403&gt;0,Geometria!$Q$1405&gt;0,Geometria!$Q$1403&gt;0),1,0),MIN(MIN(1,MAX(0,(B165-Geometria!$L$1405/100)/(Geometria!$N$1307/100))),MIN(1,MAX(0,((Geometria!$L$29/100-B165)-Geometria!$R$1405/100)/(Geometria!$N$1307/100)))),1))+Geometria!$L$907*IF(IF(OR(Geometria!$K$1409&gt;0,Geometria!$K$1407&gt;0,Geometria!$Q$1409&gt;0,Geometria!$Q$1407&gt;0),1,0),MIN(MIN(1,MAX(0,(B165-Geometria!$L$1409/100)/(Geometria!$N$1307/100))),MIN(1,MAX(0,((Geometria!$L$29/100-B165)-Geometria!$R$1409/100)/(Geometria!$N$1307/100)))),1)*IF(IF(OR(Geometria!$K$1405&gt;0,Geometria!$K$1403&gt;0,Geometria!$Q$1405&gt;0,Geometria!$Q$1403&gt;0),1,0),MIN(MIN(1,MAX(0,(B165-Geometria!$L$1405/100)/(Geometria!$N$1307/100))),MIN(1,MAX(0,((Geometria!$L$29/100-B165)-Geometria!$R$1405/100)/(Geometria!$N$1307/100)))),1))/(Geometria!$L$52/100^3)-Tensões!$G$67/(Geometria!$L$52/100^3)</f>
        <v>5978.935835992139</v>
      </c>
      <c r="J165" s="743"/>
      <c r="L165" s="373">
        <f ca="1">(Geometria!$L$298-(Geometria!$L$298-IF(B165&lt;Geometria!$L$1409/100,Geometria!$L$1442,Geometria!$L$1460))*(1-(MIN(MIN(1,MAX(0,(B165-Geometria!$L$1409/100)/(Geometria!$N$1307/100))),MIN(1,MAX(0,((Geometria!$L$29/100-B165)-Geometria!$R$1409/100)/(Geometria!$N$1307/100))))))*(IF(OR(Geometria!$K$1409&gt;0,Geometria!$K$1407&gt;0,Geometria!$Q$1409&gt;0,Geometria!$Q$1407&gt;0),1,0))-(Geometria!$L$298-IF(B165&lt;Geometria!$L$1405/100,Geometria!$L$1444,Geometria!$L$1462))*(1-(MIN(MIN(1,MAX(0,(B165-Geometria!$L$1405/100)/(Geometria!$N$1307/100))),MIN(1,MAX(0,((Geometria!$L$29/100-B165)-Geometria!$R$1405/100)/(Geometria!$N$1307/100))))))*(IF(OR(Geometria!$K$1405&gt;0,Geometria!$K$1403&gt;0,Geometria!$Q$1405&gt;0,Geometria!$Q$1403&gt;0),1,0)))*H188+Geometria!$P$1429*H165</f>
        <v>3179.6494109582613</v>
      </c>
      <c r="M165" s="373">
        <f ca="1">(Geometria!$L$298-(Geometria!$L$298-IF(B165&lt;Geometria!$L$1409/100,Geometria!$L$1442,Geometria!$L$1460))*(1-(MIN(MIN(1,MAX(0,(B165-Geometria!$L$1409/100)/(Geometria!$N$1307/100))),MIN(1,MAX(0,((Geometria!$L$29/100-B165)-Geometria!$R$1409/100)/(Geometria!$N$1307/100))))))*(IF(OR(Geometria!$K$1409&gt;0,Geometria!$K$1407&gt;0,Geometria!$Q$1409&gt;0,Geometria!$Q$1407&gt;0),1,0))-(Geometria!$L$298-IF(B165&lt;Geometria!$L$1405/100,Geometria!$L$1444,Geometria!$L$1462))*(1-(MIN(MIN(1,MAX(0,(B165-Geometria!$L$1405/100)/(Geometria!$N$1307/100))),MIN(1,MAX(0,((Geometria!$L$29/100-B165)-Geometria!$R$1405/100)/(Geometria!$N$1307/100))))))*(IF(OR(Geometria!$K$1405&gt;0,Geometria!$K$1403&gt;0,Geometria!$Q$1405&gt;0,Geometria!$Q$1403&gt;0),1,0)))*H188*(Geometria!$L$299-(Geometria!$L$299-IF(B165&lt;Geometria!$L$1409/100,Geometria!$L$1443,Geometria!$L$1461))*(1-(MIN(MIN(1,MAX(0,(B165-Geometria!$L$1409/100)/(Geometria!$N$1307/100))),MIN(1,MAX(0,((Geometria!$L$29/100-B165)-Geometria!$R$1409/100)/(Geometria!$N$1307/100))))))*(IF(OR(Geometria!$K$1409&gt;0,Geometria!$K$1407&gt;0,Geometria!$Q$1409&gt;0,Geometria!$Q$1407&gt;0),1,0))-(Geometria!$L$299-IF(B165&lt;Geometria!$L$1405/100,Geometria!$L$1445,Geometria!$L$1463))*(1-(MIN(MIN(1,MAX(0,(B165-Geometria!$L$1405/100)/(Geometria!$N$1307/100))),MIN(1,MAX(0,((Geometria!$L$29/100-B165)-Geometria!$R$1405/100)/(Geometria!$N$1307/100))))))*(IF(OR(Geometria!$K$1405&gt;0,Geometria!$K$1403&gt;0,Geometria!$Q$1405&gt;0,Geometria!$Q$1403&gt;0),1,0)))/100-Geometria!$P$1429*H165*Geometria!$L$1438/100</f>
        <v>601.7393618149086</v>
      </c>
      <c r="N165" s="365"/>
      <c r="O165" s="371">
        <f ca="1">(IF(C165="Sim",IF(A165="Sim",$E$93,Geometria!$L$1447),IF(A165="Sim",Geometria!$L$1449,Geometria!$L$906)))</f>
        <v>1475.413282676191</v>
      </c>
      <c r="P165" s="371">
        <f ca="1">(IF(C165="Sim",IF(A165="Sim",$E$94,Geometria!$L$1448),IF(A165="Sim",Geometria!$L$1450,Geometria!$L$907)))</f>
        <v>276.63999050178586</v>
      </c>
      <c r="R165" s="4" t="s">
        <v>442</v>
      </c>
      <c r="S165" s="202">
        <f t="shared" ca="1" si="48"/>
        <v>5978.935835992139</v>
      </c>
      <c r="T165" s="38" t="s">
        <v>234</v>
      </c>
      <c r="U165" s="203">
        <f t="shared" ca="1" si="47"/>
        <v>5.9789358359921385</v>
      </c>
      <c r="V165" s="38" t="s">
        <v>160</v>
      </c>
      <c r="W165" s="399">
        <f t="shared" si="49"/>
        <v>0.0</v>
      </c>
    </row>
    <row r="166" spans="1:23" x14ac:dyDescent="0.25">
      <c r="A166" s="376" t="str">
        <f>IF(OR(B166&lt;Geometria!$L$1405/100,(Geometria!$L$29/100-B166)&lt;Geometria!$R$1405/100),"Sim","Não")</f>
        <v>Não</v>
      </c>
      <c r="B166" s="395">
        <f>Tensões!$H$66</f>
        <v>5.495</v>
      </c>
      <c r="C166" s="376" t="str">
        <f>IF(OR(B166&lt;Geometria!$L$1409/100,(Geometria!$L$29/100-B166)&lt;Geometria!$R$1409/100),"Sim","Não")</f>
        <v>Não</v>
      </c>
      <c r="D166" s="122" t="s">
        <v>443</v>
      </c>
      <c r="E166" s="198" t="str">
        <f ca="1">E158</f>
        <v>OK</v>
      </c>
      <c r="F166" s="396">
        <f t="shared" ca="1" si="46"/>
        <v>6318.227460086649</v>
      </c>
      <c r="G166" s="397">
        <f ca="1">-L166/(Geometria!$L$48/100^2)+M166/(Geometria!$L$52/100^3)-Geometria!$L$898/(Geometria!$L$52/100^3)</f>
        <v>14908.545034543537</v>
      </c>
      <c r="H166" s="400">
        <f ca="1">H158</f>
        <v>293.87513068014107</v>
      </c>
      <c r="I166" s="743">
        <f ca="1">-($E$93*(1-IF(IF(OR(Geometria!$K$1409&gt;0,Geometria!$K$1407&gt;0,Geometria!$Q$1409&gt;0,Geometria!$Q$1407&gt;0),1,0),MIN(MIN(1,MAX(0,(B166-Geometria!$L$1409/100)/(Geometria!$N$1307/100))),MIN(1,MAX(0,((Geometria!$L$29/100-B166)-Geometria!$R$1409/100)/(Geometria!$N$1307/100)))),1))*(1-IF(IF(OR(Geometria!$K$1405&gt;0,Geometria!$K$1403&gt;0,Geometria!$Q$1405&gt;0,Geometria!$Q$1403&gt;0),1,0),MIN(MIN(1,MAX(0,(B166-Geometria!$L$1405/100)/(Geometria!$N$1307/100))),MIN(1,MAX(0,((Geometria!$L$29/100-B166)-Geometria!$R$1405/100)/(Geometria!$N$1307/100)))),1))+Geometria!$L$1447*(1-IF(IF(OR(Geometria!$K$1409&gt;0,Geometria!$K$1407&gt;0,Geometria!$Q$1409&gt;0,Geometria!$Q$1407&gt;0),1,0),MIN(MIN(1,MAX(0,(B166-Geometria!$L$1409/100)/(Geometria!$N$1307/100))),MIN(1,MAX(0,((Geometria!$L$29/100-B166)-Geometria!$R$1409/100)/(Geometria!$N$1307/100)))),1))*IF(IF(OR(Geometria!$K$1405&gt;0,Geometria!$K$1403&gt;0,Geometria!$Q$1405&gt;0,Geometria!$Q$1403&gt;0),1,0),MIN(MIN(1,MAX(0,(B166-Geometria!$L$1405/100)/(Geometria!$N$1307/100))),MIN(1,MAX(0,((Geometria!$L$29/100-B166)-Geometria!$R$1405/100)/(Geometria!$N$1307/100)))),1)+Geometria!$L$1449*IF(IF(OR(Geometria!$K$1409&gt;0,Geometria!$K$1407&gt;0,Geometria!$Q$1409&gt;0,Geometria!$Q$1407&gt;0),1,0),MIN(MIN(1,MAX(0,(B166-Geometria!$L$1409/100)/(Geometria!$N$1307/100))),MIN(1,MAX(0,((Geometria!$L$29/100-B166)-Geometria!$R$1409/100)/(Geometria!$N$1307/100)))),1)*(1-IF(IF(OR(Geometria!$K$1405&gt;0,Geometria!$K$1403&gt;0,Geometria!$Q$1405&gt;0,Geometria!$Q$1403&gt;0),1,0),MIN(MIN(1,MAX(0,(B166-Geometria!$L$1405/100)/(Geometria!$N$1307/100))),MIN(1,MAX(0,((Geometria!$L$29/100-B166)-Geometria!$R$1405/100)/(Geometria!$N$1307/100)))),1))+Geometria!$L$906*IF(IF(OR(Geometria!$K$1409&gt;0,Geometria!$K$1407&gt;0,Geometria!$Q$1409&gt;0,Geometria!$Q$1407&gt;0),1,0),MIN(MIN(1,MAX(0,(B166-Geometria!$L$1409/100)/(Geometria!$N$1307/100))),MIN(1,MAX(0,((Geometria!$L$29/100-B166)-Geometria!$R$1409/100)/(Geometria!$N$1307/100)))),1)*IF(IF(OR(Geometria!$K$1405&gt;0,Geometria!$K$1403&gt;0,Geometria!$Q$1405&gt;0,Geometria!$Q$1403&gt;0),1,0),MIN(MIN(1,MAX(0,(B166-Geometria!$L$1405/100)/(Geometria!$N$1307/100))),MIN(1,MAX(0,((Geometria!$L$29/100-B166)-Geometria!$R$1405/100)/(Geometria!$N$1307/100)))),1))/(Geometria!$L$48/100^2)+($E$94*(1-IF(IF(OR(Geometria!$K$1409&gt;0,Geometria!$K$1407&gt;0,Geometria!$Q$1409&gt;0,Geometria!$Q$1407&gt;0),1,0),MIN(MIN(1,MAX(0,(B166-Geometria!$L$1409/100)/(Geometria!$N$1307/100))),MIN(1,MAX(0,((Geometria!$L$29/100-B166)-Geometria!$R$1409/100)/(Geometria!$N$1307/100)))),1))*(1-IF(IF(OR(Geometria!$K$1405&gt;0,Geometria!$K$1403&gt;0,Geometria!$Q$1405&gt;0,Geometria!$Q$1403&gt;0),1,0),MIN(MIN(1,MAX(0,(B166-Geometria!$L$1405/100)/(Geometria!$N$1307/100))),MIN(1,MAX(0,((Geometria!$L$29/100-B166)-Geometria!$R$1405/100)/(Geometria!$N$1307/100)))),1))+Geometria!$L$1448*(1-IF(IF(OR(Geometria!$K$1409&gt;0,Geometria!$K$1407&gt;0,Geometria!$Q$1409&gt;0,Geometria!$Q$1407&gt;0),1,0),MIN(MIN(1,MAX(0,(B166-Geometria!$L$1409/100)/(Geometria!$N$1307/100))),MIN(1,MAX(0,((Geometria!$L$29/100-B166)-Geometria!$R$1409/100)/(Geometria!$N$1307/100)))),1))*IF(IF(OR(Geometria!$K$1405&gt;0,Geometria!$K$1403&gt;0,Geometria!$Q$1405&gt;0,Geometria!$Q$1403&gt;0),1,0),MIN(MIN(1,MAX(0,(B166-Geometria!$L$1405/100)/(Geometria!$N$1307/100))),MIN(1,MAX(0,((Geometria!$L$29/100-B166)-Geometria!$R$1405/100)/(Geometria!$N$1307/100)))),1)+Geometria!$L$1450*IF(IF(OR(Geometria!$K$1409&gt;0,Geometria!$K$1407&gt;0,Geometria!$Q$1409&gt;0,Geometria!$Q$1407&gt;0),1,0),MIN(MIN(1,MAX(0,(B166-Geometria!$L$1409/100)/(Geometria!$N$1307/100))),MIN(1,MAX(0,((Geometria!$L$29/100-B166)-Geometria!$R$1409/100)/(Geometria!$N$1307/100)))),1)*(1-IF(IF(OR(Geometria!$K$1405&gt;0,Geometria!$K$1403&gt;0,Geometria!$Q$1405&gt;0,Geometria!$Q$1403&gt;0),1,0),MIN(MIN(1,MAX(0,(B166-Geometria!$L$1405/100)/(Geometria!$N$1307/100))),MIN(1,MAX(0,((Geometria!$L$29/100-B166)-Geometria!$R$1405/100)/(Geometria!$N$1307/100)))),1))+Geometria!$L$907*IF(IF(OR(Geometria!$K$1409&gt;0,Geometria!$K$1407&gt;0,Geometria!$Q$1409&gt;0,Geometria!$Q$1407&gt;0),1,0),MIN(MIN(1,MAX(0,(B166-Geometria!$L$1409/100)/(Geometria!$N$1307/100))),MIN(1,MAX(0,((Geometria!$L$29/100-B166)-Geometria!$R$1409/100)/(Geometria!$N$1307/100)))),1)*IF(IF(OR(Geometria!$K$1405&gt;0,Geometria!$K$1403&gt;0,Geometria!$Q$1405&gt;0,Geometria!$Q$1403&gt;0),1,0),MIN(MIN(1,MAX(0,(B166-Geometria!$L$1405/100)/(Geometria!$N$1307/100))),MIN(1,MAX(0,((Geometria!$L$29/100-B166)-Geometria!$R$1405/100)/(Geometria!$N$1307/100)))),1))/(Geometria!$L$52/100^3)-Tensões!$H$67/(Geometria!$L$52/100^3)</f>
        <v>6318.227460086649</v>
      </c>
      <c r="J166" s="743"/>
      <c r="L166" s="373">
        <f ca="1">(Geometria!$L$298-(Geometria!$L$298-IF(B166&lt;Geometria!$L$1409/100,Geometria!$L$1442,Geometria!$L$1460))*(1-(MIN(MIN(1,MAX(0,(B166-Geometria!$L$1409/100)/(Geometria!$N$1307/100))),MIN(1,MAX(0,((Geometria!$L$29/100-B166)-Geometria!$R$1409/100)/(Geometria!$N$1307/100))))))*(IF(OR(Geometria!$K$1409&gt;0,Geometria!$K$1407&gt;0,Geometria!$Q$1409&gt;0,Geometria!$Q$1407&gt;0),1,0))-(Geometria!$L$298-IF(B166&lt;Geometria!$L$1405/100,Geometria!$L$1444,Geometria!$L$1462))*(1-(MIN(MIN(1,MAX(0,(B166-Geometria!$L$1405/100)/(Geometria!$N$1307/100))),MIN(1,MAX(0,((Geometria!$L$29/100-B166)-Geometria!$R$1405/100)/(Geometria!$N$1307/100))))))*(IF(OR(Geometria!$K$1405&gt;0,Geometria!$K$1403&gt;0,Geometria!$Q$1405&gt;0,Geometria!$Q$1403&gt;0),1,0)))*H189+Geometria!$P$1429*H166</f>
        <v>2263.516527438933</v>
      </c>
      <c r="M166" s="373">
        <f ca="1">(Geometria!$L$298-(Geometria!$L$298-IF(B166&lt;Geometria!$L$1409/100,Geometria!$L$1442,Geometria!$L$1460))*(1-(MIN(MIN(1,MAX(0,(B166-Geometria!$L$1409/100)/(Geometria!$N$1307/100))),MIN(1,MAX(0,((Geometria!$L$29/100-B166)-Geometria!$R$1409/100)/(Geometria!$N$1307/100))))))*(IF(OR(Geometria!$K$1409&gt;0,Geometria!$K$1407&gt;0,Geometria!$Q$1409&gt;0,Geometria!$Q$1407&gt;0),1,0))-(Geometria!$L$298-IF(B166&lt;Geometria!$L$1405/100,Geometria!$L$1444,Geometria!$L$1462))*(1-(MIN(MIN(1,MAX(0,(B166-Geometria!$L$1405/100)/(Geometria!$N$1307/100))),MIN(1,MAX(0,((Geometria!$L$29/100-B166)-Geometria!$R$1405/100)/(Geometria!$N$1307/100))))))*(IF(OR(Geometria!$K$1405&gt;0,Geometria!$K$1403&gt;0,Geometria!$Q$1405&gt;0,Geometria!$Q$1403&gt;0),1,0)))*H189*(Geometria!$L$299-(Geometria!$L$299-IF(B166&lt;Geometria!$L$1409/100,Geometria!$L$1443,Geometria!$L$1461))*(1-(MIN(MIN(1,MAX(0,(B166-Geometria!$L$1409/100)/(Geometria!$N$1307/100))),MIN(1,MAX(0,((Geometria!$L$29/100-B166)-Geometria!$R$1409/100)/(Geometria!$N$1307/100))))))*(IF(OR(Geometria!$K$1409&gt;0,Geometria!$K$1407&gt;0,Geometria!$Q$1409&gt;0,Geometria!$Q$1407&gt;0),1,0))-(Geometria!$L$299-IF(B166&lt;Geometria!$L$1405/100,Geometria!$L$1445,Geometria!$L$1463))*(1-(MIN(MIN(1,MAX(0,(B166-Geometria!$L$1405/100)/(Geometria!$N$1307/100))),MIN(1,MAX(0,((Geometria!$L$29/100-B166)-Geometria!$R$1405/100)/(Geometria!$N$1307/100))))))*(IF(OR(Geometria!$K$1405&gt;0,Geometria!$K$1403&gt;0,Geometria!$Q$1405&gt;0,Geometria!$Q$1403&gt;0),1,0)))/100-Geometria!$P$1429*H166*Geometria!$L$1438/100</f>
        <v>502.49878391255186</v>
      </c>
      <c r="N166" s="365"/>
      <c r="O166" s="371">
        <f ca="1">(IF(C166="Sim",IF(A166="Sim",$E$93,Geometria!$L$1447),IF(A166="Sim",Geometria!$L$1449,Geometria!$L$906)))</f>
        <v>1475.413282676191</v>
      </c>
      <c r="P166" s="371">
        <f ca="1">(IF(C166="Sim",IF(A166="Sim",$E$94,Geometria!$L$1448),IF(A166="Sim",Geometria!$L$1450,Geometria!$L$907)))</f>
        <v>276.63999050178586</v>
      </c>
      <c r="R166" s="4" t="s">
        <v>443</v>
      </c>
      <c r="S166" s="202">
        <f t="shared" ca="1" si="48"/>
        <v>6318.227460086649</v>
      </c>
      <c r="T166" s="38" t="s">
        <v>234</v>
      </c>
      <c r="U166" s="203">
        <f t="shared" ca="1" si="47"/>
        <v>6.318227460086649</v>
      </c>
      <c r="V166" s="38" t="s">
        <v>160</v>
      </c>
      <c r="W166" s="399">
        <f t="shared" si="49"/>
        <v>0.0</v>
      </c>
    </row>
    <row r="167" spans="1:23" x14ac:dyDescent="0.25">
      <c r="A167" s="376" t="str">
        <f>IF(OR(B167&lt;Geometria!$L$1405/100,(Geometria!$L$29/100-B167)&lt;Geometria!$R$1405/100),"Sim","Não")</f>
        <v>Não</v>
      </c>
      <c r="B167" s="395">
        <f>Tensões!$I$66</f>
        <v>5.8875</v>
      </c>
      <c r="C167" s="376" t="str">
        <f>IF(OR(B167&lt;Geometria!$L$1409/100,(Geometria!$L$29/100-B167)&lt;Geometria!$R$1409/100),"Sim","Não")</f>
        <v>Não</v>
      </c>
      <c r="D167" s="122" t="s">
        <v>444</v>
      </c>
      <c r="E167" s="198" t="str">
        <f ca="1">E157</f>
        <v>OK</v>
      </c>
      <c r="F167" s="396">
        <f t="shared" ca="1" si="46"/>
        <v>6703.094058139497</v>
      </c>
      <c r="G167" s="397">
        <f ca="1">-L167/(Geometria!$L$48/100^2)+M167/(Geometria!$L$52/100^3)-Geometria!$L$898/(Geometria!$L$52/100^3)</f>
        <v>12474.576869694021</v>
      </c>
      <c r="H167" s="400">
        <f ca="1">H157</f>
        <v>244.89594223345082</v>
      </c>
      <c r="I167" s="743">
        <f ca="1">-($E$93*(1-IF(IF(OR(Geometria!$K$1409&gt;0,Geometria!$K$1407&gt;0,Geometria!$Q$1409&gt;0,Geometria!$Q$1407&gt;0),1,0),MIN(MIN(1,MAX(0,(B167-Geometria!$L$1409/100)/(Geometria!$N$1307/100))),MIN(1,MAX(0,((Geometria!$L$29/100-B167)-Geometria!$R$1409/100)/(Geometria!$N$1307/100)))),1))*(1-IF(IF(OR(Geometria!$K$1405&gt;0,Geometria!$K$1403&gt;0,Geometria!$Q$1405&gt;0,Geometria!$Q$1403&gt;0),1,0),MIN(MIN(1,MAX(0,(B167-Geometria!$L$1405/100)/(Geometria!$N$1307/100))),MIN(1,MAX(0,((Geometria!$L$29/100-B167)-Geometria!$R$1405/100)/(Geometria!$N$1307/100)))),1))+Geometria!$L$1447*(1-IF(IF(OR(Geometria!$K$1409&gt;0,Geometria!$K$1407&gt;0,Geometria!$Q$1409&gt;0,Geometria!$Q$1407&gt;0),1,0),MIN(MIN(1,MAX(0,(B167-Geometria!$L$1409/100)/(Geometria!$N$1307/100))),MIN(1,MAX(0,((Geometria!$L$29/100-B167)-Geometria!$R$1409/100)/(Geometria!$N$1307/100)))),1))*IF(IF(OR(Geometria!$K$1405&gt;0,Geometria!$K$1403&gt;0,Geometria!$Q$1405&gt;0,Geometria!$Q$1403&gt;0),1,0),MIN(MIN(1,MAX(0,(B167-Geometria!$L$1405/100)/(Geometria!$N$1307/100))),MIN(1,MAX(0,((Geometria!$L$29/100-B167)-Geometria!$R$1405/100)/(Geometria!$N$1307/100)))),1)+Geometria!$L$1449*IF(IF(OR(Geometria!$K$1409&gt;0,Geometria!$K$1407&gt;0,Geometria!$Q$1409&gt;0,Geometria!$Q$1407&gt;0),1,0),MIN(MIN(1,MAX(0,(B167-Geometria!$L$1409/100)/(Geometria!$N$1307/100))),MIN(1,MAX(0,((Geometria!$L$29/100-B167)-Geometria!$R$1409/100)/(Geometria!$N$1307/100)))),1)*(1-IF(IF(OR(Geometria!$K$1405&gt;0,Geometria!$K$1403&gt;0,Geometria!$Q$1405&gt;0,Geometria!$Q$1403&gt;0),1,0),MIN(MIN(1,MAX(0,(B167-Geometria!$L$1405/100)/(Geometria!$N$1307/100))),MIN(1,MAX(0,((Geometria!$L$29/100-B167)-Geometria!$R$1405/100)/(Geometria!$N$1307/100)))),1))+Geometria!$L$906*IF(IF(OR(Geometria!$K$1409&gt;0,Geometria!$K$1407&gt;0,Geometria!$Q$1409&gt;0,Geometria!$Q$1407&gt;0),1,0),MIN(MIN(1,MAX(0,(B167-Geometria!$L$1409/100)/(Geometria!$N$1307/100))),MIN(1,MAX(0,((Geometria!$L$29/100-B167)-Geometria!$R$1409/100)/(Geometria!$N$1307/100)))),1)*IF(IF(OR(Geometria!$K$1405&gt;0,Geometria!$K$1403&gt;0,Geometria!$Q$1405&gt;0,Geometria!$Q$1403&gt;0),1,0),MIN(MIN(1,MAX(0,(B167-Geometria!$L$1405/100)/(Geometria!$N$1307/100))),MIN(1,MAX(0,((Geometria!$L$29/100-B167)-Geometria!$R$1405/100)/(Geometria!$N$1307/100)))),1))/(Geometria!$L$48/100^2)+($E$94*(1-IF(IF(OR(Geometria!$K$1409&gt;0,Geometria!$K$1407&gt;0,Geometria!$Q$1409&gt;0,Geometria!$Q$1407&gt;0),1,0),MIN(MIN(1,MAX(0,(B167-Geometria!$L$1409/100)/(Geometria!$N$1307/100))),MIN(1,MAX(0,((Geometria!$L$29/100-B167)-Geometria!$R$1409/100)/(Geometria!$N$1307/100)))),1))*(1-IF(IF(OR(Geometria!$K$1405&gt;0,Geometria!$K$1403&gt;0,Geometria!$Q$1405&gt;0,Geometria!$Q$1403&gt;0),1,0),MIN(MIN(1,MAX(0,(B167-Geometria!$L$1405/100)/(Geometria!$N$1307/100))),MIN(1,MAX(0,((Geometria!$L$29/100-B167)-Geometria!$R$1405/100)/(Geometria!$N$1307/100)))),1))+Geometria!$L$1448*(1-IF(IF(OR(Geometria!$K$1409&gt;0,Geometria!$K$1407&gt;0,Geometria!$Q$1409&gt;0,Geometria!$Q$1407&gt;0),1,0),MIN(MIN(1,MAX(0,(B167-Geometria!$L$1409/100)/(Geometria!$N$1307/100))),MIN(1,MAX(0,((Geometria!$L$29/100-B167)-Geometria!$R$1409/100)/(Geometria!$N$1307/100)))),1))*IF(IF(OR(Geometria!$K$1405&gt;0,Geometria!$K$1403&gt;0,Geometria!$Q$1405&gt;0,Geometria!$Q$1403&gt;0),1,0),MIN(MIN(1,MAX(0,(B167-Geometria!$L$1405/100)/(Geometria!$N$1307/100))),MIN(1,MAX(0,((Geometria!$L$29/100-B167)-Geometria!$R$1405/100)/(Geometria!$N$1307/100)))),1)+Geometria!$L$1450*IF(IF(OR(Geometria!$K$1409&gt;0,Geometria!$K$1407&gt;0,Geometria!$Q$1409&gt;0,Geometria!$Q$1407&gt;0),1,0),MIN(MIN(1,MAX(0,(B167-Geometria!$L$1409/100)/(Geometria!$N$1307/100))),MIN(1,MAX(0,((Geometria!$L$29/100-B167)-Geometria!$R$1409/100)/(Geometria!$N$1307/100)))),1)*(1-IF(IF(OR(Geometria!$K$1405&gt;0,Geometria!$K$1403&gt;0,Geometria!$Q$1405&gt;0,Geometria!$Q$1403&gt;0),1,0),MIN(MIN(1,MAX(0,(B167-Geometria!$L$1405/100)/(Geometria!$N$1307/100))),MIN(1,MAX(0,((Geometria!$L$29/100-B167)-Geometria!$R$1405/100)/(Geometria!$N$1307/100)))),1))+Geometria!$L$907*IF(IF(OR(Geometria!$K$1409&gt;0,Geometria!$K$1407&gt;0,Geometria!$Q$1409&gt;0,Geometria!$Q$1407&gt;0),1,0),MIN(MIN(1,MAX(0,(B167-Geometria!$L$1409/100)/(Geometria!$N$1307/100))),MIN(1,MAX(0,((Geometria!$L$29/100-B167)-Geometria!$R$1409/100)/(Geometria!$N$1307/100)))),1)*IF(IF(OR(Geometria!$K$1405&gt;0,Geometria!$K$1403&gt;0,Geometria!$Q$1405&gt;0,Geometria!$Q$1403&gt;0),1,0),MIN(MIN(1,MAX(0,(B167-Geometria!$L$1405/100)/(Geometria!$N$1307/100))),MIN(1,MAX(0,((Geometria!$L$29/100-B167)-Geometria!$R$1405/100)/(Geometria!$N$1307/100)))),1))/(Geometria!$L$52/100^3)-Tensões!$I$67/(Geometria!$L$52/100^3)</f>
        <v>6703.094058139497</v>
      </c>
      <c r="J167" s="743"/>
      <c r="L167" s="373">
        <f ca="1">(Geometria!$L$298-(Geometria!$L$298-IF(B167&lt;Geometria!$L$1409/100,Geometria!$L$1442,Geometria!$L$1460))*(1-(MIN(MIN(1,MAX(0,(B167-Geometria!$L$1409/100)/(Geometria!$N$1307/100))),MIN(1,MAX(0,((Geometria!$L$29/100-B167)-Geometria!$R$1409/100)/(Geometria!$N$1307/100))))))*(IF(OR(Geometria!$K$1409&gt;0,Geometria!$K$1407&gt;0,Geometria!$Q$1409&gt;0,Geometria!$Q$1407&gt;0),1,0))-(Geometria!$L$298-IF(B167&lt;Geometria!$L$1405/100,Geometria!$L$1444,Geometria!$L$1462))*(1-(MIN(MIN(1,MAX(0,(B167-Geometria!$L$1405/100)/(Geometria!$N$1307/100))),MIN(1,MAX(0,((Geometria!$L$29/100-B167)-Geometria!$R$1405/100)/(Geometria!$N$1307/100))))))*(IF(OR(Geometria!$K$1405&gt;0,Geometria!$K$1403&gt;0,Geometria!$Q$1405&gt;0,Geometria!$Q$1403&gt;0),1,0)))*H190+Geometria!$P$1429*H167</f>
        <v>1501.3493950470822</v>
      </c>
      <c r="M167" s="373">
        <f ca="1">(Geometria!$L$298-(Geometria!$L$298-IF(B167&lt;Geometria!$L$1409/100,Geometria!$L$1442,Geometria!$L$1460))*(1-(MIN(MIN(1,MAX(0,(B167-Geometria!$L$1409/100)/(Geometria!$N$1307/100))),MIN(1,MAX(0,((Geometria!$L$29/100-B167)-Geometria!$R$1409/100)/(Geometria!$N$1307/100))))))*(IF(OR(Geometria!$K$1409&gt;0,Geometria!$K$1407&gt;0,Geometria!$Q$1409&gt;0,Geometria!$Q$1407&gt;0),1,0))-(Geometria!$L$298-IF(B167&lt;Geometria!$L$1405/100,Geometria!$L$1444,Geometria!$L$1462))*(1-(MIN(MIN(1,MAX(0,(B167-Geometria!$L$1405/100)/(Geometria!$N$1307/100))),MIN(1,MAX(0,((Geometria!$L$29/100-B167)-Geometria!$R$1405/100)/(Geometria!$N$1307/100))))))*(IF(OR(Geometria!$K$1405&gt;0,Geometria!$K$1403&gt;0,Geometria!$Q$1405&gt;0,Geometria!$Q$1403&gt;0),1,0)))*H190*(Geometria!$L$299-(Geometria!$L$299-IF(B167&lt;Geometria!$L$1409/100,Geometria!$L$1443,Geometria!$L$1461))*(1-(MIN(MIN(1,MAX(0,(B167-Geometria!$L$1409/100)/(Geometria!$N$1307/100))),MIN(1,MAX(0,((Geometria!$L$29/100-B167)-Geometria!$R$1409/100)/(Geometria!$N$1307/100))))))*(IF(OR(Geometria!$K$1409&gt;0,Geometria!$K$1407&gt;0,Geometria!$Q$1409&gt;0,Geometria!$Q$1407&gt;0),1,0))-(Geometria!$L$299-IF(B167&lt;Geometria!$L$1405/100,Geometria!$L$1445,Geometria!$L$1463))*(1-(MIN(MIN(1,MAX(0,(B167-Geometria!$L$1405/100)/(Geometria!$N$1307/100))),MIN(1,MAX(0,((Geometria!$L$29/100-B167)-Geometria!$R$1405/100)/(Geometria!$N$1307/100))))))*(IF(OR(Geometria!$K$1405&gt;0,Geometria!$K$1403&gt;0,Geometria!$Q$1405&gt;0,Geometria!$Q$1403&gt;0),1,0)))/100-Geometria!$P$1429*H167*Geometria!$L$1438/100</f>
        <v>382.4706437060756</v>
      </c>
      <c r="N167" s="365"/>
      <c r="O167" s="371">
        <f ca="1">(IF(C167="Sim",IF(A167="Sim",$E$93,Geometria!$L$1447),IF(A167="Sim",Geometria!$L$1449,Geometria!$L$906)))</f>
        <v>1475.413282676191</v>
      </c>
      <c r="P167" s="371">
        <f ca="1">(IF(C167="Sim",IF(A167="Sim",$E$94,Geometria!$L$1448),IF(A167="Sim",Geometria!$L$1450,Geometria!$L$907)))</f>
        <v>276.63999050178586</v>
      </c>
      <c r="R167" s="4" t="s">
        <v>444</v>
      </c>
      <c r="S167" s="202">
        <f t="shared" ca="1" si="48"/>
        <v>6703.094058139497</v>
      </c>
      <c r="T167" s="38" t="s">
        <v>234</v>
      </c>
      <c r="U167" s="203">
        <f t="shared" ca="1" si="47"/>
        <v>6.703094058139497</v>
      </c>
      <c r="V167" s="38" t="s">
        <v>160</v>
      </c>
      <c r="W167" s="399">
        <f t="shared" si="49"/>
        <v>0.0</v>
      </c>
    </row>
    <row r="168" spans="1:23" x14ac:dyDescent="0.25">
      <c r="A168" s="376" t="str">
        <f>IF(OR(B168&lt;Geometria!$L$1405/100,(Geometria!$L$29/100-B168)&lt;Geometria!$R$1405/100),"Sim","Não")</f>
        <v>Sim</v>
      </c>
      <c r="B168" s="395">
        <f>Tensões!$B$69</f>
        <v>6.28</v>
      </c>
      <c r="C168" s="376" t="str">
        <f>IF(OR(B168&lt;Geometria!$L$1409/100,(Geometria!$L$29/100-B168)&lt;Geometria!$R$1409/100),"Sim","Não")</f>
        <v>Sim</v>
      </c>
      <c r="D168" s="122" t="s">
        <v>445</v>
      </c>
      <c r="E168" s="198" t="str">
        <f ca="1">E156</f>
        <v>OK</v>
      </c>
      <c r="F168" s="396">
        <f t="shared" ca="1" si="46"/>
        <v>7119.7945436354885</v>
      </c>
      <c r="G168" s="397">
        <f ca="1">-L168/(Geometria!$L$48/100^2)+M168/(Geometria!$L$52/100^3)-Geometria!$L$898/(Geometria!$L$52/100^3)</f>
        <v>9144.274898110702</v>
      </c>
      <c r="H168" s="400">
        <f ca="1">H156</f>
        <v>195.91675378676064</v>
      </c>
      <c r="I168" s="743">
        <f ca="1">-($E$93*(1-IF(IF(OR(Geometria!$K$1409&gt;0,Geometria!$K$1407&gt;0,Geometria!$Q$1409&gt;0,Geometria!$Q$1407&gt;0),1,0),MIN(MIN(1,MAX(0,(B168-Geometria!$L$1409/100)/(Geometria!$N$1307/100))),MIN(1,MAX(0,((Geometria!$L$29/100-B168)-Geometria!$R$1409/100)/(Geometria!$N$1307/100)))),1))*(1-IF(IF(OR(Geometria!$K$1405&gt;0,Geometria!$K$1403&gt;0,Geometria!$Q$1405&gt;0,Geometria!$Q$1403&gt;0),1,0),MIN(MIN(1,MAX(0,(B168-Geometria!$L$1405/100)/(Geometria!$N$1307/100))),MIN(1,MAX(0,((Geometria!$L$29/100-B168)-Geometria!$R$1405/100)/(Geometria!$N$1307/100)))),1))+Geometria!$L$1447*(1-IF(IF(OR(Geometria!$K$1409&gt;0,Geometria!$K$1407&gt;0,Geometria!$Q$1409&gt;0,Geometria!$Q$1407&gt;0),1,0),MIN(MIN(1,MAX(0,(B168-Geometria!$L$1409/100)/(Geometria!$N$1307/100))),MIN(1,MAX(0,((Geometria!$L$29/100-B168)-Geometria!$R$1409/100)/(Geometria!$N$1307/100)))),1))*IF(IF(OR(Geometria!$K$1405&gt;0,Geometria!$K$1403&gt;0,Geometria!$Q$1405&gt;0,Geometria!$Q$1403&gt;0),1,0),MIN(MIN(1,MAX(0,(B168-Geometria!$L$1405/100)/(Geometria!$N$1307/100))),MIN(1,MAX(0,((Geometria!$L$29/100-B168)-Geometria!$R$1405/100)/(Geometria!$N$1307/100)))),1)+Geometria!$L$1449*IF(IF(OR(Geometria!$K$1409&gt;0,Geometria!$K$1407&gt;0,Geometria!$Q$1409&gt;0,Geometria!$Q$1407&gt;0),1,0),MIN(MIN(1,MAX(0,(B168-Geometria!$L$1409/100)/(Geometria!$N$1307/100))),MIN(1,MAX(0,((Geometria!$L$29/100-B168)-Geometria!$R$1409/100)/(Geometria!$N$1307/100)))),1)*(1-IF(IF(OR(Geometria!$K$1405&gt;0,Geometria!$K$1403&gt;0,Geometria!$Q$1405&gt;0,Geometria!$Q$1403&gt;0),1,0),MIN(MIN(1,MAX(0,(B168-Geometria!$L$1405/100)/(Geometria!$N$1307/100))),MIN(1,MAX(0,((Geometria!$L$29/100-B168)-Geometria!$R$1405/100)/(Geometria!$N$1307/100)))),1))+Geometria!$L$906*IF(IF(OR(Geometria!$K$1409&gt;0,Geometria!$K$1407&gt;0,Geometria!$Q$1409&gt;0,Geometria!$Q$1407&gt;0),1,0),MIN(MIN(1,MAX(0,(B168-Geometria!$L$1409/100)/(Geometria!$N$1307/100))),MIN(1,MAX(0,((Geometria!$L$29/100-B168)-Geometria!$R$1409/100)/(Geometria!$N$1307/100)))),1)*IF(IF(OR(Geometria!$K$1405&gt;0,Geometria!$K$1403&gt;0,Geometria!$Q$1405&gt;0,Geometria!$Q$1403&gt;0),1,0),MIN(MIN(1,MAX(0,(B168-Geometria!$L$1405/100)/(Geometria!$N$1307/100))),MIN(1,MAX(0,((Geometria!$L$29/100-B168)-Geometria!$R$1405/100)/(Geometria!$N$1307/100)))),1))/(Geometria!$L$48/100^2)+($E$94*(1-IF(IF(OR(Geometria!$K$1409&gt;0,Geometria!$K$1407&gt;0,Geometria!$Q$1409&gt;0,Geometria!$Q$1407&gt;0),1,0),MIN(MIN(1,MAX(0,(B168-Geometria!$L$1409/100)/(Geometria!$N$1307/100))),MIN(1,MAX(0,((Geometria!$L$29/100-B168)-Geometria!$R$1409/100)/(Geometria!$N$1307/100)))),1))*(1-IF(IF(OR(Geometria!$K$1405&gt;0,Geometria!$K$1403&gt;0,Geometria!$Q$1405&gt;0,Geometria!$Q$1403&gt;0),1,0),MIN(MIN(1,MAX(0,(B168-Geometria!$L$1405/100)/(Geometria!$N$1307/100))),MIN(1,MAX(0,((Geometria!$L$29/100-B168)-Geometria!$R$1405/100)/(Geometria!$N$1307/100)))),1))+Geometria!$L$1448*(1-IF(IF(OR(Geometria!$K$1409&gt;0,Geometria!$K$1407&gt;0,Geometria!$Q$1409&gt;0,Geometria!$Q$1407&gt;0),1,0),MIN(MIN(1,MAX(0,(B168-Geometria!$L$1409/100)/(Geometria!$N$1307/100))),MIN(1,MAX(0,((Geometria!$L$29/100-B168)-Geometria!$R$1409/100)/(Geometria!$N$1307/100)))),1))*IF(IF(OR(Geometria!$K$1405&gt;0,Geometria!$K$1403&gt;0,Geometria!$Q$1405&gt;0,Geometria!$Q$1403&gt;0),1,0),MIN(MIN(1,MAX(0,(B168-Geometria!$L$1405/100)/(Geometria!$N$1307/100))),MIN(1,MAX(0,((Geometria!$L$29/100-B168)-Geometria!$R$1405/100)/(Geometria!$N$1307/100)))),1)+Geometria!$L$1450*IF(IF(OR(Geometria!$K$1409&gt;0,Geometria!$K$1407&gt;0,Geometria!$Q$1409&gt;0,Geometria!$Q$1407&gt;0),1,0),MIN(MIN(1,MAX(0,(B168-Geometria!$L$1409/100)/(Geometria!$N$1307/100))),MIN(1,MAX(0,((Geometria!$L$29/100-B168)-Geometria!$R$1409/100)/(Geometria!$N$1307/100)))),1)*(1-IF(IF(OR(Geometria!$K$1405&gt;0,Geometria!$K$1403&gt;0,Geometria!$Q$1405&gt;0,Geometria!$Q$1403&gt;0),1,0),MIN(MIN(1,MAX(0,(B168-Geometria!$L$1405/100)/(Geometria!$N$1307/100))),MIN(1,MAX(0,((Geometria!$L$29/100-B168)-Geometria!$R$1405/100)/(Geometria!$N$1307/100)))),1))+Geometria!$L$907*IF(IF(OR(Geometria!$K$1409&gt;0,Geometria!$K$1407&gt;0,Geometria!$Q$1409&gt;0,Geometria!$Q$1407&gt;0),1,0),MIN(MIN(1,MAX(0,(B168-Geometria!$L$1409/100)/(Geometria!$N$1307/100))),MIN(1,MAX(0,((Geometria!$L$29/100-B168)-Geometria!$R$1409/100)/(Geometria!$N$1307/100)))),1)*IF(IF(OR(Geometria!$K$1405&gt;0,Geometria!$K$1403&gt;0,Geometria!$Q$1405&gt;0,Geometria!$Q$1403&gt;0),1,0),MIN(MIN(1,MAX(0,(B168-Geometria!$L$1405/100)/(Geometria!$N$1307/100))),MIN(1,MAX(0,((Geometria!$L$29/100-B168)-Geometria!$R$1405/100)/(Geometria!$N$1307/100)))),1))/(Geometria!$L$52/100^3)-Tensões!$B$70/(Geometria!$L$52/100^3)</f>
        <v>7119.7945436354885</v>
      </c>
      <c r="J168" s="743"/>
      <c r="L168" s="373">
        <f ca="1">(Geometria!$L$298-(Geometria!$L$298-IF(B168&lt;Geometria!$L$1409/100,Geometria!$L$1442,Geometria!$L$1460))*(1-(MIN(MIN(1,MAX(0,(B168-Geometria!$L$1409/100)/(Geometria!$N$1307/100))),MIN(1,MAX(0,((Geometria!$L$29/100-B168)-Geometria!$R$1409/100)/(Geometria!$N$1307/100))))))*(IF(OR(Geometria!$K$1409&gt;0,Geometria!$K$1407&gt;0,Geometria!$Q$1409&gt;0,Geometria!$Q$1407&gt;0),1,0))-(Geometria!$L$298-IF(B168&lt;Geometria!$L$1405/100,Geometria!$L$1444,Geometria!$L$1462))*(1-(MIN(MIN(1,MAX(0,(B168-Geometria!$L$1405/100)/(Geometria!$N$1307/100))),MIN(1,MAX(0,((Geometria!$L$29/100-B168)-Geometria!$R$1405/100)/(Geometria!$N$1307/100))))))*(IF(OR(Geometria!$K$1405&gt;0,Geometria!$K$1403&gt;0,Geometria!$Q$1405&gt;0,Geometria!$Q$1403&gt;0),1,0)))*H191+Geometria!$P$1429*H168</f>
        <v>931.8392903398249</v>
      </c>
      <c r="M168" s="373">
        <f ca="1">(Geometria!$L$298-(Geometria!$L$298-IF(B168&lt;Geometria!$L$1409/100,Geometria!$L$1442,Geometria!$L$1460))*(1-(MIN(MIN(1,MAX(0,(B168-Geometria!$L$1409/100)/(Geometria!$N$1307/100))),MIN(1,MAX(0,((Geometria!$L$29/100-B168)-Geometria!$R$1409/100)/(Geometria!$N$1307/100))))))*(IF(OR(Geometria!$K$1409&gt;0,Geometria!$K$1407&gt;0,Geometria!$Q$1409&gt;0,Geometria!$Q$1407&gt;0),1,0))-(Geometria!$L$298-IF(B168&lt;Geometria!$L$1405/100,Geometria!$L$1444,Geometria!$L$1462))*(1-(MIN(MIN(1,MAX(0,(B168-Geometria!$L$1405/100)/(Geometria!$N$1307/100))),MIN(1,MAX(0,((Geometria!$L$29/100-B168)-Geometria!$R$1405/100)/(Geometria!$N$1307/100))))))*(IF(OR(Geometria!$K$1405&gt;0,Geometria!$K$1403&gt;0,Geometria!$Q$1405&gt;0,Geometria!$Q$1403&gt;0),1,0)))*H191*(Geometria!$L$299-(Geometria!$L$299-IF(B168&lt;Geometria!$L$1409/100,Geometria!$L$1443,Geometria!$L$1461))*(1-(MIN(MIN(1,MAX(0,(B168-Geometria!$L$1409/100)/(Geometria!$N$1307/100))),MIN(1,MAX(0,((Geometria!$L$29/100-B168)-Geometria!$R$1409/100)/(Geometria!$N$1307/100))))))*(IF(OR(Geometria!$K$1409&gt;0,Geometria!$K$1407&gt;0,Geometria!$Q$1409&gt;0,Geometria!$Q$1407&gt;0),1,0))-(Geometria!$L$299-IF(B168&lt;Geometria!$L$1405/100,Geometria!$L$1445,Geometria!$L$1463))*(1-(MIN(MIN(1,MAX(0,(B168-Geometria!$L$1405/100)/(Geometria!$N$1307/100))),MIN(1,MAX(0,((Geometria!$L$29/100-B168)-Geometria!$R$1405/100)/(Geometria!$N$1307/100))))))*(IF(OR(Geometria!$K$1405&gt;0,Geometria!$K$1403&gt;0,Geometria!$Q$1405&gt;0,Geometria!$Q$1403&gt;0),1,0)))/100-Geometria!$P$1429*H168*Geometria!$L$1438/100</f>
        <v>265.5741977468501</v>
      </c>
      <c r="N168" s="365"/>
      <c r="O168" s="371">
        <f ca="1">(IF(C168="Sim",IF(A168="Sim",$E$93,Geometria!$L$1447),IF(A168="Sim",Geometria!$L$1449,Geometria!$L$906)))</f>
        <v>749.9028001915608</v>
      </c>
      <c r="P168" s="371">
        <f ca="1">(IF(C168="Sim",IF(A168="Sim",$E$94,Geometria!$L$1448),IF(A168="Sim",Geometria!$L$1450,Geometria!$L$907)))</f>
        <v>213.72229805459483</v>
      </c>
      <c r="R168" s="4" t="s">
        <v>445</v>
      </c>
      <c r="S168" s="202">
        <f t="shared" ca="1" si="48"/>
        <v>7119.7945436354885</v>
      </c>
      <c r="T168" s="38" t="s">
        <v>234</v>
      </c>
      <c r="U168" s="203">
        <f t="shared" ca="1" si="47"/>
        <v>7.119794543635488</v>
      </c>
      <c r="V168" s="38" t="s">
        <v>160</v>
      </c>
      <c r="W168" s="399">
        <f t="shared" si="49"/>
        <v>0.0</v>
      </c>
    </row>
    <row r="169" spans="1:23" x14ac:dyDescent="0.25">
      <c r="A169" s="376" t="str">
        <f>IF(OR(B169&lt;Geometria!$L$1405/100,(Geometria!$L$29/100-B169)&lt;Geometria!$R$1405/100),"Sim","Não")</f>
        <v>Sim</v>
      </c>
      <c r="B169" s="395">
        <f>Tensões!$C$69</f>
        <v>6.6725</v>
      </c>
      <c r="C169" s="376" t="str">
        <f>IF(OR(B169&lt;Geometria!$L$1409/100,(Geometria!$L$29/100-B169)&lt;Geometria!$R$1409/100),"Sim","Não")</f>
        <v>Sim</v>
      </c>
      <c r="D169" s="122" t="s">
        <v>446</v>
      </c>
      <c r="E169" s="198" t="str">
        <f ca="1">E155</f>
        <v>OK</v>
      </c>
      <c r="F169" s="396">
        <f t="shared" ca="1" si="46"/>
        <v>7416.031874364657</v>
      </c>
      <c r="G169" s="397">
        <f ca="1">-L169/(Geometria!$L$48/100^2)+M169/(Geometria!$L$52/100^3)-Geometria!$L$898/(Geometria!$L$52/100^3)</f>
        <v>6749.965610431982</v>
      </c>
      <c r="H169" s="400">
        <f ca="1">H155</f>
        <v>146.93756534007045</v>
      </c>
      <c r="I169" s="743">
        <f ca="1">-($E$93*(1-IF(IF(OR(Geometria!$K$1409&gt;0,Geometria!$K$1407&gt;0,Geometria!$Q$1409&gt;0,Geometria!$Q$1407&gt;0),1,0),MIN(MIN(1,MAX(0,(B169-Geometria!$L$1409/100)/(Geometria!$N$1307/100))),MIN(1,MAX(0,((Geometria!$L$29/100-B169)-Geometria!$R$1409/100)/(Geometria!$N$1307/100)))),1))*(1-IF(IF(OR(Geometria!$K$1405&gt;0,Geometria!$K$1403&gt;0,Geometria!$Q$1405&gt;0,Geometria!$Q$1403&gt;0),1,0),MIN(MIN(1,MAX(0,(B169-Geometria!$L$1405/100)/(Geometria!$N$1307/100))),MIN(1,MAX(0,((Geometria!$L$29/100-B169)-Geometria!$R$1405/100)/(Geometria!$N$1307/100)))),1))+Geometria!$L$1447*(1-IF(IF(OR(Geometria!$K$1409&gt;0,Geometria!$K$1407&gt;0,Geometria!$Q$1409&gt;0,Geometria!$Q$1407&gt;0),1,0),MIN(MIN(1,MAX(0,(B169-Geometria!$L$1409/100)/(Geometria!$N$1307/100))),MIN(1,MAX(0,((Geometria!$L$29/100-B169)-Geometria!$R$1409/100)/(Geometria!$N$1307/100)))),1))*IF(IF(OR(Geometria!$K$1405&gt;0,Geometria!$K$1403&gt;0,Geometria!$Q$1405&gt;0,Geometria!$Q$1403&gt;0),1,0),MIN(MIN(1,MAX(0,(B169-Geometria!$L$1405/100)/(Geometria!$N$1307/100))),MIN(1,MAX(0,((Geometria!$L$29/100-B169)-Geometria!$R$1405/100)/(Geometria!$N$1307/100)))),1)+Geometria!$L$1449*IF(IF(OR(Geometria!$K$1409&gt;0,Geometria!$K$1407&gt;0,Geometria!$Q$1409&gt;0,Geometria!$Q$1407&gt;0),1,0),MIN(MIN(1,MAX(0,(B169-Geometria!$L$1409/100)/(Geometria!$N$1307/100))),MIN(1,MAX(0,((Geometria!$L$29/100-B169)-Geometria!$R$1409/100)/(Geometria!$N$1307/100)))),1)*(1-IF(IF(OR(Geometria!$K$1405&gt;0,Geometria!$K$1403&gt;0,Geometria!$Q$1405&gt;0,Geometria!$Q$1403&gt;0),1,0),MIN(MIN(1,MAX(0,(B169-Geometria!$L$1405/100)/(Geometria!$N$1307/100))),MIN(1,MAX(0,((Geometria!$L$29/100-B169)-Geometria!$R$1405/100)/(Geometria!$N$1307/100)))),1))+Geometria!$L$906*IF(IF(OR(Geometria!$K$1409&gt;0,Geometria!$K$1407&gt;0,Geometria!$Q$1409&gt;0,Geometria!$Q$1407&gt;0),1,0),MIN(MIN(1,MAX(0,(B169-Geometria!$L$1409/100)/(Geometria!$N$1307/100))),MIN(1,MAX(0,((Geometria!$L$29/100-B169)-Geometria!$R$1409/100)/(Geometria!$N$1307/100)))),1)*IF(IF(OR(Geometria!$K$1405&gt;0,Geometria!$K$1403&gt;0,Geometria!$Q$1405&gt;0,Geometria!$Q$1403&gt;0),1,0),MIN(MIN(1,MAX(0,(B169-Geometria!$L$1405/100)/(Geometria!$N$1307/100))),MIN(1,MAX(0,((Geometria!$L$29/100-B169)-Geometria!$R$1405/100)/(Geometria!$N$1307/100)))),1))/(Geometria!$L$48/100^2)+($E$94*(1-IF(IF(OR(Geometria!$K$1409&gt;0,Geometria!$K$1407&gt;0,Geometria!$Q$1409&gt;0,Geometria!$Q$1407&gt;0),1,0),MIN(MIN(1,MAX(0,(B169-Geometria!$L$1409/100)/(Geometria!$N$1307/100))),MIN(1,MAX(0,((Geometria!$L$29/100-B169)-Geometria!$R$1409/100)/(Geometria!$N$1307/100)))),1))*(1-IF(IF(OR(Geometria!$K$1405&gt;0,Geometria!$K$1403&gt;0,Geometria!$Q$1405&gt;0,Geometria!$Q$1403&gt;0),1,0),MIN(MIN(1,MAX(0,(B169-Geometria!$L$1405/100)/(Geometria!$N$1307/100))),MIN(1,MAX(0,((Geometria!$L$29/100-B169)-Geometria!$R$1405/100)/(Geometria!$N$1307/100)))),1))+Geometria!$L$1448*(1-IF(IF(OR(Geometria!$K$1409&gt;0,Geometria!$K$1407&gt;0,Geometria!$Q$1409&gt;0,Geometria!$Q$1407&gt;0),1,0),MIN(MIN(1,MAX(0,(B169-Geometria!$L$1409/100)/(Geometria!$N$1307/100))),MIN(1,MAX(0,((Geometria!$L$29/100-B169)-Geometria!$R$1409/100)/(Geometria!$N$1307/100)))),1))*IF(IF(OR(Geometria!$K$1405&gt;0,Geometria!$K$1403&gt;0,Geometria!$Q$1405&gt;0,Geometria!$Q$1403&gt;0),1,0),MIN(MIN(1,MAX(0,(B169-Geometria!$L$1405/100)/(Geometria!$N$1307/100))),MIN(1,MAX(0,((Geometria!$L$29/100-B169)-Geometria!$R$1405/100)/(Geometria!$N$1307/100)))),1)+Geometria!$L$1450*IF(IF(OR(Geometria!$K$1409&gt;0,Geometria!$K$1407&gt;0,Geometria!$Q$1409&gt;0,Geometria!$Q$1407&gt;0),1,0),MIN(MIN(1,MAX(0,(B169-Geometria!$L$1409/100)/(Geometria!$N$1307/100))),MIN(1,MAX(0,((Geometria!$L$29/100-B169)-Geometria!$R$1409/100)/(Geometria!$N$1307/100)))),1)*(1-IF(IF(OR(Geometria!$K$1405&gt;0,Geometria!$K$1403&gt;0,Geometria!$Q$1405&gt;0,Geometria!$Q$1403&gt;0),1,0),MIN(MIN(1,MAX(0,(B169-Geometria!$L$1405/100)/(Geometria!$N$1307/100))),MIN(1,MAX(0,((Geometria!$L$29/100-B169)-Geometria!$R$1405/100)/(Geometria!$N$1307/100)))),1))+Geometria!$L$907*IF(IF(OR(Geometria!$K$1409&gt;0,Geometria!$K$1407&gt;0,Geometria!$Q$1409&gt;0,Geometria!$Q$1407&gt;0),1,0),MIN(MIN(1,MAX(0,(B169-Geometria!$L$1409/100)/(Geometria!$N$1307/100))),MIN(1,MAX(0,((Geometria!$L$29/100-B169)-Geometria!$R$1409/100)/(Geometria!$N$1307/100)))),1)*IF(IF(OR(Geometria!$K$1405&gt;0,Geometria!$K$1403&gt;0,Geometria!$Q$1405&gt;0,Geometria!$Q$1403&gt;0),1,0),MIN(MIN(1,MAX(0,(B169-Geometria!$L$1405/100)/(Geometria!$N$1307/100))),MIN(1,MAX(0,((Geometria!$L$29/100-B169)-Geometria!$R$1405/100)/(Geometria!$N$1307/100)))),1))/(Geometria!$L$52/100^3)-Tensões!$C$70/(Geometria!$L$52/100^3)</f>
        <v>7416.031874364657</v>
      </c>
      <c r="J169" s="743"/>
      <c r="L169" s="373">
        <f ca="1">(Geometria!$L$298-(Geometria!$L$298-IF(B169&lt;Geometria!$L$1409/100,Geometria!$L$1442,Geometria!$L$1460))*(1-(MIN(MIN(1,MAX(0,(B169-Geometria!$L$1409/100)/(Geometria!$N$1307/100))),MIN(1,MAX(0,((Geometria!$L$29/100-B169)-Geometria!$R$1409/100)/(Geometria!$N$1307/100))))))*(IF(OR(Geometria!$K$1409&gt;0,Geometria!$K$1407&gt;0,Geometria!$Q$1409&gt;0,Geometria!$Q$1407&gt;0),1,0))-(Geometria!$L$298-IF(B169&lt;Geometria!$L$1405/100,Geometria!$L$1444,Geometria!$L$1462))*(1-(MIN(MIN(1,MAX(0,(B169-Geometria!$L$1405/100)/(Geometria!$N$1307/100))),MIN(1,MAX(0,((Geometria!$L$29/100-B169)-Geometria!$R$1405/100)/(Geometria!$N$1307/100))))))*(IF(OR(Geometria!$K$1405&gt;0,Geometria!$K$1403&gt;0,Geometria!$Q$1405&gt;0,Geometria!$Q$1403&gt;0),1,0)))*H192+Geometria!$P$1429*H169</f>
        <v>698.8794677548686</v>
      </c>
      <c r="M169" s="373">
        <f ca="1">(Geometria!$L$298-(Geometria!$L$298-IF(B169&lt;Geometria!$L$1409/100,Geometria!$L$1442,Geometria!$L$1460))*(1-(MIN(MIN(1,MAX(0,(B169-Geometria!$L$1409/100)/(Geometria!$N$1307/100))),MIN(1,MAX(0,((Geometria!$L$29/100-B169)-Geometria!$R$1409/100)/(Geometria!$N$1307/100))))))*(IF(OR(Geometria!$K$1409&gt;0,Geometria!$K$1407&gt;0,Geometria!$Q$1409&gt;0,Geometria!$Q$1407&gt;0),1,0))-(Geometria!$L$298-IF(B169&lt;Geometria!$L$1405/100,Geometria!$L$1444,Geometria!$L$1462))*(1-(MIN(MIN(1,MAX(0,(B169-Geometria!$L$1405/100)/(Geometria!$N$1307/100))),MIN(1,MAX(0,((Geometria!$L$29/100-B169)-Geometria!$R$1405/100)/(Geometria!$N$1307/100))))))*(IF(OR(Geometria!$K$1405&gt;0,Geometria!$K$1403&gt;0,Geometria!$Q$1405&gt;0,Geometria!$Q$1403&gt;0),1,0)))*H192*(Geometria!$L$299-(Geometria!$L$299-IF(B169&lt;Geometria!$L$1409/100,Geometria!$L$1443,Geometria!$L$1461))*(1-(MIN(MIN(1,MAX(0,(B169-Geometria!$L$1409/100)/(Geometria!$N$1307/100))),MIN(1,MAX(0,((Geometria!$L$29/100-B169)-Geometria!$R$1409/100)/(Geometria!$N$1307/100))))))*(IF(OR(Geometria!$K$1409&gt;0,Geometria!$K$1407&gt;0,Geometria!$Q$1409&gt;0,Geometria!$Q$1407&gt;0),1,0))-(Geometria!$L$299-IF(B169&lt;Geometria!$L$1405/100,Geometria!$L$1445,Geometria!$L$1463))*(1-(MIN(MIN(1,MAX(0,(B169-Geometria!$L$1405/100)/(Geometria!$N$1307/100))),MIN(1,MAX(0,((Geometria!$L$29/100-B169)-Geometria!$R$1405/100)/(Geometria!$N$1307/100))))))*(IF(OR(Geometria!$K$1405&gt;0,Geometria!$K$1403&gt;0,Geometria!$Q$1405&gt;0,Geometria!$Q$1403&gt;0),1,0)))/100-Geometria!$P$1429*H169*Geometria!$L$1438/100</f>
        <v>199.18064831013754</v>
      </c>
      <c r="N169" s="365"/>
      <c r="O169" s="371">
        <f ca="1">(IF(C169="Sim",IF(A169="Sim",$E$93,Geometria!$L$1447),IF(A169="Sim",Geometria!$L$1449,Geometria!$L$906)))</f>
        <v>749.9028001915608</v>
      </c>
      <c r="P169" s="371">
        <f ca="1">(IF(C169="Sim",IF(A169="Sim",$E$94,Geometria!$L$1448),IF(A169="Sim",Geometria!$L$1450,Geometria!$L$907)))</f>
        <v>213.72229805459483</v>
      </c>
      <c r="R169" s="4" t="s">
        <v>446</v>
      </c>
      <c r="S169" s="202">
        <f t="shared" ca="1" si="48"/>
        <v>7416.031874364657</v>
      </c>
      <c r="T169" s="38" t="s">
        <v>234</v>
      </c>
      <c r="U169" s="203">
        <f t="shared" ca="1" si="47"/>
        <v>7.4160318743646565</v>
      </c>
      <c r="V169" s="38" t="s">
        <v>160</v>
      </c>
      <c r="W169" s="399">
        <f t="shared" si="49"/>
        <v>0.0</v>
      </c>
    </row>
    <row r="170" spans="1:23" x14ac:dyDescent="0.25">
      <c r="A170" s="376" t="str">
        <f>IF(OR(B170&lt;Geometria!$L$1405/100,(Geometria!$L$29/100-B170)&lt;Geometria!$R$1405/100),"Sim","Não")</f>
        <v>Sim</v>
      </c>
      <c r="B170" s="395">
        <f>Tensões!$D$69</f>
        <v>7.065</v>
      </c>
      <c r="C170" s="376" t="str">
        <f>IF(OR(B170&lt;Geometria!$L$1409/100,(Geometria!$L$29/100-B170)&lt;Geometria!$R$1409/100),"Sim","Não")</f>
        <v>Sim</v>
      </c>
      <c r="D170" s="122" t="s">
        <v>447</v>
      </c>
      <c r="E170" s="198" t="str">
        <f ca="1">E154</f>
        <v>Reduzir</v>
      </c>
      <c r="F170" s="396">
        <f t="shared" ca="1" si="46"/>
        <v>4355.656322753267</v>
      </c>
      <c r="G170" s="397">
        <f ca="1">-L170/(Geometria!$L$48/100^2)+M170/(Geometria!$L$52/100^3)-Geometria!$L$898/(Geometria!$L$52/100^3)</f>
        <v>4355.656322753267</v>
      </c>
      <c r="H170" s="400">
        <f ca="1">H154</f>
        <v>97.95837689338032</v>
      </c>
      <c r="I170" s="743">
        <f ca="1">-($E$93*(1-IF(IF(OR(Geometria!$K$1409&gt;0,Geometria!$K$1407&gt;0,Geometria!$Q$1409&gt;0,Geometria!$Q$1407&gt;0),1,0),MIN(MIN(1,MAX(0,(B170-Geometria!$L$1409/100)/(Geometria!$N$1307/100))),MIN(1,MAX(0,((Geometria!$L$29/100-B170)-Geometria!$R$1409/100)/(Geometria!$N$1307/100)))),1))*(1-IF(IF(OR(Geometria!$K$1405&gt;0,Geometria!$K$1403&gt;0,Geometria!$Q$1405&gt;0,Geometria!$Q$1403&gt;0),1,0),MIN(MIN(1,MAX(0,(B170-Geometria!$L$1405/100)/(Geometria!$N$1307/100))),MIN(1,MAX(0,((Geometria!$L$29/100-B170)-Geometria!$R$1405/100)/(Geometria!$N$1307/100)))),1))+Geometria!$L$1447*(1-IF(IF(OR(Geometria!$K$1409&gt;0,Geometria!$K$1407&gt;0,Geometria!$Q$1409&gt;0,Geometria!$Q$1407&gt;0),1,0),MIN(MIN(1,MAX(0,(B170-Geometria!$L$1409/100)/(Geometria!$N$1307/100))),MIN(1,MAX(0,((Geometria!$L$29/100-B170)-Geometria!$R$1409/100)/(Geometria!$N$1307/100)))),1))*IF(IF(OR(Geometria!$K$1405&gt;0,Geometria!$K$1403&gt;0,Geometria!$Q$1405&gt;0,Geometria!$Q$1403&gt;0),1,0),MIN(MIN(1,MAX(0,(B170-Geometria!$L$1405/100)/(Geometria!$N$1307/100))),MIN(1,MAX(0,((Geometria!$L$29/100-B170)-Geometria!$R$1405/100)/(Geometria!$N$1307/100)))),1)+Geometria!$L$1449*IF(IF(OR(Geometria!$K$1409&gt;0,Geometria!$K$1407&gt;0,Geometria!$Q$1409&gt;0,Geometria!$Q$1407&gt;0),1,0),MIN(MIN(1,MAX(0,(B170-Geometria!$L$1409/100)/(Geometria!$N$1307/100))),MIN(1,MAX(0,((Geometria!$L$29/100-B170)-Geometria!$R$1409/100)/(Geometria!$N$1307/100)))),1)*(1-IF(IF(OR(Geometria!$K$1405&gt;0,Geometria!$K$1403&gt;0,Geometria!$Q$1405&gt;0,Geometria!$Q$1403&gt;0),1,0),MIN(MIN(1,MAX(0,(B170-Geometria!$L$1405/100)/(Geometria!$N$1307/100))),MIN(1,MAX(0,((Geometria!$L$29/100-B170)-Geometria!$R$1405/100)/(Geometria!$N$1307/100)))),1))+Geometria!$L$906*IF(IF(OR(Geometria!$K$1409&gt;0,Geometria!$K$1407&gt;0,Geometria!$Q$1409&gt;0,Geometria!$Q$1407&gt;0),1,0),MIN(MIN(1,MAX(0,(B170-Geometria!$L$1409/100)/(Geometria!$N$1307/100))),MIN(1,MAX(0,((Geometria!$L$29/100-B170)-Geometria!$R$1409/100)/(Geometria!$N$1307/100)))),1)*IF(IF(OR(Geometria!$K$1405&gt;0,Geometria!$K$1403&gt;0,Geometria!$Q$1405&gt;0,Geometria!$Q$1403&gt;0),1,0),MIN(MIN(1,MAX(0,(B170-Geometria!$L$1405/100)/(Geometria!$N$1307/100))),MIN(1,MAX(0,((Geometria!$L$29/100-B170)-Geometria!$R$1405/100)/(Geometria!$N$1307/100)))),1))/(Geometria!$L$48/100^2)+($E$94*(1-IF(IF(OR(Geometria!$K$1409&gt;0,Geometria!$K$1407&gt;0,Geometria!$Q$1409&gt;0,Geometria!$Q$1407&gt;0),1,0),MIN(MIN(1,MAX(0,(B170-Geometria!$L$1409/100)/(Geometria!$N$1307/100))),MIN(1,MAX(0,((Geometria!$L$29/100-B170)-Geometria!$R$1409/100)/(Geometria!$N$1307/100)))),1))*(1-IF(IF(OR(Geometria!$K$1405&gt;0,Geometria!$K$1403&gt;0,Geometria!$Q$1405&gt;0,Geometria!$Q$1403&gt;0),1,0),MIN(MIN(1,MAX(0,(B170-Geometria!$L$1405/100)/(Geometria!$N$1307/100))),MIN(1,MAX(0,((Geometria!$L$29/100-B170)-Geometria!$R$1405/100)/(Geometria!$N$1307/100)))),1))+Geometria!$L$1448*(1-IF(IF(OR(Geometria!$K$1409&gt;0,Geometria!$K$1407&gt;0,Geometria!$Q$1409&gt;0,Geometria!$Q$1407&gt;0),1,0),MIN(MIN(1,MAX(0,(B170-Geometria!$L$1409/100)/(Geometria!$N$1307/100))),MIN(1,MAX(0,((Geometria!$L$29/100-B170)-Geometria!$R$1409/100)/(Geometria!$N$1307/100)))),1))*IF(IF(OR(Geometria!$K$1405&gt;0,Geometria!$K$1403&gt;0,Geometria!$Q$1405&gt;0,Geometria!$Q$1403&gt;0),1,0),MIN(MIN(1,MAX(0,(B170-Geometria!$L$1405/100)/(Geometria!$N$1307/100))),MIN(1,MAX(0,((Geometria!$L$29/100-B170)-Geometria!$R$1405/100)/(Geometria!$N$1307/100)))),1)+Geometria!$L$1450*IF(IF(OR(Geometria!$K$1409&gt;0,Geometria!$K$1407&gt;0,Geometria!$Q$1409&gt;0,Geometria!$Q$1407&gt;0),1,0),MIN(MIN(1,MAX(0,(B170-Geometria!$L$1409/100)/(Geometria!$N$1307/100))),MIN(1,MAX(0,((Geometria!$L$29/100-B170)-Geometria!$R$1409/100)/(Geometria!$N$1307/100)))),1)*(1-IF(IF(OR(Geometria!$K$1405&gt;0,Geometria!$K$1403&gt;0,Geometria!$Q$1405&gt;0,Geometria!$Q$1403&gt;0),1,0),MIN(MIN(1,MAX(0,(B170-Geometria!$L$1405/100)/(Geometria!$N$1307/100))),MIN(1,MAX(0,((Geometria!$L$29/100-B170)-Geometria!$R$1405/100)/(Geometria!$N$1307/100)))),1))+Geometria!$L$907*IF(IF(OR(Geometria!$K$1409&gt;0,Geometria!$K$1407&gt;0,Geometria!$Q$1409&gt;0,Geometria!$Q$1407&gt;0),1,0),MIN(MIN(1,MAX(0,(B170-Geometria!$L$1409/100)/(Geometria!$N$1307/100))),MIN(1,MAX(0,((Geometria!$L$29/100-B170)-Geometria!$R$1409/100)/(Geometria!$N$1307/100)))),1)*IF(IF(OR(Geometria!$K$1405&gt;0,Geometria!$K$1403&gt;0,Geometria!$Q$1405&gt;0,Geometria!$Q$1403&gt;0),1,0),MIN(MIN(1,MAX(0,(B170-Geometria!$L$1405/100)/(Geometria!$N$1307/100))),MIN(1,MAX(0,((Geometria!$L$29/100-B170)-Geometria!$R$1405/100)/(Geometria!$N$1307/100)))),1))/(Geometria!$L$52/100^3)-Tensões!$D$70/(Geometria!$L$52/100^3)</f>
        <v>7757.8441790521565</v>
      </c>
      <c r="J170" s="743"/>
      <c r="L170" s="373">
        <f ca="1">(Geometria!$L$298-(Geometria!$L$298-IF(B170&lt;Geometria!$L$1409/100,Geometria!$L$1442,Geometria!$L$1460))*(1-(MIN(MIN(1,MAX(0,(B170-Geometria!$L$1409/100)/(Geometria!$N$1307/100))),MIN(1,MAX(0,((Geometria!$L$29/100-B170)-Geometria!$R$1409/100)/(Geometria!$N$1307/100))))))*(IF(OR(Geometria!$K$1409&gt;0,Geometria!$K$1407&gt;0,Geometria!$Q$1409&gt;0,Geometria!$Q$1407&gt;0),1,0))-(Geometria!$L$298-IF(B170&lt;Geometria!$L$1405/100,Geometria!$L$1444,Geometria!$L$1462))*(1-(MIN(MIN(1,MAX(0,(B170-Geometria!$L$1405/100)/(Geometria!$N$1307/100))),MIN(1,MAX(0,((Geometria!$L$29/100-B170)-Geometria!$R$1405/100)/(Geometria!$N$1307/100))))))*(IF(OR(Geometria!$K$1405&gt;0,Geometria!$K$1403&gt;0,Geometria!$Q$1405&gt;0,Geometria!$Q$1403&gt;0),1,0)))*H193+Geometria!$P$1429*H170</f>
        <v>465.9196451699124</v>
      </c>
      <c r="M170" s="373">
        <f ca="1">(Geometria!$L$298-(Geometria!$L$298-IF(B170&lt;Geometria!$L$1409/100,Geometria!$L$1442,Geometria!$L$1460))*(1-(MIN(MIN(1,MAX(0,(B170-Geometria!$L$1409/100)/(Geometria!$N$1307/100))),MIN(1,MAX(0,((Geometria!$L$29/100-B170)-Geometria!$R$1409/100)/(Geometria!$N$1307/100))))))*(IF(OR(Geometria!$K$1409&gt;0,Geometria!$K$1407&gt;0,Geometria!$Q$1409&gt;0,Geometria!$Q$1407&gt;0),1,0))-(Geometria!$L$298-IF(B170&lt;Geometria!$L$1405/100,Geometria!$L$1444,Geometria!$L$1462))*(1-(MIN(MIN(1,MAX(0,(B170-Geometria!$L$1405/100)/(Geometria!$N$1307/100))),MIN(1,MAX(0,((Geometria!$L$29/100-B170)-Geometria!$R$1405/100)/(Geometria!$N$1307/100))))))*(IF(OR(Geometria!$K$1405&gt;0,Geometria!$K$1403&gt;0,Geometria!$Q$1405&gt;0,Geometria!$Q$1403&gt;0),1,0)))*H193*(Geometria!$L$299-(Geometria!$L$299-IF(B170&lt;Geometria!$L$1409/100,Geometria!$L$1443,Geometria!$L$1461))*(1-(MIN(MIN(1,MAX(0,(B170-Geometria!$L$1409/100)/(Geometria!$N$1307/100))),MIN(1,MAX(0,((Geometria!$L$29/100-B170)-Geometria!$R$1409/100)/(Geometria!$N$1307/100))))))*(IF(OR(Geometria!$K$1409&gt;0,Geometria!$K$1407&gt;0,Geometria!$Q$1409&gt;0,Geometria!$Q$1407&gt;0),1,0))-(Geometria!$L$299-IF(B170&lt;Geometria!$L$1405/100,Geometria!$L$1445,Geometria!$L$1463))*(1-(MIN(MIN(1,MAX(0,(B170-Geometria!$L$1405/100)/(Geometria!$N$1307/100))),MIN(1,MAX(0,((Geometria!$L$29/100-B170)-Geometria!$R$1405/100)/(Geometria!$N$1307/100))))))*(IF(OR(Geometria!$K$1405&gt;0,Geometria!$K$1403&gt;0,Geometria!$Q$1405&gt;0,Geometria!$Q$1403&gt;0),1,0)))/100-Geometria!$P$1429*H170*Geometria!$L$1438/100</f>
        <v>132.78709887342504</v>
      </c>
      <c r="N170" s="365"/>
      <c r="O170" s="371">
        <f ca="1">(IF(C170="Sim",IF(A170="Sim",$E$93,Geometria!$L$1447),IF(A170="Sim",Geometria!$L$1449,Geometria!$L$906)))</f>
        <v>749.9028001915608</v>
      </c>
      <c r="P170" s="371">
        <f ca="1">(IF(C170="Sim",IF(A170="Sim",$E$94,Geometria!$L$1448),IF(A170="Sim",Geometria!$L$1450,Geometria!$L$907)))</f>
        <v>213.72229805459483</v>
      </c>
      <c r="R170" s="4" t="s">
        <v>447</v>
      </c>
      <c r="S170" s="202">
        <f t="shared" ca="1" si="48"/>
        <v>4355.656322753267</v>
      </c>
      <c r="T170" s="38" t="s">
        <v>234</v>
      </c>
      <c r="U170" s="203">
        <f t="shared" ca="1" si="47"/>
        <v>4.355656322753267</v>
      </c>
      <c r="V170" s="38" t="s">
        <v>160</v>
      </c>
      <c r="W170" s="399">
        <f t="shared" si="49"/>
        <v>0.0</v>
      </c>
    </row>
    <row r="171" spans="1:23" ht="15" customHeight="1" x14ac:dyDescent="0.25">
      <c r="A171" s="376" t="str">
        <f>IF(OR(B171&lt;Geometria!$L$1405/100,(Geometria!$L$29/100-B171)&lt;Geometria!$R$1405/100),"Sim","Não")</f>
        <v>Sim</v>
      </c>
      <c r="B171" s="395">
        <f>Tensões!$E$69</f>
        <v>7.4575000000000005</v>
      </c>
      <c r="C171" s="376" t="str">
        <f>IF(OR(B171&lt;Geometria!$L$1409/100,(Geometria!$L$29/100-B171)&lt;Geometria!$R$1409/100),"Sim","Não")</f>
        <v>Sim</v>
      </c>
      <c r="D171" s="122" t="s">
        <v>448</v>
      </c>
      <c r="E171" s="198" t="str">
        <f ca="1">E153</f>
        <v>Reduzir</v>
      </c>
      <c r="F171" s="396">
        <f t="shared" ca="1" si="46"/>
        <v>1961.3470350745501</v>
      </c>
      <c r="G171" s="397">
        <f ca="1">-L171/(Geometria!$L$48/100^2)+M171/(Geometria!$L$52/100^3)-Geometria!$L$898/(Geometria!$L$52/100^3)</f>
        <v>1961.3470350745501</v>
      </c>
      <c r="H171" s="400">
        <f ca="1">H153</f>
        <v>48.97918844669016</v>
      </c>
      <c r="I171" s="743">
        <f ca="1">-($E$93*(1-IF(IF(OR(Geometria!$K$1409&gt;0,Geometria!$K$1407&gt;0,Geometria!$Q$1409&gt;0,Geometria!$Q$1407&gt;0),1,0),MIN(MIN(1,MAX(0,(B171-Geometria!$L$1409/100)/(Geometria!$N$1307/100))),MIN(1,MAX(0,((Geometria!$L$29/100-B171)-Geometria!$R$1409/100)/(Geometria!$N$1307/100)))),1))*(1-IF(IF(OR(Geometria!$K$1405&gt;0,Geometria!$K$1403&gt;0,Geometria!$Q$1405&gt;0,Geometria!$Q$1403&gt;0),1,0),MIN(MIN(1,MAX(0,(B171-Geometria!$L$1405/100)/(Geometria!$N$1307/100))),MIN(1,MAX(0,((Geometria!$L$29/100-B171)-Geometria!$R$1405/100)/(Geometria!$N$1307/100)))),1))+Geometria!$L$1447*(1-IF(IF(OR(Geometria!$K$1409&gt;0,Geometria!$K$1407&gt;0,Geometria!$Q$1409&gt;0,Geometria!$Q$1407&gt;0),1,0),MIN(MIN(1,MAX(0,(B171-Geometria!$L$1409/100)/(Geometria!$N$1307/100))),MIN(1,MAX(0,((Geometria!$L$29/100-B171)-Geometria!$R$1409/100)/(Geometria!$N$1307/100)))),1))*IF(IF(OR(Geometria!$K$1405&gt;0,Geometria!$K$1403&gt;0,Geometria!$Q$1405&gt;0,Geometria!$Q$1403&gt;0),1,0),MIN(MIN(1,MAX(0,(B171-Geometria!$L$1405/100)/(Geometria!$N$1307/100))),MIN(1,MAX(0,((Geometria!$L$29/100-B171)-Geometria!$R$1405/100)/(Geometria!$N$1307/100)))),1)+Geometria!$L$1449*IF(IF(OR(Geometria!$K$1409&gt;0,Geometria!$K$1407&gt;0,Geometria!$Q$1409&gt;0,Geometria!$Q$1407&gt;0),1,0),MIN(MIN(1,MAX(0,(B171-Geometria!$L$1409/100)/(Geometria!$N$1307/100))),MIN(1,MAX(0,((Geometria!$L$29/100-B171)-Geometria!$R$1409/100)/(Geometria!$N$1307/100)))),1)*(1-IF(IF(OR(Geometria!$K$1405&gt;0,Geometria!$K$1403&gt;0,Geometria!$Q$1405&gt;0,Geometria!$Q$1403&gt;0),1,0),MIN(MIN(1,MAX(0,(B171-Geometria!$L$1405/100)/(Geometria!$N$1307/100))),MIN(1,MAX(0,((Geometria!$L$29/100-B171)-Geometria!$R$1405/100)/(Geometria!$N$1307/100)))),1))+Geometria!$L$906*IF(IF(OR(Geometria!$K$1409&gt;0,Geometria!$K$1407&gt;0,Geometria!$Q$1409&gt;0,Geometria!$Q$1407&gt;0),1,0),MIN(MIN(1,MAX(0,(B171-Geometria!$L$1409/100)/(Geometria!$N$1307/100))),MIN(1,MAX(0,((Geometria!$L$29/100-B171)-Geometria!$R$1409/100)/(Geometria!$N$1307/100)))),1)*IF(IF(OR(Geometria!$K$1405&gt;0,Geometria!$K$1403&gt;0,Geometria!$Q$1405&gt;0,Geometria!$Q$1403&gt;0),1,0),MIN(MIN(1,MAX(0,(B171-Geometria!$L$1405/100)/(Geometria!$N$1307/100))),MIN(1,MAX(0,((Geometria!$L$29/100-B171)-Geometria!$R$1405/100)/(Geometria!$N$1307/100)))),1))/(Geometria!$L$48/100^2)+($E$94*(1-IF(IF(OR(Geometria!$K$1409&gt;0,Geometria!$K$1407&gt;0,Geometria!$Q$1409&gt;0,Geometria!$Q$1407&gt;0),1,0),MIN(MIN(1,MAX(0,(B171-Geometria!$L$1409/100)/(Geometria!$N$1307/100))),MIN(1,MAX(0,((Geometria!$L$29/100-B171)-Geometria!$R$1409/100)/(Geometria!$N$1307/100)))),1))*(1-IF(IF(OR(Geometria!$K$1405&gt;0,Geometria!$K$1403&gt;0,Geometria!$Q$1405&gt;0,Geometria!$Q$1403&gt;0),1,0),MIN(MIN(1,MAX(0,(B171-Geometria!$L$1405/100)/(Geometria!$N$1307/100))),MIN(1,MAX(0,((Geometria!$L$29/100-B171)-Geometria!$R$1405/100)/(Geometria!$N$1307/100)))),1))+Geometria!$L$1448*(1-IF(IF(OR(Geometria!$K$1409&gt;0,Geometria!$K$1407&gt;0,Geometria!$Q$1409&gt;0,Geometria!$Q$1407&gt;0),1,0),MIN(MIN(1,MAX(0,(B171-Geometria!$L$1409/100)/(Geometria!$N$1307/100))),MIN(1,MAX(0,((Geometria!$L$29/100-B171)-Geometria!$R$1409/100)/(Geometria!$N$1307/100)))),1))*IF(IF(OR(Geometria!$K$1405&gt;0,Geometria!$K$1403&gt;0,Geometria!$Q$1405&gt;0,Geometria!$Q$1403&gt;0),1,0),MIN(MIN(1,MAX(0,(B171-Geometria!$L$1405/100)/(Geometria!$N$1307/100))),MIN(1,MAX(0,((Geometria!$L$29/100-B171)-Geometria!$R$1405/100)/(Geometria!$N$1307/100)))),1)+Geometria!$L$1450*IF(IF(OR(Geometria!$K$1409&gt;0,Geometria!$K$1407&gt;0,Geometria!$Q$1409&gt;0,Geometria!$Q$1407&gt;0),1,0),MIN(MIN(1,MAX(0,(B171-Geometria!$L$1409/100)/(Geometria!$N$1307/100))),MIN(1,MAX(0,((Geometria!$L$29/100-B171)-Geometria!$R$1409/100)/(Geometria!$N$1307/100)))),1)*(1-IF(IF(OR(Geometria!$K$1405&gt;0,Geometria!$K$1403&gt;0,Geometria!$Q$1405&gt;0,Geometria!$Q$1403&gt;0),1,0),MIN(MIN(1,MAX(0,(B171-Geometria!$L$1405/100)/(Geometria!$N$1307/100))),MIN(1,MAX(0,((Geometria!$L$29/100-B171)-Geometria!$R$1405/100)/(Geometria!$N$1307/100)))),1))+Geometria!$L$907*IF(IF(OR(Geometria!$K$1409&gt;0,Geometria!$K$1407&gt;0,Geometria!$Q$1409&gt;0,Geometria!$Q$1407&gt;0),1,0),MIN(MIN(1,MAX(0,(B171-Geometria!$L$1409/100)/(Geometria!$N$1307/100))),MIN(1,MAX(0,((Geometria!$L$29/100-B171)-Geometria!$R$1409/100)/(Geometria!$N$1307/100)))),1)*IF(IF(OR(Geometria!$K$1405&gt;0,Geometria!$K$1403&gt;0,Geometria!$Q$1405&gt;0,Geometria!$Q$1403&gt;0),1,0),MIN(MIN(1,MAX(0,(B171-Geometria!$L$1405/100)/(Geometria!$N$1307/100))),MIN(1,MAX(0,((Geometria!$L$29/100-B171)-Geometria!$R$1405/100)/(Geometria!$N$1307/100)))),1))/(Geometria!$L$52/100^3)-Tensões!$E$70/(Geometria!$L$52/100^3)</f>
        <v>7730.121822281322</v>
      </c>
      <c r="J171" s="743"/>
      <c r="L171" s="373">
        <f ca="1">(Geometria!$L$298-(Geometria!$L$298-IF(B171&lt;Geometria!$L$1409/100,Geometria!$L$1442,Geometria!$L$1460))*(1-(MIN(MIN(1,MAX(0,(B171-Geometria!$L$1409/100)/(Geometria!$N$1307/100))),MIN(1,MAX(0,((Geometria!$L$29/100-B171)-Geometria!$R$1409/100)/(Geometria!$N$1307/100))))))*(IF(OR(Geometria!$K$1409&gt;0,Geometria!$K$1407&gt;0,Geometria!$Q$1409&gt;0,Geometria!$Q$1407&gt;0),1,0))-(Geometria!$L$298-IF(B171&lt;Geometria!$L$1405/100,Geometria!$L$1444,Geometria!$L$1462))*(1-(MIN(MIN(1,MAX(0,(B171-Geometria!$L$1405/100)/(Geometria!$N$1307/100))),MIN(1,MAX(0,((Geometria!$L$29/100-B171)-Geometria!$R$1405/100)/(Geometria!$N$1307/100))))))*(IF(OR(Geometria!$K$1405&gt;0,Geometria!$K$1403&gt;0,Geometria!$Q$1405&gt;0,Geometria!$Q$1403&gt;0),1,0)))*H194+Geometria!$P$1429*H171</f>
        <v>232.9598225849562</v>
      </c>
      <c r="M171" s="373">
        <f ca="1">(Geometria!$L$298-(Geometria!$L$298-IF(B171&lt;Geometria!$L$1409/100,Geometria!$L$1442,Geometria!$L$1460))*(1-(MIN(MIN(1,MAX(0,(B171-Geometria!$L$1409/100)/(Geometria!$N$1307/100))),MIN(1,MAX(0,((Geometria!$L$29/100-B171)-Geometria!$R$1409/100)/(Geometria!$N$1307/100))))))*(IF(OR(Geometria!$K$1409&gt;0,Geometria!$K$1407&gt;0,Geometria!$Q$1409&gt;0,Geometria!$Q$1407&gt;0),1,0))-(Geometria!$L$298-IF(B171&lt;Geometria!$L$1405/100,Geometria!$L$1444,Geometria!$L$1462))*(1-(MIN(MIN(1,MAX(0,(B171-Geometria!$L$1405/100)/(Geometria!$N$1307/100))),MIN(1,MAX(0,((Geometria!$L$29/100-B171)-Geometria!$R$1405/100)/(Geometria!$N$1307/100))))))*(IF(OR(Geometria!$K$1405&gt;0,Geometria!$K$1403&gt;0,Geometria!$Q$1405&gt;0,Geometria!$Q$1403&gt;0),1,0)))*H194*(Geometria!$L$299-(Geometria!$L$299-IF(B171&lt;Geometria!$L$1409/100,Geometria!$L$1443,Geometria!$L$1461))*(1-(MIN(MIN(1,MAX(0,(B171-Geometria!$L$1409/100)/(Geometria!$N$1307/100))),MIN(1,MAX(0,((Geometria!$L$29/100-B171)-Geometria!$R$1409/100)/(Geometria!$N$1307/100))))))*(IF(OR(Geometria!$K$1409&gt;0,Geometria!$K$1407&gt;0,Geometria!$Q$1409&gt;0,Geometria!$Q$1407&gt;0),1,0))-(Geometria!$L$299-IF(B171&lt;Geometria!$L$1405/100,Geometria!$L$1445,Geometria!$L$1463))*(1-(MIN(MIN(1,MAX(0,(B171-Geometria!$L$1405/100)/(Geometria!$N$1307/100))),MIN(1,MAX(0,((Geometria!$L$29/100-B171)-Geometria!$R$1405/100)/(Geometria!$N$1307/100))))))*(IF(OR(Geometria!$K$1405&gt;0,Geometria!$K$1403&gt;0,Geometria!$Q$1405&gt;0,Geometria!$Q$1403&gt;0),1,0)))/100-Geometria!$P$1429*H171*Geometria!$L$1438/100</f>
        <v>66.39354943671252</v>
      </c>
      <c r="N171" s="365"/>
      <c r="O171" s="371">
        <f ca="1">(IF(C171="Sim",IF(A171="Sim",$E$93,Geometria!$L$1447),IF(A171="Sim",Geometria!$L$1449,Geometria!$L$906)))</f>
        <v>749.9028001915608</v>
      </c>
      <c r="P171" s="371">
        <f ca="1">(IF(C171="Sim",IF(A171="Sim",$E$94,Geometria!$L$1448),IF(A171="Sim",Geometria!$L$1450,Geometria!$L$907)))</f>
        <v>213.72229805459483</v>
      </c>
      <c r="R171" s="4" t="s">
        <v>448</v>
      </c>
      <c r="S171" s="204">
        <f t="shared" ca="1" si="48"/>
        <v>1961.3470350745501</v>
      </c>
      <c r="T171" s="38" t="s">
        <v>234</v>
      </c>
      <c r="U171" s="205">
        <f t="shared" ca="1" si="47"/>
        <v>1.96134703507455</v>
      </c>
      <c r="V171" s="38" t="s">
        <v>160</v>
      </c>
      <c r="W171" s="399">
        <f t="shared" si="49"/>
        <v>0.0</v>
      </c>
    </row>
    <row r="172" spans="1:23" x14ac:dyDescent="0.25">
      <c r="A172" s="376" t="str">
        <f>IF(OR(B172&lt;Geometria!$L$1405/100,(Geometria!$L$29/100-B172)&lt;Geometria!$R$1405/100),"Sim","Não")</f>
        <v>Sim</v>
      </c>
      <c r="B172" s="395">
        <f>Tensões!$F$69</f>
        <v>7.8500000000000005</v>
      </c>
      <c r="C172" s="376" t="str">
        <f>IF(OR(B172&lt;Geometria!$L$1409/100,(Geometria!$L$29/100-B172)&lt;Geometria!$R$1409/100),"Sim","Não")</f>
        <v>Sim</v>
      </c>
      <c r="D172" s="405" t="s">
        <v>449</v>
      </c>
      <c r="E172" s="198" t="str">
        <f ca="1">E152</f>
        <v>Reduzir</v>
      </c>
      <c r="F172" s="406">
        <v>0</v>
      </c>
      <c r="G172" s="407"/>
      <c r="H172" s="408">
        <f>Geometria!$B$933</f>
        <v>0.0</v>
      </c>
      <c r="I172" s="744">
        <f>Geometria!$C$933</f>
        <v>0.0</v>
      </c>
      <c r="J172" s="744"/>
      <c r="N172" s="365"/>
      <c r="R172" s="32" t="s">
        <v>449</v>
      </c>
      <c r="S172" s="206">
        <v>0</v>
      </c>
      <c r="T172" s="207" t="s">
        <v>234</v>
      </c>
      <c r="U172" s="208">
        <f t="shared" si="47"/>
        <v>0.0</v>
      </c>
      <c r="V172" s="207" t="s">
        <v>160</v>
      </c>
      <c r="W172" s="409">
        <f t="shared" si="49"/>
        <v>0.0</v>
      </c>
    </row>
    <row r="173" spans="1:23" ht="15" customHeight="1" x14ac:dyDescent="0.25">
      <c r="B173" s="364"/>
      <c r="C173" s="376"/>
      <c r="D173" s="364"/>
      <c r="F173" s="745" t="s">
        <v>1086</v>
      </c>
      <c r="G173" s="746" t="s">
        <v>1087</v>
      </c>
      <c r="H173" s="746"/>
      <c r="I173" s="746" t="s">
        <v>1064</v>
      </c>
      <c r="J173" s="746"/>
      <c r="L173" s="747" t="s">
        <v>291</v>
      </c>
      <c r="M173" s="747" t="s">
        <v>295</v>
      </c>
    </row>
    <row r="174" spans="1:23" x14ac:dyDescent="0.25">
      <c r="B174" s="364"/>
      <c r="D174" s="364"/>
      <c r="F174" s="745"/>
      <c r="G174" s="746"/>
      <c r="H174" s="746"/>
      <c r="I174" s="746"/>
      <c r="J174" s="746"/>
      <c r="L174" s="747"/>
      <c r="M174" s="747"/>
      <c r="N174" s="365"/>
      <c r="R174" s="691" t="s">
        <v>479</v>
      </c>
      <c r="S174" s="691"/>
      <c r="T174" s="691"/>
      <c r="U174" s="691"/>
      <c r="V174" s="691"/>
      <c r="W174" s="394" t="s">
        <v>428</v>
      </c>
    </row>
    <row r="175" spans="1:23" x14ac:dyDescent="0.25">
      <c r="A175" s="376" t="str">
        <f>IF(OR(B175&lt;Geometria!$L$1405/100,(Geometria!$L$29/100-B175)&lt;Geometria!$R$1405/100),"Sim","Não")</f>
        <v>Sim</v>
      </c>
      <c r="B175" s="395">
        <f t="shared" ref="B175:B195" si="50">B152</f>
        <v>-0.0</v>
      </c>
      <c r="C175" s="376" t="str">
        <f>IF(OR(B175&lt;Geometria!$L$1409/100,(Geometria!$L$29/100-B175)&lt;Geometria!$R$1409/100),"Sim","Não")</f>
        <v>Sim</v>
      </c>
      <c r="D175" s="122" t="s">
        <v>429</v>
      </c>
      <c r="E175" s="198" t="str">
        <f ca="1">IF(Geometria!$K$437&lt;Geometria!$N$1308/100,"Reduzir","OK")</f>
        <v>Reduzir</v>
      </c>
      <c r="F175" s="396">
        <f t="shared" ref="F175:F194" ca="1" si="51">IF(E175="Reduzir",G175,I175)</f>
        <v>0.0</v>
      </c>
      <c r="G175" s="397">
        <v>0</v>
      </c>
      <c r="H175" s="398">
        <v>0</v>
      </c>
      <c r="I175" s="743">
        <f>Geometria!$C$936</f>
        <v>0.0</v>
      </c>
      <c r="J175" s="743"/>
      <c r="L175">
        <v>0</v>
      </c>
      <c r="M175">
        <v>0</v>
      </c>
      <c r="N175" s="365"/>
      <c r="R175" s="4" t="s">
        <v>429</v>
      </c>
      <c r="S175" s="105">
        <v>0</v>
      </c>
      <c r="T175" s="38" t="s">
        <v>234</v>
      </c>
      <c r="U175" s="138">
        <f t="shared" ref="U175:U194" si="52">S175/1000</f>
        <v>0.0</v>
      </c>
      <c r="V175" s="38" t="s">
        <v>160</v>
      </c>
      <c r="W175" s="399">
        <f>Geometria!V1012</f>
        <v>0.0</v>
      </c>
    </row>
    <row r="176" spans="1:23" x14ac:dyDescent="0.25">
      <c r="A176" s="376" t="str">
        <f>IF(OR(B176&lt;Geometria!$L$1405/100,(Geometria!$L$29/100-B176)&lt;Geometria!$R$1405/100),"Sim","Não")</f>
        <v>Sim</v>
      </c>
      <c r="B176" s="395">
        <f t="shared" si="50"/>
        <v>0.39249999999999996</v>
      </c>
      <c r="C176" s="376" t="str">
        <f>IF(OR(B176&lt;Geometria!$L$1409/100,(Geometria!$L$29/100-B176)&lt;Geometria!$R$1409/100),"Sim","Não")</f>
        <v>Sim</v>
      </c>
      <c r="D176" s="122" t="s">
        <v>430</v>
      </c>
      <c r="E176" s="198" t="str">
        <f ca="1">IF(Geometria!$L$437&lt;Geometria!$N$1308/100,"Reduzir","OK")</f>
        <v>Reduzir</v>
      </c>
      <c r="F176" s="396">
        <f t="shared" ca="1" si="51"/>
        <v>-4549.78950824073</v>
      </c>
      <c r="G176" s="397">
        <f ca="1">-L176/(Geometria!$L$48/100^2)-M176/(Geometria!$L$53/100^3)+Geometria!$L$898/(Geometria!$L$53/100^3)</f>
        <v>-4549.78950824073</v>
      </c>
      <c r="H176" s="400">
        <f ca="1">((((IF(C176="Sim",$N$47,Geometria!$L$324))*(Geometria!$L$897*100))/Geometria!$N$1308))</f>
        <v>41.599968318742185</v>
      </c>
      <c r="I176" s="743">
        <f ca="1">-($E$93*(1-IF(IF(OR(Geometria!$K$1409&gt;0,Geometria!$K$1407&gt;0,Geometria!$Q$1409&gt;0,Geometria!$Q$1407&gt;0),1,0),MIN(MIN(1,MAX(0,(B176-Geometria!$L$1409/100)/(Geometria!$N$1307/100))),MIN(1,MAX(0,((Geometria!$L$29/100-B176)-Geometria!$R$1409/100)/(Geometria!$N$1307/100)))),1))*(1-IF(IF(OR(Geometria!$K$1405&gt;0,Geometria!$K$1403&gt;0,Geometria!$Q$1405&gt;0,Geometria!$Q$1403&gt;0),1,0),MIN(MIN(1,MAX(0,(B176-Geometria!$L$1405/100)/(Geometria!$N$1307/100))),MIN(1,MAX(0,((Geometria!$L$29/100-B176)-Geometria!$R$1405/100)/(Geometria!$N$1307/100)))),1))+Geometria!$L$1447*(1-IF(IF(OR(Geometria!$K$1409&gt;0,Geometria!$K$1407&gt;0,Geometria!$Q$1409&gt;0,Geometria!$Q$1407&gt;0),1,0),MIN(MIN(1,MAX(0,(B176-Geometria!$L$1409/100)/(Geometria!$N$1307/100))),MIN(1,MAX(0,((Geometria!$L$29/100-B176)-Geometria!$R$1409/100)/(Geometria!$N$1307/100)))),1))*IF(IF(OR(Geometria!$K$1405&gt;0,Geometria!$K$1403&gt;0,Geometria!$Q$1405&gt;0,Geometria!$Q$1403&gt;0),1,0),MIN(MIN(1,MAX(0,(B176-Geometria!$L$1405/100)/(Geometria!$N$1307/100))),MIN(1,MAX(0,((Geometria!$L$29/100-B176)-Geometria!$R$1405/100)/(Geometria!$N$1307/100)))),1)+Geometria!$L$1449*IF(IF(OR(Geometria!$K$1409&gt;0,Geometria!$K$1407&gt;0,Geometria!$Q$1409&gt;0,Geometria!$Q$1407&gt;0),1,0),MIN(MIN(1,MAX(0,(B176-Geometria!$L$1409/100)/(Geometria!$N$1307/100))),MIN(1,MAX(0,((Geometria!$L$29/100-B176)-Geometria!$R$1409/100)/(Geometria!$N$1307/100)))),1)*(1-IF(IF(OR(Geometria!$K$1405&gt;0,Geometria!$K$1403&gt;0,Geometria!$Q$1405&gt;0,Geometria!$Q$1403&gt;0),1,0),MIN(MIN(1,MAX(0,(B176-Geometria!$L$1405/100)/(Geometria!$N$1307/100))),MIN(1,MAX(0,((Geometria!$L$29/100-B176)-Geometria!$R$1405/100)/(Geometria!$N$1307/100)))),1))+Geometria!$L$906*IF(IF(OR(Geometria!$K$1409&gt;0,Geometria!$K$1407&gt;0,Geometria!$Q$1409&gt;0,Geometria!$Q$1407&gt;0),1,0),MIN(MIN(1,MAX(0,(B176-Geometria!$L$1409/100)/(Geometria!$N$1307/100))),MIN(1,MAX(0,((Geometria!$L$29/100-B176)-Geometria!$R$1409/100)/(Geometria!$N$1307/100)))),1)*IF(IF(OR(Geometria!$K$1405&gt;0,Geometria!$K$1403&gt;0,Geometria!$Q$1405&gt;0,Geometria!$Q$1403&gt;0),1,0),MIN(MIN(1,MAX(0,(B176-Geometria!$L$1405/100)/(Geometria!$N$1307/100))),MIN(1,MAX(0,((Geometria!$L$29/100-B176)-Geometria!$R$1405/100)/(Geometria!$N$1307/100)))),1))/(Geometria!$L$48/100^2)-($E$94*(1-IF(IF(OR(Geometria!$K$1409&gt;0,Geometria!$K$1407&gt;0,Geometria!$Q$1409&gt;0,Geometria!$Q$1407&gt;0),1,0),MIN(MIN(1,MAX(0,(B176-Geometria!$L$1409/100)/(Geometria!$N$1307/100))),MIN(1,MAX(0,((Geometria!$L$29/100-B176)-Geometria!$R$1409/100)/(Geometria!$N$1307/100)))),1))*(1-IF(IF(OR(Geometria!$K$1405&gt;0,Geometria!$K$1403&gt;0,Geometria!$Q$1405&gt;0,Geometria!$Q$1403&gt;0),1,0),MIN(MIN(1,MAX(0,(B176-Geometria!$L$1405/100)/(Geometria!$N$1307/100))),MIN(1,MAX(0,((Geometria!$L$29/100-B176)-Geometria!$R$1405/100)/(Geometria!$N$1307/100)))),1))+Geometria!$L$1448*(1-IF(IF(OR(Geometria!$K$1409&gt;0,Geometria!$K$1407&gt;0,Geometria!$Q$1409&gt;0,Geometria!$Q$1407&gt;0),1,0),MIN(MIN(1,MAX(0,(B176-Geometria!$L$1409/100)/(Geometria!$N$1307/100))),MIN(1,MAX(0,((Geometria!$L$29/100-B176)-Geometria!$R$1409/100)/(Geometria!$N$1307/100)))),1))*IF(IF(OR(Geometria!$K$1405&gt;0,Geometria!$K$1403&gt;0,Geometria!$Q$1405&gt;0,Geometria!$Q$1403&gt;0),1,0),MIN(MIN(1,MAX(0,(B176-Geometria!$L$1405/100)/(Geometria!$N$1307/100))),MIN(1,MAX(0,((Geometria!$L$29/100-B176)-Geometria!$R$1405/100)/(Geometria!$N$1307/100)))),1)+Geometria!$L$1450*IF(IF(OR(Geometria!$K$1409&gt;0,Geometria!$K$1407&gt;0,Geometria!$Q$1409&gt;0,Geometria!$Q$1407&gt;0),1,0),MIN(MIN(1,MAX(0,(B176-Geometria!$L$1409/100)/(Geometria!$N$1307/100))),MIN(1,MAX(0,((Geometria!$L$29/100-B176)-Geometria!$R$1409/100)/(Geometria!$N$1307/100)))),1)*(1-IF(IF(OR(Geometria!$K$1405&gt;0,Geometria!$K$1403&gt;0,Geometria!$Q$1405&gt;0,Geometria!$Q$1403&gt;0),1,0),MIN(MIN(1,MAX(0,(B176-Geometria!$L$1405/100)/(Geometria!$N$1307/100))),MIN(1,MAX(0,((Geometria!$L$29/100-B176)-Geometria!$R$1405/100)/(Geometria!$N$1307/100)))),1))+Geometria!$L$907*IF(IF(OR(Geometria!$K$1409&gt;0,Geometria!$K$1407&gt;0,Geometria!$Q$1409&gt;0,Geometria!$Q$1407&gt;0),1,0),MIN(MIN(1,MAX(0,(B176-Geometria!$L$1409/100)/(Geometria!$N$1307/100))),MIN(1,MAX(0,((Geometria!$L$29/100-B176)-Geometria!$R$1409/100)/(Geometria!$N$1307/100)))),1)*IF(IF(OR(Geometria!$K$1405&gt;0,Geometria!$K$1403&gt;0,Geometria!$Q$1405&gt;0,Geometria!$Q$1403&gt;0),1,0),MIN(MIN(1,MAX(0,(B176-Geometria!$L$1405/100)/(Geometria!$N$1307/100))),MIN(1,MAX(0,((Geometria!$L$29/100-B176)-Geometria!$R$1405/100)/(Geometria!$N$1307/100)))),1))/(Geometria!$L$53/100^3)+Geometria!$L$898/(Geometria!$L$53/100^3)</f>
        <v>-15606.625418159774</v>
      </c>
      <c r="J176" s="743"/>
      <c r="L176" s="373">
        <f ca="1">(Geometria!$L$298-(Geometria!$L$298-IF(B176&lt;Geometria!$L$1409/100,Geometria!$L$1442,Geometria!$L$1460))*(1-(MIN(MIN(1,MAX(0,(B176-Geometria!$L$1409/100)/(Geometria!$N$1307/100))),MIN(1,MAX(0,((Geometria!$L$29/100-B176)-Geometria!$R$1409/100)/(Geometria!$N$1307/100))))))*(IF(OR(Geometria!$K$1409&gt;0,Geometria!$K$1407&gt;0,Geometria!$Q$1409&gt;0,Geometria!$Q$1407&gt;0),1,0))-(Geometria!$L$298-IF(B176&lt;Geometria!$L$1405/100,Geometria!$L$1444,Geometria!$L$1462))*(1-(MIN(MIN(1,MAX(0,(B176-Geometria!$L$1405/100)/(Geometria!$N$1307/100))),MIN(1,MAX(0,((Geometria!$L$29/100-B176)-Geometria!$R$1405/100)/(Geometria!$N$1307/100))))))*(IF(OR(Geometria!$K$1405&gt;0,Geometria!$K$1403&gt;0,Geometria!$Q$1405&gt;0,Geometria!$Q$1403&gt;0),1,0)))*H176+Geometria!$P$1429*H153</f>
        <v>232.9598225849562</v>
      </c>
      <c r="M176" s="373">
        <f ca="1">(Geometria!$L$298-(Geometria!$L$298-IF(B176&lt;Geometria!$L$1409/100,Geometria!$L$1442,Geometria!$L$1460))*(1-(MIN(MIN(1,MAX(0,(B176-Geometria!$L$1409/100)/(Geometria!$N$1307/100))),MIN(1,MAX(0,((Geometria!$L$29/100-B176)-Geometria!$R$1409/100)/(Geometria!$N$1307/100))))))*(IF(OR(Geometria!$K$1409&gt;0,Geometria!$K$1407&gt;0,Geometria!$Q$1409&gt;0,Geometria!$Q$1407&gt;0),1,0))-(Geometria!$L$298-IF(B176&lt;Geometria!$L$1405/100,Geometria!$L$1444,Geometria!$L$1462))*(1-(MIN(MIN(1,MAX(0,(B176-Geometria!$L$1405/100)/(Geometria!$N$1307/100))),MIN(1,MAX(0,((Geometria!$L$29/100-B176)-Geometria!$R$1405/100)/(Geometria!$N$1307/100))))))*(IF(OR(Geometria!$K$1405&gt;0,Geometria!$K$1403&gt;0,Geometria!$Q$1405&gt;0,Geometria!$Q$1403&gt;0),1,0)))*H176*(Geometria!$L$299-(Geometria!$L$299-IF(B176&lt;Geometria!$L$1409/100,Geometria!$L$1443,Geometria!$L$1461))*(1-(MIN(MIN(1,MAX(0,(B176-Geometria!$L$1409/100)/(Geometria!$N$1307/100))),MIN(1,MAX(0,((Geometria!$L$29/100-B176)-Geometria!$R$1409/100)/(Geometria!$N$1307/100))))))*(IF(OR(Geometria!$K$1409&gt;0,Geometria!$K$1407&gt;0,Geometria!$Q$1409&gt;0,Geometria!$Q$1407&gt;0),1,0))-(Geometria!$L$299-IF(B176&lt;Geometria!$L$1405/100,Geometria!$L$1445,Geometria!$L$1463))*(1-(MIN(MIN(1,MAX(0,(B176-Geometria!$L$1405/100)/(Geometria!$N$1307/100))),MIN(1,MAX(0,((Geometria!$L$29/100-B176)-Geometria!$R$1405/100)/(Geometria!$N$1307/100))))))*(IF(OR(Geometria!$K$1405&gt;0,Geometria!$K$1403&gt;0,Geometria!$Q$1405&gt;0,Geometria!$Q$1403&gt;0),1,0)))/100-Geometria!$P$1429*H153*Geometria!$L$1438/100</f>
        <v>66.39354943671252</v>
      </c>
      <c r="N176" s="365"/>
      <c r="O176" s="371">
        <f ca="1">(IF(C176="Sim",IF(A176="Sim",$E$93,Geometria!$L$1447),IF(A176="Sim",Geometria!$L$1449,Geometria!$L$906)))</f>
        <v>749.9028001915608</v>
      </c>
      <c r="P176" s="371">
        <f ca="1">(IF(C176="Sim",IF(A176="Sim",$E$94,Geometria!$L$1448),IF(A176="Sim",Geometria!$L$1450,Geometria!$L$907)))</f>
        <v>213.72229805459483</v>
      </c>
      <c r="R176" s="4" t="s">
        <v>430</v>
      </c>
      <c r="S176" s="200">
        <f t="shared" ref="S176:S194" ca="1" si="53">F176</f>
        <v>-4549.78950824073</v>
      </c>
      <c r="T176" s="38" t="s">
        <v>234</v>
      </c>
      <c r="U176" s="201">
        <f t="shared" ca="1" si="52"/>
        <v>-4.54978950824073</v>
      </c>
      <c r="V176" s="38" t="s">
        <v>160</v>
      </c>
      <c r="W176" s="399">
        <f t="shared" ref="W176:W195" si="54">W175</f>
        <v>0.0</v>
      </c>
    </row>
    <row r="177" spans="1:23" x14ac:dyDescent="0.25">
      <c r="A177" s="376" t="str">
        <f>IF(OR(B177&lt;Geometria!$L$1405/100,(Geometria!$L$29/100-B177)&lt;Geometria!$R$1405/100),"Sim","Não")</f>
        <v>Sim</v>
      </c>
      <c r="B177" s="395">
        <f t="shared" si="50"/>
        <v>0.7849999999999999</v>
      </c>
      <c r="C177" s="376" t="str">
        <f>IF(OR(B177&lt;Geometria!$L$1409/100,(Geometria!$L$29/100-B177)&lt;Geometria!$R$1409/100),"Sim","Não")</f>
        <v>Sim</v>
      </c>
      <c r="D177" s="122" t="s">
        <v>431</v>
      </c>
      <c r="E177" s="198" t="str">
        <f ca="1">IF(Geometria!$M$437&lt;Geometria!$N$1308/100,"Reduzir","OK")</f>
        <v>Reduzir</v>
      </c>
      <c r="F177" s="396">
        <f t="shared" ca="1" si="51"/>
        <v>-9532.541269085628</v>
      </c>
      <c r="G177" s="397">
        <f ca="1">-L177/(Geometria!$L$48/100^2)-M177/(Geometria!$L$53/100^3)+Geometria!$L$898/(Geometria!$L$53/100^3)</f>
        <v>-9532.541269085628</v>
      </c>
      <c r="H177" s="400">
        <f ca="1">(((IF(C177="Sim",$N$47,Geometria!$L$324))*(Geometria!$M$897*100))/Geometria!$N$1308)</f>
        <v>83.19993663748437</v>
      </c>
      <c r="I177" s="743">
        <f ca="1">-($E$93*(1-IF(IF(OR(Geometria!$K$1409&gt;0,Geometria!$K$1407&gt;0,Geometria!$Q$1409&gt;0,Geometria!$Q$1407&gt;0),1,0),MIN(MIN(1,MAX(0,(B177-Geometria!$L$1409/100)/(Geometria!$N$1307/100))),MIN(1,MAX(0,((Geometria!$L$29/100-B177)-Geometria!$R$1409/100)/(Geometria!$N$1307/100)))),1))*(1-IF(IF(OR(Geometria!$K$1405&gt;0,Geometria!$K$1403&gt;0,Geometria!$Q$1405&gt;0,Geometria!$Q$1403&gt;0),1,0),MIN(MIN(1,MAX(0,(B177-Geometria!$L$1405/100)/(Geometria!$N$1307/100))),MIN(1,MAX(0,((Geometria!$L$29/100-B177)-Geometria!$R$1405/100)/(Geometria!$N$1307/100)))),1))+Geometria!$L$1447*(1-IF(IF(OR(Geometria!$K$1409&gt;0,Geometria!$K$1407&gt;0,Geometria!$Q$1409&gt;0,Geometria!$Q$1407&gt;0),1,0),MIN(MIN(1,MAX(0,(B177-Geometria!$L$1409/100)/(Geometria!$N$1307/100))),MIN(1,MAX(0,((Geometria!$L$29/100-B177)-Geometria!$R$1409/100)/(Geometria!$N$1307/100)))),1))*IF(IF(OR(Geometria!$K$1405&gt;0,Geometria!$K$1403&gt;0,Geometria!$Q$1405&gt;0,Geometria!$Q$1403&gt;0),1,0),MIN(MIN(1,MAX(0,(B177-Geometria!$L$1405/100)/(Geometria!$N$1307/100))),MIN(1,MAX(0,((Geometria!$L$29/100-B177)-Geometria!$R$1405/100)/(Geometria!$N$1307/100)))),1)+Geometria!$L$1449*IF(IF(OR(Geometria!$K$1409&gt;0,Geometria!$K$1407&gt;0,Geometria!$Q$1409&gt;0,Geometria!$Q$1407&gt;0),1,0),MIN(MIN(1,MAX(0,(B177-Geometria!$L$1409/100)/(Geometria!$N$1307/100))),MIN(1,MAX(0,((Geometria!$L$29/100-B177)-Geometria!$R$1409/100)/(Geometria!$N$1307/100)))),1)*(1-IF(IF(OR(Geometria!$K$1405&gt;0,Geometria!$K$1403&gt;0,Geometria!$Q$1405&gt;0,Geometria!$Q$1403&gt;0),1,0),MIN(MIN(1,MAX(0,(B177-Geometria!$L$1405/100)/(Geometria!$N$1307/100))),MIN(1,MAX(0,((Geometria!$L$29/100-B177)-Geometria!$R$1405/100)/(Geometria!$N$1307/100)))),1))+Geometria!$L$906*IF(IF(OR(Geometria!$K$1409&gt;0,Geometria!$K$1407&gt;0,Geometria!$Q$1409&gt;0,Geometria!$Q$1407&gt;0),1,0),MIN(MIN(1,MAX(0,(B177-Geometria!$L$1409/100)/(Geometria!$N$1307/100))),MIN(1,MAX(0,((Geometria!$L$29/100-B177)-Geometria!$R$1409/100)/(Geometria!$N$1307/100)))),1)*IF(IF(OR(Geometria!$K$1405&gt;0,Geometria!$K$1403&gt;0,Geometria!$Q$1405&gt;0,Geometria!$Q$1403&gt;0),1,0),MIN(MIN(1,MAX(0,(B177-Geometria!$L$1405/100)/(Geometria!$N$1307/100))),MIN(1,MAX(0,((Geometria!$L$29/100-B177)-Geometria!$R$1405/100)/(Geometria!$N$1307/100)))),1))/(Geometria!$L$48/100^2)-($E$94*(1-IF(IF(OR(Geometria!$K$1409&gt;0,Geometria!$K$1407&gt;0,Geometria!$Q$1409&gt;0,Geometria!$Q$1407&gt;0),1,0),MIN(MIN(1,MAX(0,(B177-Geometria!$L$1409/100)/(Geometria!$N$1307/100))),MIN(1,MAX(0,((Geometria!$L$29/100-B177)-Geometria!$R$1409/100)/(Geometria!$N$1307/100)))),1))*(1-IF(IF(OR(Geometria!$K$1405&gt;0,Geometria!$K$1403&gt;0,Geometria!$Q$1405&gt;0,Geometria!$Q$1403&gt;0),1,0),MIN(MIN(1,MAX(0,(B177-Geometria!$L$1405/100)/(Geometria!$N$1307/100))),MIN(1,MAX(0,((Geometria!$L$29/100-B177)-Geometria!$R$1405/100)/(Geometria!$N$1307/100)))),1))+Geometria!$L$1448*(1-IF(IF(OR(Geometria!$K$1409&gt;0,Geometria!$K$1407&gt;0,Geometria!$Q$1409&gt;0,Geometria!$Q$1407&gt;0),1,0),MIN(MIN(1,MAX(0,(B177-Geometria!$L$1409/100)/(Geometria!$N$1307/100))),MIN(1,MAX(0,((Geometria!$L$29/100-B177)-Geometria!$R$1409/100)/(Geometria!$N$1307/100)))),1))*IF(IF(OR(Geometria!$K$1405&gt;0,Geometria!$K$1403&gt;0,Geometria!$Q$1405&gt;0,Geometria!$Q$1403&gt;0),1,0),MIN(MIN(1,MAX(0,(B177-Geometria!$L$1405/100)/(Geometria!$N$1307/100))),MIN(1,MAX(0,((Geometria!$L$29/100-B177)-Geometria!$R$1405/100)/(Geometria!$N$1307/100)))),1)+Geometria!$L$1450*IF(IF(OR(Geometria!$K$1409&gt;0,Geometria!$K$1407&gt;0,Geometria!$Q$1409&gt;0,Geometria!$Q$1407&gt;0),1,0),MIN(MIN(1,MAX(0,(B177-Geometria!$L$1409/100)/(Geometria!$N$1307/100))),MIN(1,MAX(0,((Geometria!$L$29/100-B177)-Geometria!$R$1409/100)/(Geometria!$N$1307/100)))),1)*(1-IF(IF(OR(Geometria!$K$1405&gt;0,Geometria!$K$1403&gt;0,Geometria!$Q$1405&gt;0,Geometria!$Q$1403&gt;0),1,0),MIN(MIN(1,MAX(0,(B177-Geometria!$L$1405/100)/(Geometria!$N$1307/100))),MIN(1,MAX(0,((Geometria!$L$29/100-B177)-Geometria!$R$1405/100)/(Geometria!$N$1307/100)))),1))+Geometria!$L$907*IF(IF(OR(Geometria!$K$1409&gt;0,Geometria!$K$1407&gt;0,Geometria!$Q$1409&gt;0,Geometria!$Q$1407&gt;0),1,0),MIN(MIN(1,MAX(0,(B177-Geometria!$L$1409/100)/(Geometria!$N$1307/100))),MIN(1,MAX(0,((Geometria!$L$29/100-B177)-Geometria!$R$1409/100)/(Geometria!$N$1307/100)))),1)*IF(IF(OR(Geometria!$K$1405&gt;0,Geometria!$K$1403&gt;0,Geometria!$Q$1405&gt;0,Geometria!$Q$1403&gt;0),1,0),MIN(MIN(1,MAX(0,(B177-Geometria!$L$1405/100)/(Geometria!$N$1307/100))),MIN(1,MAX(0,((Geometria!$L$29/100-B177)-Geometria!$R$1405/100)/(Geometria!$N$1307/100)))),1))/(Geometria!$L$53/100^3)+Geometria!$M$898/(Geometria!$L$53/100^3)</f>
        <v>-15219.23813951394</v>
      </c>
      <c r="J177" s="743"/>
      <c r="L177" s="373">
        <f ca="1">(Geometria!$L$298-(Geometria!$L$298-IF(B177&lt;Geometria!$L$1409/100,Geometria!$L$1442,Geometria!$L$1460))*(1-(MIN(MIN(1,MAX(0,(B177-Geometria!$L$1409/100)/(Geometria!$N$1307/100))),MIN(1,MAX(0,((Geometria!$L$29/100-B177)-Geometria!$R$1409/100)/(Geometria!$N$1307/100))))))*(IF(OR(Geometria!$K$1409&gt;0,Geometria!$K$1407&gt;0,Geometria!$Q$1409&gt;0,Geometria!$Q$1407&gt;0),1,0))-(Geometria!$L$298-IF(B177&lt;Geometria!$L$1405/100,Geometria!$L$1444,Geometria!$L$1462))*(1-(MIN(MIN(1,MAX(0,(B177-Geometria!$L$1405/100)/(Geometria!$N$1307/100))),MIN(1,MAX(0,((Geometria!$L$29/100-B177)-Geometria!$R$1405/100)/(Geometria!$N$1307/100))))))*(IF(OR(Geometria!$K$1405&gt;0,Geometria!$K$1403&gt;0,Geometria!$Q$1405&gt;0,Geometria!$Q$1403&gt;0),1,0)))*H177+Geometria!$P$1429*H154</f>
        <v>465.9196451699124</v>
      </c>
      <c r="M177" s="373">
        <f ca="1">(Geometria!$L$298-(Geometria!$L$298-IF(B177&lt;Geometria!$L$1409/100,Geometria!$L$1442,Geometria!$L$1460))*(1-(MIN(MIN(1,MAX(0,(B177-Geometria!$L$1409/100)/(Geometria!$N$1307/100))),MIN(1,MAX(0,((Geometria!$L$29/100-B177)-Geometria!$R$1409/100)/(Geometria!$N$1307/100))))))*(IF(OR(Geometria!$K$1409&gt;0,Geometria!$K$1407&gt;0,Geometria!$Q$1409&gt;0,Geometria!$Q$1407&gt;0),1,0))-(Geometria!$L$298-IF(B177&lt;Geometria!$L$1405/100,Geometria!$L$1444,Geometria!$L$1462))*(1-(MIN(MIN(1,MAX(0,(B177-Geometria!$L$1405/100)/(Geometria!$N$1307/100))),MIN(1,MAX(0,((Geometria!$L$29/100-B177)-Geometria!$R$1405/100)/(Geometria!$N$1307/100))))))*(IF(OR(Geometria!$K$1405&gt;0,Geometria!$K$1403&gt;0,Geometria!$Q$1405&gt;0,Geometria!$Q$1403&gt;0),1,0)))*H177*(Geometria!$L$299-(Geometria!$L$299-IF(B177&lt;Geometria!$L$1409/100,Geometria!$L$1443,Geometria!$L$1461))*(1-(MIN(MIN(1,MAX(0,(B177-Geometria!$L$1409/100)/(Geometria!$N$1307/100))),MIN(1,MAX(0,((Geometria!$L$29/100-B177)-Geometria!$R$1409/100)/(Geometria!$N$1307/100))))))*(IF(OR(Geometria!$K$1409&gt;0,Geometria!$K$1407&gt;0,Geometria!$Q$1409&gt;0,Geometria!$Q$1407&gt;0),1,0))-(Geometria!$L$299-IF(B177&lt;Geometria!$L$1405/100,Geometria!$L$1445,Geometria!$L$1463))*(1-(MIN(MIN(1,MAX(0,(B177-Geometria!$L$1405/100)/(Geometria!$N$1307/100))),MIN(1,MAX(0,((Geometria!$L$29/100-B177)-Geometria!$R$1405/100)/(Geometria!$N$1307/100))))))*(IF(OR(Geometria!$K$1405&gt;0,Geometria!$K$1403&gt;0,Geometria!$Q$1405&gt;0,Geometria!$Q$1403&gt;0),1,0)))/100-Geometria!$P$1429*H154*Geometria!$L$1438/100</f>
        <v>132.78709887342504</v>
      </c>
      <c r="N177" s="365"/>
      <c r="O177" s="371">
        <f ca="1">(IF(C177="Sim",IF(A177="Sim",$E$93,Geometria!$L$1447),IF(A177="Sim",Geometria!$L$1449,Geometria!$L$906)))</f>
        <v>749.9028001915608</v>
      </c>
      <c r="P177" s="371">
        <f ca="1">(IF(C177="Sim",IF(A177="Sim",$E$94,Geometria!$L$1448),IF(A177="Sim",Geometria!$L$1450,Geometria!$L$907)))</f>
        <v>213.72229805459483</v>
      </c>
      <c r="R177" s="4" t="s">
        <v>431</v>
      </c>
      <c r="S177" s="202">
        <f t="shared" ca="1" si="53"/>
        <v>-9532.541269085628</v>
      </c>
      <c r="T177" s="38" t="s">
        <v>234</v>
      </c>
      <c r="U177" s="203">
        <f t="shared" ca="1" si="52"/>
        <v>-9.532541269085629</v>
      </c>
      <c r="V177" s="38" t="s">
        <v>160</v>
      </c>
      <c r="W177" s="399">
        <f t="shared" si="54"/>
        <v>0.0</v>
      </c>
    </row>
    <row r="178" spans="1:23" x14ac:dyDescent="0.25">
      <c r="A178" s="376" t="str">
        <f>IF(OR(B178&lt;Geometria!$L$1405/100,(Geometria!$L$29/100-B178)&lt;Geometria!$R$1405/100),"Sim","Não")</f>
        <v>Sim</v>
      </c>
      <c r="B178" s="395">
        <f t="shared" si="50"/>
        <v>1.1774999999999998</v>
      </c>
      <c r="C178" s="376" t="str">
        <f>IF(OR(B178&lt;Geometria!$L$1409/100,(Geometria!$L$29/100-B178)&lt;Geometria!$R$1409/100),"Sim","Não")</f>
        <v>Sim</v>
      </c>
      <c r="D178" s="122" t="s">
        <v>432</v>
      </c>
      <c r="E178" s="198" t="str">
        <f ca="1">IF(Geometria!$N$437&lt;Geometria!$N$1308/100,"Reduzir","OK")</f>
        <v>Reduzir</v>
      </c>
      <c r="F178" s="396">
        <f t="shared" ca="1" si="51"/>
        <v>-14515.293029930524</v>
      </c>
      <c r="G178" s="397">
        <f ca="1">-L178/(Geometria!$L$48/100^2)-M178/(Geometria!$L$53/100^3)+Geometria!$L$898/(Geometria!$L$53/100^3)</f>
        <v>-14515.293029930524</v>
      </c>
      <c r="H178" s="400">
        <f ca="1">(((IF(C178="Sim",$N$47,Geometria!$L$324))*(Geometria!$N$897*100))/Geometria!$N$1308)</f>
        <v>124.79990495622654</v>
      </c>
      <c r="I178" s="743">
        <f ca="1">-($E$93*(1-IF(IF(OR(Geometria!$K$1409&gt;0,Geometria!$K$1407&gt;0,Geometria!$Q$1409&gt;0,Geometria!$Q$1407&gt;0),1,0),MIN(MIN(1,MAX(0,(B178-Geometria!$L$1409/100)/(Geometria!$N$1307/100))),MIN(1,MAX(0,((Geometria!$L$29/100-B178)-Geometria!$R$1409/100)/(Geometria!$N$1307/100)))),1))*(1-IF(IF(OR(Geometria!$K$1405&gt;0,Geometria!$K$1403&gt;0,Geometria!$Q$1405&gt;0,Geometria!$Q$1403&gt;0),1,0),MIN(MIN(1,MAX(0,(B178-Geometria!$L$1405/100)/(Geometria!$N$1307/100))),MIN(1,MAX(0,((Geometria!$L$29/100-B178)-Geometria!$R$1405/100)/(Geometria!$N$1307/100)))),1))+Geometria!$L$1447*(1-IF(IF(OR(Geometria!$K$1409&gt;0,Geometria!$K$1407&gt;0,Geometria!$Q$1409&gt;0,Geometria!$Q$1407&gt;0),1,0),MIN(MIN(1,MAX(0,(B178-Geometria!$L$1409/100)/(Geometria!$N$1307/100))),MIN(1,MAX(0,((Geometria!$L$29/100-B178)-Geometria!$R$1409/100)/(Geometria!$N$1307/100)))),1))*IF(IF(OR(Geometria!$K$1405&gt;0,Geometria!$K$1403&gt;0,Geometria!$Q$1405&gt;0,Geometria!$Q$1403&gt;0),1,0),MIN(MIN(1,MAX(0,(B178-Geometria!$L$1405/100)/(Geometria!$N$1307/100))),MIN(1,MAX(0,((Geometria!$L$29/100-B178)-Geometria!$R$1405/100)/(Geometria!$N$1307/100)))),1)+Geometria!$L$1449*IF(IF(OR(Geometria!$K$1409&gt;0,Geometria!$K$1407&gt;0,Geometria!$Q$1409&gt;0,Geometria!$Q$1407&gt;0),1,0),MIN(MIN(1,MAX(0,(B178-Geometria!$L$1409/100)/(Geometria!$N$1307/100))),MIN(1,MAX(0,((Geometria!$L$29/100-B178)-Geometria!$R$1409/100)/(Geometria!$N$1307/100)))),1)*(1-IF(IF(OR(Geometria!$K$1405&gt;0,Geometria!$K$1403&gt;0,Geometria!$Q$1405&gt;0,Geometria!$Q$1403&gt;0),1,0),MIN(MIN(1,MAX(0,(B178-Geometria!$L$1405/100)/(Geometria!$N$1307/100))),MIN(1,MAX(0,((Geometria!$L$29/100-B178)-Geometria!$R$1405/100)/(Geometria!$N$1307/100)))),1))+Geometria!$L$906*IF(IF(OR(Geometria!$K$1409&gt;0,Geometria!$K$1407&gt;0,Geometria!$Q$1409&gt;0,Geometria!$Q$1407&gt;0),1,0),MIN(MIN(1,MAX(0,(B178-Geometria!$L$1409/100)/(Geometria!$N$1307/100))),MIN(1,MAX(0,((Geometria!$L$29/100-B178)-Geometria!$R$1409/100)/(Geometria!$N$1307/100)))),1)*IF(IF(OR(Geometria!$K$1405&gt;0,Geometria!$K$1403&gt;0,Geometria!$Q$1405&gt;0,Geometria!$Q$1403&gt;0),1,0),MIN(MIN(1,MAX(0,(B178-Geometria!$L$1405/100)/(Geometria!$N$1307/100))),MIN(1,MAX(0,((Geometria!$L$29/100-B178)-Geometria!$R$1405/100)/(Geometria!$N$1307/100)))),1))/(Geometria!$L$48/100^2)-($E$94*(1-IF(IF(OR(Geometria!$K$1409&gt;0,Geometria!$K$1407&gt;0,Geometria!$Q$1409&gt;0,Geometria!$Q$1407&gt;0),1,0),MIN(MIN(1,MAX(0,(B178-Geometria!$L$1409/100)/(Geometria!$N$1307/100))),MIN(1,MAX(0,((Geometria!$L$29/100-B178)-Geometria!$R$1409/100)/(Geometria!$N$1307/100)))),1))*(1-IF(IF(OR(Geometria!$K$1405&gt;0,Geometria!$K$1403&gt;0,Geometria!$Q$1405&gt;0,Geometria!$Q$1403&gt;0),1,0),MIN(MIN(1,MAX(0,(B178-Geometria!$L$1405/100)/(Geometria!$N$1307/100))),MIN(1,MAX(0,((Geometria!$L$29/100-B178)-Geometria!$R$1405/100)/(Geometria!$N$1307/100)))),1))+Geometria!$L$1448*(1-IF(IF(OR(Geometria!$K$1409&gt;0,Geometria!$K$1407&gt;0,Geometria!$Q$1409&gt;0,Geometria!$Q$1407&gt;0),1,0),MIN(MIN(1,MAX(0,(B178-Geometria!$L$1409/100)/(Geometria!$N$1307/100))),MIN(1,MAX(0,((Geometria!$L$29/100-B178)-Geometria!$R$1409/100)/(Geometria!$N$1307/100)))),1))*IF(IF(OR(Geometria!$K$1405&gt;0,Geometria!$K$1403&gt;0,Geometria!$Q$1405&gt;0,Geometria!$Q$1403&gt;0),1,0),MIN(MIN(1,MAX(0,(B178-Geometria!$L$1405/100)/(Geometria!$N$1307/100))),MIN(1,MAX(0,((Geometria!$L$29/100-B178)-Geometria!$R$1405/100)/(Geometria!$N$1307/100)))),1)+Geometria!$L$1450*IF(IF(OR(Geometria!$K$1409&gt;0,Geometria!$K$1407&gt;0,Geometria!$Q$1409&gt;0,Geometria!$Q$1407&gt;0),1,0),MIN(MIN(1,MAX(0,(B178-Geometria!$L$1409/100)/(Geometria!$N$1307/100))),MIN(1,MAX(0,((Geometria!$L$29/100-B178)-Geometria!$R$1409/100)/(Geometria!$N$1307/100)))),1)*(1-IF(IF(OR(Geometria!$K$1405&gt;0,Geometria!$K$1403&gt;0,Geometria!$Q$1405&gt;0,Geometria!$Q$1403&gt;0),1,0),MIN(MIN(1,MAX(0,(B178-Geometria!$L$1405/100)/(Geometria!$N$1307/100))),MIN(1,MAX(0,((Geometria!$L$29/100-B178)-Geometria!$R$1405/100)/(Geometria!$N$1307/100)))),1))+Geometria!$L$907*IF(IF(OR(Geometria!$K$1409&gt;0,Geometria!$K$1407&gt;0,Geometria!$Q$1409&gt;0,Geometria!$Q$1407&gt;0),1,0),MIN(MIN(1,MAX(0,(B178-Geometria!$L$1409/100)/(Geometria!$N$1307/100))),MIN(1,MAX(0,((Geometria!$L$29/100-B178)-Geometria!$R$1409/100)/(Geometria!$N$1307/100)))),1)*IF(IF(OR(Geometria!$K$1405&gt;0,Geometria!$K$1403&gt;0,Geometria!$Q$1405&gt;0,Geometria!$Q$1403&gt;0),1,0),MIN(MIN(1,MAX(0,(B178-Geometria!$L$1405/100)/(Geometria!$N$1307/100))),MIN(1,MAX(0,((Geometria!$L$29/100-B178)-Geometria!$R$1405/100)/(Geometria!$N$1307/100)))),1))/(Geometria!$L$53/100^3)+Geometria!$N$898/(Geometria!$L$53/100^3)</f>
        <v>-14877.425834826441</v>
      </c>
      <c r="J178" s="743"/>
      <c r="L178" s="373">
        <f ca="1">(Geometria!$L$298-(Geometria!$L$298-IF(B178&lt;Geometria!$L$1409/100,Geometria!$L$1442,Geometria!$L$1460))*(1-(MIN(MIN(1,MAX(0,(B178-Geometria!$L$1409/100)/(Geometria!$N$1307/100))),MIN(1,MAX(0,((Geometria!$L$29/100-B178)-Geometria!$R$1409/100)/(Geometria!$N$1307/100))))))*(IF(OR(Geometria!$K$1409&gt;0,Geometria!$K$1407&gt;0,Geometria!$Q$1409&gt;0,Geometria!$Q$1407&gt;0),1,0))-(Geometria!$L$298-IF(B178&lt;Geometria!$L$1405/100,Geometria!$L$1444,Geometria!$L$1462))*(1-(MIN(MIN(1,MAX(0,(B178-Geometria!$L$1405/100)/(Geometria!$N$1307/100))),MIN(1,MAX(0,((Geometria!$L$29/100-B178)-Geometria!$R$1405/100)/(Geometria!$N$1307/100))))))*(IF(OR(Geometria!$K$1405&gt;0,Geometria!$K$1403&gt;0,Geometria!$Q$1405&gt;0,Geometria!$Q$1403&gt;0),1,0)))*H178+Geometria!$P$1429*H155</f>
        <v>698.8794677548686</v>
      </c>
      <c r="M178" s="373">
        <f ca="1">(Geometria!$L$298-(Geometria!$L$298-IF(B178&lt;Geometria!$L$1409/100,Geometria!$L$1442,Geometria!$L$1460))*(1-(MIN(MIN(1,MAX(0,(B178-Geometria!$L$1409/100)/(Geometria!$N$1307/100))),MIN(1,MAX(0,((Geometria!$L$29/100-B178)-Geometria!$R$1409/100)/(Geometria!$N$1307/100))))))*(IF(OR(Geometria!$K$1409&gt;0,Geometria!$K$1407&gt;0,Geometria!$Q$1409&gt;0,Geometria!$Q$1407&gt;0),1,0))-(Geometria!$L$298-IF(B178&lt;Geometria!$L$1405/100,Geometria!$L$1444,Geometria!$L$1462))*(1-(MIN(MIN(1,MAX(0,(B178-Geometria!$L$1405/100)/(Geometria!$N$1307/100))),MIN(1,MAX(0,((Geometria!$L$29/100-B178)-Geometria!$R$1405/100)/(Geometria!$N$1307/100))))))*(IF(OR(Geometria!$K$1405&gt;0,Geometria!$K$1403&gt;0,Geometria!$Q$1405&gt;0,Geometria!$Q$1403&gt;0),1,0)))*H178*(Geometria!$L$299-(Geometria!$L$299-IF(B178&lt;Geometria!$L$1409/100,Geometria!$L$1443,Geometria!$L$1461))*(1-(MIN(MIN(1,MAX(0,(B178-Geometria!$L$1409/100)/(Geometria!$N$1307/100))),MIN(1,MAX(0,((Geometria!$L$29/100-B178)-Geometria!$R$1409/100)/(Geometria!$N$1307/100))))))*(IF(OR(Geometria!$K$1409&gt;0,Geometria!$K$1407&gt;0,Geometria!$Q$1409&gt;0,Geometria!$Q$1407&gt;0),1,0))-(Geometria!$L$299-IF(B178&lt;Geometria!$L$1405/100,Geometria!$L$1445,Geometria!$L$1463))*(1-(MIN(MIN(1,MAX(0,(B178-Geometria!$L$1405/100)/(Geometria!$N$1307/100))),MIN(1,MAX(0,((Geometria!$L$29/100-B178)-Geometria!$R$1405/100)/(Geometria!$N$1307/100))))))*(IF(OR(Geometria!$K$1405&gt;0,Geometria!$K$1403&gt;0,Geometria!$Q$1405&gt;0,Geometria!$Q$1403&gt;0),1,0)))/100-Geometria!$P$1429*H155*Geometria!$L$1438/100</f>
        <v>199.18064831013754</v>
      </c>
      <c r="N178" s="365"/>
      <c r="O178" s="371">
        <f ca="1">(IF(C178="Sim",IF(A178="Sim",$E$93,Geometria!$L$1447),IF(A178="Sim",Geometria!$L$1449,Geometria!$L$906)))</f>
        <v>749.9028001915608</v>
      </c>
      <c r="P178" s="371">
        <f ca="1">(IF(C178="Sim",IF(A178="Sim",$E$94,Geometria!$L$1448),IF(A178="Sim",Geometria!$L$1450,Geometria!$L$907)))</f>
        <v>213.72229805459483</v>
      </c>
      <c r="R178" s="4" t="s">
        <v>432</v>
      </c>
      <c r="S178" s="202">
        <f t="shared" ca="1" si="53"/>
        <v>-14515.293029930524</v>
      </c>
      <c r="T178" s="38" t="s">
        <v>234</v>
      </c>
      <c r="U178" s="203">
        <f t="shared" ca="1" si="52"/>
        <v>-14.515293029930524</v>
      </c>
      <c r="V178" s="38" t="s">
        <v>160</v>
      </c>
      <c r="W178" s="399">
        <f t="shared" si="54"/>
        <v>0.0</v>
      </c>
    </row>
    <row r="179" spans="1:23" x14ac:dyDescent="0.25">
      <c r="A179" s="376" t="str">
        <f>IF(OR(B179&lt;Geometria!$L$1405/100,(Geometria!$L$29/100-B179)&lt;Geometria!$R$1405/100),"Sim","Não")</f>
        <v>Sim</v>
      </c>
      <c r="B179" s="395">
        <f t="shared" si="50"/>
        <v>1.5699999999999998</v>
      </c>
      <c r="C179" s="376" t="str">
        <f>IF(OR(B179&lt;Geometria!$L$1409/100,(Geometria!$L$29/100-B179)&lt;Geometria!$R$1409/100),"Sim","Não")</f>
        <v>Sim</v>
      </c>
      <c r="D179" s="122" t="s">
        <v>433</v>
      </c>
      <c r="E179" s="198" t="str">
        <f ca="1">IF(Geometria!$O$437&lt;Geometria!$N$1308/100,"Reduzir","OK")</f>
        <v>OK</v>
      </c>
      <c r="F179" s="396">
        <f t="shared" ca="1" si="51"/>
        <v>-14581.188504097274</v>
      </c>
      <c r="G179" s="397">
        <f ca="1">-L179/(Geometria!$L$48/100^2)-M179/(Geometria!$L$53/100^3)+Geometria!$L$898/(Geometria!$L$53/100^3)</f>
        <v>-19498.04479077542</v>
      </c>
      <c r="H179" s="400">
        <f ca="1">(((IF(C179="Sim",$N$47,Geometria!$L$324))*(Geometria!$O$897*100))/Geometria!$N$1308)</f>
        <v>166.39987327496874</v>
      </c>
      <c r="I179" s="743">
        <f ca="1">-($E$93*(1-IF(IF(OR(Geometria!$K$1409&gt;0,Geometria!$K$1407&gt;0,Geometria!$Q$1409&gt;0,Geometria!$Q$1407&gt;0),1,0),MIN(MIN(1,MAX(0,(B179-Geometria!$L$1409/100)/(Geometria!$N$1307/100))),MIN(1,MAX(0,((Geometria!$L$29/100-B179)-Geometria!$R$1409/100)/(Geometria!$N$1307/100)))),1))*(1-IF(IF(OR(Geometria!$K$1405&gt;0,Geometria!$K$1403&gt;0,Geometria!$Q$1405&gt;0,Geometria!$Q$1403&gt;0),1,0),MIN(MIN(1,MAX(0,(B179-Geometria!$L$1405/100)/(Geometria!$N$1307/100))),MIN(1,MAX(0,((Geometria!$L$29/100-B179)-Geometria!$R$1405/100)/(Geometria!$N$1307/100)))),1))+Geometria!$L$1447*(1-IF(IF(OR(Geometria!$K$1409&gt;0,Geometria!$K$1407&gt;0,Geometria!$Q$1409&gt;0,Geometria!$Q$1407&gt;0),1,0),MIN(MIN(1,MAX(0,(B179-Geometria!$L$1409/100)/(Geometria!$N$1307/100))),MIN(1,MAX(0,((Geometria!$L$29/100-B179)-Geometria!$R$1409/100)/(Geometria!$N$1307/100)))),1))*IF(IF(OR(Geometria!$K$1405&gt;0,Geometria!$K$1403&gt;0,Geometria!$Q$1405&gt;0,Geometria!$Q$1403&gt;0),1,0),MIN(MIN(1,MAX(0,(B179-Geometria!$L$1405/100)/(Geometria!$N$1307/100))),MIN(1,MAX(0,((Geometria!$L$29/100-B179)-Geometria!$R$1405/100)/(Geometria!$N$1307/100)))),1)+Geometria!$L$1449*IF(IF(OR(Geometria!$K$1409&gt;0,Geometria!$K$1407&gt;0,Geometria!$Q$1409&gt;0,Geometria!$Q$1407&gt;0),1,0),MIN(MIN(1,MAX(0,(B179-Geometria!$L$1409/100)/(Geometria!$N$1307/100))),MIN(1,MAX(0,((Geometria!$L$29/100-B179)-Geometria!$R$1409/100)/(Geometria!$N$1307/100)))),1)*(1-IF(IF(OR(Geometria!$K$1405&gt;0,Geometria!$K$1403&gt;0,Geometria!$Q$1405&gt;0,Geometria!$Q$1403&gt;0),1,0),MIN(MIN(1,MAX(0,(B179-Geometria!$L$1405/100)/(Geometria!$N$1307/100))),MIN(1,MAX(0,((Geometria!$L$29/100-B179)-Geometria!$R$1405/100)/(Geometria!$N$1307/100)))),1))+Geometria!$L$906*IF(IF(OR(Geometria!$K$1409&gt;0,Geometria!$K$1407&gt;0,Geometria!$Q$1409&gt;0,Geometria!$Q$1407&gt;0),1,0),MIN(MIN(1,MAX(0,(B179-Geometria!$L$1409/100)/(Geometria!$N$1307/100))),MIN(1,MAX(0,((Geometria!$L$29/100-B179)-Geometria!$R$1409/100)/(Geometria!$N$1307/100)))),1)*IF(IF(OR(Geometria!$K$1405&gt;0,Geometria!$K$1403&gt;0,Geometria!$Q$1405&gt;0,Geometria!$Q$1403&gt;0),1,0),MIN(MIN(1,MAX(0,(B179-Geometria!$L$1405/100)/(Geometria!$N$1307/100))),MIN(1,MAX(0,((Geometria!$L$29/100-B179)-Geometria!$R$1405/100)/(Geometria!$N$1307/100)))),1))/(Geometria!$L$48/100^2)-($E$94*(1-IF(IF(OR(Geometria!$K$1409&gt;0,Geometria!$K$1407&gt;0,Geometria!$Q$1409&gt;0,Geometria!$Q$1407&gt;0),1,0),MIN(MIN(1,MAX(0,(B179-Geometria!$L$1409/100)/(Geometria!$N$1307/100))),MIN(1,MAX(0,((Geometria!$L$29/100-B179)-Geometria!$R$1409/100)/(Geometria!$N$1307/100)))),1))*(1-IF(IF(OR(Geometria!$K$1405&gt;0,Geometria!$K$1403&gt;0,Geometria!$Q$1405&gt;0,Geometria!$Q$1403&gt;0),1,0),MIN(MIN(1,MAX(0,(B179-Geometria!$L$1405/100)/(Geometria!$N$1307/100))),MIN(1,MAX(0,((Geometria!$L$29/100-B179)-Geometria!$R$1405/100)/(Geometria!$N$1307/100)))),1))+Geometria!$L$1448*(1-IF(IF(OR(Geometria!$K$1409&gt;0,Geometria!$K$1407&gt;0,Geometria!$Q$1409&gt;0,Geometria!$Q$1407&gt;0),1,0),MIN(MIN(1,MAX(0,(B179-Geometria!$L$1409/100)/(Geometria!$N$1307/100))),MIN(1,MAX(0,((Geometria!$L$29/100-B179)-Geometria!$R$1409/100)/(Geometria!$N$1307/100)))),1))*IF(IF(OR(Geometria!$K$1405&gt;0,Geometria!$K$1403&gt;0,Geometria!$Q$1405&gt;0,Geometria!$Q$1403&gt;0),1,0),MIN(MIN(1,MAX(0,(B179-Geometria!$L$1405/100)/(Geometria!$N$1307/100))),MIN(1,MAX(0,((Geometria!$L$29/100-B179)-Geometria!$R$1405/100)/(Geometria!$N$1307/100)))),1)+Geometria!$L$1450*IF(IF(OR(Geometria!$K$1409&gt;0,Geometria!$K$1407&gt;0,Geometria!$Q$1409&gt;0,Geometria!$Q$1407&gt;0),1,0),MIN(MIN(1,MAX(0,(B179-Geometria!$L$1409/100)/(Geometria!$N$1307/100))),MIN(1,MAX(0,((Geometria!$L$29/100-B179)-Geometria!$R$1409/100)/(Geometria!$N$1307/100)))),1)*(1-IF(IF(OR(Geometria!$K$1405&gt;0,Geometria!$K$1403&gt;0,Geometria!$Q$1405&gt;0,Geometria!$Q$1403&gt;0),1,0),MIN(MIN(1,MAX(0,(B179-Geometria!$L$1405/100)/(Geometria!$N$1307/100))),MIN(1,MAX(0,((Geometria!$L$29/100-B179)-Geometria!$R$1405/100)/(Geometria!$N$1307/100)))),1))+Geometria!$L$907*IF(IF(OR(Geometria!$K$1409&gt;0,Geometria!$K$1407&gt;0,Geometria!$Q$1409&gt;0,Geometria!$Q$1407&gt;0),1,0),MIN(MIN(1,MAX(0,(B179-Geometria!$L$1409/100)/(Geometria!$N$1307/100))),MIN(1,MAX(0,((Geometria!$L$29/100-B179)-Geometria!$R$1409/100)/(Geometria!$N$1307/100)))),1)*IF(IF(OR(Geometria!$K$1405&gt;0,Geometria!$K$1403&gt;0,Geometria!$Q$1405&gt;0,Geometria!$Q$1403&gt;0),1,0),MIN(MIN(1,MAX(0,(B179-Geometria!$L$1405/100)/(Geometria!$N$1307/100))),MIN(1,MAX(0,((Geometria!$L$29/100-B179)-Geometria!$R$1405/100)/(Geometria!$N$1307/100)))),1))/(Geometria!$L$53/100^3)+Geometria!$O$898/(Geometria!$L$53/100^3)</f>
        <v>-14581.188504097274</v>
      </c>
      <c r="J179" s="743"/>
      <c r="L179" s="373">
        <f ca="1">(Geometria!$L$298-(Geometria!$L$298-IF(B179&lt;Geometria!$L$1409/100,Geometria!$L$1442,Geometria!$L$1460))*(1-(MIN(MIN(1,MAX(0,(B179-Geometria!$L$1409/100)/(Geometria!$N$1307/100))),MIN(1,MAX(0,((Geometria!$L$29/100-B179)-Geometria!$R$1409/100)/(Geometria!$N$1307/100))))))*(IF(OR(Geometria!$K$1409&gt;0,Geometria!$K$1407&gt;0,Geometria!$Q$1409&gt;0,Geometria!$Q$1407&gt;0),1,0))-(Geometria!$L$298-IF(B179&lt;Geometria!$L$1405/100,Geometria!$L$1444,Geometria!$L$1462))*(1-(MIN(MIN(1,MAX(0,(B179-Geometria!$L$1405/100)/(Geometria!$N$1307/100))),MIN(1,MAX(0,((Geometria!$L$29/100-B179)-Geometria!$R$1405/100)/(Geometria!$N$1307/100))))))*(IF(OR(Geometria!$K$1405&gt;0,Geometria!$K$1403&gt;0,Geometria!$Q$1405&gt;0,Geometria!$Q$1403&gt;0),1,0)))*H179+Geometria!$P$1429*H156</f>
        <v>931.8392903398249</v>
      </c>
      <c r="M179" s="373">
        <f ca="1">(Geometria!$L$298-(Geometria!$L$298-IF(B179&lt;Geometria!$L$1409/100,Geometria!$L$1442,Geometria!$L$1460))*(1-(MIN(MIN(1,MAX(0,(B179-Geometria!$L$1409/100)/(Geometria!$N$1307/100))),MIN(1,MAX(0,((Geometria!$L$29/100-B179)-Geometria!$R$1409/100)/(Geometria!$N$1307/100))))))*(IF(OR(Geometria!$K$1409&gt;0,Geometria!$K$1407&gt;0,Geometria!$Q$1409&gt;0,Geometria!$Q$1407&gt;0),1,0))-(Geometria!$L$298-IF(B179&lt;Geometria!$L$1405/100,Geometria!$L$1444,Geometria!$L$1462))*(1-(MIN(MIN(1,MAX(0,(B179-Geometria!$L$1405/100)/(Geometria!$N$1307/100))),MIN(1,MAX(0,((Geometria!$L$29/100-B179)-Geometria!$R$1405/100)/(Geometria!$N$1307/100))))))*(IF(OR(Geometria!$K$1405&gt;0,Geometria!$K$1403&gt;0,Geometria!$Q$1405&gt;0,Geometria!$Q$1403&gt;0),1,0)))*H179*(Geometria!$L$299-(Geometria!$L$299-IF(B179&lt;Geometria!$L$1409/100,Geometria!$L$1443,Geometria!$L$1461))*(1-(MIN(MIN(1,MAX(0,(B179-Geometria!$L$1409/100)/(Geometria!$N$1307/100))),MIN(1,MAX(0,((Geometria!$L$29/100-B179)-Geometria!$R$1409/100)/(Geometria!$N$1307/100))))))*(IF(OR(Geometria!$K$1409&gt;0,Geometria!$K$1407&gt;0,Geometria!$Q$1409&gt;0,Geometria!$Q$1407&gt;0),1,0))-(Geometria!$L$299-IF(B179&lt;Geometria!$L$1405/100,Geometria!$L$1445,Geometria!$L$1463))*(1-(MIN(MIN(1,MAX(0,(B179-Geometria!$L$1405/100)/(Geometria!$N$1307/100))),MIN(1,MAX(0,((Geometria!$L$29/100-B179)-Geometria!$R$1405/100)/(Geometria!$N$1307/100))))))*(IF(OR(Geometria!$K$1405&gt;0,Geometria!$K$1403&gt;0,Geometria!$Q$1405&gt;0,Geometria!$Q$1403&gt;0),1,0)))/100-Geometria!$P$1429*H156*Geometria!$L$1438/100</f>
        <v>265.5741977468501</v>
      </c>
      <c r="N179" s="365"/>
      <c r="O179" s="371">
        <f ca="1">(IF(C179="Sim",IF(A179="Sim",$E$93,Geometria!$L$1447),IF(A179="Sim",Geometria!$L$1449,Geometria!$L$906)))</f>
        <v>749.9028001915608</v>
      </c>
      <c r="P179" s="371">
        <f ca="1">(IF(C179="Sim",IF(A179="Sim",$E$94,Geometria!$L$1448),IF(A179="Sim",Geometria!$L$1450,Geometria!$L$907)))</f>
        <v>213.72229805459483</v>
      </c>
      <c r="R179" s="4" t="s">
        <v>433</v>
      </c>
      <c r="S179" s="202">
        <f t="shared" ca="1" si="53"/>
        <v>-14581.188504097274</v>
      </c>
      <c r="T179" s="38" t="s">
        <v>234</v>
      </c>
      <c r="U179" s="203">
        <f t="shared" ca="1" si="52"/>
        <v>-14.581188504097273</v>
      </c>
      <c r="V179" s="38" t="s">
        <v>160</v>
      </c>
      <c r="W179" s="399">
        <f t="shared" si="54"/>
        <v>0.0</v>
      </c>
    </row>
    <row r="180" spans="1:23" x14ac:dyDescent="0.25">
      <c r="A180" s="376" t="str">
        <f>IF(OR(B180&lt;Geometria!$L$1405/100,(Geometria!$L$29/100-B180)&lt;Geometria!$R$1405/100),"Sim","Não")</f>
        <v>Não</v>
      </c>
      <c r="B180" s="395">
        <f t="shared" si="50"/>
        <v>1.9625</v>
      </c>
      <c r="C180" s="376" t="str">
        <f>IF(OR(B180&lt;Geometria!$L$1409/100,(Geometria!$L$29/100-B180)&lt;Geometria!$R$1409/100),"Sim","Não")</f>
        <v>Não</v>
      </c>
      <c r="D180" s="122" t="s">
        <v>434</v>
      </c>
      <c r="E180" s="198" t="str">
        <f ca="1">IF(Geometria!$P$437&lt;Geometria!$N$1308/100,"Reduzir","OK")</f>
        <v>OK</v>
      </c>
      <c r="F180" s="396">
        <f t="shared" ca="1" si="51"/>
        <v>-16665.431726428</v>
      </c>
      <c r="G180" s="397">
        <f ca="1">-L180/(Geometria!$L$48/100^2)-M180/(Geometria!$L$53/100^3)+Geometria!$L$898/(Geometria!$L$53/100^3)</f>
        <v>-29156.236814661603</v>
      </c>
      <c r="H180" s="400">
        <f ca="1">(((IF(C180="Sim",$N$47,Geometria!$L$324))*(Geometria!$P$897*100))/Geometria!$N$1308)</f>
        <v>204.61700436610695</v>
      </c>
      <c r="I180" s="743">
        <f ca="1">-($E$93*(1-IF(IF(OR(Geometria!$K$1409&gt;0,Geometria!$K$1407&gt;0,Geometria!$Q$1409&gt;0,Geometria!$Q$1407&gt;0),1,0),MIN(MIN(1,MAX(0,(B180-Geometria!$L$1409/100)/(Geometria!$N$1307/100))),MIN(1,MAX(0,((Geometria!$L$29/100-B180)-Geometria!$R$1409/100)/(Geometria!$N$1307/100)))),1))*(1-IF(IF(OR(Geometria!$K$1405&gt;0,Geometria!$K$1403&gt;0,Geometria!$Q$1405&gt;0,Geometria!$Q$1403&gt;0),1,0),MIN(MIN(1,MAX(0,(B180-Geometria!$L$1405/100)/(Geometria!$N$1307/100))),MIN(1,MAX(0,((Geometria!$L$29/100-B180)-Geometria!$R$1405/100)/(Geometria!$N$1307/100)))),1))+Geometria!$L$1447*(1-IF(IF(OR(Geometria!$K$1409&gt;0,Geometria!$K$1407&gt;0,Geometria!$Q$1409&gt;0,Geometria!$Q$1407&gt;0),1,0),MIN(MIN(1,MAX(0,(B180-Geometria!$L$1409/100)/(Geometria!$N$1307/100))),MIN(1,MAX(0,((Geometria!$L$29/100-B180)-Geometria!$R$1409/100)/(Geometria!$N$1307/100)))),1))*IF(IF(OR(Geometria!$K$1405&gt;0,Geometria!$K$1403&gt;0,Geometria!$Q$1405&gt;0,Geometria!$Q$1403&gt;0),1,0),MIN(MIN(1,MAX(0,(B180-Geometria!$L$1405/100)/(Geometria!$N$1307/100))),MIN(1,MAX(0,((Geometria!$L$29/100-B180)-Geometria!$R$1405/100)/(Geometria!$N$1307/100)))),1)+Geometria!$L$1449*IF(IF(OR(Geometria!$K$1409&gt;0,Geometria!$K$1407&gt;0,Geometria!$Q$1409&gt;0,Geometria!$Q$1407&gt;0),1,0),MIN(MIN(1,MAX(0,(B180-Geometria!$L$1409/100)/(Geometria!$N$1307/100))),MIN(1,MAX(0,((Geometria!$L$29/100-B180)-Geometria!$R$1409/100)/(Geometria!$N$1307/100)))),1)*(1-IF(IF(OR(Geometria!$K$1405&gt;0,Geometria!$K$1403&gt;0,Geometria!$Q$1405&gt;0,Geometria!$Q$1403&gt;0),1,0),MIN(MIN(1,MAX(0,(B180-Geometria!$L$1405/100)/(Geometria!$N$1307/100))),MIN(1,MAX(0,((Geometria!$L$29/100-B180)-Geometria!$R$1405/100)/(Geometria!$N$1307/100)))),1))+Geometria!$L$906*IF(IF(OR(Geometria!$K$1409&gt;0,Geometria!$K$1407&gt;0,Geometria!$Q$1409&gt;0,Geometria!$Q$1407&gt;0),1,0),MIN(MIN(1,MAX(0,(B180-Geometria!$L$1409/100)/(Geometria!$N$1307/100))),MIN(1,MAX(0,((Geometria!$L$29/100-B180)-Geometria!$R$1409/100)/(Geometria!$N$1307/100)))),1)*IF(IF(OR(Geometria!$K$1405&gt;0,Geometria!$K$1403&gt;0,Geometria!$Q$1405&gt;0,Geometria!$Q$1403&gt;0),1,0),MIN(MIN(1,MAX(0,(B180-Geometria!$L$1405/100)/(Geometria!$N$1307/100))),MIN(1,MAX(0,((Geometria!$L$29/100-B180)-Geometria!$R$1405/100)/(Geometria!$N$1307/100)))),1))/(Geometria!$L$48/100^2)-($E$94*(1-IF(IF(OR(Geometria!$K$1409&gt;0,Geometria!$K$1407&gt;0,Geometria!$Q$1409&gt;0,Geometria!$Q$1407&gt;0),1,0),MIN(MIN(1,MAX(0,(B180-Geometria!$L$1409/100)/(Geometria!$N$1307/100))),MIN(1,MAX(0,((Geometria!$L$29/100-B180)-Geometria!$R$1409/100)/(Geometria!$N$1307/100)))),1))*(1-IF(IF(OR(Geometria!$K$1405&gt;0,Geometria!$K$1403&gt;0,Geometria!$Q$1405&gt;0,Geometria!$Q$1403&gt;0),1,0),MIN(MIN(1,MAX(0,(B180-Geometria!$L$1405/100)/(Geometria!$N$1307/100))),MIN(1,MAX(0,((Geometria!$L$29/100-B180)-Geometria!$R$1405/100)/(Geometria!$N$1307/100)))),1))+Geometria!$L$1448*(1-IF(IF(OR(Geometria!$K$1409&gt;0,Geometria!$K$1407&gt;0,Geometria!$Q$1409&gt;0,Geometria!$Q$1407&gt;0),1,0),MIN(MIN(1,MAX(0,(B180-Geometria!$L$1409/100)/(Geometria!$N$1307/100))),MIN(1,MAX(0,((Geometria!$L$29/100-B180)-Geometria!$R$1409/100)/(Geometria!$N$1307/100)))),1))*IF(IF(OR(Geometria!$K$1405&gt;0,Geometria!$K$1403&gt;0,Geometria!$Q$1405&gt;0,Geometria!$Q$1403&gt;0),1,0),MIN(MIN(1,MAX(0,(B180-Geometria!$L$1405/100)/(Geometria!$N$1307/100))),MIN(1,MAX(0,((Geometria!$L$29/100-B180)-Geometria!$R$1405/100)/(Geometria!$N$1307/100)))),1)+Geometria!$L$1450*IF(IF(OR(Geometria!$K$1409&gt;0,Geometria!$K$1407&gt;0,Geometria!$Q$1409&gt;0,Geometria!$Q$1407&gt;0),1,0),MIN(MIN(1,MAX(0,(B180-Geometria!$L$1409/100)/(Geometria!$N$1307/100))),MIN(1,MAX(0,((Geometria!$L$29/100-B180)-Geometria!$R$1409/100)/(Geometria!$N$1307/100)))),1)*(1-IF(IF(OR(Geometria!$K$1405&gt;0,Geometria!$K$1403&gt;0,Geometria!$Q$1405&gt;0,Geometria!$Q$1403&gt;0),1,0),MIN(MIN(1,MAX(0,(B180-Geometria!$L$1405/100)/(Geometria!$N$1307/100))),MIN(1,MAX(0,((Geometria!$L$29/100-B180)-Geometria!$R$1405/100)/(Geometria!$N$1307/100)))),1))+Geometria!$L$907*IF(IF(OR(Geometria!$K$1409&gt;0,Geometria!$K$1407&gt;0,Geometria!$Q$1409&gt;0,Geometria!$Q$1407&gt;0),1,0),MIN(MIN(1,MAX(0,(B180-Geometria!$L$1409/100)/(Geometria!$N$1307/100))),MIN(1,MAX(0,((Geometria!$L$29/100-B180)-Geometria!$R$1409/100)/(Geometria!$N$1307/100)))),1)*IF(IF(OR(Geometria!$K$1405&gt;0,Geometria!$K$1403&gt;0,Geometria!$Q$1405&gt;0,Geometria!$Q$1403&gt;0),1,0),MIN(MIN(1,MAX(0,(B180-Geometria!$L$1405/100)/(Geometria!$N$1307/100))),MIN(1,MAX(0,((Geometria!$L$29/100-B180)-Geometria!$R$1405/100)/(Geometria!$N$1307/100)))),1))/(Geometria!$L$53/100^3)+Geometria!$P$898/(Geometria!$L$53/100^3)</f>
        <v>-16665.431726428</v>
      </c>
      <c r="J180" s="743"/>
      <c r="L180" s="373">
        <f ca="1">(Geometria!$L$298-(Geometria!$L$298-IF(B180&lt;Geometria!$L$1409/100,Geometria!$L$1442,Geometria!$L$1460))*(1-(MIN(MIN(1,MAX(0,(B180-Geometria!$L$1409/100)/(Geometria!$N$1307/100))),MIN(1,MAX(0,((Geometria!$L$29/100-B180)-Geometria!$R$1409/100)/(Geometria!$N$1307/100))))))*(IF(OR(Geometria!$K$1409&gt;0,Geometria!$K$1407&gt;0,Geometria!$Q$1409&gt;0,Geometria!$Q$1407&gt;0),1,0))-(Geometria!$L$298-IF(B180&lt;Geometria!$L$1405/100,Geometria!$L$1444,Geometria!$L$1462))*(1-(MIN(MIN(1,MAX(0,(B180-Geometria!$L$1405/100)/(Geometria!$N$1307/100))),MIN(1,MAX(0,((Geometria!$L$29/100-B180)-Geometria!$R$1405/100)/(Geometria!$N$1307/100))))))*(IF(OR(Geometria!$K$1405&gt;0,Geometria!$K$1403&gt;0,Geometria!$Q$1405&gt;0,Geometria!$Q$1403&gt;0),1,0)))*H180+Geometria!$P$1429*H157</f>
        <v>1501.3493950470825</v>
      </c>
      <c r="M180" s="373">
        <f ca="1">(Geometria!$L$298-(Geometria!$L$298-IF(B180&lt;Geometria!$L$1409/100,Geometria!$L$1442,Geometria!$L$1460))*(1-(MIN(MIN(1,MAX(0,(B180-Geometria!$L$1409/100)/(Geometria!$N$1307/100))),MIN(1,MAX(0,((Geometria!$L$29/100-B180)-Geometria!$R$1409/100)/(Geometria!$N$1307/100))))))*(IF(OR(Geometria!$K$1409&gt;0,Geometria!$K$1407&gt;0,Geometria!$Q$1409&gt;0,Geometria!$Q$1407&gt;0),1,0))-(Geometria!$L$298-IF(B180&lt;Geometria!$L$1405/100,Geometria!$L$1444,Geometria!$L$1462))*(1-(MIN(MIN(1,MAX(0,(B180-Geometria!$L$1405/100)/(Geometria!$N$1307/100))),MIN(1,MAX(0,((Geometria!$L$29/100-B180)-Geometria!$R$1405/100)/(Geometria!$N$1307/100))))))*(IF(OR(Geometria!$K$1405&gt;0,Geometria!$K$1403&gt;0,Geometria!$Q$1405&gt;0,Geometria!$Q$1403&gt;0),1,0)))*H180*(Geometria!$L$299-(Geometria!$L$299-IF(B180&lt;Geometria!$L$1409/100,Geometria!$L$1443,Geometria!$L$1461))*(1-(MIN(MIN(1,MAX(0,(B180-Geometria!$L$1409/100)/(Geometria!$N$1307/100))),MIN(1,MAX(0,((Geometria!$L$29/100-B180)-Geometria!$R$1409/100)/(Geometria!$N$1307/100))))))*(IF(OR(Geometria!$K$1409&gt;0,Geometria!$K$1407&gt;0,Geometria!$Q$1409&gt;0,Geometria!$Q$1407&gt;0),1,0))-(Geometria!$L$299-IF(B180&lt;Geometria!$L$1405/100,Geometria!$L$1445,Geometria!$L$1463))*(1-(MIN(MIN(1,MAX(0,(B180-Geometria!$L$1405/100)/(Geometria!$N$1307/100))),MIN(1,MAX(0,((Geometria!$L$29/100-B180)-Geometria!$R$1405/100)/(Geometria!$N$1307/100))))))*(IF(OR(Geometria!$K$1405&gt;0,Geometria!$K$1403&gt;0,Geometria!$Q$1405&gt;0,Geometria!$Q$1403&gt;0),1,0)))/100-Geometria!$P$1429*H157*Geometria!$L$1438/100</f>
        <v>382.4706437060756</v>
      </c>
      <c r="N180" s="365"/>
      <c r="O180" s="371">
        <f ca="1">(IF(C180="Sim",IF(A180="Sim",$E$93,Geometria!$L$1447),IF(A180="Sim",Geometria!$L$1449,Geometria!$L$906)))</f>
        <v>1475.413282676191</v>
      </c>
      <c r="P180" s="371">
        <f ca="1">(IF(C180="Sim",IF(A180="Sim",$E$94,Geometria!$L$1448),IF(A180="Sim",Geometria!$L$1450,Geometria!$L$907)))</f>
        <v>276.63999050178586</v>
      </c>
      <c r="R180" s="4" t="s">
        <v>434</v>
      </c>
      <c r="S180" s="202">
        <f t="shared" ca="1" si="53"/>
        <v>-16665.431726428</v>
      </c>
      <c r="T180" s="38" t="s">
        <v>234</v>
      </c>
      <c r="U180" s="203">
        <f t="shared" ca="1" si="52"/>
        <v>-16.665431726428</v>
      </c>
      <c r="V180" s="38" t="s">
        <v>160</v>
      </c>
      <c r="W180" s="399">
        <f t="shared" si="54"/>
        <v>0.0</v>
      </c>
    </row>
    <row r="181" spans="1:23" x14ac:dyDescent="0.25">
      <c r="A181" s="376" t="str">
        <f>IF(OR(B181&lt;Geometria!$L$1405/100,(Geometria!$L$29/100-B181)&lt;Geometria!$R$1405/100),"Sim","Não")</f>
        <v>Não</v>
      </c>
      <c r="B181" s="395">
        <f t="shared" si="50"/>
        <v>2.355</v>
      </c>
      <c r="C181" s="376" t="str">
        <f>IF(OR(B181&lt;Geometria!$L$1409/100,(Geometria!$L$29/100-B181)&lt;Geometria!$R$1409/100),"Sim","Não")</f>
        <v>Não</v>
      </c>
      <c r="D181" s="122" t="s">
        <v>435</v>
      </c>
      <c r="E181" s="198" t="str">
        <f ca="1">IF(Geometria!$Q$437&lt;Geometria!$N$1308/100,"Reduzir","OK")</f>
        <v>OK</v>
      </c>
      <c r="F181" s="396">
        <f t="shared" ca="1" si="51"/>
        <v>-18988.48348788408</v>
      </c>
      <c r="G181" s="397">
        <f ca="1">-L181/(Geometria!$L$48/100^2)-M181/(Geometria!$L$53/100^3)+Geometria!$L$898/(Geometria!$L$53/100^3)</f>
        <v>-40058.7286727539</v>
      </c>
      <c r="H181" s="400">
        <f ca="1">(((IF(C181="Sim",$N$47,Geometria!$L$324))*(Geometria!$Q$897*100))/Geometria!$N$1308)</f>
        <v>245.54040523932832</v>
      </c>
      <c r="I181" s="743">
        <f ca="1">-($E$93*(1-IF(IF(OR(Geometria!$K$1409&gt;0,Geometria!$K$1407&gt;0,Geometria!$Q$1409&gt;0,Geometria!$Q$1407&gt;0),1,0),MIN(MIN(1,MAX(0,(B181-Geometria!$L$1409/100)/(Geometria!$N$1307/100))),MIN(1,MAX(0,((Geometria!$L$29/100-B181)-Geometria!$R$1409/100)/(Geometria!$N$1307/100)))),1))*(1-IF(IF(OR(Geometria!$K$1405&gt;0,Geometria!$K$1403&gt;0,Geometria!$Q$1405&gt;0,Geometria!$Q$1403&gt;0),1,0),MIN(MIN(1,MAX(0,(B181-Geometria!$L$1405/100)/(Geometria!$N$1307/100))),MIN(1,MAX(0,((Geometria!$L$29/100-B181)-Geometria!$R$1405/100)/(Geometria!$N$1307/100)))),1))+Geometria!$L$1447*(1-IF(IF(OR(Geometria!$K$1409&gt;0,Geometria!$K$1407&gt;0,Geometria!$Q$1409&gt;0,Geometria!$Q$1407&gt;0),1,0),MIN(MIN(1,MAX(0,(B181-Geometria!$L$1409/100)/(Geometria!$N$1307/100))),MIN(1,MAX(0,((Geometria!$L$29/100-B181)-Geometria!$R$1409/100)/(Geometria!$N$1307/100)))),1))*IF(IF(OR(Geometria!$K$1405&gt;0,Geometria!$K$1403&gt;0,Geometria!$Q$1405&gt;0,Geometria!$Q$1403&gt;0),1,0),MIN(MIN(1,MAX(0,(B181-Geometria!$L$1405/100)/(Geometria!$N$1307/100))),MIN(1,MAX(0,((Geometria!$L$29/100-B181)-Geometria!$R$1405/100)/(Geometria!$N$1307/100)))),1)+Geometria!$L$1449*IF(IF(OR(Geometria!$K$1409&gt;0,Geometria!$K$1407&gt;0,Geometria!$Q$1409&gt;0,Geometria!$Q$1407&gt;0),1,0),MIN(MIN(1,MAX(0,(B181-Geometria!$L$1409/100)/(Geometria!$N$1307/100))),MIN(1,MAX(0,((Geometria!$L$29/100-B181)-Geometria!$R$1409/100)/(Geometria!$N$1307/100)))),1)*(1-IF(IF(OR(Geometria!$K$1405&gt;0,Geometria!$K$1403&gt;0,Geometria!$Q$1405&gt;0,Geometria!$Q$1403&gt;0),1,0),MIN(MIN(1,MAX(0,(B181-Geometria!$L$1405/100)/(Geometria!$N$1307/100))),MIN(1,MAX(0,((Geometria!$L$29/100-B181)-Geometria!$R$1405/100)/(Geometria!$N$1307/100)))),1))+Geometria!$L$906*IF(IF(OR(Geometria!$K$1409&gt;0,Geometria!$K$1407&gt;0,Geometria!$Q$1409&gt;0,Geometria!$Q$1407&gt;0),1,0),MIN(MIN(1,MAX(0,(B181-Geometria!$L$1409/100)/(Geometria!$N$1307/100))),MIN(1,MAX(0,((Geometria!$L$29/100-B181)-Geometria!$R$1409/100)/(Geometria!$N$1307/100)))),1)*IF(IF(OR(Geometria!$K$1405&gt;0,Geometria!$K$1403&gt;0,Geometria!$Q$1405&gt;0,Geometria!$Q$1403&gt;0),1,0),MIN(MIN(1,MAX(0,(B181-Geometria!$L$1405/100)/(Geometria!$N$1307/100))),MIN(1,MAX(0,((Geometria!$L$29/100-B181)-Geometria!$R$1405/100)/(Geometria!$N$1307/100)))),1))/(Geometria!$L$48/100^2)-($E$94*(1-IF(IF(OR(Geometria!$K$1409&gt;0,Geometria!$K$1407&gt;0,Geometria!$Q$1409&gt;0,Geometria!$Q$1407&gt;0),1,0),MIN(MIN(1,MAX(0,(B181-Geometria!$L$1409/100)/(Geometria!$N$1307/100))),MIN(1,MAX(0,((Geometria!$L$29/100-B181)-Geometria!$R$1409/100)/(Geometria!$N$1307/100)))),1))*(1-IF(IF(OR(Geometria!$K$1405&gt;0,Geometria!$K$1403&gt;0,Geometria!$Q$1405&gt;0,Geometria!$Q$1403&gt;0),1,0),MIN(MIN(1,MAX(0,(B181-Geometria!$L$1405/100)/(Geometria!$N$1307/100))),MIN(1,MAX(0,((Geometria!$L$29/100-B181)-Geometria!$R$1405/100)/(Geometria!$N$1307/100)))),1))+Geometria!$L$1448*(1-IF(IF(OR(Geometria!$K$1409&gt;0,Geometria!$K$1407&gt;0,Geometria!$Q$1409&gt;0,Geometria!$Q$1407&gt;0),1,0),MIN(MIN(1,MAX(0,(B181-Geometria!$L$1409/100)/(Geometria!$N$1307/100))),MIN(1,MAX(0,((Geometria!$L$29/100-B181)-Geometria!$R$1409/100)/(Geometria!$N$1307/100)))),1))*IF(IF(OR(Geometria!$K$1405&gt;0,Geometria!$K$1403&gt;0,Geometria!$Q$1405&gt;0,Geometria!$Q$1403&gt;0),1,0),MIN(MIN(1,MAX(0,(B181-Geometria!$L$1405/100)/(Geometria!$N$1307/100))),MIN(1,MAX(0,((Geometria!$L$29/100-B181)-Geometria!$R$1405/100)/(Geometria!$N$1307/100)))),1)+Geometria!$L$1450*IF(IF(OR(Geometria!$K$1409&gt;0,Geometria!$K$1407&gt;0,Geometria!$Q$1409&gt;0,Geometria!$Q$1407&gt;0),1,0),MIN(MIN(1,MAX(0,(B181-Geometria!$L$1409/100)/(Geometria!$N$1307/100))),MIN(1,MAX(0,((Geometria!$L$29/100-B181)-Geometria!$R$1409/100)/(Geometria!$N$1307/100)))),1)*(1-IF(IF(OR(Geometria!$K$1405&gt;0,Geometria!$K$1403&gt;0,Geometria!$Q$1405&gt;0,Geometria!$Q$1403&gt;0),1,0),MIN(MIN(1,MAX(0,(B181-Geometria!$L$1405/100)/(Geometria!$N$1307/100))),MIN(1,MAX(0,((Geometria!$L$29/100-B181)-Geometria!$R$1405/100)/(Geometria!$N$1307/100)))),1))+Geometria!$L$907*IF(IF(OR(Geometria!$K$1409&gt;0,Geometria!$K$1407&gt;0,Geometria!$Q$1409&gt;0,Geometria!$Q$1407&gt;0),1,0),MIN(MIN(1,MAX(0,(B181-Geometria!$L$1409/100)/(Geometria!$N$1307/100))),MIN(1,MAX(0,((Geometria!$L$29/100-B181)-Geometria!$R$1409/100)/(Geometria!$N$1307/100)))),1)*IF(IF(OR(Geometria!$K$1405&gt;0,Geometria!$K$1403&gt;0,Geometria!$Q$1405&gt;0,Geometria!$Q$1403&gt;0),1,0),MIN(MIN(1,MAX(0,(B181-Geometria!$L$1405/100)/(Geometria!$N$1307/100))),MIN(1,MAX(0,((Geometria!$L$29/100-B181)-Geometria!$R$1405/100)/(Geometria!$N$1307/100)))),1))/(Geometria!$L$53/100^3)+Geometria!$Q$898/(Geometria!$L$53/100^3)</f>
        <v>-18988.48348788408</v>
      </c>
      <c r="J181" s="743"/>
      <c r="L181" s="373">
        <f ca="1">(Geometria!$L$298-(Geometria!$L$298-IF(B181&lt;Geometria!$L$1409/100,Geometria!$L$1442,Geometria!$L$1460))*(1-(MIN(MIN(1,MAX(0,(B181-Geometria!$L$1409/100)/(Geometria!$N$1307/100))),MIN(1,MAX(0,((Geometria!$L$29/100-B181)-Geometria!$R$1409/100)/(Geometria!$N$1307/100))))))*(IF(OR(Geometria!$K$1409&gt;0,Geometria!$K$1407&gt;0,Geometria!$Q$1409&gt;0,Geometria!$Q$1407&gt;0),1,0))-(Geometria!$L$298-IF(B181&lt;Geometria!$L$1405/100,Geometria!$L$1444,Geometria!$L$1462))*(1-(MIN(MIN(1,MAX(0,(B181-Geometria!$L$1405/100)/(Geometria!$N$1307/100))),MIN(1,MAX(0,((Geometria!$L$29/100-B181)-Geometria!$R$1405/100)/(Geometria!$N$1307/100))))))*(IF(OR(Geometria!$K$1405&gt;0,Geometria!$K$1403&gt;0,Geometria!$Q$1405&gt;0,Geometria!$Q$1403&gt;0),1,0)))*H181+Geometria!$P$1429*H158</f>
        <v>2263.5165274389333</v>
      </c>
      <c r="M181" s="373">
        <f ca="1">(Geometria!$L$298-(Geometria!$L$298-IF(B181&lt;Geometria!$L$1409/100,Geometria!$L$1442,Geometria!$L$1460))*(1-(MIN(MIN(1,MAX(0,(B181-Geometria!$L$1409/100)/(Geometria!$N$1307/100))),MIN(1,MAX(0,((Geometria!$L$29/100-B181)-Geometria!$R$1409/100)/(Geometria!$N$1307/100))))))*(IF(OR(Geometria!$K$1409&gt;0,Geometria!$K$1407&gt;0,Geometria!$Q$1409&gt;0,Geometria!$Q$1407&gt;0),1,0))-(Geometria!$L$298-IF(B181&lt;Geometria!$L$1405/100,Geometria!$L$1444,Geometria!$L$1462))*(1-(MIN(MIN(1,MAX(0,(B181-Geometria!$L$1405/100)/(Geometria!$N$1307/100))),MIN(1,MAX(0,((Geometria!$L$29/100-B181)-Geometria!$R$1405/100)/(Geometria!$N$1307/100))))))*(IF(OR(Geometria!$K$1405&gt;0,Geometria!$K$1403&gt;0,Geometria!$Q$1405&gt;0,Geometria!$Q$1403&gt;0),1,0)))*H181*(Geometria!$L$299-(Geometria!$L$299-IF(B181&lt;Geometria!$L$1409/100,Geometria!$L$1443,Geometria!$L$1461))*(1-(MIN(MIN(1,MAX(0,(B181-Geometria!$L$1409/100)/(Geometria!$N$1307/100))),MIN(1,MAX(0,((Geometria!$L$29/100-B181)-Geometria!$R$1409/100)/(Geometria!$N$1307/100))))))*(IF(OR(Geometria!$K$1409&gt;0,Geometria!$K$1407&gt;0,Geometria!$Q$1409&gt;0,Geometria!$Q$1407&gt;0),1,0))-(Geometria!$L$299-IF(B181&lt;Geometria!$L$1405/100,Geometria!$L$1445,Geometria!$L$1463))*(1-(MIN(MIN(1,MAX(0,(B181-Geometria!$L$1405/100)/(Geometria!$N$1307/100))),MIN(1,MAX(0,((Geometria!$L$29/100-B181)-Geometria!$R$1405/100)/(Geometria!$N$1307/100))))))*(IF(OR(Geometria!$K$1405&gt;0,Geometria!$K$1403&gt;0,Geometria!$Q$1405&gt;0,Geometria!$Q$1403&gt;0),1,0)))/100-Geometria!$P$1429*H158*Geometria!$L$1438/100</f>
        <v>502.4987839125518</v>
      </c>
      <c r="N181" s="365"/>
      <c r="O181" s="371">
        <f ca="1">(IF(C181="Sim",IF(A181="Sim",$E$93,Geometria!$L$1447),IF(A181="Sim",Geometria!$L$1449,Geometria!$L$906)))</f>
        <v>1475.413282676191</v>
      </c>
      <c r="P181" s="371">
        <f ca="1">(IF(C181="Sim",IF(A181="Sim",$E$94,Geometria!$L$1448),IF(A181="Sim",Geometria!$L$1450,Geometria!$L$907)))</f>
        <v>276.63999050178586</v>
      </c>
      <c r="R181" s="4" t="s">
        <v>435</v>
      </c>
      <c r="S181" s="202">
        <f t="shared" ca="1" si="53"/>
        <v>-18988.48348788408</v>
      </c>
      <c r="T181" s="38" t="s">
        <v>234</v>
      </c>
      <c r="U181" s="203">
        <f t="shared" ca="1" si="52"/>
        <v>-18.988483487884082</v>
      </c>
      <c r="V181" s="38" t="s">
        <v>160</v>
      </c>
      <c r="W181" s="399">
        <f t="shared" si="54"/>
        <v>0.0</v>
      </c>
    </row>
    <row r="182" spans="1:23" x14ac:dyDescent="0.25">
      <c r="A182" s="376" t="str">
        <f>IF(OR(B182&lt;Geometria!$L$1405/100,(Geometria!$L$29/100-B182)&lt;Geometria!$R$1405/100),"Sim","Não")</f>
        <v>Não</v>
      </c>
      <c r="B182" s="395">
        <f t="shared" si="50"/>
        <v>2.7475</v>
      </c>
      <c r="C182" s="376" t="str">
        <f>IF(OR(B182&lt;Geometria!$L$1409/100,(Geometria!$L$29/100-B182)&lt;Geometria!$R$1409/100),"Sim","Não")</f>
        <v>Não</v>
      </c>
      <c r="D182" s="122" t="s">
        <v>436</v>
      </c>
      <c r="E182" s="198" t="str">
        <f ca="1">IF(Geometria!$R$437&lt;Geometria!$N$1308/100,"Reduzir","OK")</f>
        <v>OK</v>
      </c>
      <c r="F182" s="396">
        <f t="shared" ca="1" si="51"/>
        <v>-21357.110223298496</v>
      </c>
      <c r="G182" s="397">
        <f ca="1">-L182/(Geometria!$L$48/100^2)-M182/(Geometria!$L$53/100^3)+Geometria!$L$898/(Geometria!$L$53/100^3)</f>
        <v>-50661.72124243666</v>
      </c>
      <c r="H182" s="400">
        <f ca="1">(((IF(C182="Sim",$N$47,Geometria!$L$324))*(Geometria!$R$897*100))/Geometria!$N$1308)</f>
        <v>286.4638061125497</v>
      </c>
      <c r="I182" s="743">
        <f ca="1">-($E$93*(1-IF(IF(OR(Geometria!$K$1409&gt;0,Geometria!$K$1407&gt;0,Geometria!$Q$1409&gt;0,Geometria!$Q$1407&gt;0),1,0),MIN(MIN(1,MAX(0,(B182-Geometria!$L$1409/100)/(Geometria!$N$1307/100))),MIN(1,MAX(0,((Geometria!$L$29/100-B182)-Geometria!$R$1409/100)/(Geometria!$N$1307/100)))),1))*(1-IF(IF(OR(Geometria!$K$1405&gt;0,Geometria!$K$1403&gt;0,Geometria!$Q$1405&gt;0,Geometria!$Q$1403&gt;0),1,0),MIN(MIN(1,MAX(0,(B182-Geometria!$L$1405/100)/(Geometria!$N$1307/100))),MIN(1,MAX(0,((Geometria!$L$29/100-B182)-Geometria!$R$1405/100)/(Geometria!$N$1307/100)))),1))+Geometria!$L$1447*(1-IF(IF(OR(Geometria!$K$1409&gt;0,Geometria!$K$1407&gt;0,Geometria!$Q$1409&gt;0,Geometria!$Q$1407&gt;0),1,0),MIN(MIN(1,MAX(0,(B182-Geometria!$L$1409/100)/(Geometria!$N$1307/100))),MIN(1,MAX(0,((Geometria!$L$29/100-B182)-Geometria!$R$1409/100)/(Geometria!$N$1307/100)))),1))*IF(IF(OR(Geometria!$K$1405&gt;0,Geometria!$K$1403&gt;0,Geometria!$Q$1405&gt;0,Geometria!$Q$1403&gt;0),1,0),MIN(MIN(1,MAX(0,(B182-Geometria!$L$1405/100)/(Geometria!$N$1307/100))),MIN(1,MAX(0,((Geometria!$L$29/100-B182)-Geometria!$R$1405/100)/(Geometria!$N$1307/100)))),1)+Geometria!$L$1449*IF(IF(OR(Geometria!$K$1409&gt;0,Geometria!$K$1407&gt;0,Geometria!$Q$1409&gt;0,Geometria!$Q$1407&gt;0),1,0),MIN(MIN(1,MAX(0,(B182-Geometria!$L$1409/100)/(Geometria!$N$1307/100))),MIN(1,MAX(0,((Geometria!$L$29/100-B182)-Geometria!$R$1409/100)/(Geometria!$N$1307/100)))),1)*(1-IF(IF(OR(Geometria!$K$1405&gt;0,Geometria!$K$1403&gt;0,Geometria!$Q$1405&gt;0,Geometria!$Q$1403&gt;0),1,0),MIN(MIN(1,MAX(0,(B182-Geometria!$L$1405/100)/(Geometria!$N$1307/100))),MIN(1,MAX(0,((Geometria!$L$29/100-B182)-Geometria!$R$1405/100)/(Geometria!$N$1307/100)))),1))+Geometria!$L$906*IF(IF(OR(Geometria!$K$1409&gt;0,Geometria!$K$1407&gt;0,Geometria!$Q$1409&gt;0,Geometria!$Q$1407&gt;0),1,0),MIN(MIN(1,MAX(0,(B182-Geometria!$L$1409/100)/(Geometria!$N$1307/100))),MIN(1,MAX(0,((Geometria!$L$29/100-B182)-Geometria!$R$1409/100)/(Geometria!$N$1307/100)))),1)*IF(IF(OR(Geometria!$K$1405&gt;0,Geometria!$K$1403&gt;0,Geometria!$Q$1405&gt;0,Geometria!$Q$1403&gt;0),1,0),MIN(MIN(1,MAX(0,(B182-Geometria!$L$1405/100)/(Geometria!$N$1307/100))),MIN(1,MAX(0,((Geometria!$L$29/100-B182)-Geometria!$R$1405/100)/(Geometria!$N$1307/100)))),1))/(Geometria!$L$48/100^2)-($E$94*(1-IF(IF(OR(Geometria!$K$1409&gt;0,Geometria!$K$1407&gt;0,Geometria!$Q$1409&gt;0,Geometria!$Q$1407&gt;0),1,0),MIN(MIN(1,MAX(0,(B182-Geometria!$L$1409/100)/(Geometria!$N$1307/100))),MIN(1,MAX(0,((Geometria!$L$29/100-B182)-Geometria!$R$1409/100)/(Geometria!$N$1307/100)))),1))*(1-IF(IF(OR(Geometria!$K$1405&gt;0,Geometria!$K$1403&gt;0,Geometria!$Q$1405&gt;0,Geometria!$Q$1403&gt;0),1,0),MIN(MIN(1,MAX(0,(B182-Geometria!$L$1405/100)/(Geometria!$N$1307/100))),MIN(1,MAX(0,((Geometria!$L$29/100-B182)-Geometria!$R$1405/100)/(Geometria!$N$1307/100)))),1))+Geometria!$L$1448*(1-IF(IF(OR(Geometria!$K$1409&gt;0,Geometria!$K$1407&gt;0,Geometria!$Q$1409&gt;0,Geometria!$Q$1407&gt;0),1,0),MIN(MIN(1,MAX(0,(B182-Geometria!$L$1409/100)/(Geometria!$N$1307/100))),MIN(1,MAX(0,((Geometria!$L$29/100-B182)-Geometria!$R$1409/100)/(Geometria!$N$1307/100)))),1))*IF(IF(OR(Geometria!$K$1405&gt;0,Geometria!$K$1403&gt;0,Geometria!$Q$1405&gt;0,Geometria!$Q$1403&gt;0),1,0),MIN(MIN(1,MAX(0,(B182-Geometria!$L$1405/100)/(Geometria!$N$1307/100))),MIN(1,MAX(0,((Geometria!$L$29/100-B182)-Geometria!$R$1405/100)/(Geometria!$N$1307/100)))),1)+Geometria!$L$1450*IF(IF(OR(Geometria!$K$1409&gt;0,Geometria!$K$1407&gt;0,Geometria!$Q$1409&gt;0,Geometria!$Q$1407&gt;0),1,0),MIN(MIN(1,MAX(0,(B182-Geometria!$L$1409/100)/(Geometria!$N$1307/100))),MIN(1,MAX(0,((Geometria!$L$29/100-B182)-Geometria!$R$1409/100)/(Geometria!$N$1307/100)))),1)*(1-IF(IF(OR(Geometria!$K$1405&gt;0,Geometria!$K$1403&gt;0,Geometria!$Q$1405&gt;0,Geometria!$Q$1403&gt;0),1,0),MIN(MIN(1,MAX(0,(B182-Geometria!$L$1405/100)/(Geometria!$N$1307/100))),MIN(1,MAX(0,((Geometria!$L$29/100-B182)-Geometria!$R$1405/100)/(Geometria!$N$1307/100)))),1))+Geometria!$L$907*IF(IF(OR(Geometria!$K$1409&gt;0,Geometria!$K$1407&gt;0,Geometria!$Q$1409&gt;0,Geometria!$Q$1407&gt;0),1,0),MIN(MIN(1,MAX(0,(B182-Geometria!$L$1409/100)/(Geometria!$N$1307/100))),MIN(1,MAX(0,((Geometria!$L$29/100-B182)-Geometria!$R$1409/100)/(Geometria!$N$1307/100)))),1)*IF(IF(OR(Geometria!$K$1405&gt;0,Geometria!$K$1403&gt;0,Geometria!$Q$1405&gt;0,Geometria!$Q$1403&gt;0),1,0),MIN(MIN(1,MAX(0,(B182-Geometria!$L$1405/100)/(Geometria!$N$1307/100))),MIN(1,MAX(0,((Geometria!$L$29/100-B182)-Geometria!$R$1405/100)/(Geometria!$N$1307/100)))),1))/(Geometria!$L$53/100^3)+Geometria!$R$898/(Geometria!$L$53/100^3)</f>
        <v>-21357.110223298496</v>
      </c>
      <c r="J182" s="743"/>
      <c r="L182" s="373">
        <f ca="1">(Geometria!$L$298-(Geometria!$L$298-IF(B182&lt;Geometria!$L$1409/100,Geometria!$L$1442,Geometria!$L$1460))*(1-(MIN(MIN(1,MAX(0,(B182-Geometria!$L$1409/100)/(Geometria!$N$1307/100))),MIN(1,MAX(0,((Geometria!$L$29/100-B182)-Geometria!$R$1409/100)/(Geometria!$N$1307/100))))))*(IF(OR(Geometria!$K$1409&gt;0,Geometria!$K$1407&gt;0,Geometria!$Q$1409&gt;0,Geometria!$Q$1407&gt;0),1,0))-(Geometria!$L$298-IF(B182&lt;Geometria!$L$1405/100,Geometria!$L$1444,Geometria!$L$1462))*(1-(MIN(MIN(1,MAX(0,(B182-Geometria!$L$1405/100)/(Geometria!$N$1307/100))),MIN(1,MAX(0,((Geometria!$L$29/100-B182)-Geometria!$R$1405/100)/(Geometria!$N$1307/100))))))*(IF(OR(Geometria!$K$1405&gt;0,Geometria!$K$1403&gt;0,Geometria!$Q$1405&gt;0,Geometria!$Q$1403&gt;0),1,0)))*H182+Geometria!$P$1429*H159</f>
        <v>3179.649410958262</v>
      </c>
      <c r="M182" s="373">
        <f ca="1">(Geometria!$L$298-(Geometria!$L$298-IF(B182&lt;Geometria!$L$1409/100,Geometria!$L$1442,Geometria!$L$1460))*(1-(MIN(MIN(1,MAX(0,(B182-Geometria!$L$1409/100)/(Geometria!$N$1307/100))),MIN(1,MAX(0,((Geometria!$L$29/100-B182)-Geometria!$R$1409/100)/(Geometria!$N$1307/100))))))*(IF(OR(Geometria!$K$1409&gt;0,Geometria!$K$1407&gt;0,Geometria!$Q$1409&gt;0,Geometria!$Q$1407&gt;0),1,0))-(Geometria!$L$298-IF(B182&lt;Geometria!$L$1405/100,Geometria!$L$1444,Geometria!$L$1462))*(1-(MIN(MIN(1,MAX(0,(B182-Geometria!$L$1405/100)/(Geometria!$N$1307/100))),MIN(1,MAX(0,((Geometria!$L$29/100-B182)-Geometria!$R$1405/100)/(Geometria!$N$1307/100))))))*(IF(OR(Geometria!$K$1405&gt;0,Geometria!$K$1403&gt;0,Geometria!$Q$1405&gt;0,Geometria!$Q$1403&gt;0),1,0)))*H182*(Geometria!$L$299-(Geometria!$L$299-IF(B182&lt;Geometria!$L$1409/100,Geometria!$L$1443,Geometria!$L$1461))*(1-(MIN(MIN(1,MAX(0,(B182-Geometria!$L$1409/100)/(Geometria!$N$1307/100))),MIN(1,MAX(0,((Geometria!$L$29/100-B182)-Geometria!$R$1409/100)/(Geometria!$N$1307/100))))))*(IF(OR(Geometria!$K$1409&gt;0,Geometria!$K$1407&gt;0,Geometria!$Q$1409&gt;0,Geometria!$Q$1407&gt;0),1,0))-(Geometria!$L$299-IF(B182&lt;Geometria!$L$1405/100,Geometria!$L$1445,Geometria!$L$1463))*(1-(MIN(MIN(1,MAX(0,(B182-Geometria!$L$1405/100)/(Geometria!$N$1307/100))),MIN(1,MAX(0,((Geometria!$L$29/100-B182)-Geometria!$R$1405/100)/(Geometria!$N$1307/100))))))*(IF(OR(Geometria!$K$1405&gt;0,Geometria!$K$1403&gt;0,Geometria!$Q$1405&gt;0,Geometria!$Q$1403&gt;0),1,0)))/100-Geometria!$P$1429*H159*Geometria!$L$1438/100</f>
        <v>601.7393618149086</v>
      </c>
      <c r="N182" s="365"/>
      <c r="O182" s="371">
        <f ca="1">(IF(C182="Sim",IF(A182="Sim",$E$93,Geometria!$L$1447),IF(A182="Sim",Geometria!$L$1449,Geometria!$L$906)))</f>
        <v>1475.413282676191</v>
      </c>
      <c r="P182" s="371">
        <f ca="1">(IF(C182="Sim",IF(A182="Sim",$E$94,Geometria!$L$1448),IF(A182="Sim",Geometria!$L$1450,Geometria!$L$907)))</f>
        <v>276.63999050178586</v>
      </c>
      <c r="R182" s="4" t="s">
        <v>436</v>
      </c>
      <c r="S182" s="202">
        <f t="shared" ca="1" si="53"/>
        <v>-21357.110223298496</v>
      </c>
      <c r="T182" s="38" t="s">
        <v>234</v>
      </c>
      <c r="U182" s="203">
        <f t="shared" ca="1" si="52"/>
        <v>-21.357110223298495</v>
      </c>
      <c r="V182" s="38" t="s">
        <v>160</v>
      </c>
      <c r="W182" s="399">
        <f t="shared" si="54"/>
        <v>0.0</v>
      </c>
    </row>
    <row r="183" spans="1:23" x14ac:dyDescent="0.25">
      <c r="A183" s="376" t="str">
        <f>IF(OR(B183&lt;Geometria!$L$1405/100,(Geometria!$L$29/100-B183)&lt;Geometria!$R$1405/100),"Sim","Não")</f>
        <v>Não</v>
      </c>
      <c r="B183" s="395">
        <f t="shared" si="50"/>
        <v>3.14</v>
      </c>
      <c r="C183" s="376" t="str">
        <f>IF(OR(B183&lt;Geometria!$L$1409/100,(Geometria!$L$29/100-B183)&lt;Geometria!$R$1409/100),"Sim","Não")</f>
        <v>Não</v>
      </c>
      <c r="D183" s="122" t="s">
        <v>437</v>
      </c>
      <c r="E183" s="198" t="str">
        <f ca="1">IF(Geometria!$K$440&lt;Geometria!$N$1308/100,"Reduzir","OK")</f>
        <v>OK</v>
      </c>
      <c r="F183" s="396">
        <f t="shared" ca="1" si="51"/>
        <v>-21378.0300705225</v>
      </c>
      <c r="G183" s="397">
        <f ca="1">-L183/(Geometria!$L$48/100^2)-M183/(Geometria!$L$53/100^3)+Geometria!$L$898/(Geometria!$L$53/100^3)</f>
        <v>-58132.97144151713</v>
      </c>
      <c r="H183" s="400">
        <f ca="1">(((IF(C183="Sim",$N$47,Geometria!$L$324))*(Geometria!$K$900*100))/Geometria!$N$1308)</f>
        <v>327.3872069857712</v>
      </c>
      <c r="I183" s="743">
        <f ca="1">-($E$93*(1-IF(IF(OR(Geometria!$K$1409&gt;0,Geometria!$K$1407&gt;0,Geometria!$Q$1409&gt;0,Geometria!$Q$1407&gt;0),1,0),MIN(MIN(1,MAX(0,(B183-Geometria!$L$1409/100)/(Geometria!$N$1307/100))),MIN(1,MAX(0,((Geometria!$L$29/100-B183)-Geometria!$R$1409/100)/(Geometria!$N$1307/100)))),1))*(1-IF(IF(OR(Geometria!$K$1405&gt;0,Geometria!$K$1403&gt;0,Geometria!$Q$1405&gt;0,Geometria!$Q$1403&gt;0),1,0),MIN(MIN(1,MAX(0,(B183-Geometria!$L$1405/100)/(Geometria!$N$1307/100))),MIN(1,MAX(0,((Geometria!$L$29/100-B183)-Geometria!$R$1405/100)/(Geometria!$N$1307/100)))),1))+Geometria!$L$1447*(1-IF(IF(OR(Geometria!$K$1409&gt;0,Geometria!$K$1407&gt;0,Geometria!$Q$1409&gt;0,Geometria!$Q$1407&gt;0),1,0),MIN(MIN(1,MAX(0,(B183-Geometria!$L$1409/100)/(Geometria!$N$1307/100))),MIN(1,MAX(0,((Geometria!$L$29/100-B183)-Geometria!$R$1409/100)/(Geometria!$N$1307/100)))),1))*IF(IF(OR(Geometria!$K$1405&gt;0,Geometria!$K$1403&gt;0,Geometria!$Q$1405&gt;0,Geometria!$Q$1403&gt;0),1,0),MIN(MIN(1,MAX(0,(B183-Geometria!$L$1405/100)/(Geometria!$N$1307/100))),MIN(1,MAX(0,((Geometria!$L$29/100-B183)-Geometria!$R$1405/100)/(Geometria!$N$1307/100)))),1)+Geometria!$L$1449*IF(IF(OR(Geometria!$K$1409&gt;0,Geometria!$K$1407&gt;0,Geometria!$Q$1409&gt;0,Geometria!$Q$1407&gt;0),1,0),MIN(MIN(1,MAX(0,(B183-Geometria!$L$1409/100)/(Geometria!$N$1307/100))),MIN(1,MAX(0,((Geometria!$L$29/100-B183)-Geometria!$R$1409/100)/(Geometria!$N$1307/100)))),1)*(1-IF(IF(OR(Geometria!$K$1405&gt;0,Geometria!$K$1403&gt;0,Geometria!$Q$1405&gt;0,Geometria!$Q$1403&gt;0),1,0),MIN(MIN(1,MAX(0,(B183-Geometria!$L$1405/100)/(Geometria!$N$1307/100))),MIN(1,MAX(0,((Geometria!$L$29/100-B183)-Geometria!$R$1405/100)/(Geometria!$N$1307/100)))),1))+Geometria!$L$906*IF(IF(OR(Geometria!$K$1409&gt;0,Geometria!$K$1407&gt;0,Geometria!$Q$1409&gt;0,Geometria!$Q$1407&gt;0),1,0),MIN(MIN(1,MAX(0,(B183-Geometria!$L$1409/100)/(Geometria!$N$1307/100))),MIN(1,MAX(0,((Geometria!$L$29/100-B183)-Geometria!$R$1409/100)/(Geometria!$N$1307/100)))),1)*IF(IF(OR(Geometria!$K$1405&gt;0,Geometria!$K$1403&gt;0,Geometria!$Q$1405&gt;0,Geometria!$Q$1403&gt;0),1,0),MIN(MIN(1,MAX(0,(B183-Geometria!$L$1405/100)/(Geometria!$N$1307/100))),MIN(1,MAX(0,((Geometria!$L$29/100-B183)-Geometria!$R$1405/100)/(Geometria!$N$1307/100)))),1))/(Geometria!$L$48/100^2)-($E$94*(1-IF(IF(OR(Geometria!$K$1409&gt;0,Geometria!$K$1407&gt;0,Geometria!$Q$1409&gt;0,Geometria!$Q$1407&gt;0),1,0),MIN(MIN(1,MAX(0,(B183-Geometria!$L$1409/100)/(Geometria!$N$1307/100))),MIN(1,MAX(0,((Geometria!$L$29/100-B183)-Geometria!$R$1409/100)/(Geometria!$N$1307/100)))),1))*(1-IF(IF(OR(Geometria!$K$1405&gt;0,Geometria!$K$1403&gt;0,Geometria!$Q$1405&gt;0,Geometria!$Q$1403&gt;0),1,0),MIN(MIN(1,MAX(0,(B183-Geometria!$L$1405/100)/(Geometria!$N$1307/100))),MIN(1,MAX(0,((Geometria!$L$29/100-B183)-Geometria!$R$1405/100)/(Geometria!$N$1307/100)))),1))+Geometria!$L$1448*(1-IF(IF(OR(Geometria!$K$1409&gt;0,Geometria!$K$1407&gt;0,Geometria!$Q$1409&gt;0,Geometria!$Q$1407&gt;0),1,0),MIN(MIN(1,MAX(0,(B183-Geometria!$L$1409/100)/(Geometria!$N$1307/100))),MIN(1,MAX(0,((Geometria!$L$29/100-B183)-Geometria!$R$1409/100)/(Geometria!$N$1307/100)))),1))*IF(IF(OR(Geometria!$K$1405&gt;0,Geometria!$K$1403&gt;0,Geometria!$Q$1405&gt;0,Geometria!$Q$1403&gt;0),1,0),MIN(MIN(1,MAX(0,(B183-Geometria!$L$1405/100)/(Geometria!$N$1307/100))),MIN(1,MAX(0,((Geometria!$L$29/100-B183)-Geometria!$R$1405/100)/(Geometria!$N$1307/100)))),1)+Geometria!$L$1450*IF(IF(OR(Geometria!$K$1409&gt;0,Geometria!$K$1407&gt;0,Geometria!$Q$1409&gt;0,Geometria!$Q$1407&gt;0),1,0),MIN(MIN(1,MAX(0,(B183-Geometria!$L$1409/100)/(Geometria!$N$1307/100))),MIN(1,MAX(0,((Geometria!$L$29/100-B183)-Geometria!$R$1409/100)/(Geometria!$N$1307/100)))),1)*(1-IF(IF(OR(Geometria!$K$1405&gt;0,Geometria!$K$1403&gt;0,Geometria!$Q$1405&gt;0,Geometria!$Q$1403&gt;0),1,0),MIN(MIN(1,MAX(0,(B183-Geometria!$L$1405/100)/(Geometria!$N$1307/100))),MIN(1,MAX(0,((Geometria!$L$29/100-B183)-Geometria!$R$1405/100)/(Geometria!$N$1307/100)))),1))+Geometria!$L$907*IF(IF(OR(Geometria!$K$1409&gt;0,Geometria!$K$1407&gt;0,Geometria!$Q$1409&gt;0,Geometria!$Q$1407&gt;0),1,0),MIN(MIN(1,MAX(0,(B183-Geometria!$L$1409/100)/(Geometria!$N$1307/100))),MIN(1,MAX(0,((Geometria!$L$29/100-B183)-Geometria!$R$1409/100)/(Geometria!$N$1307/100)))),1)*IF(IF(OR(Geometria!$K$1405&gt;0,Geometria!$K$1403&gt;0,Geometria!$Q$1405&gt;0,Geometria!$Q$1403&gt;0),1,0),MIN(MIN(1,MAX(0,(B183-Geometria!$L$1405/100)/(Geometria!$N$1307/100))),MIN(1,MAX(0,((Geometria!$L$29/100-B183)-Geometria!$R$1405/100)/(Geometria!$N$1307/100)))),1))/(Geometria!$L$53/100^3)+Geometria!$K$901/(Geometria!$L$53/100^3)</f>
        <v>-21378.0300705225</v>
      </c>
      <c r="J183" s="743"/>
      <c r="L183" s="373">
        <f ca="1">(Geometria!$L$298-(Geometria!$L$298-IF(B183&lt;Geometria!$L$1409/100,Geometria!$L$1442,Geometria!$L$1460))*(1-(MIN(MIN(1,MAX(0,(B183-Geometria!$L$1409/100)/(Geometria!$N$1307/100))),MIN(1,MAX(0,((Geometria!$L$29/100-B183)-Geometria!$R$1409/100)/(Geometria!$N$1307/100))))))*(IF(OR(Geometria!$K$1409&gt;0,Geometria!$K$1407&gt;0,Geometria!$Q$1409&gt;0,Geometria!$Q$1407&gt;0),1,0))-(Geometria!$L$298-IF(B183&lt;Geometria!$L$1405/100,Geometria!$L$1444,Geometria!$L$1462))*(1-(MIN(MIN(1,MAX(0,(B183-Geometria!$L$1405/100)/(Geometria!$N$1307/100))),MIN(1,MAX(0,((Geometria!$L$29/100-B183)-Geometria!$R$1405/100)/(Geometria!$N$1307/100))))))*(IF(OR(Geometria!$K$1405&gt;0,Geometria!$K$1403&gt;0,Geometria!$Q$1405&gt;0,Geometria!$Q$1403&gt;0),1,0)))*H183+Geometria!$P$1429*H160</f>
        <v>3666.736718240637</v>
      </c>
      <c r="M183" s="373">
        <f ca="1">(Geometria!$L$298-(Geometria!$L$298-IF(B183&lt;Geometria!$L$1409/100,Geometria!$L$1442,Geometria!$L$1460))*(1-(MIN(MIN(1,MAX(0,(B183-Geometria!$L$1409/100)/(Geometria!$N$1307/100))),MIN(1,MAX(0,((Geometria!$L$29/100-B183)-Geometria!$R$1409/100)/(Geometria!$N$1307/100))))))*(IF(OR(Geometria!$K$1409&gt;0,Geometria!$K$1407&gt;0,Geometria!$Q$1409&gt;0,Geometria!$Q$1407&gt;0),1,0))-(Geometria!$L$298-IF(B183&lt;Geometria!$L$1405/100,Geometria!$L$1444,Geometria!$L$1462))*(1-(MIN(MIN(1,MAX(0,(B183-Geometria!$L$1405/100)/(Geometria!$N$1307/100))),MIN(1,MAX(0,((Geometria!$L$29/100-B183)-Geometria!$R$1405/100)/(Geometria!$N$1307/100))))))*(IF(OR(Geometria!$K$1405&gt;0,Geometria!$K$1403&gt;0,Geometria!$Q$1405&gt;0,Geometria!$Q$1403&gt;0),1,0)))*H183*(Geometria!$L$299-(Geometria!$L$299-IF(B183&lt;Geometria!$L$1409/100,Geometria!$L$1443,Geometria!$L$1461))*(1-(MIN(MIN(1,MAX(0,(B183-Geometria!$L$1409/100)/(Geometria!$N$1307/100))),MIN(1,MAX(0,((Geometria!$L$29/100-B183)-Geometria!$R$1409/100)/(Geometria!$N$1307/100))))))*(IF(OR(Geometria!$K$1409&gt;0,Geometria!$K$1407&gt;0,Geometria!$Q$1409&gt;0,Geometria!$Q$1407&gt;0),1,0))-(Geometria!$L$299-IF(B183&lt;Geometria!$L$1405/100,Geometria!$L$1445,Geometria!$L$1463))*(1-(MIN(MIN(1,MAX(0,(B183-Geometria!$L$1405/100)/(Geometria!$N$1307/100))),MIN(1,MAX(0,((Geometria!$L$29/100-B183)-Geometria!$R$1405/100)/(Geometria!$N$1307/100))))))*(IF(OR(Geometria!$K$1405&gt;0,Geometria!$K$1403&gt;0,Geometria!$Q$1405&gt;0,Geometria!$Q$1403&gt;0),1,0)))/100-Geometria!$P$1429*H160*Geometria!$L$1438/100</f>
        <v>687.5131346701195</v>
      </c>
      <c r="N183" s="365"/>
      <c r="O183" s="371">
        <f ca="1">(IF(C183="Sim",IF(A183="Sim",$E$93,Geometria!$L$1447),IF(A183="Sim",Geometria!$L$1449,Geometria!$L$906)))</f>
        <v>1475.413282676191</v>
      </c>
      <c r="P183" s="371">
        <f ca="1">(IF(C183="Sim",IF(A183="Sim",$E$94,Geometria!$L$1448),IF(A183="Sim",Geometria!$L$1450,Geometria!$L$907)))</f>
        <v>276.63999050178586</v>
      </c>
      <c r="R183" s="4" t="s">
        <v>437</v>
      </c>
      <c r="S183" s="202">
        <f t="shared" ca="1" si="53"/>
        <v>-21378.0300705225</v>
      </c>
      <c r="T183" s="38" t="s">
        <v>234</v>
      </c>
      <c r="U183" s="203">
        <f t="shared" ca="1" si="52"/>
        <v>-21.378030070522502</v>
      </c>
      <c r="V183" s="38" t="s">
        <v>160</v>
      </c>
      <c r="W183" s="399">
        <f t="shared" si="54"/>
        <v>0.0</v>
      </c>
    </row>
    <row r="184" spans="1:23" x14ac:dyDescent="0.25">
      <c r="A184" s="376" t="str">
        <f>IF(OR(B184&lt;Geometria!$L$1405/100,(Geometria!$L$29/100-B184)&lt;Geometria!$R$1405/100),"Sim","Não")</f>
        <v>Não</v>
      </c>
      <c r="B184" s="395">
        <f t="shared" si="50"/>
        <v>3.5325</v>
      </c>
      <c r="C184" s="376" t="str">
        <f>IF(OR(B184&lt;Geometria!$L$1409/100,(Geometria!$L$29/100-B184)&lt;Geometria!$R$1409/100),"Sim","Não")</f>
        <v>Não</v>
      </c>
      <c r="D184" s="122" t="s">
        <v>438</v>
      </c>
      <c r="E184" s="198" t="str">
        <f ca="1">IF(Geometria!$L$440&lt;Geometria!$N$1308/100,"Reduzir","OK")</f>
        <v>OK</v>
      </c>
      <c r="F184" s="396">
        <f t="shared" ca="1" si="51"/>
        <v>-21309.667609585</v>
      </c>
      <c r="G184" s="397">
        <f ca="1">-L184/(Geometria!$L$48/100^2)-M184/(Geometria!$L$53/100^3)+Geometria!$L$898/(Geometria!$L$53/100^3)</f>
        <v>-65453.71315328227</v>
      </c>
      <c r="H184" s="400">
        <f ca="1">(((IF(C184="Sim",$N$47,Geometria!$L$324))*(Geometria!$L$900*100))/Geometria!$N$1308)</f>
        <v>368.3106078589925</v>
      </c>
      <c r="I184" s="743">
        <f ca="1">-($E$93*(1-IF(IF(OR(Geometria!$K$1409&gt;0,Geometria!$K$1407&gt;0,Geometria!$Q$1409&gt;0,Geometria!$Q$1407&gt;0),1,0),MIN(MIN(1,MAX(0,(B184-Geometria!$L$1409/100)/(Geometria!$N$1307/100))),MIN(1,MAX(0,((Geometria!$L$29/100-B184)-Geometria!$R$1409/100)/(Geometria!$N$1307/100)))),1))*(1-IF(IF(OR(Geometria!$K$1405&gt;0,Geometria!$K$1403&gt;0,Geometria!$Q$1405&gt;0,Geometria!$Q$1403&gt;0),1,0),MIN(MIN(1,MAX(0,(B184-Geometria!$L$1405/100)/(Geometria!$N$1307/100))),MIN(1,MAX(0,((Geometria!$L$29/100-B184)-Geometria!$R$1405/100)/(Geometria!$N$1307/100)))),1))+Geometria!$L$1447*(1-IF(IF(OR(Geometria!$K$1409&gt;0,Geometria!$K$1407&gt;0,Geometria!$Q$1409&gt;0,Geometria!$Q$1407&gt;0),1,0),MIN(MIN(1,MAX(0,(B184-Geometria!$L$1409/100)/(Geometria!$N$1307/100))),MIN(1,MAX(0,((Geometria!$L$29/100-B184)-Geometria!$R$1409/100)/(Geometria!$N$1307/100)))),1))*IF(IF(OR(Geometria!$K$1405&gt;0,Geometria!$K$1403&gt;0,Geometria!$Q$1405&gt;0,Geometria!$Q$1403&gt;0),1,0),MIN(MIN(1,MAX(0,(B184-Geometria!$L$1405/100)/(Geometria!$N$1307/100))),MIN(1,MAX(0,((Geometria!$L$29/100-B184)-Geometria!$R$1405/100)/(Geometria!$N$1307/100)))),1)+Geometria!$L$1449*IF(IF(OR(Geometria!$K$1409&gt;0,Geometria!$K$1407&gt;0,Geometria!$Q$1409&gt;0,Geometria!$Q$1407&gt;0),1,0),MIN(MIN(1,MAX(0,(B184-Geometria!$L$1409/100)/(Geometria!$N$1307/100))),MIN(1,MAX(0,((Geometria!$L$29/100-B184)-Geometria!$R$1409/100)/(Geometria!$N$1307/100)))),1)*(1-IF(IF(OR(Geometria!$K$1405&gt;0,Geometria!$K$1403&gt;0,Geometria!$Q$1405&gt;0,Geometria!$Q$1403&gt;0),1,0),MIN(MIN(1,MAX(0,(B184-Geometria!$L$1405/100)/(Geometria!$N$1307/100))),MIN(1,MAX(0,((Geometria!$L$29/100-B184)-Geometria!$R$1405/100)/(Geometria!$N$1307/100)))),1))+Geometria!$L$906*IF(IF(OR(Geometria!$K$1409&gt;0,Geometria!$K$1407&gt;0,Geometria!$Q$1409&gt;0,Geometria!$Q$1407&gt;0),1,0),MIN(MIN(1,MAX(0,(B184-Geometria!$L$1409/100)/(Geometria!$N$1307/100))),MIN(1,MAX(0,((Geometria!$L$29/100-B184)-Geometria!$R$1409/100)/(Geometria!$N$1307/100)))),1)*IF(IF(OR(Geometria!$K$1405&gt;0,Geometria!$K$1403&gt;0,Geometria!$Q$1405&gt;0,Geometria!$Q$1403&gt;0),1,0),MIN(MIN(1,MAX(0,(B184-Geometria!$L$1405/100)/(Geometria!$N$1307/100))),MIN(1,MAX(0,((Geometria!$L$29/100-B184)-Geometria!$R$1405/100)/(Geometria!$N$1307/100)))),1))/(Geometria!$L$48/100^2)-($E$94*(1-IF(IF(OR(Geometria!$K$1409&gt;0,Geometria!$K$1407&gt;0,Geometria!$Q$1409&gt;0,Geometria!$Q$1407&gt;0),1,0),MIN(MIN(1,MAX(0,(B184-Geometria!$L$1409/100)/(Geometria!$N$1307/100))),MIN(1,MAX(0,((Geometria!$L$29/100-B184)-Geometria!$R$1409/100)/(Geometria!$N$1307/100)))),1))*(1-IF(IF(OR(Geometria!$K$1405&gt;0,Geometria!$K$1403&gt;0,Geometria!$Q$1405&gt;0,Geometria!$Q$1403&gt;0),1,0),MIN(MIN(1,MAX(0,(B184-Geometria!$L$1405/100)/(Geometria!$N$1307/100))),MIN(1,MAX(0,((Geometria!$L$29/100-B184)-Geometria!$R$1405/100)/(Geometria!$N$1307/100)))),1))+Geometria!$L$1448*(1-IF(IF(OR(Geometria!$K$1409&gt;0,Geometria!$K$1407&gt;0,Geometria!$Q$1409&gt;0,Geometria!$Q$1407&gt;0),1,0),MIN(MIN(1,MAX(0,(B184-Geometria!$L$1409/100)/(Geometria!$N$1307/100))),MIN(1,MAX(0,((Geometria!$L$29/100-B184)-Geometria!$R$1409/100)/(Geometria!$N$1307/100)))),1))*IF(IF(OR(Geometria!$K$1405&gt;0,Geometria!$K$1403&gt;0,Geometria!$Q$1405&gt;0,Geometria!$Q$1403&gt;0),1,0),MIN(MIN(1,MAX(0,(B184-Geometria!$L$1405/100)/(Geometria!$N$1307/100))),MIN(1,MAX(0,((Geometria!$L$29/100-B184)-Geometria!$R$1405/100)/(Geometria!$N$1307/100)))),1)+Geometria!$L$1450*IF(IF(OR(Geometria!$K$1409&gt;0,Geometria!$K$1407&gt;0,Geometria!$Q$1409&gt;0,Geometria!$Q$1407&gt;0),1,0),MIN(MIN(1,MAX(0,(B184-Geometria!$L$1409/100)/(Geometria!$N$1307/100))),MIN(1,MAX(0,((Geometria!$L$29/100-B184)-Geometria!$R$1409/100)/(Geometria!$N$1307/100)))),1)*(1-IF(IF(OR(Geometria!$K$1405&gt;0,Geometria!$K$1403&gt;0,Geometria!$Q$1405&gt;0,Geometria!$Q$1403&gt;0),1,0),MIN(MIN(1,MAX(0,(B184-Geometria!$L$1405/100)/(Geometria!$N$1307/100))),MIN(1,MAX(0,((Geometria!$L$29/100-B184)-Geometria!$R$1405/100)/(Geometria!$N$1307/100)))),1))+Geometria!$L$907*IF(IF(OR(Geometria!$K$1409&gt;0,Geometria!$K$1407&gt;0,Geometria!$Q$1409&gt;0,Geometria!$Q$1407&gt;0),1,0),MIN(MIN(1,MAX(0,(B184-Geometria!$L$1409/100)/(Geometria!$N$1307/100))),MIN(1,MAX(0,((Geometria!$L$29/100-B184)-Geometria!$R$1409/100)/(Geometria!$N$1307/100)))),1)*IF(IF(OR(Geometria!$K$1405&gt;0,Geometria!$K$1403&gt;0,Geometria!$Q$1405&gt;0,Geometria!$Q$1403&gt;0),1,0),MIN(MIN(1,MAX(0,(B184-Geometria!$L$1405/100)/(Geometria!$N$1307/100))),MIN(1,MAX(0,((Geometria!$L$29/100-B184)-Geometria!$R$1405/100)/(Geometria!$N$1307/100)))),1))/(Geometria!$L$53/100^3)+Geometria!$L$901/(Geometria!$L$53/100^3)</f>
        <v>-21309.667609585</v>
      </c>
      <c r="J184" s="743"/>
      <c r="L184" s="373">
        <f ca="1">(Geometria!$L$298-(Geometria!$L$298-IF(B184&lt;Geometria!$L$1409/100,Geometria!$L$1442,Geometria!$L$1460))*(1-(MIN(MIN(1,MAX(0,(B184-Geometria!$L$1409/100)/(Geometria!$N$1307/100))),MIN(1,MAX(0,((Geometria!$L$29/100-B184)-Geometria!$R$1409/100)/(Geometria!$N$1307/100))))))*(IF(OR(Geometria!$K$1409&gt;0,Geometria!$K$1407&gt;0,Geometria!$Q$1409&gt;0,Geometria!$Q$1407&gt;0),1,0))-(Geometria!$L$298-IF(B184&lt;Geometria!$L$1405/100,Geometria!$L$1444,Geometria!$L$1462))*(1-(MIN(MIN(1,MAX(0,(B184-Geometria!$L$1405/100)/(Geometria!$N$1307/100))),MIN(1,MAX(0,((Geometria!$L$29/100-B184)-Geometria!$R$1405/100)/(Geometria!$N$1307/100))))))*(IF(OR(Geometria!$K$1405&gt;0,Geometria!$K$1403&gt;0,Geometria!$Q$1405&gt;0,Geometria!$Q$1403&gt;0),1,0)))*H184+Geometria!$P$1429*H161</f>
        <v>4125.078808020716</v>
      </c>
      <c r="M184" s="373">
        <f ca="1">(Geometria!$L$298-(Geometria!$L$298-IF(B184&lt;Geometria!$L$1409/100,Geometria!$L$1442,Geometria!$L$1460))*(1-(MIN(MIN(1,MAX(0,(B184-Geometria!$L$1409/100)/(Geometria!$N$1307/100))),MIN(1,MAX(0,((Geometria!$L$29/100-B184)-Geometria!$R$1409/100)/(Geometria!$N$1307/100))))))*(IF(OR(Geometria!$K$1409&gt;0,Geometria!$K$1407&gt;0,Geometria!$Q$1409&gt;0,Geometria!$Q$1407&gt;0),1,0))-(Geometria!$L$298-IF(B184&lt;Geometria!$L$1405/100,Geometria!$L$1444,Geometria!$L$1462))*(1-(MIN(MIN(1,MAX(0,(B184-Geometria!$L$1405/100)/(Geometria!$N$1307/100))),MIN(1,MAX(0,((Geometria!$L$29/100-B184)-Geometria!$R$1405/100)/(Geometria!$N$1307/100))))))*(IF(OR(Geometria!$K$1405&gt;0,Geometria!$K$1403&gt;0,Geometria!$Q$1405&gt;0,Geometria!$Q$1403&gt;0),1,0)))*H184*(Geometria!$L$299-(Geometria!$L$299-IF(B184&lt;Geometria!$L$1409/100,Geometria!$L$1443,Geometria!$L$1461))*(1-(MIN(MIN(1,MAX(0,(B184-Geometria!$L$1409/100)/(Geometria!$N$1307/100))),MIN(1,MAX(0,((Geometria!$L$29/100-B184)-Geometria!$R$1409/100)/(Geometria!$N$1307/100))))))*(IF(OR(Geometria!$K$1409&gt;0,Geometria!$K$1407&gt;0,Geometria!$Q$1409&gt;0,Geometria!$Q$1407&gt;0),1,0))-(Geometria!$L$299-IF(B184&lt;Geometria!$L$1405/100,Geometria!$L$1445,Geometria!$L$1463))*(1-(MIN(MIN(1,MAX(0,(B184-Geometria!$L$1405/100)/(Geometria!$N$1307/100))),MIN(1,MAX(0,((Geometria!$L$29/100-B184)-Geometria!$R$1405/100)/(Geometria!$N$1307/100))))))*(IF(OR(Geometria!$K$1405&gt;0,Geometria!$K$1403&gt;0,Geometria!$Q$1405&gt;0,Geometria!$Q$1403&gt;0),1,0)))/100-Geometria!$P$1429*H161*Geometria!$L$1438/100</f>
        <v>773.4522765038841</v>
      </c>
      <c r="N184" s="365"/>
      <c r="O184" s="371">
        <f ca="1">(IF(C184="Sim",IF(A184="Sim",$E$93,Geometria!$L$1447),IF(A184="Sim",Geometria!$L$1449,Geometria!$L$906)))</f>
        <v>1475.413282676191</v>
      </c>
      <c r="P184" s="371">
        <f ca="1">(IF(C184="Sim",IF(A184="Sim",$E$94,Geometria!$L$1448),IF(A184="Sim",Geometria!$L$1450,Geometria!$L$907)))</f>
        <v>276.63999050178586</v>
      </c>
      <c r="R184" s="4" t="s">
        <v>438</v>
      </c>
      <c r="S184" s="202">
        <f t="shared" ca="1" si="53"/>
        <v>-21309.667609585</v>
      </c>
      <c r="T184" s="38" t="s">
        <v>234</v>
      </c>
      <c r="U184" s="203">
        <f t="shared" ca="1" si="52"/>
        <v>-21.309667609585002</v>
      </c>
      <c r="V184" s="38" t="s">
        <v>160</v>
      </c>
      <c r="W184" s="399">
        <f t="shared" si="54"/>
        <v>0.0</v>
      </c>
    </row>
    <row r="185" spans="1:23" x14ac:dyDescent="0.25">
      <c r="A185" s="376" t="str">
        <f>IF(OR(B185&lt;Geometria!$L$1405/100,(Geometria!$L$29/100-B185)&lt;Geometria!$R$1405/100),"Sim","Não")</f>
        <v>Não</v>
      </c>
      <c r="B185" s="395">
        <f t="shared" si="50"/>
        <v>3.9250000000000003</v>
      </c>
      <c r="C185" s="376" t="str">
        <f>IF(OR(B185&lt;Geometria!$L$1409/100,(Geometria!$L$29/100-B185)&lt;Geometria!$R$1409/100),"Sim","Não")</f>
        <v>Não</v>
      </c>
      <c r="D185" s="122" t="s">
        <v>439</v>
      </c>
      <c r="E185" s="198" t="str">
        <f ca="1">IF(Geometria!$M$440&lt;Geometria!$N$1308/100,"Reduzir","OK")</f>
        <v>OK</v>
      </c>
      <c r="F185" s="396">
        <f t="shared" ca="1" si="51"/>
        <v>-21286.880122605835</v>
      </c>
      <c r="G185" s="397">
        <f ca="1">-L185/(Geometria!$L$48/100^2)-M185/(Geometria!$L$53/100^3)+Geometria!$L$898/(Geometria!$L$53/100^3)</f>
        <v>-72774.45486504743</v>
      </c>
      <c r="H185" s="400">
        <f ca="1">(((IF(C185="Sim",$N$47,Geometria!$L$324))*(Geometria!$M$900*100))/Geometria!$N$1308)</f>
        <v>409.2340087322139</v>
      </c>
      <c r="I185" s="743">
        <f ca="1">-($E$93*(1-IF(IF(OR(Geometria!$K$1409&gt;0,Geometria!$K$1407&gt;0,Geometria!$Q$1409&gt;0,Geometria!$Q$1407&gt;0),1,0),MIN(MIN(1,MAX(0,(B185-Geometria!$L$1409/100)/(Geometria!$N$1307/100))),MIN(1,MAX(0,((Geometria!$L$29/100-B185)-Geometria!$R$1409/100)/(Geometria!$N$1307/100)))),1))*(1-IF(IF(OR(Geometria!$K$1405&gt;0,Geometria!$K$1403&gt;0,Geometria!$Q$1405&gt;0,Geometria!$Q$1403&gt;0),1,0),MIN(MIN(1,MAX(0,(B185-Geometria!$L$1405/100)/(Geometria!$N$1307/100))),MIN(1,MAX(0,((Geometria!$L$29/100-B185)-Geometria!$R$1405/100)/(Geometria!$N$1307/100)))),1))+Geometria!$L$1447*(1-IF(IF(OR(Geometria!$K$1409&gt;0,Geometria!$K$1407&gt;0,Geometria!$Q$1409&gt;0,Geometria!$Q$1407&gt;0),1,0),MIN(MIN(1,MAX(0,(B185-Geometria!$L$1409/100)/(Geometria!$N$1307/100))),MIN(1,MAX(0,((Geometria!$L$29/100-B185)-Geometria!$R$1409/100)/(Geometria!$N$1307/100)))),1))*IF(IF(OR(Geometria!$K$1405&gt;0,Geometria!$K$1403&gt;0,Geometria!$Q$1405&gt;0,Geometria!$Q$1403&gt;0),1,0),MIN(MIN(1,MAX(0,(B185-Geometria!$L$1405/100)/(Geometria!$N$1307/100))),MIN(1,MAX(0,((Geometria!$L$29/100-B185)-Geometria!$R$1405/100)/(Geometria!$N$1307/100)))),1)+Geometria!$L$1449*IF(IF(OR(Geometria!$K$1409&gt;0,Geometria!$K$1407&gt;0,Geometria!$Q$1409&gt;0,Geometria!$Q$1407&gt;0),1,0),MIN(MIN(1,MAX(0,(B185-Geometria!$L$1409/100)/(Geometria!$N$1307/100))),MIN(1,MAX(0,((Geometria!$L$29/100-B185)-Geometria!$R$1409/100)/(Geometria!$N$1307/100)))),1)*(1-IF(IF(OR(Geometria!$K$1405&gt;0,Geometria!$K$1403&gt;0,Geometria!$Q$1405&gt;0,Geometria!$Q$1403&gt;0),1,0),MIN(MIN(1,MAX(0,(B185-Geometria!$L$1405/100)/(Geometria!$N$1307/100))),MIN(1,MAX(0,((Geometria!$L$29/100-B185)-Geometria!$R$1405/100)/(Geometria!$N$1307/100)))),1))+Geometria!$L$906*IF(IF(OR(Geometria!$K$1409&gt;0,Geometria!$K$1407&gt;0,Geometria!$Q$1409&gt;0,Geometria!$Q$1407&gt;0),1,0),MIN(MIN(1,MAX(0,(B185-Geometria!$L$1409/100)/(Geometria!$N$1307/100))),MIN(1,MAX(0,((Geometria!$L$29/100-B185)-Geometria!$R$1409/100)/(Geometria!$N$1307/100)))),1)*IF(IF(OR(Geometria!$K$1405&gt;0,Geometria!$K$1403&gt;0,Geometria!$Q$1405&gt;0,Geometria!$Q$1403&gt;0),1,0),MIN(MIN(1,MAX(0,(B185-Geometria!$L$1405/100)/(Geometria!$N$1307/100))),MIN(1,MAX(0,((Geometria!$L$29/100-B185)-Geometria!$R$1405/100)/(Geometria!$N$1307/100)))),1))/(Geometria!$L$48/100^2)-($E$94*(1-IF(IF(OR(Geometria!$K$1409&gt;0,Geometria!$K$1407&gt;0,Geometria!$Q$1409&gt;0,Geometria!$Q$1407&gt;0),1,0),MIN(MIN(1,MAX(0,(B185-Geometria!$L$1409/100)/(Geometria!$N$1307/100))),MIN(1,MAX(0,((Geometria!$L$29/100-B185)-Geometria!$R$1409/100)/(Geometria!$N$1307/100)))),1))*(1-IF(IF(OR(Geometria!$K$1405&gt;0,Geometria!$K$1403&gt;0,Geometria!$Q$1405&gt;0,Geometria!$Q$1403&gt;0),1,0),MIN(MIN(1,MAX(0,(B185-Geometria!$L$1405/100)/(Geometria!$N$1307/100))),MIN(1,MAX(0,((Geometria!$L$29/100-B185)-Geometria!$R$1405/100)/(Geometria!$N$1307/100)))),1))+Geometria!$L$1448*(1-IF(IF(OR(Geometria!$K$1409&gt;0,Geometria!$K$1407&gt;0,Geometria!$Q$1409&gt;0,Geometria!$Q$1407&gt;0),1,0),MIN(MIN(1,MAX(0,(B185-Geometria!$L$1409/100)/(Geometria!$N$1307/100))),MIN(1,MAX(0,((Geometria!$L$29/100-B185)-Geometria!$R$1409/100)/(Geometria!$N$1307/100)))),1))*IF(IF(OR(Geometria!$K$1405&gt;0,Geometria!$K$1403&gt;0,Geometria!$Q$1405&gt;0,Geometria!$Q$1403&gt;0),1,0),MIN(MIN(1,MAX(0,(B185-Geometria!$L$1405/100)/(Geometria!$N$1307/100))),MIN(1,MAX(0,((Geometria!$L$29/100-B185)-Geometria!$R$1405/100)/(Geometria!$N$1307/100)))),1)+Geometria!$L$1450*IF(IF(OR(Geometria!$K$1409&gt;0,Geometria!$K$1407&gt;0,Geometria!$Q$1409&gt;0,Geometria!$Q$1407&gt;0),1,0),MIN(MIN(1,MAX(0,(B185-Geometria!$L$1409/100)/(Geometria!$N$1307/100))),MIN(1,MAX(0,((Geometria!$L$29/100-B185)-Geometria!$R$1409/100)/(Geometria!$N$1307/100)))),1)*(1-IF(IF(OR(Geometria!$K$1405&gt;0,Geometria!$K$1403&gt;0,Geometria!$Q$1405&gt;0,Geometria!$Q$1403&gt;0),1,0),MIN(MIN(1,MAX(0,(B185-Geometria!$L$1405/100)/(Geometria!$N$1307/100))),MIN(1,MAX(0,((Geometria!$L$29/100-B185)-Geometria!$R$1405/100)/(Geometria!$N$1307/100)))),1))+Geometria!$L$907*IF(IF(OR(Geometria!$K$1409&gt;0,Geometria!$K$1407&gt;0,Geometria!$Q$1409&gt;0,Geometria!$Q$1407&gt;0),1,0),MIN(MIN(1,MAX(0,(B185-Geometria!$L$1409/100)/(Geometria!$N$1307/100))),MIN(1,MAX(0,((Geometria!$L$29/100-B185)-Geometria!$R$1409/100)/(Geometria!$N$1307/100)))),1)*IF(IF(OR(Geometria!$K$1405&gt;0,Geometria!$K$1403&gt;0,Geometria!$Q$1405&gt;0,Geometria!$Q$1403&gt;0),1,0),MIN(MIN(1,MAX(0,(B185-Geometria!$L$1405/100)/(Geometria!$N$1307/100))),MIN(1,MAX(0,((Geometria!$L$29/100-B185)-Geometria!$R$1405/100)/(Geometria!$N$1307/100)))),1))/(Geometria!$L$53/100^3)+Geometria!$M$901/(Geometria!$L$53/100^3)</f>
        <v>-21286.880122605835</v>
      </c>
      <c r="J185" s="743"/>
      <c r="L185" s="414">
        <f ca="1">(Geometria!$L$298-(Geometria!$L$298-IF(B185&lt;Geometria!$L$1409/100,Geometria!$L$1442,Geometria!$L$1460))*(1-(MIN(MIN(1,MAX(0,(B185-Geometria!$L$1409/100)/(Geometria!$N$1307/100))),MIN(1,MAX(0,((Geometria!$L$29/100-B185)-Geometria!$R$1409/100)/(Geometria!$N$1307/100))))))*(IF(OR(Geometria!$K$1409&gt;0,Geometria!$K$1407&gt;0,Geometria!$Q$1409&gt;0,Geometria!$Q$1407&gt;0),1,0))-(Geometria!$L$298-IF(B185&lt;Geometria!$L$1405/100,Geometria!$L$1444,Geometria!$L$1462))*(1-(MIN(MIN(1,MAX(0,(B185-Geometria!$L$1405/100)/(Geometria!$N$1307/100))),MIN(1,MAX(0,((Geometria!$L$29/100-B185)-Geometria!$R$1405/100)/(Geometria!$N$1307/100))))))*(IF(OR(Geometria!$K$1405&gt;0,Geometria!$K$1403&gt;0,Geometria!$Q$1405&gt;0,Geometria!$Q$1403&gt;0),1,0)))*H185+Geometria!$P$1429*H162</f>
        <v>4583.4208978007955</v>
      </c>
      <c r="M185" s="373">
        <f ca="1">(Geometria!$L$298-(Geometria!$L$298-IF(B185&lt;Geometria!$L$1409/100,Geometria!$L$1442,Geometria!$L$1460))*(1-(MIN(MIN(1,MAX(0,(B185-Geometria!$L$1409/100)/(Geometria!$N$1307/100))),MIN(1,MAX(0,((Geometria!$L$29/100-B185)-Geometria!$R$1409/100)/(Geometria!$N$1307/100))))))*(IF(OR(Geometria!$K$1409&gt;0,Geometria!$K$1407&gt;0,Geometria!$Q$1409&gt;0,Geometria!$Q$1407&gt;0),1,0))-(Geometria!$L$298-IF(B185&lt;Geometria!$L$1405/100,Geometria!$L$1444,Geometria!$L$1462))*(1-(MIN(MIN(1,MAX(0,(B185-Geometria!$L$1405/100)/(Geometria!$N$1307/100))),MIN(1,MAX(0,((Geometria!$L$29/100-B185)-Geometria!$R$1405/100)/(Geometria!$N$1307/100))))))*(IF(OR(Geometria!$K$1405&gt;0,Geometria!$K$1403&gt;0,Geometria!$Q$1405&gt;0,Geometria!$Q$1403&gt;0),1,0)))*H185*(Geometria!$L$299-(Geometria!$L$299-IF(B185&lt;Geometria!$L$1409/100,Geometria!$L$1443,Geometria!$L$1461))*(1-(MIN(MIN(1,MAX(0,(B185-Geometria!$L$1409/100)/(Geometria!$N$1307/100))),MIN(1,MAX(0,((Geometria!$L$29/100-B185)-Geometria!$R$1409/100)/(Geometria!$N$1307/100))))))*(IF(OR(Geometria!$K$1409&gt;0,Geometria!$K$1407&gt;0,Geometria!$Q$1409&gt;0,Geometria!$Q$1407&gt;0),1,0))-(Geometria!$L$299-IF(B185&lt;Geometria!$L$1405/100,Geometria!$L$1445,Geometria!$L$1463))*(1-(MIN(MIN(1,MAX(0,(B185-Geometria!$L$1405/100)/(Geometria!$N$1307/100))),MIN(1,MAX(0,((Geometria!$L$29/100-B185)-Geometria!$R$1405/100)/(Geometria!$N$1307/100))))))*(IF(OR(Geometria!$K$1405&gt;0,Geometria!$K$1403&gt;0,Geometria!$Q$1405&gt;0,Geometria!$Q$1403&gt;0),1,0)))/100-Geometria!$P$1429*H162*Geometria!$L$1438/100</f>
        <v>859.391418337649</v>
      </c>
      <c r="N185" s="365"/>
      <c r="O185" s="371">
        <f ca="1">(IF(C185="Sim",IF(A185="Sim",$E$93,Geometria!$L$1447),IF(A185="Sim",Geometria!$L$1449,Geometria!$L$906)))</f>
        <v>1475.413282676191</v>
      </c>
      <c r="P185" s="371">
        <f ca="1">(IF(C185="Sim",IF(A185="Sim",$E$94,Geometria!$L$1448),IF(A185="Sim",Geometria!$L$1450,Geometria!$L$907)))</f>
        <v>276.63999050178586</v>
      </c>
      <c r="R185" s="4" t="s">
        <v>439</v>
      </c>
      <c r="S185" s="202">
        <f t="shared" ca="1" si="53"/>
        <v>-21286.880122605835</v>
      </c>
      <c r="T185" s="38" t="s">
        <v>234</v>
      </c>
      <c r="U185" s="203">
        <f t="shared" ca="1" si="52"/>
        <v>-21.286880122605837</v>
      </c>
      <c r="V185" s="38" t="s">
        <v>160</v>
      </c>
      <c r="W185" s="399">
        <f t="shared" si="54"/>
        <v>0.0</v>
      </c>
    </row>
    <row r="186" spans="1:23" x14ac:dyDescent="0.25">
      <c r="A186" s="376" t="str">
        <f>IF(OR(B186&lt;Geometria!$L$1405/100,(Geometria!$L$29/100-B186)&lt;Geometria!$R$1405/100),"Sim","Não")</f>
        <v>Não</v>
      </c>
      <c r="B186" s="395">
        <f t="shared" si="50"/>
        <v>4.3175</v>
      </c>
      <c r="C186" s="376" t="str">
        <f>IF(OR(B186&lt;Geometria!$L$1409/100,(Geometria!$L$29/100-B186)&lt;Geometria!$R$1409/100),"Sim","Não")</f>
        <v>Não</v>
      </c>
      <c r="D186" s="122" t="s">
        <v>440</v>
      </c>
      <c r="E186" s="198" t="str">
        <f ca="1">E184</f>
        <v>OK</v>
      </c>
      <c r="F186" s="396">
        <f t="shared" ca="1" si="51"/>
        <v>-21309.667609585</v>
      </c>
      <c r="G186" s="397">
        <f ca="1">-L186/(Geometria!$L$48/100^2)-M186/(Geometria!$L$53/100^3)+Geometria!$L$898/(Geometria!$L$53/100^3)</f>
        <v>-65453.71315328227</v>
      </c>
      <c r="H186" s="400">
        <f ca="1">H184</f>
        <v>368.3106078589925</v>
      </c>
      <c r="I186" s="743">
        <f ca="1">-($E$93*(1-IF(IF(OR(Geometria!$K$1409&gt;0,Geometria!$K$1407&gt;0,Geometria!$Q$1409&gt;0,Geometria!$Q$1407&gt;0),1,0),MIN(MIN(1,MAX(0,(B186-Geometria!$L$1409/100)/(Geometria!$N$1307/100))),MIN(1,MAX(0,((Geometria!$L$29/100-B186)-Geometria!$R$1409/100)/(Geometria!$N$1307/100)))),1))*(1-IF(IF(OR(Geometria!$K$1405&gt;0,Geometria!$K$1403&gt;0,Geometria!$Q$1405&gt;0,Geometria!$Q$1403&gt;0),1,0),MIN(MIN(1,MAX(0,(B186-Geometria!$L$1405/100)/(Geometria!$N$1307/100))),MIN(1,MAX(0,((Geometria!$L$29/100-B186)-Geometria!$R$1405/100)/(Geometria!$N$1307/100)))),1))+Geometria!$L$1447*(1-IF(IF(OR(Geometria!$K$1409&gt;0,Geometria!$K$1407&gt;0,Geometria!$Q$1409&gt;0,Geometria!$Q$1407&gt;0),1,0),MIN(MIN(1,MAX(0,(B186-Geometria!$L$1409/100)/(Geometria!$N$1307/100))),MIN(1,MAX(0,((Geometria!$L$29/100-B186)-Geometria!$R$1409/100)/(Geometria!$N$1307/100)))),1))*IF(IF(OR(Geometria!$K$1405&gt;0,Geometria!$K$1403&gt;0,Geometria!$Q$1405&gt;0,Geometria!$Q$1403&gt;0),1,0),MIN(MIN(1,MAX(0,(B186-Geometria!$L$1405/100)/(Geometria!$N$1307/100))),MIN(1,MAX(0,((Geometria!$L$29/100-B186)-Geometria!$R$1405/100)/(Geometria!$N$1307/100)))),1)+Geometria!$L$1449*IF(IF(OR(Geometria!$K$1409&gt;0,Geometria!$K$1407&gt;0,Geometria!$Q$1409&gt;0,Geometria!$Q$1407&gt;0),1,0),MIN(MIN(1,MAX(0,(B186-Geometria!$L$1409/100)/(Geometria!$N$1307/100))),MIN(1,MAX(0,((Geometria!$L$29/100-B186)-Geometria!$R$1409/100)/(Geometria!$N$1307/100)))),1)*(1-IF(IF(OR(Geometria!$K$1405&gt;0,Geometria!$K$1403&gt;0,Geometria!$Q$1405&gt;0,Geometria!$Q$1403&gt;0),1,0),MIN(MIN(1,MAX(0,(B186-Geometria!$L$1405/100)/(Geometria!$N$1307/100))),MIN(1,MAX(0,((Geometria!$L$29/100-B186)-Geometria!$R$1405/100)/(Geometria!$N$1307/100)))),1))+Geometria!$L$906*IF(IF(OR(Geometria!$K$1409&gt;0,Geometria!$K$1407&gt;0,Geometria!$Q$1409&gt;0,Geometria!$Q$1407&gt;0),1,0),MIN(MIN(1,MAX(0,(B186-Geometria!$L$1409/100)/(Geometria!$N$1307/100))),MIN(1,MAX(0,((Geometria!$L$29/100-B186)-Geometria!$R$1409/100)/(Geometria!$N$1307/100)))),1)*IF(IF(OR(Geometria!$K$1405&gt;0,Geometria!$K$1403&gt;0,Geometria!$Q$1405&gt;0,Geometria!$Q$1403&gt;0),1,0),MIN(MIN(1,MAX(0,(B186-Geometria!$L$1405/100)/(Geometria!$N$1307/100))),MIN(1,MAX(0,((Geometria!$L$29/100-B186)-Geometria!$R$1405/100)/(Geometria!$N$1307/100)))),1))/(Geometria!$L$48/100^2)-($E$94*(1-IF(IF(OR(Geometria!$K$1409&gt;0,Geometria!$K$1407&gt;0,Geometria!$Q$1409&gt;0,Geometria!$Q$1407&gt;0),1,0),MIN(MIN(1,MAX(0,(B186-Geometria!$L$1409/100)/(Geometria!$N$1307/100))),MIN(1,MAX(0,((Geometria!$L$29/100-B186)-Geometria!$R$1409/100)/(Geometria!$N$1307/100)))),1))*(1-IF(IF(OR(Geometria!$K$1405&gt;0,Geometria!$K$1403&gt;0,Geometria!$Q$1405&gt;0,Geometria!$Q$1403&gt;0),1,0),MIN(MIN(1,MAX(0,(B186-Geometria!$L$1405/100)/(Geometria!$N$1307/100))),MIN(1,MAX(0,((Geometria!$L$29/100-B186)-Geometria!$R$1405/100)/(Geometria!$N$1307/100)))),1))+Geometria!$L$1448*(1-IF(IF(OR(Geometria!$K$1409&gt;0,Geometria!$K$1407&gt;0,Geometria!$Q$1409&gt;0,Geometria!$Q$1407&gt;0),1,0),MIN(MIN(1,MAX(0,(B186-Geometria!$L$1409/100)/(Geometria!$N$1307/100))),MIN(1,MAX(0,((Geometria!$L$29/100-B186)-Geometria!$R$1409/100)/(Geometria!$N$1307/100)))),1))*IF(IF(OR(Geometria!$K$1405&gt;0,Geometria!$K$1403&gt;0,Geometria!$Q$1405&gt;0,Geometria!$Q$1403&gt;0),1,0),MIN(MIN(1,MAX(0,(B186-Geometria!$L$1405/100)/(Geometria!$N$1307/100))),MIN(1,MAX(0,((Geometria!$L$29/100-B186)-Geometria!$R$1405/100)/(Geometria!$N$1307/100)))),1)+Geometria!$L$1450*IF(IF(OR(Geometria!$K$1409&gt;0,Geometria!$K$1407&gt;0,Geometria!$Q$1409&gt;0,Geometria!$Q$1407&gt;0),1,0),MIN(MIN(1,MAX(0,(B186-Geometria!$L$1409/100)/(Geometria!$N$1307/100))),MIN(1,MAX(0,((Geometria!$L$29/100-B186)-Geometria!$R$1409/100)/(Geometria!$N$1307/100)))),1)*(1-IF(IF(OR(Geometria!$K$1405&gt;0,Geometria!$K$1403&gt;0,Geometria!$Q$1405&gt;0,Geometria!$Q$1403&gt;0),1,0),MIN(MIN(1,MAX(0,(B186-Geometria!$L$1405/100)/(Geometria!$N$1307/100))),MIN(1,MAX(0,((Geometria!$L$29/100-B186)-Geometria!$R$1405/100)/(Geometria!$N$1307/100)))),1))+Geometria!$L$907*IF(IF(OR(Geometria!$K$1409&gt;0,Geometria!$K$1407&gt;0,Geometria!$Q$1409&gt;0,Geometria!$Q$1407&gt;0),1,0),MIN(MIN(1,MAX(0,(B186-Geometria!$L$1409/100)/(Geometria!$N$1307/100))),MIN(1,MAX(0,((Geometria!$L$29/100-B186)-Geometria!$R$1409/100)/(Geometria!$N$1307/100)))),1)*IF(IF(OR(Geometria!$K$1405&gt;0,Geometria!$K$1403&gt;0,Geometria!$Q$1405&gt;0,Geometria!$Q$1403&gt;0),1,0),MIN(MIN(1,MAX(0,(B186-Geometria!$L$1405/100)/(Geometria!$N$1307/100))),MIN(1,MAX(0,((Geometria!$L$29/100-B186)-Geometria!$R$1405/100)/(Geometria!$N$1307/100)))),1))/(Geometria!$L$53/100^3)+Geometria!$N$901/(Geometria!$L$53/100^3)</f>
        <v>-21309.667609585</v>
      </c>
      <c r="J186" s="743"/>
      <c r="L186" s="373">
        <f ca="1">(Geometria!$L$298-(Geometria!$L$298-IF(B186&lt;Geometria!$L$1409/100,Geometria!$L$1442,Geometria!$L$1460))*(1-(MIN(MIN(1,MAX(0,(B186-Geometria!$L$1409/100)/(Geometria!$N$1307/100))),MIN(1,MAX(0,((Geometria!$L$29/100-B186)-Geometria!$R$1409/100)/(Geometria!$N$1307/100))))))*(IF(OR(Geometria!$K$1409&gt;0,Geometria!$K$1407&gt;0,Geometria!$Q$1409&gt;0,Geometria!$Q$1407&gt;0),1,0))-(Geometria!$L$298-IF(B186&lt;Geometria!$L$1405/100,Geometria!$L$1444,Geometria!$L$1462))*(1-(MIN(MIN(1,MAX(0,(B186-Geometria!$L$1405/100)/(Geometria!$N$1307/100))),MIN(1,MAX(0,((Geometria!$L$29/100-B186)-Geometria!$R$1405/100)/(Geometria!$N$1307/100))))))*(IF(OR(Geometria!$K$1405&gt;0,Geometria!$K$1403&gt;0,Geometria!$Q$1405&gt;0,Geometria!$Q$1403&gt;0),1,0)))*H186+Geometria!$P$1429*H163</f>
        <v>4125.078808020716</v>
      </c>
      <c r="M186" s="373">
        <f ca="1">(Geometria!$L$298-(Geometria!$L$298-IF(B186&lt;Geometria!$L$1409/100,Geometria!$L$1442,Geometria!$L$1460))*(1-(MIN(MIN(1,MAX(0,(B186-Geometria!$L$1409/100)/(Geometria!$N$1307/100))),MIN(1,MAX(0,((Geometria!$L$29/100-B186)-Geometria!$R$1409/100)/(Geometria!$N$1307/100))))))*(IF(OR(Geometria!$K$1409&gt;0,Geometria!$K$1407&gt;0,Geometria!$Q$1409&gt;0,Geometria!$Q$1407&gt;0),1,0))-(Geometria!$L$298-IF(B186&lt;Geometria!$L$1405/100,Geometria!$L$1444,Geometria!$L$1462))*(1-(MIN(MIN(1,MAX(0,(B186-Geometria!$L$1405/100)/(Geometria!$N$1307/100))),MIN(1,MAX(0,((Geometria!$L$29/100-B186)-Geometria!$R$1405/100)/(Geometria!$N$1307/100))))))*(IF(OR(Geometria!$K$1405&gt;0,Geometria!$K$1403&gt;0,Geometria!$Q$1405&gt;0,Geometria!$Q$1403&gt;0),1,0)))*H186*(Geometria!$L$299-(Geometria!$L$299-IF(B186&lt;Geometria!$L$1409/100,Geometria!$L$1443,Geometria!$L$1461))*(1-(MIN(MIN(1,MAX(0,(B186-Geometria!$L$1409/100)/(Geometria!$N$1307/100))),MIN(1,MAX(0,((Geometria!$L$29/100-B186)-Geometria!$R$1409/100)/(Geometria!$N$1307/100))))))*(IF(OR(Geometria!$K$1409&gt;0,Geometria!$K$1407&gt;0,Geometria!$Q$1409&gt;0,Geometria!$Q$1407&gt;0),1,0))-(Geometria!$L$299-IF(B186&lt;Geometria!$L$1405/100,Geometria!$L$1445,Geometria!$L$1463))*(1-(MIN(MIN(1,MAX(0,(B186-Geometria!$L$1405/100)/(Geometria!$N$1307/100))),MIN(1,MAX(0,((Geometria!$L$29/100-B186)-Geometria!$R$1405/100)/(Geometria!$N$1307/100))))))*(IF(OR(Geometria!$K$1405&gt;0,Geometria!$K$1403&gt;0,Geometria!$Q$1405&gt;0,Geometria!$Q$1403&gt;0),1,0)))/100-Geometria!$P$1429*H163*Geometria!$L$1438/100</f>
        <v>773.4522765038841</v>
      </c>
      <c r="N186" s="365"/>
      <c r="O186" s="371">
        <f ca="1">(IF(C186="Sim",IF(A186="Sim",$E$93,Geometria!$L$1447),IF(A186="Sim",Geometria!$L$1449,Geometria!$L$906)))</f>
        <v>1475.413282676191</v>
      </c>
      <c r="P186" s="371">
        <f ca="1">(IF(C186="Sim",IF(A186="Sim",$E$94,Geometria!$L$1448),IF(A186="Sim",Geometria!$L$1450,Geometria!$L$907)))</f>
        <v>276.63999050178586</v>
      </c>
      <c r="R186" s="4" t="s">
        <v>440</v>
      </c>
      <c r="S186" s="202">
        <f t="shared" ca="1" si="53"/>
        <v>-21309.667609585</v>
      </c>
      <c r="T186" s="38" t="s">
        <v>234</v>
      </c>
      <c r="U186" s="203">
        <f t="shared" ca="1" si="52"/>
        <v>-21.309667609585002</v>
      </c>
      <c r="V186" s="38" t="s">
        <v>160</v>
      </c>
      <c r="W186" s="399">
        <f t="shared" si="54"/>
        <v>0.0</v>
      </c>
    </row>
    <row r="187" spans="1:23" x14ac:dyDescent="0.25">
      <c r="A187" s="376" t="str">
        <f>IF(OR(B187&lt;Geometria!$L$1405/100,(Geometria!$L$29/100-B187)&lt;Geometria!$R$1405/100),"Sim","Não")</f>
        <v>Não</v>
      </c>
      <c r="B187" s="395">
        <f t="shared" si="50"/>
        <v>4.71</v>
      </c>
      <c r="C187" s="376" t="str">
        <f>IF(OR(B187&lt;Geometria!$L$1409/100,(Geometria!$L$29/100-B187)&lt;Geometria!$R$1409/100),"Sim","Não")</f>
        <v>Não</v>
      </c>
      <c r="D187" s="122" t="s">
        <v>441</v>
      </c>
      <c r="E187" s="198" t="str">
        <f ca="1">E183</f>
        <v>OK</v>
      </c>
      <c r="F187" s="396">
        <f t="shared" ca="1" si="51"/>
        <v>-21378.0300705225</v>
      </c>
      <c r="G187" s="397">
        <f ca="1">-L187/(Geometria!$L$48/100^2)-M187/(Geometria!$L$53/100^3)+Geometria!$L$898/(Geometria!$L$53/100^3)</f>
        <v>-58132.97144151713</v>
      </c>
      <c r="H187" s="400">
        <f ca="1">H183</f>
        <v>327.3872069857712</v>
      </c>
      <c r="I187" s="743">
        <f ca="1">-($E$93*(1-IF(IF(OR(Geometria!$K$1409&gt;0,Geometria!$K$1407&gt;0,Geometria!$Q$1409&gt;0,Geometria!$Q$1407&gt;0),1,0),MIN(MIN(1,MAX(0,(B187-Geometria!$L$1409/100)/(Geometria!$N$1307/100))),MIN(1,MAX(0,((Geometria!$L$29/100-B187)-Geometria!$R$1409/100)/(Geometria!$N$1307/100)))),1))*(1-IF(IF(OR(Geometria!$K$1405&gt;0,Geometria!$K$1403&gt;0,Geometria!$Q$1405&gt;0,Geometria!$Q$1403&gt;0),1,0),MIN(MIN(1,MAX(0,(B187-Geometria!$L$1405/100)/(Geometria!$N$1307/100))),MIN(1,MAX(0,((Geometria!$L$29/100-B187)-Geometria!$R$1405/100)/(Geometria!$N$1307/100)))),1))+Geometria!$L$1447*(1-IF(IF(OR(Geometria!$K$1409&gt;0,Geometria!$K$1407&gt;0,Geometria!$Q$1409&gt;0,Geometria!$Q$1407&gt;0),1,0),MIN(MIN(1,MAX(0,(B187-Geometria!$L$1409/100)/(Geometria!$N$1307/100))),MIN(1,MAX(0,((Geometria!$L$29/100-B187)-Geometria!$R$1409/100)/(Geometria!$N$1307/100)))),1))*IF(IF(OR(Geometria!$K$1405&gt;0,Geometria!$K$1403&gt;0,Geometria!$Q$1405&gt;0,Geometria!$Q$1403&gt;0),1,0),MIN(MIN(1,MAX(0,(B187-Geometria!$L$1405/100)/(Geometria!$N$1307/100))),MIN(1,MAX(0,((Geometria!$L$29/100-B187)-Geometria!$R$1405/100)/(Geometria!$N$1307/100)))),1)+Geometria!$L$1449*IF(IF(OR(Geometria!$K$1409&gt;0,Geometria!$K$1407&gt;0,Geometria!$Q$1409&gt;0,Geometria!$Q$1407&gt;0),1,0),MIN(MIN(1,MAX(0,(B187-Geometria!$L$1409/100)/(Geometria!$N$1307/100))),MIN(1,MAX(0,((Geometria!$L$29/100-B187)-Geometria!$R$1409/100)/(Geometria!$N$1307/100)))),1)*(1-IF(IF(OR(Geometria!$K$1405&gt;0,Geometria!$K$1403&gt;0,Geometria!$Q$1405&gt;0,Geometria!$Q$1403&gt;0),1,0),MIN(MIN(1,MAX(0,(B187-Geometria!$L$1405/100)/(Geometria!$N$1307/100))),MIN(1,MAX(0,((Geometria!$L$29/100-B187)-Geometria!$R$1405/100)/(Geometria!$N$1307/100)))),1))+Geometria!$L$906*IF(IF(OR(Geometria!$K$1409&gt;0,Geometria!$K$1407&gt;0,Geometria!$Q$1409&gt;0,Geometria!$Q$1407&gt;0),1,0),MIN(MIN(1,MAX(0,(B187-Geometria!$L$1409/100)/(Geometria!$N$1307/100))),MIN(1,MAX(0,((Geometria!$L$29/100-B187)-Geometria!$R$1409/100)/(Geometria!$N$1307/100)))),1)*IF(IF(OR(Geometria!$K$1405&gt;0,Geometria!$K$1403&gt;0,Geometria!$Q$1405&gt;0,Geometria!$Q$1403&gt;0),1,0),MIN(MIN(1,MAX(0,(B187-Geometria!$L$1405/100)/(Geometria!$N$1307/100))),MIN(1,MAX(0,((Geometria!$L$29/100-B187)-Geometria!$R$1405/100)/(Geometria!$N$1307/100)))),1))/(Geometria!$L$48/100^2)-($E$94*(1-IF(IF(OR(Geometria!$K$1409&gt;0,Geometria!$K$1407&gt;0,Geometria!$Q$1409&gt;0,Geometria!$Q$1407&gt;0),1,0),MIN(MIN(1,MAX(0,(B187-Geometria!$L$1409/100)/(Geometria!$N$1307/100))),MIN(1,MAX(0,((Geometria!$L$29/100-B187)-Geometria!$R$1409/100)/(Geometria!$N$1307/100)))),1))*(1-IF(IF(OR(Geometria!$K$1405&gt;0,Geometria!$K$1403&gt;0,Geometria!$Q$1405&gt;0,Geometria!$Q$1403&gt;0),1,0),MIN(MIN(1,MAX(0,(B187-Geometria!$L$1405/100)/(Geometria!$N$1307/100))),MIN(1,MAX(0,((Geometria!$L$29/100-B187)-Geometria!$R$1405/100)/(Geometria!$N$1307/100)))),1))+Geometria!$L$1448*(1-IF(IF(OR(Geometria!$K$1409&gt;0,Geometria!$K$1407&gt;0,Geometria!$Q$1409&gt;0,Geometria!$Q$1407&gt;0),1,0),MIN(MIN(1,MAX(0,(B187-Geometria!$L$1409/100)/(Geometria!$N$1307/100))),MIN(1,MAX(0,((Geometria!$L$29/100-B187)-Geometria!$R$1409/100)/(Geometria!$N$1307/100)))),1))*IF(IF(OR(Geometria!$K$1405&gt;0,Geometria!$K$1403&gt;0,Geometria!$Q$1405&gt;0,Geometria!$Q$1403&gt;0),1,0),MIN(MIN(1,MAX(0,(B187-Geometria!$L$1405/100)/(Geometria!$N$1307/100))),MIN(1,MAX(0,((Geometria!$L$29/100-B187)-Geometria!$R$1405/100)/(Geometria!$N$1307/100)))),1)+Geometria!$L$1450*IF(IF(OR(Geometria!$K$1409&gt;0,Geometria!$K$1407&gt;0,Geometria!$Q$1409&gt;0,Geometria!$Q$1407&gt;0),1,0),MIN(MIN(1,MAX(0,(B187-Geometria!$L$1409/100)/(Geometria!$N$1307/100))),MIN(1,MAX(0,((Geometria!$L$29/100-B187)-Geometria!$R$1409/100)/(Geometria!$N$1307/100)))),1)*(1-IF(IF(OR(Geometria!$K$1405&gt;0,Geometria!$K$1403&gt;0,Geometria!$Q$1405&gt;0,Geometria!$Q$1403&gt;0),1,0),MIN(MIN(1,MAX(0,(B187-Geometria!$L$1405/100)/(Geometria!$N$1307/100))),MIN(1,MAX(0,((Geometria!$L$29/100-B187)-Geometria!$R$1405/100)/(Geometria!$N$1307/100)))),1))+Geometria!$L$907*IF(IF(OR(Geometria!$K$1409&gt;0,Geometria!$K$1407&gt;0,Geometria!$Q$1409&gt;0,Geometria!$Q$1407&gt;0),1,0),MIN(MIN(1,MAX(0,(B187-Geometria!$L$1409/100)/(Geometria!$N$1307/100))),MIN(1,MAX(0,((Geometria!$L$29/100-B187)-Geometria!$R$1409/100)/(Geometria!$N$1307/100)))),1)*IF(IF(OR(Geometria!$K$1405&gt;0,Geometria!$K$1403&gt;0,Geometria!$Q$1405&gt;0,Geometria!$Q$1403&gt;0),1,0),MIN(MIN(1,MAX(0,(B187-Geometria!$L$1405/100)/(Geometria!$N$1307/100))),MIN(1,MAX(0,((Geometria!$L$29/100-B187)-Geometria!$R$1405/100)/(Geometria!$N$1307/100)))),1))/(Geometria!$L$53/100^3)+Geometria!$O$901/(Geometria!$L$53/100^3)</f>
        <v>-21378.0300705225</v>
      </c>
      <c r="J187" s="743"/>
      <c r="L187" s="373">
        <f ca="1">(Geometria!$L$298-(Geometria!$L$298-IF(B187&lt;Geometria!$L$1409/100,Geometria!$L$1442,Geometria!$L$1460))*(1-(MIN(MIN(1,MAX(0,(B187-Geometria!$L$1409/100)/(Geometria!$N$1307/100))),MIN(1,MAX(0,((Geometria!$L$29/100-B187)-Geometria!$R$1409/100)/(Geometria!$N$1307/100))))))*(IF(OR(Geometria!$K$1409&gt;0,Geometria!$K$1407&gt;0,Geometria!$Q$1409&gt;0,Geometria!$Q$1407&gt;0),1,0))-(Geometria!$L$298-IF(B187&lt;Geometria!$L$1405/100,Geometria!$L$1444,Geometria!$L$1462))*(1-(MIN(MIN(1,MAX(0,(B187-Geometria!$L$1405/100)/(Geometria!$N$1307/100))),MIN(1,MAX(0,((Geometria!$L$29/100-B187)-Geometria!$R$1405/100)/(Geometria!$N$1307/100))))))*(IF(OR(Geometria!$K$1405&gt;0,Geometria!$K$1403&gt;0,Geometria!$Q$1405&gt;0,Geometria!$Q$1403&gt;0),1,0)))*H187+Geometria!$P$1429*H164</f>
        <v>3666.736718240637</v>
      </c>
      <c r="M187" s="373">
        <f ca="1">(Geometria!$L$298-(Geometria!$L$298-IF(B187&lt;Geometria!$L$1409/100,Geometria!$L$1442,Geometria!$L$1460))*(1-(MIN(MIN(1,MAX(0,(B187-Geometria!$L$1409/100)/(Geometria!$N$1307/100))),MIN(1,MAX(0,((Geometria!$L$29/100-B187)-Geometria!$R$1409/100)/(Geometria!$N$1307/100))))))*(IF(OR(Geometria!$K$1409&gt;0,Geometria!$K$1407&gt;0,Geometria!$Q$1409&gt;0,Geometria!$Q$1407&gt;0),1,0))-(Geometria!$L$298-IF(B187&lt;Geometria!$L$1405/100,Geometria!$L$1444,Geometria!$L$1462))*(1-(MIN(MIN(1,MAX(0,(B187-Geometria!$L$1405/100)/(Geometria!$N$1307/100))),MIN(1,MAX(0,((Geometria!$L$29/100-B187)-Geometria!$R$1405/100)/(Geometria!$N$1307/100))))))*(IF(OR(Geometria!$K$1405&gt;0,Geometria!$K$1403&gt;0,Geometria!$Q$1405&gt;0,Geometria!$Q$1403&gt;0),1,0)))*H187*(Geometria!$L$299-(Geometria!$L$299-IF(B187&lt;Geometria!$L$1409/100,Geometria!$L$1443,Geometria!$L$1461))*(1-(MIN(MIN(1,MAX(0,(B187-Geometria!$L$1409/100)/(Geometria!$N$1307/100))),MIN(1,MAX(0,((Geometria!$L$29/100-B187)-Geometria!$R$1409/100)/(Geometria!$N$1307/100))))))*(IF(OR(Geometria!$K$1409&gt;0,Geometria!$K$1407&gt;0,Geometria!$Q$1409&gt;0,Geometria!$Q$1407&gt;0),1,0))-(Geometria!$L$299-IF(B187&lt;Geometria!$L$1405/100,Geometria!$L$1445,Geometria!$L$1463))*(1-(MIN(MIN(1,MAX(0,(B187-Geometria!$L$1405/100)/(Geometria!$N$1307/100))),MIN(1,MAX(0,((Geometria!$L$29/100-B187)-Geometria!$R$1405/100)/(Geometria!$N$1307/100))))))*(IF(OR(Geometria!$K$1405&gt;0,Geometria!$K$1403&gt;0,Geometria!$Q$1405&gt;0,Geometria!$Q$1403&gt;0),1,0)))/100-Geometria!$P$1429*H164*Geometria!$L$1438/100</f>
        <v>687.5131346701195</v>
      </c>
      <c r="N187" s="365"/>
      <c r="O187" s="371">
        <f ca="1">(IF(C187="Sim",IF(A187="Sim",$E$93,Geometria!$L$1447),IF(A187="Sim",Geometria!$L$1449,Geometria!$L$906)))</f>
        <v>1475.413282676191</v>
      </c>
      <c r="P187" s="371">
        <f ca="1">(IF(C187="Sim",IF(A187="Sim",$E$94,Geometria!$L$1448),IF(A187="Sim",Geometria!$L$1450,Geometria!$L$907)))</f>
        <v>276.63999050178586</v>
      </c>
      <c r="R187" s="4" t="s">
        <v>441</v>
      </c>
      <c r="S187" s="202">
        <f t="shared" ca="1" si="53"/>
        <v>-21378.0300705225</v>
      </c>
      <c r="T187" s="38" t="s">
        <v>234</v>
      </c>
      <c r="U187" s="203">
        <f t="shared" ca="1" si="52"/>
        <v>-21.378030070522502</v>
      </c>
      <c r="V187" s="38" t="s">
        <v>160</v>
      </c>
      <c r="W187" s="399">
        <f t="shared" si="54"/>
        <v>0.0</v>
      </c>
    </row>
    <row r="188" spans="1:23" x14ac:dyDescent="0.25">
      <c r="A188" s="376" t="str">
        <f>IF(OR(B188&lt;Geometria!$L$1405/100,(Geometria!$L$29/100-B188)&lt;Geometria!$R$1405/100),"Sim","Não")</f>
        <v>Não</v>
      </c>
      <c r="B188" s="395">
        <f t="shared" si="50"/>
        <v>5.1025</v>
      </c>
      <c r="C188" s="376" t="str">
        <f>IF(OR(B188&lt;Geometria!$L$1409/100,(Geometria!$L$29/100-B188)&lt;Geometria!$R$1409/100),"Sim","Não")</f>
        <v>Não</v>
      </c>
      <c r="D188" s="122" t="s">
        <v>442</v>
      </c>
      <c r="E188" s="198" t="str">
        <f ca="1">E182</f>
        <v>OK</v>
      </c>
      <c r="F188" s="396">
        <f t="shared" ca="1" si="51"/>
        <v>-21357.110223298503</v>
      </c>
      <c r="G188" s="397">
        <f ca="1">-L188/(Geometria!$L$48/100^2)-M188/(Geometria!$L$53/100^3)+Geometria!$L$898/(Geometria!$L$53/100^3)</f>
        <v>-50661.72124243666</v>
      </c>
      <c r="H188" s="400">
        <f ca="1">H182</f>
        <v>286.4638061125497</v>
      </c>
      <c r="I188" s="743">
        <f ca="1">-($E$93*(1-IF(IF(OR(Geometria!$K$1409&gt;0,Geometria!$K$1407&gt;0,Geometria!$Q$1409&gt;0,Geometria!$Q$1407&gt;0),1,0),MIN(MIN(1,MAX(0,(B188-Geometria!$L$1409/100)/(Geometria!$N$1307/100))),MIN(1,MAX(0,((Geometria!$L$29/100-B188)-Geometria!$R$1409/100)/(Geometria!$N$1307/100)))),1))*(1-IF(IF(OR(Geometria!$K$1405&gt;0,Geometria!$K$1403&gt;0,Geometria!$Q$1405&gt;0,Geometria!$Q$1403&gt;0),1,0),MIN(MIN(1,MAX(0,(B188-Geometria!$L$1405/100)/(Geometria!$N$1307/100))),MIN(1,MAX(0,((Geometria!$L$29/100-B188)-Geometria!$R$1405/100)/(Geometria!$N$1307/100)))),1))+Geometria!$L$1447*(1-IF(IF(OR(Geometria!$K$1409&gt;0,Geometria!$K$1407&gt;0,Geometria!$Q$1409&gt;0,Geometria!$Q$1407&gt;0),1,0),MIN(MIN(1,MAX(0,(B188-Geometria!$L$1409/100)/(Geometria!$N$1307/100))),MIN(1,MAX(0,((Geometria!$L$29/100-B188)-Geometria!$R$1409/100)/(Geometria!$N$1307/100)))),1))*IF(IF(OR(Geometria!$K$1405&gt;0,Geometria!$K$1403&gt;0,Geometria!$Q$1405&gt;0,Geometria!$Q$1403&gt;0),1,0),MIN(MIN(1,MAX(0,(B188-Geometria!$L$1405/100)/(Geometria!$N$1307/100))),MIN(1,MAX(0,((Geometria!$L$29/100-B188)-Geometria!$R$1405/100)/(Geometria!$N$1307/100)))),1)+Geometria!$L$1449*IF(IF(OR(Geometria!$K$1409&gt;0,Geometria!$K$1407&gt;0,Geometria!$Q$1409&gt;0,Geometria!$Q$1407&gt;0),1,0),MIN(MIN(1,MAX(0,(B188-Geometria!$L$1409/100)/(Geometria!$N$1307/100))),MIN(1,MAX(0,((Geometria!$L$29/100-B188)-Geometria!$R$1409/100)/(Geometria!$N$1307/100)))),1)*(1-IF(IF(OR(Geometria!$K$1405&gt;0,Geometria!$K$1403&gt;0,Geometria!$Q$1405&gt;0,Geometria!$Q$1403&gt;0),1,0),MIN(MIN(1,MAX(0,(B188-Geometria!$L$1405/100)/(Geometria!$N$1307/100))),MIN(1,MAX(0,((Geometria!$L$29/100-B188)-Geometria!$R$1405/100)/(Geometria!$N$1307/100)))),1))+Geometria!$L$906*IF(IF(OR(Geometria!$K$1409&gt;0,Geometria!$K$1407&gt;0,Geometria!$Q$1409&gt;0,Geometria!$Q$1407&gt;0),1,0),MIN(MIN(1,MAX(0,(B188-Geometria!$L$1409/100)/(Geometria!$N$1307/100))),MIN(1,MAX(0,((Geometria!$L$29/100-B188)-Geometria!$R$1409/100)/(Geometria!$N$1307/100)))),1)*IF(IF(OR(Geometria!$K$1405&gt;0,Geometria!$K$1403&gt;0,Geometria!$Q$1405&gt;0,Geometria!$Q$1403&gt;0),1,0),MIN(MIN(1,MAX(0,(B188-Geometria!$L$1405/100)/(Geometria!$N$1307/100))),MIN(1,MAX(0,((Geometria!$L$29/100-B188)-Geometria!$R$1405/100)/(Geometria!$N$1307/100)))),1))/(Geometria!$L$48/100^2)-($E$94*(1-IF(IF(OR(Geometria!$K$1409&gt;0,Geometria!$K$1407&gt;0,Geometria!$Q$1409&gt;0,Geometria!$Q$1407&gt;0),1,0),MIN(MIN(1,MAX(0,(B188-Geometria!$L$1409/100)/(Geometria!$N$1307/100))),MIN(1,MAX(0,((Geometria!$L$29/100-B188)-Geometria!$R$1409/100)/(Geometria!$N$1307/100)))),1))*(1-IF(IF(OR(Geometria!$K$1405&gt;0,Geometria!$K$1403&gt;0,Geometria!$Q$1405&gt;0,Geometria!$Q$1403&gt;0),1,0),MIN(MIN(1,MAX(0,(B188-Geometria!$L$1405/100)/(Geometria!$N$1307/100))),MIN(1,MAX(0,((Geometria!$L$29/100-B188)-Geometria!$R$1405/100)/(Geometria!$N$1307/100)))),1))+Geometria!$L$1448*(1-IF(IF(OR(Geometria!$K$1409&gt;0,Geometria!$K$1407&gt;0,Geometria!$Q$1409&gt;0,Geometria!$Q$1407&gt;0),1,0),MIN(MIN(1,MAX(0,(B188-Geometria!$L$1409/100)/(Geometria!$N$1307/100))),MIN(1,MAX(0,((Geometria!$L$29/100-B188)-Geometria!$R$1409/100)/(Geometria!$N$1307/100)))),1))*IF(IF(OR(Geometria!$K$1405&gt;0,Geometria!$K$1403&gt;0,Geometria!$Q$1405&gt;0,Geometria!$Q$1403&gt;0),1,0),MIN(MIN(1,MAX(0,(B188-Geometria!$L$1405/100)/(Geometria!$N$1307/100))),MIN(1,MAX(0,((Geometria!$L$29/100-B188)-Geometria!$R$1405/100)/(Geometria!$N$1307/100)))),1)+Geometria!$L$1450*IF(IF(OR(Geometria!$K$1409&gt;0,Geometria!$K$1407&gt;0,Geometria!$Q$1409&gt;0,Geometria!$Q$1407&gt;0),1,0),MIN(MIN(1,MAX(0,(B188-Geometria!$L$1409/100)/(Geometria!$N$1307/100))),MIN(1,MAX(0,((Geometria!$L$29/100-B188)-Geometria!$R$1409/100)/(Geometria!$N$1307/100)))),1)*(1-IF(IF(OR(Geometria!$K$1405&gt;0,Geometria!$K$1403&gt;0,Geometria!$Q$1405&gt;0,Geometria!$Q$1403&gt;0),1,0),MIN(MIN(1,MAX(0,(B188-Geometria!$L$1405/100)/(Geometria!$N$1307/100))),MIN(1,MAX(0,((Geometria!$L$29/100-B188)-Geometria!$R$1405/100)/(Geometria!$N$1307/100)))),1))+Geometria!$L$907*IF(IF(OR(Geometria!$K$1409&gt;0,Geometria!$K$1407&gt;0,Geometria!$Q$1409&gt;0,Geometria!$Q$1407&gt;0),1,0),MIN(MIN(1,MAX(0,(B188-Geometria!$L$1409/100)/(Geometria!$N$1307/100))),MIN(1,MAX(0,((Geometria!$L$29/100-B188)-Geometria!$R$1409/100)/(Geometria!$N$1307/100)))),1)*IF(IF(OR(Geometria!$K$1405&gt;0,Geometria!$K$1403&gt;0,Geometria!$Q$1405&gt;0,Geometria!$Q$1403&gt;0),1,0),MIN(MIN(1,MAX(0,(B188-Geometria!$L$1405/100)/(Geometria!$N$1307/100))),MIN(1,MAX(0,((Geometria!$L$29/100-B188)-Geometria!$R$1405/100)/(Geometria!$N$1307/100)))),1))/(Geometria!$L$53/100^3)+Geometria!$P$901/(Geometria!$L$53/100^3)</f>
        <v>-21357.110223298503</v>
      </c>
      <c r="J188" s="743"/>
      <c r="L188" s="373">
        <f ca="1">(Geometria!$L$298-(Geometria!$L$298-IF(B188&lt;Geometria!$L$1409/100,Geometria!$L$1442,Geometria!$L$1460))*(1-(MIN(MIN(1,MAX(0,(B188-Geometria!$L$1409/100)/(Geometria!$N$1307/100))),MIN(1,MAX(0,((Geometria!$L$29/100-B188)-Geometria!$R$1409/100)/(Geometria!$N$1307/100))))))*(IF(OR(Geometria!$K$1409&gt;0,Geometria!$K$1407&gt;0,Geometria!$Q$1409&gt;0,Geometria!$Q$1407&gt;0),1,0))-(Geometria!$L$298-IF(B188&lt;Geometria!$L$1405/100,Geometria!$L$1444,Geometria!$L$1462))*(1-(MIN(MIN(1,MAX(0,(B188-Geometria!$L$1405/100)/(Geometria!$N$1307/100))),MIN(1,MAX(0,((Geometria!$L$29/100-B188)-Geometria!$R$1405/100)/(Geometria!$N$1307/100))))))*(IF(OR(Geometria!$K$1405&gt;0,Geometria!$K$1403&gt;0,Geometria!$Q$1405&gt;0,Geometria!$Q$1403&gt;0),1,0)))*H188+Geometria!$P$1429*H165</f>
        <v>3179.6494109582613</v>
      </c>
      <c r="M188" s="373">
        <f ca="1">(Geometria!$L$298-(Geometria!$L$298-IF(B188&lt;Geometria!$L$1409/100,Geometria!$L$1442,Geometria!$L$1460))*(1-(MIN(MIN(1,MAX(0,(B188-Geometria!$L$1409/100)/(Geometria!$N$1307/100))),MIN(1,MAX(0,((Geometria!$L$29/100-B188)-Geometria!$R$1409/100)/(Geometria!$N$1307/100))))))*(IF(OR(Geometria!$K$1409&gt;0,Geometria!$K$1407&gt;0,Geometria!$Q$1409&gt;0,Geometria!$Q$1407&gt;0),1,0))-(Geometria!$L$298-IF(B188&lt;Geometria!$L$1405/100,Geometria!$L$1444,Geometria!$L$1462))*(1-(MIN(MIN(1,MAX(0,(B188-Geometria!$L$1405/100)/(Geometria!$N$1307/100))),MIN(1,MAX(0,((Geometria!$L$29/100-B188)-Geometria!$R$1405/100)/(Geometria!$N$1307/100))))))*(IF(OR(Geometria!$K$1405&gt;0,Geometria!$K$1403&gt;0,Geometria!$Q$1405&gt;0,Geometria!$Q$1403&gt;0),1,0)))*H188*(Geometria!$L$299-(Geometria!$L$299-IF(B188&lt;Geometria!$L$1409/100,Geometria!$L$1443,Geometria!$L$1461))*(1-(MIN(MIN(1,MAX(0,(B188-Geometria!$L$1409/100)/(Geometria!$N$1307/100))),MIN(1,MAX(0,((Geometria!$L$29/100-B188)-Geometria!$R$1409/100)/(Geometria!$N$1307/100))))))*(IF(OR(Geometria!$K$1409&gt;0,Geometria!$K$1407&gt;0,Geometria!$Q$1409&gt;0,Geometria!$Q$1407&gt;0),1,0))-(Geometria!$L$299-IF(B188&lt;Geometria!$L$1405/100,Geometria!$L$1445,Geometria!$L$1463))*(1-(MIN(MIN(1,MAX(0,(B188-Geometria!$L$1405/100)/(Geometria!$N$1307/100))),MIN(1,MAX(0,((Geometria!$L$29/100-B188)-Geometria!$R$1405/100)/(Geometria!$N$1307/100))))))*(IF(OR(Geometria!$K$1405&gt;0,Geometria!$K$1403&gt;0,Geometria!$Q$1405&gt;0,Geometria!$Q$1403&gt;0),1,0)))/100-Geometria!$P$1429*H165*Geometria!$L$1438/100</f>
        <v>601.7393618149086</v>
      </c>
      <c r="N188" s="365"/>
      <c r="O188" s="371">
        <f ca="1">(IF(C188="Sim",IF(A188="Sim",$E$93,Geometria!$L$1447),IF(A188="Sim",Geometria!$L$1449,Geometria!$L$906)))</f>
        <v>1475.413282676191</v>
      </c>
      <c r="P188" s="371">
        <f ca="1">(IF(C188="Sim",IF(A188="Sim",$E$94,Geometria!$L$1448),IF(A188="Sim",Geometria!$L$1450,Geometria!$L$907)))</f>
        <v>276.63999050178586</v>
      </c>
      <c r="R188" s="4" t="s">
        <v>442</v>
      </c>
      <c r="S188" s="202">
        <f t="shared" ca="1" si="53"/>
        <v>-21357.110223298503</v>
      </c>
      <c r="T188" s="38" t="s">
        <v>234</v>
      </c>
      <c r="U188" s="203">
        <f t="shared" ca="1" si="52"/>
        <v>-21.357110223298502</v>
      </c>
      <c r="V188" s="38" t="s">
        <v>160</v>
      </c>
      <c r="W188" s="399">
        <f t="shared" si="54"/>
        <v>0.0</v>
      </c>
    </row>
    <row r="189" spans="1:23" x14ac:dyDescent="0.25">
      <c r="A189" s="376" t="str">
        <f>IF(OR(B189&lt;Geometria!$L$1405/100,(Geometria!$L$29/100-B189)&lt;Geometria!$R$1405/100),"Sim","Não")</f>
        <v>Não</v>
      </c>
      <c r="B189" s="395">
        <f t="shared" si="50"/>
        <v>5.495</v>
      </c>
      <c r="C189" s="376" t="str">
        <f>IF(OR(B189&lt;Geometria!$L$1409/100,(Geometria!$L$29/100-B189)&lt;Geometria!$R$1409/100),"Sim","Não")</f>
        <v>Não</v>
      </c>
      <c r="D189" s="122" t="s">
        <v>443</v>
      </c>
      <c r="E189" s="198" t="str">
        <f ca="1">E181</f>
        <v>OK</v>
      </c>
      <c r="F189" s="396">
        <f t="shared" ca="1" si="51"/>
        <v>-18988.483487884085</v>
      </c>
      <c r="G189" s="397">
        <f ca="1">-L189/(Geometria!$L$48/100^2)-M189/(Geometria!$L$53/100^3)+Geometria!$L$898/(Geometria!$L$53/100^3)</f>
        <v>-40058.7286727539</v>
      </c>
      <c r="H189" s="400">
        <f ca="1">H181</f>
        <v>245.54040523932832</v>
      </c>
      <c r="I189" s="743">
        <f ca="1">-($E$93*(1-IF(IF(OR(Geometria!$K$1409&gt;0,Geometria!$K$1407&gt;0,Geometria!$Q$1409&gt;0,Geometria!$Q$1407&gt;0),1,0),MIN(MIN(1,MAX(0,(B189-Geometria!$L$1409/100)/(Geometria!$N$1307/100))),MIN(1,MAX(0,((Geometria!$L$29/100-B189)-Geometria!$R$1409/100)/(Geometria!$N$1307/100)))),1))*(1-IF(IF(OR(Geometria!$K$1405&gt;0,Geometria!$K$1403&gt;0,Geometria!$Q$1405&gt;0,Geometria!$Q$1403&gt;0),1,0),MIN(MIN(1,MAX(0,(B189-Geometria!$L$1405/100)/(Geometria!$N$1307/100))),MIN(1,MAX(0,((Geometria!$L$29/100-B189)-Geometria!$R$1405/100)/(Geometria!$N$1307/100)))),1))+Geometria!$L$1447*(1-IF(IF(OR(Geometria!$K$1409&gt;0,Geometria!$K$1407&gt;0,Geometria!$Q$1409&gt;0,Geometria!$Q$1407&gt;0),1,0),MIN(MIN(1,MAX(0,(B189-Geometria!$L$1409/100)/(Geometria!$N$1307/100))),MIN(1,MAX(0,((Geometria!$L$29/100-B189)-Geometria!$R$1409/100)/(Geometria!$N$1307/100)))),1))*IF(IF(OR(Geometria!$K$1405&gt;0,Geometria!$K$1403&gt;0,Geometria!$Q$1405&gt;0,Geometria!$Q$1403&gt;0),1,0),MIN(MIN(1,MAX(0,(B189-Geometria!$L$1405/100)/(Geometria!$N$1307/100))),MIN(1,MAX(0,((Geometria!$L$29/100-B189)-Geometria!$R$1405/100)/(Geometria!$N$1307/100)))),1)+Geometria!$L$1449*IF(IF(OR(Geometria!$K$1409&gt;0,Geometria!$K$1407&gt;0,Geometria!$Q$1409&gt;0,Geometria!$Q$1407&gt;0),1,0),MIN(MIN(1,MAX(0,(B189-Geometria!$L$1409/100)/(Geometria!$N$1307/100))),MIN(1,MAX(0,((Geometria!$L$29/100-B189)-Geometria!$R$1409/100)/(Geometria!$N$1307/100)))),1)*(1-IF(IF(OR(Geometria!$K$1405&gt;0,Geometria!$K$1403&gt;0,Geometria!$Q$1405&gt;0,Geometria!$Q$1403&gt;0),1,0),MIN(MIN(1,MAX(0,(B189-Geometria!$L$1405/100)/(Geometria!$N$1307/100))),MIN(1,MAX(0,((Geometria!$L$29/100-B189)-Geometria!$R$1405/100)/(Geometria!$N$1307/100)))),1))+Geometria!$L$906*IF(IF(OR(Geometria!$K$1409&gt;0,Geometria!$K$1407&gt;0,Geometria!$Q$1409&gt;0,Geometria!$Q$1407&gt;0),1,0),MIN(MIN(1,MAX(0,(B189-Geometria!$L$1409/100)/(Geometria!$N$1307/100))),MIN(1,MAX(0,((Geometria!$L$29/100-B189)-Geometria!$R$1409/100)/(Geometria!$N$1307/100)))),1)*IF(IF(OR(Geometria!$K$1405&gt;0,Geometria!$K$1403&gt;0,Geometria!$Q$1405&gt;0,Geometria!$Q$1403&gt;0),1,0),MIN(MIN(1,MAX(0,(B189-Geometria!$L$1405/100)/(Geometria!$N$1307/100))),MIN(1,MAX(0,((Geometria!$L$29/100-B189)-Geometria!$R$1405/100)/(Geometria!$N$1307/100)))),1))/(Geometria!$L$48/100^2)-($E$94*(1-IF(IF(OR(Geometria!$K$1409&gt;0,Geometria!$K$1407&gt;0,Geometria!$Q$1409&gt;0,Geometria!$Q$1407&gt;0),1,0),MIN(MIN(1,MAX(0,(B189-Geometria!$L$1409/100)/(Geometria!$N$1307/100))),MIN(1,MAX(0,((Geometria!$L$29/100-B189)-Geometria!$R$1409/100)/(Geometria!$N$1307/100)))),1))*(1-IF(IF(OR(Geometria!$K$1405&gt;0,Geometria!$K$1403&gt;0,Geometria!$Q$1405&gt;0,Geometria!$Q$1403&gt;0),1,0),MIN(MIN(1,MAX(0,(B189-Geometria!$L$1405/100)/(Geometria!$N$1307/100))),MIN(1,MAX(0,((Geometria!$L$29/100-B189)-Geometria!$R$1405/100)/(Geometria!$N$1307/100)))),1))+Geometria!$L$1448*(1-IF(IF(OR(Geometria!$K$1409&gt;0,Geometria!$K$1407&gt;0,Geometria!$Q$1409&gt;0,Geometria!$Q$1407&gt;0),1,0),MIN(MIN(1,MAX(0,(B189-Geometria!$L$1409/100)/(Geometria!$N$1307/100))),MIN(1,MAX(0,((Geometria!$L$29/100-B189)-Geometria!$R$1409/100)/(Geometria!$N$1307/100)))),1))*IF(IF(OR(Geometria!$K$1405&gt;0,Geometria!$K$1403&gt;0,Geometria!$Q$1405&gt;0,Geometria!$Q$1403&gt;0),1,0),MIN(MIN(1,MAX(0,(B189-Geometria!$L$1405/100)/(Geometria!$N$1307/100))),MIN(1,MAX(0,((Geometria!$L$29/100-B189)-Geometria!$R$1405/100)/(Geometria!$N$1307/100)))),1)+Geometria!$L$1450*IF(IF(OR(Geometria!$K$1409&gt;0,Geometria!$K$1407&gt;0,Geometria!$Q$1409&gt;0,Geometria!$Q$1407&gt;0),1,0),MIN(MIN(1,MAX(0,(B189-Geometria!$L$1409/100)/(Geometria!$N$1307/100))),MIN(1,MAX(0,((Geometria!$L$29/100-B189)-Geometria!$R$1409/100)/(Geometria!$N$1307/100)))),1)*(1-IF(IF(OR(Geometria!$K$1405&gt;0,Geometria!$K$1403&gt;0,Geometria!$Q$1405&gt;0,Geometria!$Q$1403&gt;0),1,0),MIN(MIN(1,MAX(0,(B189-Geometria!$L$1405/100)/(Geometria!$N$1307/100))),MIN(1,MAX(0,((Geometria!$L$29/100-B189)-Geometria!$R$1405/100)/(Geometria!$N$1307/100)))),1))+Geometria!$L$907*IF(IF(OR(Geometria!$K$1409&gt;0,Geometria!$K$1407&gt;0,Geometria!$Q$1409&gt;0,Geometria!$Q$1407&gt;0),1,0),MIN(MIN(1,MAX(0,(B189-Geometria!$L$1409/100)/(Geometria!$N$1307/100))),MIN(1,MAX(0,((Geometria!$L$29/100-B189)-Geometria!$R$1409/100)/(Geometria!$N$1307/100)))),1)*IF(IF(OR(Geometria!$K$1405&gt;0,Geometria!$K$1403&gt;0,Geometria!$Q$1405&gt;0,Geometria!$Q$1403&gt;0),1,0),MIN(MIN(1,MAX(0,(B189-Geometria!$L$1405/100)/(Geometria!$N$1307/100))),MIN(1,MAX(0,((Geometria!$L$29/100-B189)-Geometria!$R$1405/100)/(Geometria!$N$1307/100)))),1))/(Geometria!$L$53/100^3)+Geometria!$Q$901/(Geometria!$L$53/100^3)</f>
        <v>-18988.483487884085</v>
      </c>
      <c r="J189" s="743"/>
      <c r="L189" s="373">
        <f ca="1">(Geometria!$L$298-(Geometria!$L$298-IF(B189&lt;Geometria!$L$1409/100,Geometria!$L$1442,Geometria!$L$1460))*(1-(MIN(MIN(1,MAX(0,(B189-Geometria!$L$1409/100)/(Geometria!$N$1307/100))),MIN(1,MAX(0,((Geometria!$L$29/100-B189)-Geometria!$R$1409/100)/(Geometria!$N$1307/100))))))*(IF(OR(Geometria!$K$1409&gt;0,Geometria!$K$1407&gt;0,Geometria!$Q$1409&gt;0,Geometria!$Q$1407&gt;0),1,0))-(Geometria!$L$298-IF(B189&lt;Geometria!$L$1405/100,Geometria!$L$1444,Geometria!$L$1462))*(1-(MIN(MIN(1,MAX(0,(B189-Geometria!$L$1405/100)/(Geometria!$N$1307/100))),MIN(1,MAX(0,((Geometria!$L$29/100-B189)-Geometria!$R$1405/100)/(Geometria!$N$1307/100))))))*(IF(OR(Geometria!$K$1405&gt;0,Geometria!$K$1403&gt;0,Geometria!$Q$1405&gt;0,Geometria!$Q$1403&gt;0),1,0)))*H189+Geometria!$P$1429*H166</f>
        <v>2263.516527438933</v>
      </c>
      <c r="M189" s="373">
        <f ca="1">(Geometria!$L$298-(Geometria!$L$298-IF(B189&lt;Geometria!$L$1409/100,Geometria!$L$1442,Geometria!$L$1460))*(1-(MIN(MIN(1,MAX(0,(B189-Geometria!$L$1409/100)/(Geometria!$N$1307/100))),MIN(1,MAX(0,((Geometria!$L$29/100-B189)-Geometria!$R$1409/100)/(Geometria!$N$1307/100))))))*(IF(OR(Geometria!$K$1409&gt;0,Geometria!$K$1407&gt;0,Geometria!$Q$1409&gt;0,Geometria!$Q$1407&gt;0),1,0))-(Geometria!$L$298-IF(B189&lt;Geometria!$L$1405/100,Geometria!$L$1444,Geometria!$L$1462))*(1-(MIN(MIN(1,MAX(0,(B189-Geometria!$L$1405/100)/(Geometria!$N$1307/100))),MIN(1,MAX(0,((Geometria!$L$29/100-B189)-Geometria!$R$1405/100)/(Geometria!$N$1307/100))))))*(IF(OR(Geometria!$K$1405&gt;0,Geometria!$K$1403&gt;0,Geometria!$Q$1405&gt;0,Geometria!$Q$1403&gt;0),1,0)))*H189*(Geometria!$L$299-(Geometria!$L$299-IF(B189&lt;Geometria!$L$1409/100,Geometria!$L$1443,Geometria!$L$1461))*(1-(MIN(MIN(1,MAX(0,(B189-Geometria!$L$1409/100)/(Geometria!$N$1307/100))),MIN(1,MAX(0,((Geometria!$L$29/100-B189)-Geometria!$R$1409/100)/(Geometria!$N$1307/100))))))*(IF(OR(Geometria!$K$1409&gt;0,Geometria!$K$1407&gt;0,Geometria!$Q$1409&gt;0,Geometria!$Q$1407&gt;0),1,0))-(Geometria!$L$299-IF(B189&lt;Geometria!$L$1405/100,Geometria!$L$1445,Geometria!$L$1463))*(1-(MIN(MIN(1,MAX(0,(B189-Geometria!$L$1405/100)/(Geometria!$N$1307/100))),MIN(1,MAX(0,((Geometria!$L$29/100-B189)-Geometria!$R$1405/100)/(Geometria!$N$1307/100))))))*(IF(OR(Geometria!$K$1405&gt;0,Geometria!$K$1403&gt;0,Geometria!$Q$1405&gt;0,Geometria!$Q$1403&gt;0),1,0)))/100-Geometria!$P$1429*H166*Geometria!$L$1438/100</f>
        <v>502.49878391255186</v>
      </c>
      <c r="N189" s="365"/>
      <c r="O189" s="371">
        <f ca="1">(IF(C189="Sim",IF(A189="Sim",$E$93,Geometria!$L$1447),IF(A189="Sim",Geometria!$L$1449,Geometria!$L$906)))</f>
        <v>1475.413282676191</v>
      </c>
      <c r="P189" s="371">
        <f ca="1">(IF(C189="Sim",IF(A189="Sim",$E$94,Geometria!$L$1448),IF(A189="Sim",Geometria!$L$1450,Geometria!$L$907)))</f>
        <v>276.63999050178586</v>
      </c>
      <c r="R189" s="4" t="s">
        <v>443</v>
      </c>
      <c r="S189" s="202">
        <f t="shared" ca="1" si="53"/>
        <v>-18988.483487884085</v>
      </c>
      <c r="T189" s="38" t="s">
        <v>234</v>
      </c>
      <c r="U189" s="203">
        <f t="shared" ca="1" si="52"/>
        <v>-18.988483487884086</v>
      </c>
      <c r="V189" s="38" t="s">
        <v>160</v>
      </c>
      <c r="W189" s="399">
        <f t="shared" si="54"/>
        <v>0.0</v>
      </c>
    </row>
    <row r="190" spans="1:23" x14ac:dyDescent="0.25">
      <c r="A190" s="376" t="str">
        <f>IF(OR(B190&lt;Geometria!$L$1405/100,(Geometria!$L$29/100-B190)&lt;Geometria!$R$1405/100),"Sim","Não")</f>
        <v>Não</v>
      </c>
      <c r="B190" s="395">
        <f t="shared" si="50"/>
        <v>5.8875</v>
      </c>
      <c r="C190" s="376" t="str">
        <f>IF(OR(B190&lt;Geometria!$L$1409/100,(Geometria!$L$29/100-B190)&lt;Geometria!$R$1409/100),"Sim","Não")</f>
        <v>Não</v>
      </c>
      <c r="D190" s="122" t="s">
        <v>444</v>
      </c>
      <c r="E190" s="198" t="str">
        <f ca="1">E180</f>
        <v>OK</v>
      </c>
      <c r="F190" s="396">
        <f t="shared" ca="1" si="51"/>
        <v>-16665.431726427996</v>
      </c>
      <c r="G190" s="397">
        <f ca="1">-L190/(Geometria!$L$48/100^2)-M190/(Geometria!$L$53/100^3)+Geometria!$L$898/(Geometria!$L$53/100^3)</f>
        <v>-29156.236814661603</v>
      </c>
      <c r="H190" s="400">
        <f ca="1">H180</f>
        <v>204.61700436610695</v>
      </c>
      <c r="I190" s="743">
        <f ca="1">-($E$93*(1-IF(IF(OR(Geometria!$K$1409&gt;0,Geometria!$K$1407&gt;0,Geometria!$Q$1409&gt;0,Geometria!$Q$1407&gt;0),1,0),MIN(MIN(1,MAX(0,(B190-Geometria!$L$1409/100)/(Geometria!$N$1307/100))),MIN(1,MAX(0,((Geometria!$L$29/100-B190)-Geometria!$R$1409/100)/(Geometria!$N$1307/100)))),1))*(1-IF(IF(OR(Geometria!$K$1405&gt;0,Geometria!$K$1403&gt;0,Geometria!$Q$1405&gt;0,Geometria!$Q$1403&gt;0),1,0),MIN(MIN(1,MAX(0,(B190-Geometria!$L$1405/100)/(Geometria!$N$1307/100))),MIN(1,MAX(0,((Geometria!$L$29/100-B190)-Geometria!$R$1405/100)/(Geometria!$N$1307/100)))),1))+Geometria!$L$1447*(1-IF(IF(OR(Geometria!$K$1409&gt;0,Geometria!$K$1407&gt;0,Geometria!$Q$1409&gt;0,Geometria!$Q$1407&gt;0),1,0),MIN(MIN(1,MAX(0,(B190-Geometria!$L$1409/100)/(Geometria!$N$1307/100))),MIN(1,MAX(0,((Geometria!$L$29/100-B190)-Geometria!$R$1409/100)/(Geometria!$N$1307/100)))),1))*IF(IF(OR(Geometria!$K$1405&gt;0,Geometria!$K$1403&gt;0,Geometria!$Q$1405&gt;0,Geometria!$Q$1403&gt;0),1,0),MIN(MIN(1,MAX(0,(B190-Geometria!$L$1405/100)/(Geometria!$N$1307/100))),MIN(1,MAX(0,((Geometria!$L$29/100-B190)-Geometria!$R$1405/100)/(Geometria!$N$1307/100)))),1)+Geometria!$L$1449*IF(IF(OR(Geometria!$K$1409&gt;0,Geometria!$K$1407&gt;0,Geometria!$Q$1409&gt;0,Geometria!$Q$1407&gt;0),1,0),MIN(MIN(1,MAX(0,(B190-Geometria!$L$1409/100)/(Geometria!$N$1307/100))),MIN(1,MAX(0,((Geometria!$L$29/100-B190)-Geometria!$R$1409/100)/(Geometria!$N$1307/100)))),1)*(1-IF(IF(OR(Geometria!$K$1405&gt;0,Geometria!$K$1403&gt;0,Geometria!$Q$1405&gt;0,Geometria!$Q$1403&gt;0),1,0),MIN(MIN(1,MAX(0,(B190-Geometria!$L$1405/100)/(Geometria!$N$1307/100))),MIN(1,MAX(0,((Geometria!$L$29/100-B190)-Geometria!$R$1405/100)/(Geometria!$N$1307/100)))),1))+Geometria!$L$906*IF(IF(OR(Geometria!$K$1409&gt;0,Geometria!$K$1407&gt;0,Geometria!$Q$1409&gt;0,Geometria!$Q$1407&gt;0),1,0),MIN(MIN(1,MAX(0,(B190-Geometria!$L$1409/100)/(Geometria!$N$1307/100))),MIN(1,MAX(0,((Geometria!$L$29/100-B190)-Geometria!$R$1409/100)/(Geometria!$N$1307/100)))),1)*IF(IF(OR(Geometria!$K$1405&gt;0,Geometria!$K$1403&gt;0,Geometria!$Q$1405&gt;0,Geometria!$Q$1403&gt;0),1,0),MIN(MIN(1,MAX(0,(B190-Geometria!$L$1405/100)/(Geometria!$N$1307/100))),MIN(1,MAX(0,((Geometria!$L$29/100-B190)-Geometria!$R$1405/100)/(Geometria!$N$1307/100)))),1))/(Geometria!$L$48/100^2)-($E$94*(1-IF(IF(OR(Geometria!$K$1409&gt;0,Geometria!$K$1407&gt;0,Geometria!$Q$1409&gt;0,Geometria!$Q$1407&gt;0),1,0),MIN(MIN(1,MAX(0,(B190-Geometria!$L$1409/100)/(Geometria!$N$1307/100))),MIN(1,MAX(0,((Geometria!$L$29/100-B190)-Geometria!$R$1409/100)/(Geometria!$N$1307/100)))),1))*(1-IF(IF(OR(Geometria!$K$1405&gt;0,Geometria!$K$1403&gt;0,Geometria!$Q$1405&gt;0,Geometria!$Q$1403&gt;0),1,0),MIN(MIN(1,MAX(0,(B190-Geometria!$L$1405/100)/(Geometria!$N$1307/100))),MIN(1,MAX(0,((Geometria!$L$29/100-B190)-Geometria!$R$1405/100)/(Geometria!$N$1307/100)))),1))+Geometria!$L$1448*(1-IF(IF(OR(Geometria!$K$1409&gt;0,Geometria!$K$1407&gt;0,Geometria!$Q$1409&gt;0,Geometria!$Q$1407&gt;0),1,0),MIN(MIN(1,MAX(0,(B190-Geometria!$L$1409/100)/(Geometria!$N$1307/100))),MIN(1,MAX(0,((Geometria!$L$29/100-B190)-Geometria!$R$1409/100)/(Geometria!$N$1307/100)))),1))*IF(IF(OR(Geometria!$K$1405&gt;0,Geometria!$K$1403&gt;0,Geometria!$Q$1405&gt;0,Geometria!$Q$1403&gt;0),1,0),MIN(MIN(1,MAX(0,(B190-Geometria!$L$1405/100)/(Geometria!$N$1307/100))),MIN(1,MAX(0,((Geometria!$L$29/100-B190)-Geometria!$R$1405/100)/(Geometria!$N$1307/100)))),1)+Geometria!$L$1450*IF(IF(OR(Geometria!$K$1409&gt;0,Geometria!$K$1407&gt;0,Geometria!$Q$1409&gt;0,Geometria!$Q$1407&gt;0),1,0),MIN(MIN(1,MAX(0,(B190-Geometria!$L$1409/100)/(Geometria!$N$1307/100))),MIN(1,MAX(0,((Geometria!$L$29/100-B190)-Geometria!$R$1409/100)/(Geometria!$N$1307/100)))),1)*(1-IF(IF(OR(Geometria!$K$1405&gt;0,Geometria!$K$1403&gt;0,Geometria!$Q$1405&gt;0,Geometria!$Q$1403&gt;0),1,0),MIN(MIN(1,MAX(0,(B190-Geometria!$L$1405/100)/(Geometria!$N$1307/100))),MIN(1,MAX(0,((Geometria!$L$29/100-B190)-Geometria!$R$1405/100)/(Geometria!$N$1307/100)))),1))+Geometria!$L$907*IF(IF(OR(Geometria!$K$1409&gt;0,Geometria!$K$1407&gt;0,Geometria!$Q$1409&gt;0,Geometria!$Q$1407&gt;0),1,0),MIN(MIN(1,MAX(0,(B190-Geometria!$L$1409/100)/(Geometria!$N$1307/100))),MIN(1,MAX(0,((Geometria!$L$29/100-B190)-Geometria!$R$1409/100)/(Geometria!$N$1307/100)))),1)*IF(IF(OR(Geometria!$K$1405&gt;0,Geometria!$K$1403&gt;0,Geometria!$Q$1405&gt;0,Geometria!$Q$1403&gt;0),1,0),MIN(MIN(1,MAX(0,(B190-Geometria!$L$1405/100)/(Geometria!$N$1307/100))),MIN(1,MAX(0,((Geometria!$L$29/100-B190)-Geometria!$R$1405/100)/(Geometria!$N$1307/100)))),1))/(Geometria!$L$53/100^3)+Geometria!$R$901/(Geometria!$L$53/100^3)</f>
        <v>-16665.431726427996</v>
      </c>
      <c r="J190" s="743"/>
      <c r="L190" s="373">
        <f ca="1">(Geometria!$L$298-(Geometria!$L$298-IF(B190&lt;Geometria!$L$1409/100,Geometria!$L$1442,Geometria!$L$1460))*(1-(MIN(MIN(1,MAX(0,(B190-Geometria!$L$1409/100)/(Geometria!$N$1307/100))),MIN(1,MAX(0,((Geometria!$L$29/100-B190)-Geometria!$R$1409/100)/(Geometria!$N$1307/100))))))*(IF(OR(Geometria!$K$1409&gt;0,Geometria!$K$1407&gt;0,Geometria!$Q$1409&gt;0,Geometria!$Q$1407&gt;0),1,0))-(Geometria!$L$298-IF(B190&lt;Geometria!$L$1405/100,Geometria!$L$1444,Geometria!$L$1462))*(1-(MIN(MIN(1,MAX(0,(B190-Geometria!$L$1405/100)/(Geometria!$N$1307/100))),MIN(1,MAX(0,((Geometria!$L$29/100-B190)-Geometria!$R$1405/100)/(Geometria!$N$1307/100))))))*(IF(OR(Geometria!$K$1405&gt;0,Geometria!$K$1403&gt;0,Geometria!$Q$1405&gt;0,Geometria!$Q$1403&gt;0),1,0)))*H190+Geometria!$P$1429*H167</f>
        <v>1501.3493950470822</v>
      </c>
      <c r="M190" s="373">
        <f ca="1">(Geometria!$L$298-(Geometria!$L$298-IF(B190&lt;Geometria!$L$1409/100,Geometria!$L$1442,Geometria!$L$1460))*(1-(MIN(MIN(1,MAX(0,(B190-Geometria!$L$1409/100)/(Geometria!$N$1307/100))),MIN(1,MAX(0,((Geometria!$L$29/100-B190)-Geometria!$R$1409/100)/(Geometria!$N$1307/100))))))*(IF(OR(Geometria!$K$1409&gt;0,Geometria!$K$1407&gt;0,Geometria!$Q$1409&gt;0,Geometria!$Q$1407&gt;0),1,0))-(Geometria!$L$298-IF(B190&lt;Geometria!$L$1405/100,Geometria!$L$1444,Geometria!$L$1462))*(1-(MIN(MIN(1,MAX(0,(B190-Geometria!$L$1405/100)/(Geometria!$N$1307/100))),MIN(1,MAX(0,((Geometria!$L$29/100-B190)-Geometria!$R$1405/100)/(Geometria!$N$1307/100))))))*(IF(OR(Geometria!$K$1405&gt;0,Geometria!$K$1403&gt;0,Geometria!$Q$1405&gt;0,Geometria!$Q$1403&gt;0),1,0)))*H190*(Geometria!$L$299-(Geometria!$L$299-IF(B190&lt;Geometria!$L$1409/100,Geometria!$L$1443,Geometria!$L$1461))*(1-(MIN(MIN(1,MAX(0,(B190-Geometria!$L$1409/100)/(Geometria!$N$1307/100))),MIN(1,MAX(0,((Geometria!$L$29/100-B190)-Geometria!$R$1409/100)/(Geometria!$N$1307/100))))))*(IF(OR(Geometria!$K$1409&gt;0,Geometria!$K$1407&gt;0,Geometria!$Q$1409&gt;0,Geometria!$Q$1407&gt;0),1,0))-(Geometria!$L$299-IF(B190&lt;Geometria!$L$1405/100,Geometria!$L$1445,Geometria!$L$1463))*(1-(MIN(MIN(1,MAX(0,(B190-Geometria!$L$1405/100)/(Geometria!$N$1307/100))),MIN(1,MAX(0,((Geometria!$L$29/100-B190)-Geometria!$R$1405/100)/(Geometria!$N$1307/100))))))*(IF(OR(Geometria!$K$1405&gt;0,Geometria!$K$1403&gt;0,Geometria!$Q$1405&gt;0,Geometria!$Q$1403&gt;0),1,0)))/100-Geometria!$P$1429*H167*Geometria!$L$1438/100</f>
        <v>382.4706437060756</v>
      </c>
      <c r="N190" s="365"/>
      <c r="O190" s="371">
        <f ca="1">(IF(C190="Sim",IF(A190="Sim",$E$93,Geometria!$L$1447),IF(A190="Sim",Geometria!$L$1449,Geometria!$L$906)))</f>
        <v>1475.413282676191</v>
      </c>
      <c r="P190" s="371">
        <f ca="1">(IF(C190="Sim",IF(A190="Sim",$E$94,Geometria!$L$1448),IF(A190="Sim",Geometria!$L$1450,Geometria!$L$907)))</f>
        <v>276.63999050178586</v>
      </c>
      <c r="R190" s="4" t="s">
        <v>444</v>
      </c>
      <c r="S190" s="202">
        <f t="shared" ca="1" si="53"/>
        <v>-16665.431726427996</v>
      </c>
      <c r="T190" s="38" t="s">
        <v>234</v>
      </c>
      <c r="U190" s="203">
        <f t="shared" ca="1" si="52"/>
        <v>-16.665431726427997</v>
      </c>
      <c r="V190" s="38" t="s">
        <v>160</v>
      </c>
      <c r="W190" s="399">
        <f t="shared" si="54"/>
        <v>0.0</v>
      </c>
    </row>
    <row r="191" spans="1:23" x14ac:dyDescent="0.25">
      <c r="A191" s="376" t="str">
        <f>IF(OR(B191&lt;Geometria!$L$1405/100,(Geometria!$L$29/100-B191)&lt;Geometria!$R$1405/100),"Sim","Não")</f>
        <v>Sim</v>
      </c>
      <c r="B191" s="395">
        <f t="shared" si="50"/>
        <v>6.28</v>
      </c>
      <c r="C191" s="376" t="str">
        <f>IF(OR(B191&lt;Geometria!$L$1409/100,(Geometria!$L$29/100-B191)&lt;Geometria!$R$1409/100),"Sim","Não")</f>
        <v>Sim</v>
      </c>
      <c r="D191" s="122" t="s">
        <v>445</v>
      </c>
      <c r="E191" s="198" t="str">
        <f ca="1">E179</f>
        <v>OK</v>
      </c>
      <c r="F191" s="396">
        <f t="shared" ca="1" si="51"/>
        <v>-14581.188504097276</v>
      </c>
      <c r="G191" s="397">
        <f ca="1">-L191/(Geometria!$L$48/100^2)-M191/(Geometria!$L$53/100^3)+Geometria!$L$898/(Geometria!$L$53/100^3)</f>
        <v>-19498.04479077542</v>
      </c>
      <c r="H191" s="400">
        <f ca="1">H179</f>
        <v>166.39987327496874</v>
      </c>
      <c r="I191" s="743">
        <f ca="1">-($E$93*(1-IF(IF(OR(Geometria!$K$1409&gt;0,Geometria!$K$1407&gt;0,Geometria!$Q$1409&gt;0,Geometria!$Q$1407&gt;0),1,0),MIN(MIN(1,MAX(0,(B191-Geometria!$L$1409/100)/(Geometria!$N$1307/100))),MIN(1,MAX(0,((Geometria!$L$29/100-B191)-Geometria!$R$1409/100)/(Geometria!$N$1307/100)))),1))*(1-IF(IF(OR(Geometria!$K$1405&gt;0,Geometria!$K$1403&gt;0,Geometria!$Q$1405&gt;0,Geometria!$Q$1403&gt;0),1,0),MIN(MIN(1,MAX(0,(B191-Geometria!$L$1405/100)/(Geometria!$N$1307/100))),MIN(1,MAX(0,((Geometria!$L$29/100-B191)-Geometria!$R$1405/100)/(Geometria!$N$1307/100)))),1))+Geometria!$L$1447*(1-IF(IF(OR(Geometria!$K$1409&gt;0,Geometria!$K$1407&gt;0,Geometria!$Q$1409&gt;0,Geometria!$Q$1407&gt;0),1,0),MIN(MIN(1,MAX(0,(B191-Geometria!$L$1409/100)/(Geometria!$N$1307/100))),MIN(1,MAX(0,((Geometria!$L$29/100-B191)-Geometria!$R$1409/100)/(Geometria!$N$1307/100)))),1))*IF(IF(OR(Geometria!$K$1405&gt;0,Geometria!$K$1403&gt;0,Geometria!$Q$1405&gt;0,Geometria!$Q$1403&gt;0),1,0),MIN(MIN(1,MAX(0,(B191-Geometria!$L$1405/100)/(Geometria!$N$1307/100))),MIN(1,MAX(0,((Geometria!$L$29/100-B191)-Geometria!$R$1405/100)/(Geometria!$N$1307/100)))),1)+Geometria!$L$1449*IF(IF(OR(Geometria!$K$1409&gt;0,Geometria!$K$1407&gt;0,Geometria!$Q$1409&gt;0,Geometria!$Q$1407&gt;0),1,0),MIN(MIN(1,MAX(0,(B191-Geometria!$L$1409/100)/(Geometria!$N$1307/100))),MIN(1,MAX(0,((Geometria!$L$29/100-B191)-Geometria!$R$1409/100)/(Geometria!$N$1307/100)))),1)*(1-IF(IF(OR(Geometria!$K$1405&gt;0,Geometria!$K$1403&gt;0,Geometria!$Q$1405&gt;0,Geometria!$Q$1403&gt;0),1,0),MIN(MIN(1,MAX(0,(B191-Geometria!$L$1405/100)/(Geometria!$N$1307/100))),MIN(1,MAX(0,((Geometria!$L$29/100-B191)-Geometria!$R$1405/100)/(Geometria!$N$1307/100)))),1))+Geometria!$L$906*IF(IF(OR(Geometria!$K$1409&gt;0,Geometria!$K$1407&gt;0,Geometria!$Q$1409&gt;0,Geometria!$Q$1407&gt;0),1,0),MIN(MIN(1,MAX(0,(B191-Geometria!$L$1409/100)/(Geometria!$N$1307/100))),MIN(1,MAX(0,((Geometria!$L$29/100-B191)-Geometria!$R$1409/100)/(Geometria!$N$1307/100)))),1)*IF(IF(OR(Geometria!$K$1405&gt;0,Geometria!$K$1403&gt;0,Geometria!$Q$1405&gt;0,Geometria!$Q$1403&gt;0),1,0),MIN(MIN(1,MAX(0,(B191-Geometria!$L$1405/100)/(Geometria!$N$1307/100))),MIN(1,MAX(0,((Geometria!$L$29/100-B191)-Geometria!$R$1405/100)/(Geometria!$N$1307/100)))),1))/(Geometria!$L$48/100^2)-($E$94*(1-IF(IF(OR(Geometria!$K$1409&gt;0,Geometria!$K$1407&gt;0,Geometria!$Q$1409&gt;0,Geometria!$Q$1407&gt;0),1,0),MIN(MIN(1,MAX(0,(B191-Geometria!$L$1409/100)/(Geometria!$N$1307/100))),MIN(1,MAX(0,((Geometria!$L$29/100-B191)-Geometria!$R$1409/100)/(Geometria!$N$1307/100)))),1))*(1-IF(IF(OR(Geometria!$K$1405&gt;0,Geometria!$K$1403&gt;0,Geometria!$Q$1405&gt;0,Geometria!$Q$1403&gt;0),1,0),MIN(MIN(1,MAX(0,(B191-Geometria!$L$1405/100)/(Geometria!$N$1307/100))),MIN(1,MAX(0,((Geometria!$L$29/100-B191)-Geometria!$R$1405/100)/(Geometria!$N$1307/100)))),1))+Geometria!$L$1448*(1-IF(IF(OR(Geometria!$K$1409&gt;0,Geometria!$K$1407&gt;0,Geometria!$Q$1409&gt;0,Geometria!$Q$1407&gt;0),1,0),MIN(MIN(1,MAX(0,(B191-Geometria!$L$1409/100)/(Geometria!$N$1307/100))),MIN(1,MAX(0,((Geometria!$L$29/100-B191)-Geometria!$R$1409/100)/(Geometria!$N$1307/100)))),1))*IF(IF(OR(Geometria!$K$1405&gt;0,Geometria!$K$1403&gt;0,Geometria!$Q$1405&gt;0,Geometria!$Q$1403&gt;0),1,0),MIN(MIN(1,MAX(0,(B191-Geometria!$L$1405/100)/(Geometria!$N$1307/100))),MIN(1,MAX(0,((Geometria!$L$29/100-B191)-Geometria!$R$1405/100)/(Geometria!$N$1307/100)))),1)+Geometria!$L$1450*IF(IF(OR(Geometria!$K$1409&gt;0,Geometria!$K$1407&gt;0,Geometria!$Q$1409&gt;0,Geometria!$Q$1407&gt;0),1,0),MIN(MIN(1,MAX(0,(B191-Geometria!$L$1409/100)/(Geometria!$N$1307/100))),MIN(1,MAX(0,((Geometria!$L$29/100-B191)-Geometria!$R$1409/100)/(Geometria!$N$1307/100)))),1)*(1-IF(IF(OR(Geometria!$K$1405&gt;0,Geometria!$K$1403&gt;0,Geometria!$Q$1405&gt;0,Geometria!$Q$1403&gt;0),1,0),MIN(MIN(1,MAX(0,(B191-Geometria!$L$1405/100)/(Geometria!$N$1307/100))),MIN(1,MAX(0,((Geometria!$L$29/100-B191)-Geometria!$R$1405/100)/(Geometria!$N$1307/100)))),1))+Geometria!$L$907*IF(IF(OR(Geometria!$K$1409&gt;0,Geometria!$K$1407&gt;0,Geometria!$Q$1409&gt;0,Geometria!$Q$1407&gt;0),1,0),MIN(MIN(1,MAX(0,(B191-Geometria!$L$1409/100)/(Geometria!$N$1307/100))),MIN(1,MAX(0,((Geometria!$L$29/100-B191)-Geometria!$R$1409/100)/(Geometria!$N$1307/100)))),1)*IF(IF(OR(Geometria!$K$1405&gt;0,Geometria!$K$1403&gt;0,Geometria!$Q$1405&gt;0,Geometria!$Q$1403&gt;0),1,0),MIN(MIN(1,MAX(0,(B191-Geometria!$L$1405/100)/(Geometria!$N$1307/100))),MIN(1,MAX(0,((Geometria!$L$29/100-B191)-Geometria!$R$1405/100)/(Geometria!$N$1307/100)))),1))/(Geometria!$L$53/100^3)+Geometria!$K$904/(Geometria!$L$53/100^3)</f>
        <v>-14581.188504097276</v>
      </c>
      <c r="J191" s="743"/>
      <c r="L191" s="373">
        <f ca="1">(Geometria!$L$298-(Geometria!$L$298-IF(B191&lt;Geometria!$L$1409/100,Geometria!$L$1442,Geometria!$L$1460))*(1-(MIN(MIN(1,MAX(0,(B191-Geometria!$L$1409/100)/(Geometria!$N$1307/100))),MIN(1,MAX(0,((Geometria!$L$29/100-B191)-Geometria!$R$1409/100)/(Geometria!$N$1307/100))))))*(IF(OR(Geometria!$K$1409&gt;0,Geometria!$K$1407&gt;0,Geometria!$Q$1409&gt;0,Geometria!$Q$1407&gt;0),1,0))-(Geometria!$L$298-IF(B191&lt;Geometria!$L$1405/100,Geometria!$L$1444,Geometria!$L$1462))*(1-(MIN(MIN(1,MAX(0,(B191-Geometria!$L$1405/100)/(Geometria!$N$1307/100))),MIN(1,MAX(0,((Geometria!$L$29/100-B191)-Geometria!$R$1405/100)/(Geometria!$N$1307/100))))))*(IF(OR(Geometria!$K$1405&gt;0,Geometria!$K$1403&gt;0,Geometria!$Q$1405&gt;0,Geometria!$Q$1403&gt;0),1,0)))*H191+Geometria!$P$1429*H168</f>
        <v>931.8392903398249</v>
      </c>
      <c r="M191" s="373">
        <f ca="1">(Geometria!$L$298-(Geometria!$L$298-IF(B191&lt;Geometria!$L$1409/100,Geometria!$L$1442,Geometria!$L$1460))*(1-(MIN(MIN(1,MAX(0,(B191-Geometria!$L$1409/100)/(Geometria!$N$1307/100))),MIN(1,MAX(0,((Geometria!$L$29/100-B191)-Geometria!$R$1409/100)/(Geometria!$N$1307/100))))))*(IF(OR(Geometria!$K$1409&gt;0,Geometria!$K$1407&gt;0,Geometria!$Q$1409&gt;0,Geometria!$Q$1407&gt;0),1,0))-(Geometria!$L$298-IF(B191&lt;Geometria!$L$1405/100,Geometria!$L$1444,Geometria!$L$1462))*(1-(MIN(MIN(1,MAX(0,(B191-Geometria!$L$1405/100)/(Geometria!$N$1307/100))),MIN(1,MAX(0,((Geometria!$L$29/100-B191)-Geometria!$R$1405/100)/(Geometria!$N$1307/100))))))*(IF(OR(Geometria!$K$1405&gt;0,Geometria!$K$1403&gt;0,Geometria!$Q$1405&gt;0,Geometria!$Q$1403&gt;0),1,0)))*H191*(Geometria!$L$299-(Geometria!$L$299-IF(B191&lt;Geometria!$L$1409/100,Geometria!$L$1443,Geometria!$L$1461))*(1-(MIN(MIN(1,MAX(0,(B191-Geometria!$L$1409/100)/(Geometria!$N$1307/100))),MIN(1,MAX(0,((Geometria!$L$29/100-B191)-Geometria!$R$1409/100)/(Geometria!$N$1307/100))))))*(IF(OR(Geometria!$K$1409&gt;0,Geometria!$K$1407&gt;0,Geometria!$Q$1409&gt;0,Geometria!$Q$1407&gt;0),1,0))-(Geometria!$L$299-IF(B191&lt;Geometria!$L$1405/100,Geometria!$L$1445,Geometria!$L$1463))*(1-(MIN(MIN(1,MAX(0,(B191-Geometria!$L$1405/100)/(Geometria!$N$1307/100))),MIN(1,MAX(0,((Geometria!$L$29/100-B191)-Geometria!$R$1405/100)/(Geometria!$N$1307/100))))))*(IF(OR(Geometria!$K$1405&gt;0,Geometria!$K$1403&gt;0,Geometria!$Q$1405&gt;0,Geometria!$Q$1403&gt;0),1,0)))/100-Geometria!$P$1429*H168*Geometria!$L$1438/100</f>
        <v>265.5741977468501</v>
      </c>
      <c r="N191" s="365"/>
      <c r="O191" s="371">
        <f ca="1">(IF(C191="Sim",IF(A191="Sim",$E$93,Geometria!$L$1447),IF(A191="Sim",Geometria!$L$1449,Geometria!$L$906)))</f>
        <v>749.9028001915608</v>
      </c>
      <c r="P191" s="371">
        <f ca="1">(IF(C191="Sim",IF(A191="Sim",$E$94,Geometria!$L$1448),IF(A191="Sim",Geometria!$L$1450,Geometria!$L$907)))</f>
        <v>213.72229805459483</v>
      </c>
      <c r="R191" s="4" t="s">
        <v>445</v>
      </c>
      <c r="S191" s="202">
        <f t="shared" ca="1" si="53"/>
        <v>-14581.188504097276</v>
      </c>
      <c r="T191" s="38" t="s">
        <v>234</v>
      </c>
      <c r="U191" s="203">
        <f t="shared" ca="1" si="52"/>
        <v>-14.581188504097275</v>
      </c>
      <c r="V191" s="38" t="s">
        <v>160</v>
      </c>
      <c r="W191" s="399">
        <f t="shared" si="54"/>
        <v>0.0</v>
      </c>
    </row>
    <row r="192" spans="1:23" x14ac:dyDescent="0.25">
      <c r="A192" s="376" t="str">
        <f>IF(OR(B192&lt;Geometria!$L$1405/100,(Geometria!$L$29/100-B192)&lt;Geometria!$R$1405/100),"Sim","Não")</f>
        <v>Sim</v>
      </c>
      <c r="B192" s="395">
        <f t="shared" si="50"/>
        <v>6.6725</v>
      </c>
      <c r="C192" s="376" t="str">
        <f>IF(OR(B192&lt;Geometria!$L$1409/100,(Geometria!$L$29/100-B192)&lt;Geometria!$R$1409/100),"Sim","Não")</f>
        <v>Sim</v>
      </c>
      <c r="D192" s="122" t="s">
        <v>446</v>
      </c>
      <c r="E192" s="198" t="str">
        <f ca="1">E178</f>
        <v>Reduzir</v>
      </c>
      <c r="F192" s="396">
        <f t="shared" ca="1" si="51"/>
        <v>-14515.293029930524</v>
      </c>
      <c r="G192" s="397">
        <f ca="1">-L192/(Geometria!$L$48/100^2)-M192/(Geometria!$L$53/100^3)+Geometria!$L$898/(Geometria!$L$53/100^3)</f>
        <v>-14515.293029930524</v>
      </c>
      <c r="H192" s="400">
        <f ca="1">H178</f>
        <v>124.79990495622654</v>
      </c>
      <c r="I192" s="743">
        <f ca="1">-($E$93*(1-IF(IF(OR(Geometria!$K$1409&gt;0,Geometria!$K$1407&gt;0,Geometria!$Q$1409&gt;0,Geometria!$Q$1407&gt;0),1,0),MIN(MIN(1,MAX(0,(B192-Geometria!$L$1409/100)/(Geometria!$N$1307/100))),MIN(1,MAX(0,((Geometria!$L$29/100-B192)-Geometria!$R$1409/100)/(Geometria!$N$1307/100)))),1))*(1-IF(IF(OR(Geometria!$K$1405&gt;0,Geometria!$K$1403&gt;0,Geometria!$Q$1405&gt;0,Geometria!$Q$1403&gt;0),1,0),MIN(MIN(1,MAX(0,(B192-Geometria!$L$1405/100)/(Geometria!$N$1307/100))),MIN(1,MAX(0,((Geometria!$L$29/100-B192)-Geometria!$R$1405/100)/(Geometria!$N$1307/100)))),1))+Geometria!$L$1447*(1-IF(IF(OR(Geometria!$K$1409&gt;0,Geometria!$K$1407&gt;0,Geometria!$Q$1409&gt;0,Geometria!$Q$1407&gt;0),1,0),MIN(MIN(1,MAX(0,(B192-Geometria!$L$1409/100)/(Geometria!$N$1307/100))),MIN(1,MAX(0,((Geometria!$L$29/100-B192)-Geometria!$R$1409/100)/(Geometria!$N$1307/100)))),1))*IF(IF(OR(Geometria!$K$1405&gt;0,Geometria!$K$1403&gt;0,Geometria!$Q$1405&gt;0,Geometria!$Q$1403&gt;0),1,0),MIN(MIN(1,MAX(0,(B192-Geometria!$L$1405/100)/(Geometria!$N$1307/100))),MIN(1,MAX(0,((Geometria!$L$29/100-B192)-Geometria!$R$1405/100)/(Geometria!$N$1307/100)))),1)+Geometria!$L$1449*IF(IF(OR(Geometria!$K$1409&gt;0,Geometria!$K$1407&gt;0,Geometria!$Q$1409&gt;0,Geometria!$Q$1407&gt;0),1,0),MIN(MIN(1,MAX(0,(B192-Geometria!$L$1409/100)/(Geometria!$N$1307/100))),MIN(1,MAX(0,((Geometria!$L$29/100-B192)-Geometria!$R$1409/100)/(Geometria!$N$1307/100)))),1)*(1-IF(IF(OR(Geometria!$K$1405&gt;0,Geometria!$K$1403&gt;0,Geometria!$Q$1405&gt;0,Geometria!$Q$1403&gt;0),1,0),MIN(MIN(1,MAX(0,(B192-Geometria!$L$1405/100)/(Geometria!$N$1307/100))),MIN(1,MAX(0,((Geometria!$L$29/100-B192)-Geometria!$R$1405/100)/(Geometria!$N$1307/100)))),1))+Geometria!$L$906*IF(IF(OR(Geometria!$K$1409&gt;0,Geometria!$K$1407&gt;0,Geometria!$Q$1409&gt;0,Geometria!$Q$1407&gt;0),1,0),MIN(MIN(1,MAX(0,(B192-Geometria!$L$1409/100)/(Geometria!$N$1307/100))),MIN(1,MAX(0,((Geometria!$L$29/100-B192)-Geometria!$R$1409/100)/(Geometria!$N$1307/100)))),1)*IF(IF(OR(Geometria!$K$1405&gt;0,Geometria!$K$1403&gt;0,Geometria!$Q$1405&gt;0,Geometria!$Q$1403&gt;0),1,0),MIN(MIN(1,MAX(0,(B192-Geometria!$L$1405/100)/(Geometria!$N$1307/100))),MIN(1,MAX(0,((Geometria!$L$29/100-B192)-Geometria!$R$1405/100)/(Geometria!$N$1307/100)))),1))/(Geometria!$L$48/100^2)-($E$94*(1-IF(IF(OR(Geometria!$K$1409&gt;0,Geometria!$K$1407&gt;0,Geometria!$Q$1409&gt;0,Geometria!$Q$1407&gt;0),1,0),MIN(MIN(1,MAX(0,(B192-Geometria!$L$1409/100)/(Geometria!$N$1307/100))),MIN(1,MAX(0,((Geometria!$L$29/100-B192)-Geometria!$R$1409/100)/(Geometria!$N$1307/100)))),1))*(1-IF(IF(OR(Geometria!$K$1405&gt;0,Geometria!$K$1403&gt;0,Geometria!$Q$1405&gt;0,Geometria!$Q$1403&gt;0),1,0),MIN(MIN(1,MAX(0,(B192-Geometria!$L$1405/100)/(Geometria!$N$1307/100))),MIN(1,MAX(0,((Geometria!$L$29/100-B192)-Geometria!$R$1405/100)/(Geometria!$N$1307/100)))),1))+Geometria!$L$1448*(1-IF(IF(OR(Geometria!$K$1409&gt;0,Geometria!$K$1407&gt;0,Geometria!$Q$1409&gt;0,Geometria!$Q$1407&gt;0),1,0),MIN(MIN(1,MAX(0,(B192-Geometria!$L$1409/100)/(Geometria!$N$1307/100))),MIN(1,MAX(0,((Geometria!$L$29/100-B192)-Geometria!$R$1409/100)/(Geometria!$N$1307/100)))),1))*IF(IF(OR(Geometria!$K$1405&gt;0,Geometria!$K$1403&gt;0,Geometria!$Q$1405&gt;0,Geometria!$Q$1403&gt;0),1,0),MIN(MIN(1,MAX(0,(B192-Geometria!$L$1405/100)/(Geometria!$N$1307/100))),MIN(1,MAX(0,((Geometria!$L$29/100-B192)-Geometria!$R$1405/100)/(Geometria!$N$1307/100)))),1)+Geometria!$L$1450*IF(IF(OR(Geometria!$K$1409&gt;0,Geometria!$K$1407&gt;0,Geometria!$Q$1409&gt;0,Geometria!$Q$1407&gt;0),1,0),MIN(MIN(1,MAX(0,(B192-Geometria!$L$1409/100)/(Geometria!$N$1307/100))),MIN(1,MAX(0,((Geometria!$L$29/100-B192)-Geometria!$R$1409/100)/(Geometria!$N$1307/100)))),1)*(1-IF(IF(OR(Geometria!$K$1405&gt;0,Geometria!$K$1403&gt;0,Geometria!$Q$1405&gt;0,Geometria!$Q$1403&gt;0),1,0),MIN(MIN(1,MAX(0,(B192-Geometria!$L$1405/100)/(Geometria!$N$1307/100))),MIN(1,MAX(0,((Geometria!$L$29/100-B192)-Geometria!$R$1405/100)/(Geometria!$N$1307/100)))),1))+Geometria!$L$907*IF(IF(OR(Geometria!$K$1409&gt;0,Geometria!$K$1407&gt;0,Geometria!$Q$1409&gt;0,Geometria!$Q$1407&gt;0),1,0),MIN(MIN(1,MAX(0,(B192-Geometria!$L$1409/100)/(Geometria!$N$1307/100))),MIN(1,MAX(0,((Geometria!$L$29/100-B192)-Geometria!$R$1409/100)/(Geometria!$N$1307/100)))),1)*IF(IF(OR(Geometria!$K$1405&gt;0,Geometria!$K$1403&gt;0,Geometria!$Q$1405&gt;0,Geometria!$Q$1403&gt;0),1,0),MIN(MIN(1,MAX(0,(B192-Geometria!$L$1405/100)/(Geometria!$N$1307/100))),MIN(1,MAX(0,((Geometria!$L$29/100-B192)-Geometria!$R$1405/100)/(Geometria!$N$1307/100)))),1))/(Geometria!$L$53/100^3)+Geometria!$L$904/(Geometria!$L$53/100^3)</f>
        <v>-14877.425834826443</v>
      </c>
      <c r="J192" s="743"/>
      <c r="L192" s="373">
        <f ca="1">(Geometria!$L$298-(Geometria!$L$298-IF(B192&lt;Geometria!$L$1409/100,Geometria!$L$1442,Geometria!$L$1460))*(1-(MIN(MIN(1,MAX(0,(B192-Geometria!$L$1409/100)/(Geometria!$N$1307/100))),MIN(1,MAX(0,((Geometria!$L$29/100-B192)-Geometria!$R$1409/100)/(Geometria!$N$1307/100))))))*(IF(OR(Geometria!$K$1409&gt;0,Geometria!$K$1407&gt;0,Geometria!$Q$1409&gt;0,Geometria!$Q$1407&gt;0),1,0))-(Geometria!$L$298-IF(B192&lt;Geometria!$L$1405/100,Geometria!$L$1444,Geometria!$L$1462))*(1-(MIN(MIN(1,MAX(0,(B192-Geometria!$L$1405/100)/(Geometria!$N$1307/100))),MIN(1,MAX(0,((Geometria!$L$29/100-B192)-Geometria!$R$1405/100)/(Geometria!$N$1307/100))))))*(IF(OR(Geometria!$K$1405&gt;0,Geometria!$K$1403&gt;0,Geometria!$Q$1405&gt;0,Geometria!$Q$1403&gt;0),1,0)))*H192+Geometria!$P$1429*H169</f>
        <v>698.8794677548686</v>
      </c>
      <c r="M192" s="373">
        <f ca="1">(Geometria!$L$298-(Geometria!$L$298-IF(B192&lt;Geometria!$L$1409/100,Geometria!$L$1442,Geometria!$L$1460))*(1-(MIN(MIN(1,MAX(0,(B192-Geometria!$L$1409/100)/(Geometria!$N$1307/100))),MIN(1,MAX(0,((Geometria!$L$29/100-B192)-Geometria!$R$1409/100)/(Geometria!$N$1307/100))))))*(IF(OR(Geometria!$K$1409&gt;0,Geometria!$K$1407&gt;0,Geometria!$Q$1409&gt;0,Geometria!$Q$1407&gt;0),1,0))-(Geometria!$L$298-IF(B192&lt;Geometria!$L$1405/100,Geometria!$L$1444,Geometria!$L$1462))*(1-(MIN(MIN(1,MAX(0,(B192-Geometria!$L$1405/100)/(Geometria!$N$1307/100))),MIN(1,MAX(0,((Geometria!$L$29/100-B192)-Geometria!$R$1405/100)/(Geometria!$N$1307/100))))))*(IF(OR(Geometria!$K$1405&gt;0,Geometria!$K$1403&gt;0,Geometria!$Q$1405&gt;0,Geometria!$Q$1403&gt;0),1,0)))*H192*(Geometria!$L$299-(Geometria!$L$299-IF(B192&lt;Geometria!$L$1409/100,Geometria!$L$1443,Geometria!$L$1461))*(1-(MIN(MIN(1,MAX(0,(B192-Geometria!$L$1409/100)/(Geometria!$N$1307/100))),MIN(1,MAX(0,((Geometria!$L$29/100-B192)-Geometria!$R$1409/100)/(Geometria!$N$1307/100))))))*(IF(OR(Geometria!$K$1409&gt;0,Geometria!$K$1407&gt;0,Geometria!$Q$1409&gt;0,Geometria!$Q$1407&gt;0),1,0))-(Geometria!$L$299-IF(B192&lt;Geometria!$L$1405/100,Geometria!$L$1445,Geometria!$L$1463))*(1-(MIN(MIN(1,MAX(0,(B192-Geometria!$L$1405/100)/(Geometria!$N$1307/100))),MIN(1,MAX(0,((Geometria!$L$29/100-B192)-Geometria!$R$1405/100)/(Geometria!$N$1307/100))))))*(IF(OR(Geometria!$K$1405&gt;0,Geometria!$K$1403&gt;0,Geometria!$Q$1405&gt;0,Geometria!$Q$1403&gt;0),1,0)))/100-Geometria!$P$1429*H169*Geometria!$L$1438/100</f>
        <v>199.18064831013754</v>
      </c>
      <c r="N192" s="365"/>
      <c r="O192" s="371">
        <f ca="1">(IF(C192="Sim",IF(A192="Sim",$E$93,Geometria!$L$1447),IF(A192="Sim",Geometria!$L$1449,Geometria!$L$906)))</f>
        <v>749.9028001915608</v>
      </c>
      <c r="P192" s="371">
        <f ca="1">(IF(C192="Sim",IF(A192="Sim",$E$94,Geometria!$L$1448),IF(A192="Sim",Geometria!$L$1450,Geometria!$L$907)))</f>
        <v>213.72229805459483</v>
      </c>
      <c r="R192" s="4" t="s">
        <v>446</v>
      </c>
      <c r="S192" s="202">
        <f t="shared" ca="1" si="53"/>
        <v>-14515.293029930524</v>
      </c>
      <c r="T192" s="38" t="s">
        <v>234</v>
      </c>
      <c r="U192" s="203">
        <f t="shared" ca="1" si="52"/>
        <v>-14.515293029930524</v>
      </c>
      <c r="V192" s="38" t="s">
        <v>160</v>
      </c>
      <c r="W192" s="399">
        <f t="shared" si="54"/>
        <v>0.0</v>
      </c>
    </row>
    <row r="193" spans="1:23" x14ac:dyDescent="0.25">
      <c r="A193" s="376" t="str">
        <f>IF(OR(B193&lt;Geometria!$L$1405/100,(Geometria!$L$29/100-B193)&lt;Geometria!$R$1405/100),"Sim","Não")</f>
        <v>Sim</v>
      </c>
      <c r="B193" s="395">
        <f t="shared" si="50"/>
        <v>7.065</v>
      </c>
      <c r="C193" s="376" t="str">
        <f>IF(OR(B193&lt;Geometria!$L$1409/100,(Geometria!$L$29/100-B193)&lt;Geometria!$R$1409/100),"Sim","Não")</f>
        <v>Sim</v>
      </c>
      <c r="D193" s="122" t="s">
        <v>447</v>
      </c>
      <c r="E193" s="198" t="str">
        <f ca="1">E177</f>
        <v>Reduzir</v>
      </c>
      <c r="F193" s="396">
        <f t="shared" ca="1" si="51"/>
        <v>-9532.541269085628</v>
      </c>
      <c r="G193" s="397">
        <f ca="1">-L193/(Geometria!$L$48/100^2)-M193/(Geometria!$L$53/100^3)+Geometria!$L$898/(Geometria!$L$53/100^3)</f>
        <v>-9532.541269085628</v>
      </c>
      <c r="H193" s="400">
        <f ca="1">H177</f>
        <v>83.19993663748437</v>
      </c>
      <c r="I193" s="743">
        <f ca="1">-($E$93*(1-IF(IF(OR(Geometria!$K$1409&gt;0,Geometria!$K$1407&gt;0,Geometria!$Q$1409&gt;0,Geometria!$Q$1407&gt;0),1,0),MIN(MIN(1,MAX(0,(B193-Geometria!$L$1409/100)/(Geometria!$N$1307/100))),MIN(1,MAX(0,((Geometria!$L$29/100-B193)-Geometria!$R$1409/100)/(Geometria!$N$1307/100)))),1))*(1-IF(IF(OR(Geometria!$K$1405&gt;0,Geometria!$K$1403&gt;0,Geometria!$Q$1405&gt;0,Geometria!$Q$1403&gt;0),1,0),MIN(MIN(1,MAX(0,(B193-Geometria!$L$1405/100)/(Geometria!$N$1307/100))),MIN(1,MAX(0,((Geometria!$L$29/100-B193)-Geometria!$R$1405/100)/(Geometria!$N$1307/100)))),1))+Geometria!$L$1447*(1-IF(IF(OR(Geometria!$K$1409&gt;0,Geometria!$K$1407&gt;0,Geometria!$Q$1409&gt;0,Geometria!$Q$1407&gt;0),1,0),MIN(MIN(1,MAX(0,(B193-Geometria!$L$1409/100)/(Geometria!$N$1307/100))),MIN(1,MAX(0,((Geometria!$L$29/100-B193)-Geometria!$R$1409/100)/(Geometria!$N$1307/100)))),1))*IF(IF(OR(Geometria!$K$1405&gt;0,Geometria!$K$1403&gt;0,Geometria!$Q$1405&gt;0,Geometria!$Q$1403&gt;0),1,0),MIN(MIN(1,MAX(0,(B193-Geometria!$L$1405/100)/(Geometria!$N$1307/100))),MIN(1,MAX(0,((Geometria!$L$29/100-B193)-Geometria!$R$1405/100)/(Geometria!$N$1307/100)))),1)+Geometria!$L$1449*IF(IF(OR(Geometria!$K$1409&gt;0,Geometria!$K$1407&gt;0,Geometria!$Q$1409&gt;0,Geometria!$Q$1407&gt;0),1,0),MIN(MIN(1,MAX(0,(B193-Geometria!$L$1409/100)/(Geometria!$N$1307/100))),MIN(1,MAX(0,((Geometria!$L$29/100-B193)-Geometria!$R$1409/100)/(Geometria!$N$1307/100)))),1)*(1-IF(IF(OR(Geometria!$K$1405&gt;0,Geometria!$K$1403&gt;0,Geometria!$Q$1405&gt;0,Geometria!$Q$1403&gt;0),1,0),MIN(MIN(1,MAX(0,(B193-Geometria!$L$1405/100)/(Geometria!$N$1307/100))),MIN(1,MAX(0,((Geometria!$L$29/100-B193)-Geometria!$R$1405/100)/(Geometria!$N$1307/100)))),1))+Geometria!$L$906*IF(IF(OR(Geometria!$K$1409&gt;0,Geometria!$K$1407&gt;0,Geometria!$Q$1409&gt;0,Geometria!$Q$1407&gt;0),1,0),MIN(MIN(1,MAX(0,(B193-Geometria!$L$1409/100)/(Geometria!$N$1307/100))),MIN(1,MAX(0,((Geometria!$L$29/100-B193)-Geometria!$R$1409/100)/(Geometria!$N$1307/100)))),1)*IF(IF(OR(Geometria!$K$1405&gt;0,Geometria!$K$1403&gt;0,Geometria!$Q$1405&gt;0,Geometria!$Q$1403&gt;0),1,0),MIN(MIN(1,MAX(0,(B193-Geometria!$L$1405/100)/(Geometria!$N$1307/100))),MIN(1,MAX(0,((Geometria!$L$29/100-B193)-Geometria!$R$1405/100)/(Geometria!$N$1307/100)))),1))/(Geometria!$L$48/100^2)-($E$94*(1-IF(IF(OR(Geometria!$K$1409&gt;0,Geometria!$K$1407&gt;0,Geometria!$Q$1409&gt;0,Geometria!$Q$1407&gt;0),1,0),MIN(MIN(1,MAX(0,(B193-Geometria!$L$1409/100)/(Geometria!$N$1307/100))),MIN(1,MAX(0,((Geometria!$L$29/100-B193)-Geometria!$R$1409/100)/(Geometria!$N$1307/100)))),1))*(1-IF(IF(OR(Geometria!$K$1405&gt;0,Geometria!$K$1403&gt;0,Geometria!$Q$1405&gt;0,Geometria!$Q$1403&gt;0),1,0),MIN(MIN(1,MAX(0,(B193-Geometria!$L$1405/100)/(Geometria!$N$1307/100))),MIN(1,MAX(0,((Geometria!$L$29/100-B193)-Geometria!$R$1405/100)/(Geometria!$N$1307/100)))),1))+Geometria!$L$1448*(1-IF(IF(OR(Geometria!$K$1409&gt;0,Geometria!$K$1407&gt;0,Geometria!$Q$1409&gt;0,Geometria!$Q$1407&gt;0),1,0),MIN(MIN(1,MAX(0,(B193-Geometria!$L$1409/100)/(Geometria!$N$1307/100))),MIN(1,MAX(0,((Geometria!$L$29/100-B193)-Geometria!$R$1409/100)/(Geometria!$N$1307/100)))),1))*IF(IF(OR(Geometria!$K$1405&gt;0,Geometria!$K$1403&gt;0,Geometria!$Q$1405&gt;0,Geometria!$Q$1403&gt;0),1,0),MIN(MIN(1,MAX(0,(B193-Geometria!$L$1405/100)/(Geometria!$N$1307/100))),MIN(1,MAX(0,((Geometria!$L$29/100-B193)-Geometria!$R$1405/100)/(Geometria!$N$1307/100)))),1)+Geometria!$L$1450*IF(IF(OR(Geometria!$K$1409&gt;0,Geometria!$K$1407&gt;0,Geometria!$Q$1409&gt;0,Geometria!$Q$1407&gt;0),1,0),MIN(MIN(1,MAX(0,(B193-Geometria!$L$1409/100)/(Geometria!$N$1307/100))),MIN(1,MAX(0,((Geometria!$L$29/100-B193)-Geometria!$R$1409/100)/(Geometria!$N$1307/100)))),1)*(1-IF(IF(OR(Geometria!$K$1405&gt;0,Geometria!$K$1403&gt;0,Geometria!$Q$1405&gt;0,Geometria!$Q$1403&gt;0),1,0),MIN(MIN(1,MAX(0,(B193-Geometria!$L$1405/100)/(Geometria!$N$1307/100))),MIN(1,MAX(0,((Geometria!$L$29/100-B193)-Geometria!$R$1405/100)/(Geometria!$N$1307/100)))),1))+Geometria!$L$907*IF(IF(OR(Geometria!$K$1409&gt;0,Geometria!$K$1407&gt;0,Geometria!$Q$1409&gt;0,Geometria!$Q$1407&gt;0),1,0),MIN(MIN(1,MAX(0,(B193-Geometria!$L$1409/100)/(Geometria!$N$1307/100))),MIN(1,MAX(0,((Geometria!$L$29/100-B193)-Geometria!$R$1409/100)/(Geometria!$N$1307/100)))),1)*IF(IF(OR(Geometria!$K$1405&gt;0,Geometria!$K$1403&gt;0,Geometria!$Q$1405&gt;0,Geometria!$Q$1403&gt;0),1,0),MIN(MIN(1,MAX(0,(B193-Geometria!$L$1405/100)/(Geometria!$N$1307/100))),MIN(1,MAX(0,((Geometria!$L$29/100-B193)-Geometria!$R$1405/100)/(Geometria!$N$1307/100)))),1))/(Geometria!$L$53/100^3)+Geometria!$M$904/(Geometria!$L$53/100^3)</f>
        <v>-15219.238139513942</v>
      </c>
      <c r="J193" s="743"/>
      <c r="L193" s="373">
        <f ca="1">(Geometria!$L$298-(Geometria!$L$298-IF(B193&lt;Geometria!$L$1409/100,Geometria!$L$1442,Geometria!$L$1460))*(1-(MIN(MIN(1,MAX(0,(B193-Geometria!$L$1409/100)/(Geometria!$N$1307/100))),MIN(1,MAX(0,((Geometria!$L$29/100-B193)-Geometria!$R$1409/100)/(Geometria!$N$1307/100))))))*(IF(OR(Geometria!$K$1409&gt;0,Geometria!$K$1407&gt;0,Geometria!$Q$1409&gt;0,Geometria!$Q$1407&gt;0),1,0))-(Geometria!$L$298-IF(B193&lt;Geometria!$L$1405/100,Geometria!$L$1444,Geometria!$L$1462))*(1-(MIN(MIN(1,MAX(0,(B193-Geometria!$L$1405/100)/(Geometria!$N$1307/100))),MIN(1,MAX(0,((Geometria!$L$29/100-B193)-Geometria!$R$1405/100)/(Geometria!$N$1307/100))))))*(IF(OR(Geometria!$K$1405&gt;0,Geometria!$K$1403&gt;0,Geometria!$Q$1405&gt;0,Geometria!$Q$1403&gt;0),1,0)))*H193+Geometria!$P$1429*H170</f>
        <v>465.9196451699124</v>
      </c>
      <c r="M193" s="373">
        <f ca="1">(Geometria!$L$298-(Geometria!$L$298-IF(B193&lt;Geometria!$L$1409/100,Geometria!$L$1442,Geometria!$L$1460))*(1-(MIN(MIN(1,MAX(0,(B193-Geometria!$L$1409/100)/(Geometria!$N$1307/100))),MIN(1,MAX(0,((Geometria!$L$29/100-B193)-Geometria!$R$1409/100)/(Geometria!$N$1307/100))))))*(IF(OR(Geometria!$K$1409&gt;0,Geometria!$K$1407&gt;0,Geometria!$Q$1409&gt;0,Geometria!$Q$1407&gt;0),1,0))-(Geometria!$L$298-IF(B193&lt;Geometria!$L$1405/100,Geometria!$L$1444,Geometria!$L$1462))*(1-(MIN(MIN(1,MAX(0,(B193-Geometria!$L$1405/100)/(Geometria!$N$1307/100))),MIN(1,MAX(0,((Geometria!$L$29/100-B193)-Geometria!$R$1405/100)/(Geometria!$N$1307/100))))))*(IF(OR(Geometria!$K$1405&gt;0,Geometria!$K$1403&gt;0,Geometria!$Q$1405&gt;0,Geometria!$Q$1403&gt;0),1,0)))*H193*(Geometria!$L$299-(Geometria!$L$299-IF(B193&lt;Geometria!$L$1409/100,Geometria!$L$1443,Geometria!$L$1461))*(1-(MIN(MIN(1,MAX(0,(B193-Geometria!$L$1409/100)/(Geometria!$N$1307/100))),MIN(1,MAX(0,((Geometria!$L$29/100-B193)-Geometria!$R$1409/100)/(Geometria!$N$1307/100))))))*(IF(OR(Geometria!$K$1409&gt;0,Geometria!$K$1407&gt;0,Geometria!$Q$1409&gt;0,Geometria!$Q$1407&gt;0),1,0))-(Geometria!$L$299-IF(B193&lt;Geometria!$L$1405/100,Geometria!$L$1445,Geometria!$L$1463))*(1-(MIN(MIN(1,MAX(0,(B193-Geometria!$L$1405/100)/(Geometria!$N$1307/100))),MIN(1,MAX(0,((Geometria!$L$29/100-B193)-Geometria!$R$1405/100)/(Geometria!$N$1307/100))))))*(IF(OR(Geometria!$K$1405&gt;0,Geometria!$K$1403&gt;0,Geometria!$Q$1405&gt;0,Geometria!$Q$1403&gt;0),1,0)))/100-Geometria!$P$1429*H170*Geometria!$L$1438/100</f>
        <v>132.78709887342504</v>
      </c>
      <c r="N193" s="365"/>
      <c r="O193" s="371">
        <f ca="1">(IF(C193="Sim",IF(A193="Sim",$E$93,Geometria!$L$1447),IF(A193="Sim",Geometria!$L$1449,Geometria!$L$906)))</f>
        <v>749.9028001915608</v>
      </c>
      <c r="P193" s="371">
        <f ca="1">(IF(C193="Sim",IF(A193="Sim",$E$94,Geometria!$L$1448),IF(A193="Sim",Geometria!$L$1450,Geometria!$L$907)))</f>
        <v>213.72229805459483</v>
      </c>
      <c r="R193" s="4" t="s">
        <v>447</v>
      </c>
      <c r="S193" s="202">
        <f t="shared" ca="1" si="53"/>
        <v>-9532.541269085628</v>
      </c>
      <c r="T193" s="38" t="s">
        <v>234</v>
      </c>
      <c r="U193" s="203">
        <f t="shared" ca="1" si="52"/>
        <v>-9.532541269085629</v>
      </c>
      <c r="V193" s="38" t="s">
        <v>160</v>
      </c>
      <c r="W193" s="399">
        <f t="shared" si="54"/>
        <v>0.0</v>
      </c>
    </row>
    <row r="194" spans="1:23" x14ac:dyDescent="0.25">
      <c r="A194" s="376" t="str">
        <f>IF(OR(B194&lt;Geometria!$L$1405/100,(Geometria!$L$29/100-B194)&lt;Geometria!$R$1405/100),"Sim","Não")</f>
        <v>Sim</v>
      </c>
      <c r="B194" s="395">
        <f t="shared" si="50"/>
        <v>7.4575000000000005</v>
      </c>
      <c r="C194" s="376" t="str">
        <f>IF(OR(B194&lt;Geometria!$L$1409/100,(Geometria!$L$29/100-B194)&lt;Geometria!$R$1409/100),"Sim","Não")</f>
        <v>Sim</v>
      </c>
      <c r="D194" s="122" t="s">
        <v>448</v>
      </c>
      <c r="E194" s="198" t="str">
        <f ca="1">E176</f>
        <v>Reduzir</v>
      </c>
      <c r="F194" s="396">
        <f t="shared" ca="1" si="51"/>
        <v>-4549.789508240733</v>
      </c>
      <c r="G194" s="397">
        <f ca="1">-L194/(Geometria!$L$48/100^2)-M194/(Geometria!$L$53/100^3)+Geometria!$N$904/(Geometria!$L$53/100^3)</f>
        <v>-4549.789508240733</v>
      </c>
      <c r="H194" s="400">
        <f ca="1">H176</f>
        <v>41.599968318742185</v>
      </c>
      <c r="I194" s="743">
        <f ca="1">-($E$93*(1-IF(IF(OR(Geometria!$K$1409&gt;0,Geometria!$K$1407&gt;0,Geometria!$Q$1409&gt;0,Geometria!$Q$1407&gt;0),1,0),MIN(MIN(1,MAX(0,(B194-Geometria!$L$1409/100)/(Geometria!$N$1307/100))),MIN(1,MAX(0,((Geometria!$L$29/100-B194)-Geometria!$R$1409/100)/(Geometria!$N$1307/100)))),1))*(1-IF(IF(OR(Geometria!$K$1405&gt;0,Geometria!$K$1403&gt;0,Geometria!$Q$1405&gt;0,Geometria!$Q$1403&gt;0),1,0),MIN(MIN(1,MAX(0,(B194-Geometria!$L$1405/100)/(Geometria!$N$1307/100))),MIN(1,MAX(0,((Geometria!$L$29/100-B194)-Geometria!$R$1405/100)/(Geometria!$N$1307/100)))),1))+Geometria!$L$1447*(1-IF(IF(OR(Geometria!$K$1409&gt;0,Geometria!$K$1407&gt;0,Geometria!$Q$1409&gt;0,Geometria!$Q$1407&gt;0),1,0),MIN(MIN(1,MAX(0,(B194-Geometria!$L$1409/100)/(Geometria!$N$1307/100))),MIN(1,MAX(0,((Geometria!$L$29/100-B194)-Geometria!$R$1409/100)/(Geometria!$N$1307/100)))),1))*IF(IF(OR(Geometria!$K$1405&gt;0,Geometria!$K$1403&gt;0,Geometria!$Q$1405&gt;0,Geometria!$Q$1403&gt;0),1,0),MIN(MIN(1,MAX(0,(B194-Geometria!$L$1405/100)/(Geometria!$N$1307/100))),MIN(1,MAX(0,((Geometria!$L$29/100-B194)-Geometria!$R$1405/100)/(Geometria!$N$1307/100)))),1)+Geometria!$L$1449*IF(IF(OR(Geometria!$K$1409&gt;0,Geometria!$K$1407&gt;0,Geometria!$Q$1409&gt;0,Geometria!$Q$1407&gt;0),1,0),MIN(MIN(1,MAX(0,(B194-Geometria!$L$1409/100)/(Geometria!$N$1307/100))),MIN(1,MAX(0,((Geometria!$L$29/100-B194)-Geometria!$R$1409/100)/(Geometria!$N$1307/100)))),1)*(1-IF(IF(OR(Geometria!$K$1405&gt;0,Geometria!$K$1403&gt;0,Geometria!$Q$1405&gt;0,Geometria!$Q$1403&gt;0),1,0),MIN(MIN(1,MAX(0,(B194-Geometria!$L$1405/100)/(Geometria!$N$1307/100))),MIN(1,MAX(0,((Geometria!$L$29/100-B194)-Geometria!$R$1405/100)/(Geometria!$N$1307/100)))),1))+Geometria!$L$906*IF(IF(OR(Geometria!$K$1409&gt;0,Geometria!$K$1407&gt;0,Geometria!$Q$1409&gt;0,Geometria!$Q$1407&gt;0),1,0),MIN(MIN(1,MAX(0,(B194-Geometria!$L$1409/100)/(Geometria!$N$1307/100))),MIN(1,MAX(0,((Geometria!$L$29/100-B194)-Geometria!$R$1409/100)/(Geometria!$N$1307/100)))),1)*IF(IF(OR(Geometria!$K$1405&gt;0,Geometria!$K$1403&gt;0,Geometria!$Q$1405&gt;0,Geometria!$Q$1403&gt;0),1,0),MIN(MIN(1,MAX(0,(B194-Geometria!$L$1405/100)/(Geometria!$N$1307/100))),MIN(1,MAX(0,((Geometria!$L$29/100-B194)-Geometria!$R$1405/100)/(Geometria!$N$1307/100)))),1))/(Geometria!$L$48/100^2)-($E$94*(1-IF(IF(OR(Geometria!$K$1409&gt;0,Geometria!$K$1407&gt;0,Geometria!$Q$1409&gt;0,Geometria!$Q$1407&gt;0),1,0),MIN(MIN(1,MAX(0,(B194-Geometria!$L$1409/100)/(Geometria!$N$1307/100))),MIN(1,MAX(0,((Geometria!$L$29/100-B194)-Geometria!$R$1409/100)/(Geometria!$N$1307/100)))),1))*(1-IF(IF(OR(Geometria!$K$1405&gt;0,Geometria!$K$1403&gt;0,Geometria!$Q$1405&gt;0,Geometria!$Q$1403&gt;0),1,0),MIN(MIN(1,MAX(0,(B194-Geometria!$L$1405/100)/(Geometria!$N$1307/100))),MIN(1,MAX(0,((Geometria!$L$29/100-B194)-Geometria!$R$1405/100)/(Geometria!$N$1307/100)))),1))+Geometria!$L$1448*(1-IF(IF(OR(Geometria!$K$1409&gt;0,Geometria!$K$1407&gt;0,Geometria!$Q$1409&gt;0,Geometria!$Q$1407&gt;0),1,0),MIN(MIN(1,MAX(0,(B194-Geometria!$L$1409/100)/(Geometria!$N$1307/100))),MIN(1,MAX(0,((Geometria!$L$29/100-B194)-Geometria!$R$1409/100)/(Geometria!$N$1307/100)))),1))*IF(IF(OR(Geometria!$K$1405&gt;0,Geometria!$K$1403&gt;0,Geometria!$Q$1405&gt;0,Geometria!$Q$1403&gt;0),1,0),MIN(MIN(1,MAX(0,(B194-Geometria!$L$1405/100)/(Geometria!$N$1307/100))),MIN(1,MAX(0,((Geometria!$L$29/100-B194)-Geometria!$R$1405/100)/(Geometria!$N$1307/100)))),1)+Geometria!$L$1450*IF(IF(OR(Geometria!$K$1409&gt;0,Geometria!$K$1407&gt;0,Geometria!$Q$1409&gt;0,Geometria!$Q$1407&gt;0),1,0),MIN(MIN(1,MAX(0,(B194-Geometria!$L$1409/100)/(Geometria!$N$1307/100))),MIN(1,MAX(0,((Geometria!$L$29/100-B194)-Geometria!$R$1409/100)/(Geometria!$N$1307/100)))),1)*(1-IF(IF(OR(Geometria!$K$1405&gt;0,Geometria!$K$1403&gt;0,Geometria!$Q$1405&gt;0,Geometria!$Q$1403&gt;0),1,0),MIN(MIN(1,MAX(0,(B194-Geometria!$L$1405/100)/(Geometria!$N$1307/100))),MIN(1,MAX(0,((Geometria!$L$29/100-B194)-Geometria!$R$1405/100)/(Geometria!$N$1307/100)))),1))+Geometria!$L$907*IF(IF(OR(Geometria!$K$1409&gt;0,Geometria!$K$1407&gt;0,Geometria!$Q$1409&gt;0,Geometria!$Q$1407&gt;0),1,0),MIN(MIN(1,MAX(0,(B194-Geometria!$L$1409/100)/(Geometria!$N$1307/100))),MIN(1,MAX(0,((Geometria!$L$29/100-B194)-Geometria!$R$1409/100)/(Geometria!$N$1307/100)))),1)*IF(IF(OR(Geometria!$K$1405&gt;0,Geometria!$K$1403&gt;0,Geometria!$Q$1405&gt;0,Geometria!$Q$1403&gt;0),1,0),MIN(MIN(1,MAX(0,(B194-Geometria!$L$1405/100)/(Geometria!$N$1307/100))),MIN(1,MAX(0,((Geometria!$L$29/100-B194)-Geometria!$R$1405/100)/(Geometria!$N$1307/100)))),1))/(Geometria!$L$53/100^3)+Geometria!$N$904/(Geometria!$L$53/100^3)</f>
        <v>-15606.625418159776</v>
      </c>
      <c r="J194" s="743"/>
      <c r="L194" s="373">
        <f ca="1">(Geometria!$L$298-(Geometria!$L$298-IF(B194&lt;Geometria!$L$1409/100,Geometria!$L$1442,Geometria!$L$1460))*(1-(MIN(MIN(1,MAX(0,(B194-Geometria!$L$1409/100)/(Geometria!$N$1307/100))),MIN(1,MAX(0,((Geometria!$L$29/100-B194)-Geometria!$R$1409/100)/(Geometria!$N$1307/100))))))*(IF(OR(Geometria!$K$1409&gt;0,Geometria!$K$1407&gt;0,Geometria!$Q$1409&gt;0,Geometria!$Q$1407&gt;0),1,0))-(Geometria!$L$298-IF(B194&lt;Geometria!$L$1405/100,Geometria!$L$1444,Geometria!$L$1462))*(1-(MIN(MIN(1,MAX(0,(B194-Geometria!$L$1405/100)/(Geometria!$N$1307/100))),MIN(1,MAX(0,((Geometria!$L$29/100-B194)-Geometria!$R$1405/100)/(Geometria!$N$1307/100))))))*(IF(OR(Geometria!$K$1405&gt;0,Geometria!$K$1403&gt;0,Geometria!$Q$1405&gt;0,Geometria!$Q$1403&gt;0),1,0)))*H194+Geometria!$P$1429*H171</f>
        <v>232.9598225849562</v>
      </c>
      <c r="M194" s="373">
        <f ca="1">(Geometria!$L$298-(Geometria!$L$298-IF(B194&lt;Geometria!$L$1409/100,Geometria!$L$1442,Geometria!$L$1460))*(1-(MIN(MIN(1,MAX(0,(B194-Geometria!$L$1409/100)/(Geometria!$N$1307/100))),MIN(1,MAX(0,((Geometria!$L$29/100-B194)-Geometria!$R$1409/100)/(Geometria!$N$1307/100))))))*(IF(OR(Geometria!$K$1409&gt;0,Geometria!$K$1407&gt;0,Geometria!$Q$1409&gt;0,Geometria!$Q$1407&gt;0),1,0))-(Geometria!$L$298-IF(B194&lt;Geometria!$L$1405/100,Geometria!$L$1444,Geometria!$L$1462))*(1-(MIN(MIN(1,MAX(0,(B194-Geometria!$L$1405/100)/(Geometria!$N$1307/100))),MIN(1,MAX(0,((Geometria!$L$29/100-B194)-Geometria!$R$1405/100)/(Geometria!$N$1307/100))))))*(IF(OR(Geometria!$K$1405&gt;0,Geometria!$K$1403&gt;0,Geometria!$Q$1405&gt;0,Geometria!$Q$1403&gt;0),1,0)))*H194*(Geometria!$L$299-(Geometria!$L$299-IF(B194&lt;Geometria!$L$1409/100,Geometria!$L$1443,Geometria!$L$1461))*(1-(MIN(MIN(1,MAX(0,(B194-Geometria!$L$1409/100)/(Geometria!$N$1307/100))),MIN(1,MAX(0,((Geometria!$L$29/100-B194)-Geometria!$R$1409/100)/(Geometria!$N$1307/100))))))*(IF(OR(Geometria!$K$1409&gt;0,Geometria!$K$1407&gt;0,Geometria!$Q$1409&gt;0,Geometria!$Q$1407&gt;0),1,0))-(Geometria!$L$299-IF(B194&lt;Geometria!$L$1405/100,Geometria!$L$1445,Geometria!$L$1463))*(1-(MIN(MIN(1,MAX(0,(B194-Geometria!$L$1405/100)/(Geometria!$N$1307/100))),MIN(1,MAX(0,((Geometria!$L$29/100-B194)-Geometria!$R$1405/100)/(Geometria!$N$1307/100))))))*(IF(OR(Geometria!$K$1405&gt;0,Geometria!$K$1403&gt;0,Geometria!$Q$1405&gt;0,Geometria!$Q$1403&gt;0),1,0)))/100-Geometria!$P$1429*H171*Geometria!$L$1438/100</f>
        <v>66.39354943671252</v>
      </c>
      <c r="N194" s="365"/>
      <c r="O194" s="371">
        <f ca="1">(IF(C194="Sim",IF(A194="Sim",$E$93,Geometria!$L$1447),IF(A194="Sim",Geometria!$L$1449,Geometria!$L$906)))</f>
        <v>749.9028001915608</v>
      </c>
      <c r="P194" s="371">
        <f ca="1">(IF(C194="Sim",IF(A194="Sim",$E$94,Geometria!$L$1448),IF(A194="Sim",Geometria!$L$1450,Geometria!$L$907)))</f>
        <v>213.72229805459483</v>
      </c>
      <c r="R194" s="4" t="s">
        <v>448</v>
      </c>
      <c r="S194" s="204">
        <f t="shared" ca="1" si="53"/>
        <v>-4549.789508240733</v>
      </c>
      <c r="T194" s="38" t="s">
        <v>234</v>
      </c>
      <c r="U194" s="205">
        <f t="shared" ca="1" si="52"/>
        <v>-4.549789508240733</v>
      </c>
      <c r="V194" s="38" t="s">
        <v>160</v>
      </c>
      <c r="W194" s="399">
        <f t="shared" si="54"/>
        <v>0.0</v>
      </c>
    </row>
    <row r="195" spans="1:23" x14ac:dyDescent="0.25">
      <c r="A195" s="376" t="str">
        <f>IF(OR(B195&lt;Geometria!$L$1405/100,(Geometria!$L$29/100-B195)&lt;Geometria!$R$1405/100),"Sim","Não")</f>
        <v>Sim</v>
      </c>
      <c r="B195" s="395">
        <f t="shared" si="50"/>
        <v>7.8500000000000005</v>
      </c>
      <c r="C195" s="376" t="str">
        <f>IF(OR(B195&lt;Geometria!$L$1409/100,(Geometria!$L$29/100-B195)&lt;Geometria!$R$1409/100),"Sim","Não")</f>
        <v>Sim</v>
      </c>
      <c r="D195" s="405" t="s">
        <v>449</v>
      </c>
      <c r="E195" s="198" t="str">
        <f ca="1">E175</f>
        <v>Reduzir</v>
      </c>
      <c r="F195" s="406">
        <v>0</v>
      </c>
      <c r="G195" s="407">
        <v>0</v>
      </c>
      <c r="H195" s="408">
        <v>0</v>
      </c>
      <c r="I195" s="744">
        <v>0</v>
      </c>
      <c r="J195" s="744"/>
      <c r="N195" s="365"/>
      <c r="R195" s="32" t="s">
        <v>449</v>
      </c>
      <c r="S195" s="206">
        <v>0</v>
      </c>
      <c r="T195" s="207" t="s">
        <v>234</v>
      </c>
      <c r="U195" s="208">
        <v>0</v>
      </c>
      <c r="V195" s="207" t="s">
        <v>160</v>
      </c>
      <c r="W195" s="409">
        <f t="shared" si="54"/>
        <v>0.0</v>
      </c>
    </row>
  </sheetData>
  <mergeCells count="339">
    <mergeCell ref="L2:S2"/>
    <mergeCell ref="L10:M10"/>
    <mergeCell ref="Q10:R10"/>
    <mergeCell ref="Q32:Q33"/>
    <mergeCell ref="Q43:Q44"/>
    <mergeCell ref="L51:S51"/>
    <mergeCell ref="P76:R76"/>
    <mergeCell ref="R77:R78"/>
    <mergeCell ref="L87:N87"/>
    <mergeCell ref="D97:N97"/>
    <mergeCell ref="AA97:AK97"/>
    <mergeCell ref="AX97:BH97"/>
    <mergeCell ref="BU97:CE97"/>
    <mergeCell ref="CR97:DB97"/>
    <mergeCell ref="F99:F100"/>
    <mergeCell ref="G99:H100"/>
    <mergeCell ref="I99:J100"/>
    <mergeCell ref="L99:L100"/>
    <mergeCell ref="M99:M100"/>
    <mergeCell ref="AC99:AC100"/>
    <mergeCell ref="AD99:AE100"/>
    <mergeCell ref="AF99:AG100"/>
    <mergeCell ref="AI99:AI100"/>
    <mergeCell ref="AJ99:AJ100"/>
    <mergeCell ref="AZ99:AZ100"/>
    <mergeCell ref="BA99:BB100"/>
    <mergeCell ref="BC99:BD100"/>
    <mergeCell ref="BF99:BF100"/>
    <mergeCell ref="BG99:BG100"/>
    <mergeCell ref="BW99:BW100"/>
    <mergeCell ref="BX99:BY100"/>
    <mergeCell ref="BZ99:CA100"/>
    <mergeCell ref="CC99:CC100"/>
    <mergeCell ref="DF100:DJ100"/>
    <mergeCell ref="I101:J101"/>
    <mergeCell ref="AF101:AG101"/>
    <mergeCell ref="BC101:BD101"/>
    <mergeCell ref="BZ101:CA101"/>
    <mergeCell ref="CW101:CX101"/>
    <mergeCell ref="I102:J102"/>
    <mergeCell ref="AF102:AG102"/>
    <mergeCell ref="BC102:BD102"/>
    <mergeCell ref="BZ102:CA102"/>
    <mergeCell ref="CW102:CX102"/>
    <mergeCell ref="CD99:CD100"/>
    <mergeCell ref="CT99:CT100"/>
    <mergeCell ref="CU99:CV100"/>
    <mergeCell ref="CW99:CX100"/>
    <mergeCell ref="CZ99:CZ100"/>
    <mergeCell ref="DA99:DA100"/>
    <mergeCell ref="R100:V100"/>
    <mergeCell ref="AO100:AS100"/>
    <mergeCell ref="BL100:BP100"/>
    <mergeCell ref="CI100:CM100"/>
    <mergeCell ref="I103:J103"/>
    <mergeCell ref="AF103:AG103"/>
    <mergeCell ref="BC103:BD103"/>
    <mergeCell ref="BZ103:CA103"/>
    <mergeCell ref="CW103:CX103"/>
    <mergeCell ref="I104:J104"/>
    <mergeCell ref="AF104:AG104"/>
    <mergeCell ref="BC104:BD104"/>
    <mergeCell ref="BZ104:CA104"/>
    <mergeCell ref="CW104:CX104"/>
    <mergeCell ref="I105:J105"/>
    <mergeCell ref="AF105:AG105"/>
    <mergeCell ref="BC105:BD105"/>
    <mergeCell ref="BZ105:CA105"/>
    <mergeCell ref="CW105:CX105"/>
    <mergeCell ref="I106:J106"/>
    <mergeCell ref="AF106:AG106"/>
    <mergeCell ref="BC106:BD106"/>
    <mergeCell ref="BZ106:CA106"/>
    <mergeCell ref="CW106:CX106"/>
    <mergeCell ref="I107:J107"/>
    <mergeCell ref="AF107:AG107"/>
    <mergeCell ref="BC107:BD107"/>
    <mergeCell ref="BZ107:CA107"/>
    <mergeCell ref="CW107:CX107"/>
    <mergeCell ref="I108:J108"/>
    <mergeCell ref="AF108:AG108"/>
    <mergeCell ref="BC108:BD108"/>
    <mergeCell ref="BZ108:CA108"/>
    <mergeCell ref="CW108:CX108"/>
    <mergeCell ref="I109:J109"/>
    <mergeCell ref="AF109:AG109"/>
    <mergeCell ref="BC109:BD109"/>
    <mergeCell ref="BZ109:CA109"/>
    <mergeCell ref="CW109:CX109"/>
    <mergeCell ref="I110:J110"/>
    <mergeCell ref="AF110:AG110"/>
    <mergeCell ref="BC110:BD110"/>
    <mergeCell ref="BZ110:CA110"/>
    <mergeCell ref="CW110:CX110"/>
    <mergeCell ref="I111:J111"/>
    <mergeCell ref="AF111:AG111"/>
    <mergeCell ref="BC111:BD111"/>
    <mergeCell ref="BZ111:CA111"/>
    <mergeCell ref="CW111:CX111"/>
    <mergeCell ref="I112:J112"/>
    <mergeCell ref="AF112:AG112"/>
    <mergeCell ref="BC112:BD112"/>
    <mergeCell ref="BZ112:CA112"/>
    <mergeCell ref="CW112:CX112"/>
    <mergeCell ref="I113:J113"/>
    <mergeCell ref="AF113:AG113"/>
    <mergeCell ref="BC113:BD113"/>
    <mergeCell ref="BZ113:CA113"/>
    <mergeCell ref="CW113:CX113"/>
    <mergeCell ref="I114:J114"/>
    <mergeCell ref="AF114:AG114"/>
    <mergeCell ref="BC114:BD114"/>
    <mergeCell ref="BZ114:CA114"/>
    <mergeCell ref="CW114:CX114"/>
    <mergeCell ref="I115:J115"/>
    <mergeCell ref="AF115:AG115"/>
    <mergeCell ref="BC115:BD115"/>
    <mergeCell ref="BZ115:CA115"/>
    <mergeCell ref="CW115:CX115"/>
    <mergeCell ref="I116:J116"/>
    <mergeCell ref="AF116:AG116"/>
    <mergeCell ref="BC116:BD116"/>
    <mergeCell ref="BZ116:CA116"/>
    <mergeCell ref="CW116:CX116"/>
    <mergeCell ref="I117:J117"/>
    <mergeCell ref="AF117:AG117"/>
    <mergeCell ref="BC117:BD117"/>
    <mergeCell ref="BZ117:CA117"/>
    <mergeCell ref="CW117:CX117"/>
    <mergeCell ref="I118:J118"/>
    <mergeCell ref="AF118:AG118"/>
    <mergeCell ref="BC118:BD118"/>
    <mergeCell ref="BZ118:CA118"/>
    <mergeCell ref="CW118:CX118"/>
    <mergeCell ref="I119:J119"/>
    <mergeCell ref="AF119:AG119"/>
    <mergeCell ref="BC119:BD119"/>
    <mergeCell ref="BZ119:CA119"/>
    <mergeCell ref="CW119:CX119"/>
    <mergeCell ref="I120:J120"/>
    <mergeCell ref="AF120:AG120"/>
    <mergeCell ref="BC120:BD120"/>
    <mergeCell ref="BZ120:CA120"/>
    <mergeCell ref="CW120:CX120"/>
    <mergeCell ref="I121:J121"/>
    <mergeCell ref="AF121:AG121"/>
    <mergeCell ref="BC121:BD121"/>
    <mergeCell ref="BZ121:CA121"/>
    <mergeCell ref="CW121:CX121"/>
    <mergeCell ref="F122:F123"/>
    <mergeCell ref="G122:H123"/>
    <mergeCell ref="I122:J123"/>
    <mergeCell ref="L122:L123"/>
    <mergeCell ref="M122:M123"/>
    <mergeCell ref="AC122:AC123"/>
    <mergeCell ref="AD122:AE123"/>
    <mergeCell ref="AF122:AG123"/>
    <mergeCell ref="AI122:AI123"/>
    <mergeCell ref="AJ122:AJ123"/>
    <mergeCell ref="AZ122:AZ123"/>
    <mergeCell ref="BA122:BB123"/>
    <mergeCell ref="BC122:BD123"/>
    <mergeCell ref="BF122:BF123"/>
    <mergeCell ref="BG122:BG123"/>
    <mergeCell ref="BW122:BW123"/>
    <mergeCell ref="BX122:BY123"/>
    <mergeCell ref="BZ122:CA123"/>
    <mergeCell ref="CC122:CC123"/>
    <mergeCell ref="DF123:DJ123"/>
    <mergeCell ref="I124:J124"/>
    <mergeCell ref="AF124:AG124"/>
    <mergeCell ref="BC124:BD124"/>
    <mergeCell ref="BZ124:CA124"/>
    <mergeCell ref="CW124:CX124"/>
    <mergeCell ref="I125:J125"/>
    <mergeCell ref="AF125:AG125"/>
    <mergeCell ref="BC125:BD125"/>
    <mergeCell ref="BZ125:CA125"/>
    <mergeCell ref="CW125:CX125"/>
    <mergeCell ref="CD122:CD123"/>
    <mergeCell ref="CT122:CT123"/>
    <mergeCell ref="CU122:CV123"/>
    <mergeCell ref="CW122:CX123"/>
    <mergeCell ref="CZ122:CZ123"/>
    <mergeCell ref="DA122:DA123"/>
    <mergeCell ref="R123:V123"/>
    <mergeCell ref="AO123:AS123"/>
    <mergeCell ref="BL123:BP123"/>
    <mergeCell ref="CI123:CM123"/>
    <mergeCell ref="I126:J126"/>
    <mergeCell ref="AF126:AG126"/>
    <mergeCell ref="BC126:BD126"/>
    <mergeCell ref="BZ126:CA126"/>
    <mergeCell ref="CW126:CX126"/>
    <mergeCell ref="I127:J127"/>
    <mergeCell ref="AF127:AG127"/>
    <mergeCell ref="BC127:BD127"/>
    <mergeCell ref="BZ127:CA127"/>
    <mergeCell ref="CW127:CX127"/>
    <mergeCell ref="I128:J128"/>
    <mergeCell ref="AF128:AG128"/>
    <mergeCell ref="BC128:BD128"/>
    <mergeCell ref="BZ128:CA128"/>
    <mergeCell ref="CW128:CX128"/>
    <mergeCell ref="I129:J129"/>
    <mergeCell ref="AF129:AG129"/>
    <mergeCell ref="BC129:BD129"/>
    <mergeCell ref="BZ129:CA129"/>
    <mergeCell ref="CW129:CX129"/>
    <mergeCell ref="I130:J130"/>
    <mergeCell ref="AF130:AG130"/>
    <mergeCell ref="BC130:BD130"/>
    <mergeCell ref="BZ130:CA130"/>
    <mergeCell ref="CW130:CX130"/>
    <mergeCell ref="I131:J131"/>
    <mergeCell ref="AF131:AG131"/>
    <mergeCell ref="BC131:BD131"/>
    <mergeCell ref="BZ131:CA131"/>
    <mergeCell ref="CW131:CX131"/>
    <mergeCell ref="I132:J132"/>
    <mergeCell ref="AF132:AG132"/>
    <mergeCell ref="BC132:BD132"/>
    <mergeCell ref="BZ132:CA132"/>
    <mergeCell ref="CW132:CX132"/>
    <mergeCell ref="I133:J133"/>
    <mergeCell ref="AF133:AG133"/>
    <mergeCell ref="BC133:BD133"/>
    <mergeCell ref="BZ133:CA133"/>
    <mergeCell ref="CW133:CX133"/>
    <mergeCell ref="I134:J134"/>
    <mergeCell ref="AF134:AG134"/>
    <mergeCell ref="BC134:BD134"/>
    <mergeCell ref="BZ134:CA134"/>
    <mergeCell ref="CW134:CX134"/>
    <mergeCell ref="I135:J135"/>
    <mergeCell ref="AF135:AG135"/>
    <mergeCell ref="BC135:BD135"/>
    <mergeCell ref="BZ135:CA135"/>
    <mergeCell ref="CW135:CX135"/>
    <mergeCell ref="I136:J136"/>
    <mergeCell ref="AF136:AG136"/>
    <mergeCell ref="BC136:BD136"/>
    <mergeCell ref="BZ136:CA136"/>
    <mergeCell ref="CW136:CX136"/>
    <mergeCell ref="I137:J137"/>
    <mergeCell ref="AF137:AG137"/>
    <mergeCell ref="BC137:BD137"/>
    <mergeCell ref="BZ137:CA137"/>
    <mergeCell ref="CW137:CX137"/>
    <mergeCell ref="I138:J138"/>
    <mergeCell ref="AF138:AG138"/>
    <mergeCell ref="BC138:BD138"/>
    <mergeCell ref="BZ138:CA138"/>
    <mergeCell ref="CW138:CX138"/>
    <mergeCell ref="I139:J139"/>
    <mergeCell ref="AF139:AG139"/>
    <mergeCell ref="BC139:BD139"/>
    <mergeCell ref="BZ139:CA139"/>
    <mergeCell ref="CW139:CX139"/>
    <mergeCell ref="I140:J140"/>
    <mergeCell ref="AF140:AG140"/>
    <mergeCell ref="BC140:BD140"/>
    <mergeCell ref="BZ140:CA140"/>
    <mergeCell ref="CW140:CX140"/>
    <mergeCell ref="I141:J141"/>
    <mergeCell ref="AF141:AG141"/>
    <mergeCell ref="BC141:BD141"/>
    <mergeCell ref="BZ141:CA141"/>
    <mergeCell ref="CW141:CX141"/>
    <mergeCell ref="I142:J142"/>
    <mergeCell ref="AF142:AG142"/>
    <mergeCell ref="BC142:BD142"/>
    <mergeCell ref="BZ142:CA142"/>
    <mergeCell ref="CW142:CX142"/>
    <mergeCell ref="I143:J143"/>
    <mergeCell ref="AF143:AG143"/>
    <mergeCell ref="BC143:BD143"/>
    <mergeCell ref="BZ143:CA143"/>
    <mergeCell ref="CW143:CX143"/>
    <mergeCell ref="I144:J144"/>
    <mergeCell ref="AF144:AG144"/>
    <mergeCell ref="BC144:BD144"/>
    <mergeCell ref="BZ144:CA144"/>
    <mergeCell ref="CW144:CX144"/>
    <mergeCell ref="D148:N148"/>
    <mergeCell ref="F150:F151"/>
    <mergeCell ref="G150:H151"/>
    <mergeCell ref="I150:J151"/>
    <mergeCell ref="L150:L151"/>
    <mergeCell ref="M150:M151"/>
    <mergeCell ref="R151:V151"/>
    <mergeCell ref="I152:J152"/>
    <mergeCell ref="I153:J153"/>
    <mergeCell ref="I154:J154"/>
    <mergeCell ref="I155:J155"/>
    <mergeCell ref="I156:J156"/>
    <mergeCell ref="I157:J157"/>
    <mergeCell ref="I158:J158"/>
    <mergeCell ref="I159:J159"/>
    <mergeCell ref="I160:J160"/>
    <mergeCell ref="I161:J161"/>
    <mergeCell ref="I162:J162"/>
    <mergeCell ref="I163:J163"/>
    <mergeCell ref="I164:J164"/>
    <mergeCell ref="I165:J165"/>
    <mergeCell ref="I166:J166"/>
    <mergeCell ref="I167:J167"/>
    <mergeCell ref="I168:J168"/>
    <mergeCell ref="I169:J169"/>
    <mergeCell ref="I170:J170"/>
    <mergeCell ref="I171:J171"/>
    <mergeCell ref="I172:J172"/>
    <mergeCell ref="F173:F174"/>
    <mergeCell ref="G173:H174"/>
    <mergeCell ref="I173:J174"/>
    <mergeCell ref="L173:L174"/>
    <mergeCell ref="M173:M174"/>
    <mergeCell ref="R174:V174"/>
    <mergeCell ref="I175:J175"/>
    <mergeCell ref="I176:J176"/>
    <mergeCell ref="I177:J177"/>
    <mergeCell ref="I178:J178"/>
    <mergeCell ref="I179:J179"/>
    <mergeCell ref="I180:J180"/>
    <mergeCell ref="I181:J181"/>
    <mergeCell ref="I182:J182"/>
    <mergeCell ref="I183:J183"/>
    <mergeCell ref="I193:J193"/>
    <mergeCell ref="I194:J194"/>
    <mergeCell ref="I195:J195"/>
    <mergeCell ref="I184:J184"/>
    <mergeCell ref="I185:J185"/>
    <mergeCell ref="I186:J186"/>
    <mergeCell ref="I187:J187"/>
    <mergeCell ref="I188:J188"/>
    <mergeCell ref="I189:J189"/>
    <mergeCell ref="I190:J190"/>
    <mergeCell ref="I191:J191"/>
    <mergeCell ref="I192:J192"/>
  </mergeCells>
  <conditionalFormatting sqref="S101:S121 U101:U121">
    <cfRule type="cellIs" dxfId="67" priority="22" operator="lessThan">
      <formula>0</formula>
    </cfRule>
    <cfRule type="cellIs" dxfId="66" priority="23" operator="greaterThan">
      <formula>0</formula>
    </cfRule>
  </conditionalFormatting>
  <conditionalFormatting sqref="S124:S144 U124:U144">
    <cfRule type="cellIs" dxfId="65" priority="24" operator="lessThan">
      <formula>0</formula>
    </cfRule>
    <cfRule type="cellIs" dxfId="64" priority="25" operator="greaterThan">
      <formula>0</formula>
    </cfRule>
  </conditionalFormatting>
  <conditionalFormatting sqref="S152:S172 U152:U172">
    <cfRule type="cellIs" dxfId="63" priority="2" operator="lessThan">
      <formula>0</formula>
    </cfRule>
    <cfRule type="cellIs" dxfId="62" priority="3" operator="greaterThan">
      <formula>0</formula>
    </cfRule>
  </conditionalFormatting>
  <conditionalFormatting sqref="S175:S195 U175:U195">
    <cfRule type="cellIs" dxfId="61" priority="4" operator="lessThan">
      <formula>0</formula>
    </cfRule>
    <cfRule type="cellIs" dxfId="60" priority="5" operator="greaterThan">
      <formula>0</formula>
    </cfRule>
  </conditionalFormatting>
  <conditionalFormatting sqref="AP101:AP121 AR101:AR121">
    <cfRule type="cellIs" dxfId="59" priority="18" operator="lessThan">
      <formula>0</formula>
    </cfRule>
    <cfRule type="cellIs" dxfId="58" priority="19" operator="greaterThan">
      <formula>0</formula>
    </cfRule>
  </conditionalFormatting>
  <conditionalFormatting sqref="AP124:AP144 AR124:AR144">
    <cfRule type="cellIs" dxfId="57" priority="20" operator="lessThan">
      <formula>0</formula>
    </cfRule>
    <cfRule type="cellIs" dxfId="56" priority="21" operator="greaterThan">
      <formula>0</formula>
    </cfRule>
  </conditionalFormatting>
  <conditionalFormatting sqref="BM101:BM121 BO101:BO121">
    <cfRule type="cellIs" dxfId="55" priority="14" operator="lessThan">
      <formula>0</formula>
    </cfRule>
    <cfRule type="cellIs" dxfId="54" priority="15" operator="greaterThan">
      <formula>0</formula>
    </cfRule>
  </conditionalFormatting>
  <conditionalFormatting sqref="BM124:BM144 BO124:BO144">
    <cfRule type="cellIs" dxfId="53" priority="16" operator="lessThan">
      <formula>0</formula>
    </cfRule>
    <cfRule type="cellIs" dxfId="52" priority="17" operator="greaterThan">
      <formula>0</formula>
    </cfRule>
  </conditionalFormatting>
  <conditionalFormatting sqref="CJ101:CJ121 CL101:CL121">
    <cfRule type="cellIs" dxfId="51" priority="10" operator="lessThan">
      <formula>0</formula>
    </cfRule>
    <cfRule type="cellIs" dxfId="50" priority="11" operator="greaterThan">
      <formula>0</formula>
    </cfRule>
  </conditionalFormatting>
  <conditionalFormatting sqref="CJ124:CJ144 CL124:CL144">
    <cfRule type="cellIs" dxfId="49" priority="12" operator="lessThan">
      <formula>0</formula>
    </cfRule>
    <cfRule type="cellIs" dxfId="48" priority="13" operator="greaterThan">
      <formula>0</formula>
    </cfRule>
  </conditionalFormatting>
  <conditionalFormatting sqref="DG101:DG121 DI101:DI121">
    <cfRule type="cellIs" dxfId="47" priority="6" operator="lessThan">
      <formula>0</formula>
    </cfRule>
    <cfRule type="cellIs" dxfId="46" priority="7" operator="greaterThan">
      <formula>0</formula>
    </cfRule>
  </conditionalFormatting>
  <conditionalFormatting sqref="DG124:DG144 DI124:DI144">
    <cfRule type="cellIs" dxfId="45" priority="8" operator="lessThan">
      <formula>0</formula>
    </cfRule>
    <cfRule type="cellIs" dxfId="44" priority="9" operator="greaterThan">
      <formula>0</formula>
    </cfRule>
  </conditionalFormatting>
  <pageMargins left="0.51180555555555596" right="0.51180555555555596" top="0.78749999999999998" bottom="0.78749999999999998" header="0.511811023622047" footer="0.511811023622047"/>
  <pageSetup paperSize="9" scale="10" orientation="portrait" horizontalDpi="300" verticalDpi="300" r:id="rId1"/>
  <colBreaks count="1" manualBreakCount="1">
    <brk id="107" max="223" man="1"/>
  </colBreak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121"/>
  <sheetViews>
    <sheetView showGridLines="0" view="pageBreakPreview" zoomScale="40" zoomScaleNormal="85" zoomScalePageLayoutView="40" workbookViewId="0">
      <selection activeCell="F32" sqref="F32:G32"/>
    </sheetView>
  </sheetViews>
  <sheetFormatPr defaultColWidth="8.5703125" defaultRowHeight="15" x14ac:dyDescent="0.25"/>
  <cols>
    <col min="2" max="3" width="11.7109375" customWidth="1"/>
    <col min="4" max="4" width="12.85546875" customWidth="1"/>
    <col min="6" max="6" width="11.7109375" customWidth="1"/>
  </cols>
  <sheetData>
    <row r="1" spans="1:61" x14ac:dyDescent="0.25">
      <c r="E1" s="4" t="s">
        <v>291</v>
      </c>
      <c r="F1" s="103">
        <f ca="1">Geometria!L906</f>
        <v>1475.413282676191</v>
      </c>
      <c r="G1" s="38" t="s">
        <v>292</v>
      </c>
      <c r="N1" s="4" t="s">
        <v>1089</v>
      </c>
      <c r="O1" s="103">
        <f ca="1">Geometria!L373</f>
        <v>1243.5596228306003</v>
      </c>
      <c r="P1" s="38" t="s">
        <v>292</v>
      </c>
    </row>
    <row r="2" spans="1:61" x14ac:dyDescent="0.25">
      <c r="E2" s="4" t="s">
        <v>295</v>
      </c>
      <c r="F2" s="103">
        <f ca="1">Geometria!L907</f>
        <v>276.63999050178586</v>
      </c>
      <c r="G2" s="38" t="s">
        <v>292</v>
      </c>
      <c r="N2" s="4" t="s">
        <v>1090</v>
      </c>
      <c r="O2" s="103">
        <f ca="1">Geometria!L374</f>
        <v>233.16742928073757</v>
      </c>
      <c r="P2" s="38" t="s">
        <v>216</v>
      </c>
    </row>
    <row r="3" spans="1:61" x14ac:dyDescent="0.25">
      <c r="E3" s="4"/>
      <c r="F3" s="38"/>
    </row>
    <row r="4" spans="1:61" x14ac:dyDescent="0.25">
      <c r="A4" s="756" t="s">
        <v>1057</v>
      </c>
      <c r="B4" s="756"/>
      <c r="C4" s="756"/>
      <c r="D4" s="756"/>
      <c r="E4" s="756"/>
      <c r="F4" s="756"/>
      <c r="G4" s="756"/>
      <c r="H4" s="756"/>
      <c r="I4" s="756"/>
      <c r="J4" s="756"/>
      <c r="K4" s="756"/>
      <c r="L4" s="418"/>
      <c r="M4" s="756" t="s">
        <v>1091</v>
      </c>
      <c r="N4" s="756"/>
      <c r="O4" s="756"/>
      <c r="P4" s="756"/>
      <c r="Q4" s="756"/>
      <c r="R4" s="756"/>
      <c r="S4" s="756"/>
      <c r="T4" s="756"/>
      <c r="U4" s="756"/>
      <c r="V4" s="756"/>
      <c r="W4" s="756"/>
      <c r="Y4" s="756" t="s">
        <v>1092</v>
      </c>
      <c r="Z4" s="756"/>
      <c r="AA4" s="756"/>
      <c r="AB4" s="756"/>
      <c r="AC4" s="756"/>
      <c r="AD4" s="756"/>
      <c r="AE4" s="756"/>
      <c r="AF4" s="756"/>
      <c r="AG4" s="756"/>
      <c r="AH4" s="756"/>
      <c r="AI4" s="756"/>
      <c r="AK4" s="756" t="s">
        <v>1093</v>
      </c>
      <c r="AL4" s="756"/>
      <c r="AM4" s="756"/>
      <c r="AN4" s="756"/>
      <c r="AO4" s="756"/>
      <c r="AP4" s="756"/>
      <c r="AQ4" s="756"/>
      <c r="AR4" s="756"/>
      <c r="AS4" s="756"/>
      <c r="AT4" s="756"/>
      <c r="AU4" s="756"/>
      <c r="AW4" s="756" t="s">
        <v>1094</v>
      </c>
      <c r="AX4" s="756"/>
      <c r="AY4" s="756"/>
      <c r="AZ4" s="756"/>
      <c r="BA4" s="756"/>
      <c r="BB4" s="756"/>
      <c r="BC4" s="756"/>
      <c r="BD4" s="756"/>
      <c r="BE4" s="756"/>
      <c r="BF4" s="756"/>
      <c r="BG4" s="756"/>
    </row>
    <row r="5" spans="1:61" x14ac:dyDescent="0.25">
      <c r="A5" s="364"/>
      <c r="K5" s="365"/>
      <c r="M5" s="364"/>
      <c r="W5" s="365"/>
      <c r="Y5" s="364"/>
      <c r="AI5" s="365"/>
      <c r="AK5" s="364"/>
      <c r="AU5" s="365"/>
      <c r="AW5" s="364"/>
      <c r="BG5" s="365"/>
    </row>
    <row r="6" spans="1:61" ht="15" customHeight="1" x14ac:dyDescent="0.25">
      <c r="A6" s="364"/>
      <c r="C6" s="750" t="s">
        <v>1062</v>
      </c>
      <c r="D6" s="746" t="s">
        <v>1063</v>
      </c>
      <c r="E6" s="746"/>
      <c r="F6" s="746" t="s">
        <v>1064</v>
      </c>
      <c r="G6" s="746"/>
      <c r="I6" s="747" t="s">
        <v>291</v>
      </c>
      <c r="J6" s="747" t="s">
        <v>295</v>
      </c>
      <c r="K6" s="365"/>
      <c r="M6" s="364"/>
      <c r="O6" s="750" t="s">
        <v>1062</v>
      </c>
      <c r="P6" s="746" t="s">
        <v>1063</v>
      </c>
      <c r="Q6" s="746"/>
      <c r="R6" s="746" t="s">
        <v>1064</v>
      </c>
      <c r="S6" s="746"/>
      <c r="U6" s="747" t="s">
        <v>291</v>
      </c>
      <c r="V6" s="747" t="s">
        <v>295</v>
      </c>
      <c r="W6" s="365"/>
      <c r="Y6" s="364"/>
      <c r="AA6" s="750" t="s">
        <v>1062</v>
      </c>
      <c r="AB6" s="746" t="s">
        <v>1063</v>
      </c>
      <c r="AC6" s="746"/>
      <c r="AD6" s="746" t="s">
        <v>1064</v>
      </c>
      <c r="AE6" s="746"/>
      <c r="AG6" s="747" t="s">
        <v>291</v>
      </c>
      <c r="AH6" s="747" t="s">
        <v>295</v>
      </c>
      <c r="AI6" s="365"/>
      <c r="AK6" s="364"/>
      <c r="AM6" s="750" t="s">
        <v>1062</v>
      </c>
      <c r="AN6" s="746" t="s">
        <v>1063</v>
      </c>
      <c r="AO6" s="746"/>
      <c r="AP6" s="746" t="s">
        <v>1064</v>
      </c>
      <c r="AQ6" s="746"/>
      <c r="AS6" s="747" t="s">
        <v>291</v>
      </c>
      <c r="AT6" s="747" t="s">
        <v>295</v>
      </c>
      <c r="AU6" s="365"/>
      <c r="AW6" s="364"/>
      <c r="AY6" s="750" t="s">
        <v>1062</v>
      </c>
      <c r="AZ6" s="746" t="s">
        <v>1063</v>
      </c>
      <c r="BA6" s="746"/>
      <c r="BB6" s="757" t="s">
        <v>1064</v>
      </c>
      <c r="BC6" s="757"/>
      <c r="BE6" s="747" t="s">
        <v>291</v>
      </c>
      <c r="BF6" s="747" t="s">
        <v>295</v>
      </c>
      <c r="BG6" s="365"/>
    </row>
    <row r="7" spans="1:61" x14ac:dyDescent="0.25">
      <c r="A7" s="364"/>
      <c r="C7" s="750"/>
      <c r="D7" s="746"/>
      <c r="E7" s="746"/>
      <c r="F7" s="746"/>
      <c r="G7" s="746"/>
      <c r="I7" s="747"/>
      <c r="J7" s="747"/>
      <c r="K7" s="365"/>
      <c r="M7" s="364"/>
      <c r="O7" s="750"/>
      <c r="P7" s="746"/>
      <c r="Q7" s="746"/>
      <c r="R7" s="746"/>
      <c r="S7" s="746"/>
      <c r="U7" s="747"/>
      <c r="V7" s="747"/>
      <c r="W7" s="365"/>
      <c r="Y7" s="364"/>
      <c r="AA7" s="750"/>
      <c r="AB7" s="746"/>
      <c r="AC7" s="746"/>
      <c r="AD7" s="746"/>
      <c r="AE7" s="746"/>
      <c r="AG7" s="747"/>
      <c r="AH7" s="747"/>
      <c r="AI7" s="365"/>
      <c r="AK7" s="364"/>
      <c r="AM7" s="750"/>
      <c r="AN7" s="746"/>
      <c r="AO7" s="746"/>
      <c r="AP7" s="746"/>
      <c r="AQ7" s="746"/>
      <c r="AS7" s="747"/>
      <c r="AT7" s="747"/>
      <c r="AU7" s="365"/>
      <c r="AW7" s="364"/>
      <c r="AY7" s="750"/>
      <c r="AZ7" s="746"/>
      <c r="BA7" s="746"/>
      <c r="BB7" s="757"/>
      <c r="BC7" s="757"/>
      <c r="BE7" s="747"/>
      <c r="BF7" s="747"/>
      <c r="BG7" s="365"/>
      <c r="BI7" s="61"/>
    </row>
    <row r="8" spans="1:61" x14ac:dyDescent="0.25">
      <c r="A8" s="4" t="s">
        <v>429</v>
      </c>
      <c r="B8" s="198" t="str">
        <f ca="1">IF(Geometria!$K$437&lt;Geometria!$N$1307/100,"Reduzir","OK")</f>
        <v>Reduzir</v>
      </c>
      <c r="C8" s="396">
        <f t="shared" ref="C8:C27" ca="1" si="0">IF(B8="Reduzir",D8,F8)</f>
        <v>0.0</v>
      </c>
      <c r="D8" s="397">
        <v>0</v>
      </c>
      <c r="E8" s="398">
        <v>0</v>
      </c>
      <c r="F8" s="743">
        <f>Geometria!$C$913</f>
        <v>0.0</v>
      </c>
      <c r="G8" s="743"/>
      <c r="I8">
        <v>0</v>
      </c>
      <c r="J8">
        <v>0</v>
      </c>
      <c r="K8" s="365"/>
      <c r="M8" s="122" t="s">
        <v>429</v>
      </c>
      <c r="N8" s="198" t="str">
        <f ca="1">IF(Geometria!$K$437&lt;Geometria!$N$1307/100,"Reduzir","OK")</f>
        <v>Reduzir</v>
      </c>
      <c r="O8" s="396">
        <f t="shared" ref="O8:O27" ca="1" si="1">IF(N8="Reduzir",P8,R8)</f>
        <v>0.0</v>
      </c>
      <c r="P8" s="397">
        <v>0</v>
      </c>
      <c r="Q8" s="398">
        <v>0</v>
      </c>
      <c r="R8" s="743">
        <f>Geometria!$C$913</f>
        <v>0.0</v>
      </c>
      <c r="S8" s="743"/>
      <c r="U8">
        <v>0</v>
      </c>
      <c r="V8">
        <v>0</v>
      </c>
      <c r="W8" s="365"/>
      <c r="Y8" s="122" t="s">
        <v>429</v>
      </c>
      <c r="Z8" s="198" t="str">
        <f ca="1">IF(Geometria!$K$437&lt;Geometria!$N$1307/100,"Reduzir","OK")</f>
        <v>Reduzir</v>
      </c>
      <c r="AA8" s="396">
        <f t="shared" ref="AA8:AA27" ca="1" si="2">IF(Z8="Reduzir",AB8,AD8)</f>
        <v>0.0</v>
      </c>
      <c r="AB8" s="397">
        <v>0</v>
      </c>
      <c r="AC8" s="398">
        <v>0</v>
      </c>
      <c r="AD8" s="743">
        <f>Geometria!$C$913</f>
        <v>0.0</v>
      </c>
      <c r="AE8" s="743"/>
      <c r="AG8">
        <v>0</v>
      </c>
      <c r="AH8">
        <v>0</v>
      </c>
      <c r="AI8" s="365"/>
      <c r="AK8" s="122" t="s">
        <v>429</v>
      </c>
      <c r="AL8" s="198" t="str">
        <f ca="1">IF(Geometria!$K$437&lt;Geometria!$N$1307/100,"Reduzir","OK")</f>
        <v>Reduzir</v>
      </c>
      <c r="AM8" s="396">
        <f t="shared" ref="AM8:AM27" ca="1" si="3">IF(AL8="Reduzir",AN8,AP8)</f>
        <v>0.0</v>
      </c>
      <c r="AN8" s="397">
        <v>0</v>
      </c>
      <c r="AO8" s="398">
        <v>0</v>
      </c>
      <c r="AP8" s="743">
        <f>Geometria!$C$913</f>
        <v>0.0</v>
      </c>
      <c r="AQ8" s="743"/>
      <c r="AS8">
        <v>0</v>
      </c>
      <c r="AT8">
        <v>0</v>
      </c>
      <c r="AU8" s="365"/>
      <c r="AW8" s="122" t="s">
        <v>429</v>
      </c>
      <c r="AX8" s="198" t="str">
        <f ca="1">IF(Geometria!$K$437&lt;Geometria!$N$1307/100,"Reduzir","OK")</f>
        <v>Reduzir</v>
      </c>
      <c r="AY8" s="396">
        <f t="shared" ref="AY8:AY27" ca="1" si="4">IF(AX8="Reduzir",AZ8,BB8)</f>
        <v>0.0</v>
      </c>
      <c r="AZ8" s="397">
        <v>0</v>
      </c>
      <c r="BA8" s="398">
        <v>0</v>
      </c>
      <c r="BB8" s="701">
        <f>Geometria!$C$913</f>
        <v>0.0</v>
      </c>
      <c r="BC8" s="701"/>
      <c r="BE8">
        <v>0</v>
      </c>
      <c r="BF8">
        <v>0</v>
      </c>
      <c r="BG8" s="365"/>
      <c r="BI8" s="61"/>
    </row>
    <row r="9" spans="1:61" x14ac:dyDescent="0.25">
      <c r="A9" s="4" t="s">
        <v>430</v>
      </c>
      <c r="B9" s="198" t="str">
        <f ca="1">IF(Geometria!$L$437&lt;Geometria!$N$1307/100,"Reduzir","OK")</f>
        <v>Reduzir</v>
      </c>
      <c r="C9" s="396">
        <f t="shared" ca="1" si="0"/>
        <v>1795.0895727156653</v>
      </c>
      <c r="D9" s="397">
        <f ca="1">-I9/(Geometria!$L$48/100^2)+J9/(Geometria!$L$52/100^3)-Geometria!$L$898/(Geometria!$L$52/100^3)</f>
        <v>1795.0895727156653</v>
      </c>
      <c r="E9" s="400">
        <f ca="1">(((Geometria!$L$326*(Geometria!$L$897*100))/Geometria!$N$1307))</f>
        <v>48.97918844669016</v>
      </c>
      <c r="F9" s="743">
        <f ca="1">-'Perdas por Seção'!$D$101/(Geometria!$L$48/100^2)+'Perdas por Seção'!$D$102/(Geometria!$L$52/100^3)-Geometria!$L$898/(Geometria!$L$52/100^3)</f>
        <v>6701.269608068178</v>
      </c>
      <c r="G9" s="743"/>
      <c r="I9" s="373">
        <f ca="1">Geometria!$L$298*E32+Geometria!$L$300*E9</f>
        <v>458.3420897800795</v>
      </c>
      <c r="J9" s="373">
        <f ca="1">Geometria!$L$298*E32*Geometria!$L$299/100-Geometria!$L$300*E9*Geometria!$L$301/100</f>
        <v>85.93914183376492</v>
      </c>
      <c r="K9" s="365"/>
      <c r="M9" s="122" t="s">
        <v>430</v>
      </c>
      <c r="N9" s="198" t="str">
        <f ca="1">IF(Geometria!$L$437&lt;Geometria!$N$1307/100,"Reduzir","OK")</f>
        <v>Reduzir</v>
      </c>
      <c r="O9" s="401">
        <f t="shared" ca="1" si="1"/>
        <v>-1628.4278786953296</v>
      </c>
      <c r="P9" s="402">
        <f ca="1">-(U9/(Geometria!$L$48/100^2))+(V9/(Geometria!$L$52/100^3))-(('Cargas adicionais'!$O$244)/(Geometria!$L$52/100^3))-(('Cargas adicionais'!$R$244)/(Geometria!$L$401))-((Geometria!$L$76*'Cargas adicionais'!$U$244)/(Geometria!$L$401))</f>
        <v>-1628.4278786953296</v>
      </c>
      <c r="Q9" s="400">
        <f ca="1">(((Geometria!$N$369*(Geometria!$L$897*100))/Geometria!$N$1307))</f>
        <v>41.38750808216955</v>
      </c>
      <c r="R9" s="754">
        <f ca="1">-('Perdas por Seção'!$D$99/(Geometria!$L$48/100^2))+('Perdas por Seção'!$D$100/(Geometria!$L$52/100^3))-(('Cargas adicionais'!$O$244)/(Geometria!$L$52/100^3))-(('Cargas adicionais'!$R$244)/(Geometria!$L$401))-((Geometria!$L$76*'Cargas adicionais'!$U$244)/(Geometria!$L$401))</f>
        <v>1934.6270331290566</v>
      </c>
      <c r="S9" s="754"/>
      <c r="U9" s="373">
        <f ca="1">Geometria!$L$298*Q32+Geometria!$L$300*Q9</f>
        <v>386.31597192920026</v>
      </c>
      <c r="V9" s="373">
        <f ca="1">Geometria!$L$298*Q32*Geometria!$L$299/100-Geometria!$L$300*Q9*Geometria!$L$301/100</f>
        <v>72.43424473672505</v>
      </c>
      <c r="W9" s="365"/>
      <c r="Y9" s="122" t="s">
        <v>430</v>
      </c>
      <c r="Z9" s="198" t="str">
        <f ca="1">IF(Geometria!$L$437&lt;Geometria!$N$1307/100,"Reduzir","OK")</f>
        <v>Reduzir</v>
      </c>
      <c r="AA9" s="401">
        <f t="shared" ca="1" si="2"/>
        <v>-1628.4278786953296</v>
      </c>
      <c r="AB9" s="402">
        <f ca="1">-(AG9/(Geometria!$L$48/100^2))+(AH9/(Geometria!$L$52/100^3))-(('Cargas adicionais'!$O$244)/(Geometria!$L$52/100^3))-(('Cargas adicionais'!$R$244)/(Geometria!$L$401))-((Geometria!$L$76*'Cargas adicionais'!$U$244)/(Geometria!$L$401))</f>
        <v>-1628.4278786953296</v>
      </c>
      <c r="AC9" s="400">
        <f ca="1">(((Geometria!$N$369*(Geometria!$L$897*100))/Geometria!$N$1307))</f>
        <v>41.38750808216955</v>
      </c>
      <c r="AD9" s="751">
        <f ca="1">-('Perdas por Seção'!$D$99/(Geometria!$L$48/100^2))+('Perdas por Seção'!$D$100/(Geometria!$L$52/100^3))-(('Cargas adicionais'!$O$244)/(Geometria!$L$52/100^3))-(('Cargas adicionais'!$R$244)/(Geometria!$L$401))</f>
        <v>2360.594441198345</v>
      </c>
      <c r="AE9" s="751"/>
      <c r="AG9" s="373">
        <f ca="1">Geometria!$L$298*AC32+Geometria!$L$300*AC9</f>
        <v>386.31597192920026</v>
      </c>
      <c r="AH9" s="373">
        <f ca="1">Geometria!$L$298*AC32*Geometria!$L$299/100-Geometria!$L$300*AC9*Geometria!$L$301/100</f>
        <v>72.43424473672505</v>
      </c>
      <c r="AI9" s="365"/>
      <c r="AK9" s="122" t="s">
        <v>430</v>
      </c>
      <c r="AL9" s="198" t="str">
        <f ca="1">IF(Geometria!$L$437&lt;Geometria!$N$1307/100,"Reduzir","OK")</f>
        <v>Reduzir</v>
      </c>
      <c r="AM9" s="401">
        <f t="shared" ca="1" si="3"/>
        <v>-1628.4278786953296</v>
      </c>
      <c r="AN9" s="402">
        <f ca="1">-(AS9/(Geometria!$L$48/100^2))+(AT9/(Geometria!$L$52/100^3))-(('Cargas adicionais'!$O$244)/(Geometria!$L$52/100^3))-(('Cargas adicionais'!$R$244)/(Geometria!$L$401))-((Geometria!$L$76*'Cargas adicionais'!$U$244)/(Geometria!$L$401))</f>
        <v>-1628.4278786953296</v>
      </c>
      <c r="AO9" s="400">
        <f ca="1">(((Geometria!$N$369*(Geometria!$L$897*100))/Geometria!$N$1307))</f>
        <v>41.38750808216955</v>
      </c>
      <c r="AP9" s="751">
        <f ca="1">-('Perdas por Seção'!$D$99/(Geometria!$L$48/100^2))+('Perdas por Seção'!$D$100/(Geometria!$L$52/100^3))-((Geometria!$L$673)/(Geometria!$L$52/100^3))-((Geometria!$L$684)/(Geometria!$L$401))-((Geometria!$L$77*Geometria!$L$695)/(Geometria!$L$401))</f>
        <v>2076.616169152153</v>
      </c>
      <c r="AQ9" s="751"/>
      <c r="AS9" s="373">
        <f ca="1">Geometria!$L$298*AO32+Geometria!$L$300*AO9</f>
        <v>386.31597192920026</v>
      </c>
      <c r="AT9" s="373">
        <f ca="1">Geometria!$L$298*AO32*Geometria!$L$299/100-Geometria!$L$300*AO9*Geometria!$L$301/100</f>
        <v>72.43424473672505</v>
      </c>
      <c r="AU9" s="365"/>
      <c r="AW9" s="122" t="s">
        <v>430</v>
      </c>
      <c r="AX9" s="198" t="str">
        <f ca="1">IF(Geometria!$L$437&lt;Geometria!$N$1307/100,"Reduzir","OK")</f>
        <v>Reduzir</v>
      </c>
      <c r="AY9" s="401">
        <f t="shared" ca="1" si="4"/>
        <v>-1628.4278786953296</v>
      </c>
      <c r="AZ9" s="402">
        <f ca="1">-(BE9/(Geometria!$L$48/100^2))+(BF9/(Geometria!$L$52/100^3))-(('Cargas adicionais'!$O$244)/(Geometria!$L$52/100^3))-(('Cargas adicionais'!$R$244)/(Geometria!$L$401))-((Geometria!$L$76*'Cargas adicionais'!$U$244)/(Geometria!$L$401))</f>
        <v>-1628.4278786953296</v>
      </c>
      <c r="BA9" s="400">
        <f ca="1">(((Geometria!$N$369*(Geometria!$L$897*100))/Geometria!$N$1307))</f>
        <v>41.38750808216955</v>
      </c>
      <c r="BB9" s="751">
        <f ca="1">-('Perdas por Seção'!$D$99/(Geometria!$L$48/100^2))+('Perdas por Seção'!$D$100/(Geometria!$L$52/100^3))-((Geometria!$L$673)/(Geometria!$L$52/100^3))-((Geometria!$L$684)/(Geometria!$L$401))</f>
        <v>2360.594441198345</v>
      </c>
      <c r="BC9" s="751"/>
      <c r="BE9" s="373">
        <f ca="1">Geometria!$L$298*BA32+Geometria!$L$300*BA9</f>
        <v>386.31597192920026</v>
      </c>
      <c r="BF9" s="373">
        <f ca="1">Geometria!$L$298*BA32*Geometria!$L$299/100-Geometria!$L$300*BA9*Geometria!$L$301/100</f>
        <v>72.43424473672505</v>
      </c>
      <c r="BG9" s="365"/>
      <c r="BI9" s="61"/>
    </row>
    <row r="10" spans="1:61" x14ac:dyDescent="0.25">
      <c r="A10" s="4" t="s">
        <v>431</v>
      </c>
      <c r="B10" s="198" t="str">
        <f ca="1">IF(Geometria!$M$437&lt;Geometria!$N$1307/100,"Reduzir","OK")</f>
        <v>Reduzir</v>
      </c>
      <c r="C10" s="396">
        <f t="shared" ca="1" si="0"/>
        <v>4023.1413980354973</v>
      </c>
      <c r="D10" s="397">
        <f ca="1">-I10/(Geometria!$L$48/100^2)+J10/(Geometria!$L$52/100^3)-Geometria!$L$898/(Geometria!$L$52/100^3)</f>
        <v>4023.1413980354973</v>
      </c>
      <c r="E10" s="400">
        <f ca="1">((Geometria!$L$326*(Geometria!$M$897*100))/Geometria!$N$1307)</f>
        <v>97.95837689338032</v>
      </c>
      <c r="F10" s="743">
        <f ca="1">-'Perdas por Seção'!$E$101/(Geometria!$L$48/100^2)+'Perdas por Seção'!$E$102/(Geometria!$L$52/100^3)-Geometria!$M$898/(Geometria!$L$52/100^3)</f>
        <v>6321.84001708702</v>
      </c>
      <c r="G10" s="743"/>
      <c r="I10" s="373">
        <f ca="1">Geometria!$L$298*E33+Geometria!$L$300*E10</f>
        <v>916.684179560159</v>
      </c>
      <c r="J10" s="373">
        <f ca="1">Geometria!$L$298*E33*Geometria!$L$299/100-Geometria!$L$300*E10*Geometria!$L$301/100</f>
        <v>171.87828366752984</v>
      </c>
      <c r="K10" s="365"/>
      <c r="M10" s="122" t="s">
        <v>431</v>
      </c>
      <c r="N10" s="198" t="str">
        <f ca="1">IF(Geometria!$M$437&lt;Geometria!$N$1307/100,"Reduzir","OK")</f>
        <v>Reduzir</v>
      </c>
      <c r="O10" s="401">
        <f t="shared" ca="1" si="1"/>
        <v>-2887.765995049601</v>
      </c>
      <c r="P10" s="403">
        <f ca="1">-(U10/(Geometria!$L$48/100^2))+(V10/(Geometria!$L$52/100^3))-(('Cargas adicionais'!$O$245)/(Geometria!$L$52/100^3))-(('Cargas adicionais'!$R$245)/(Geometria!$L$401))-((Geometria!$L$76*'Cargas adicionais'!$U$245)/(Geometria!$L$401))</f>
        <v>-2887.765995049601</v>
      </c>
      <c r="Q10" s="400">
        <f ca="1">((Geometria!$N$369*(Geometria!$M$897*100))/Geometria!$N$1307)</f>
        <v>82.7750161643391</v>
      </c>
      <c r="R10" s="751">
        <f ca="1">-('Perdas por Seção'!$E$99/(Geometria!$L$48/100^2))+('Perdas por Seção'!$E$100/(Geometria!$L$52/100^3))-(('Cargas adicionais'!$O$245)/(Geometria!$L$52/100^3))-(('Cargas adicionais'!$R$245)/(Geometria!$L$401))-((Geometria!$L$76*'Cargas adicionais'!$U$245)/(Geometria!$L$401))</f>
        <v>-1075.7521391844593</v>
      </c>
      <c r="S10" s="751"/>
      <c r="U10" s="373">
        <f ca="1">Geometria!$L$298*Q33+Geometria!$L$300*Q10</f>
        <v>772.6319438584005</v>
      </c>
      <c r="V10" s="373">
        <f ca="1">Geometria!$L$298*Q33*Geometria!$L$299/100-Geometria!$L$300*Q10*Geometria!$L$301/100</f>
        <v>144.8684894734501</v>
      </c>
      <c r="W10" s="365"/>
      <c r="Y10" s="122" t="s">
        <v>431</v>
      </c>
      <c r="Z10" s="198" t="str">
        <f ca="1">IF(Geometria!$M$437&lt;Geometria!$N$1307/100,"Reduzir","OK")</f>
        <v>Reduzir</v>
      </c>
      <c r="AA10" s="401">
        <f t="shared" ca="1" si="2"/>
        <v>-2887.765995049601</v>
      </c>
      <c r="AB10" s="403">
        <f ca="1">-(AG10/(Geometria!$L$48/100^2))+(AH10/(Geometria!$L$52/100^3))-(('Cargas adicionais'!$O$245)/(Geometria!$L$52/100^3))-(('Cargas adicionais'!$R$245)/(Geometria!$L$401))-((Geometria!$L$76*'Cargas adicionais'!$U$245)/(Geometria!$L$401))</f>
        <v>-2887.765995049601</v>
      </c>
      <c r="AC10" s="400">
        <f ca="1">((Geometria!$N$369*(Geometria!$M$897*100))/Geometria!$N$1307)</f>
        <v>82.7750161643391</v>
      </c>
      <c r="AD10" s="751">
        <f ca="1">-('Perdas por Seção'!$E$99/(Geometria!$L$48/100^2))+('Perdas por Seção'!$E$100/(Geometria!$L$52/100^3))-(('Cargas adicionais'!$O$245)/(Geometria!$L$52/100^3))-(('Cargas adicionais'!$R$245)/(Geometria!$L$401))</f>
        <v>-268.65599757949207</v>
      </c>
      <c r="AE10" s="751"/>
      <c r="AG10" s="373">
        <f ca="1">Geometria!$L$298*AC33+Geometria!$L$300*AC10</f>
        <v>772.6319438584005</v>
      </c>
      <c r="AH10" s="373">
        <f ca="1">Geometria!$L$298*AC33*Geometria!$L$299/100-Geometria!$L$300*AC10*Geometria!$L$301/100</f>
        <v>144.8684894734501</v>
      </c>
      <c r="AI10" s="365"/>
      <c r="AK10" s="122" t="s">
        <v>431</v>
      </c>
      <c r="AL10" s="198" t="str">
        <f ca="1">IF(Geometria!$M$437&lt;Geometria!$N$1307/100,"Reduzir","OK")</f>
        <v>Reduzir</v>
      </c>
      <c r="AM10" s="401">
        <f t="shared" ca="1" si="3"/>
        <v>-2887.765995049601</v>
      </c>
      <c r="AN10" s="403">
        <f ca="1">-(AS10/(Geometria!$L$48/100^2))+(AT10/(Geometria!$L$52/100^3))-(('Cargas adicionais'!$O$245)/(Geometria!$L$52/100^3))-(('Cargas adicionais'!$R$245)/(Geometria!$L$401))-((Geometria!$L$76*'Cargas adicionais'!$U$245)/(Geometria!$L$401))</f>
        <v>-2887.765995049601</v>
      </c>
      <c r="AO10" s="400">
        <f ca="1">((Geometria!$N$369*(Geometria!$M$897*100))/Geometria!$N$1307)</f>
        <v>82.7750161643391</v>
      </c>
      <c r="AP10" s="751">
        <f ca="1">-('Perdas por Seção'!$E$99/(Geometria!$L$48/100^2))+('Perdas por Seção'!$E$100/(Geometria!$L$52/100^3))-((Geometria!$M$673)/(Geometria!$L$52/100^3))-((Geometria!$M$684)/(Geometria!$L$401))-((Geometria!$L$77*Geometria!$M$695)/(Geometria!$L$401))</f>
        <v>-806.7200919828038</v>
      </c>
      <c r="AQ10" s="751"/>
      <c r="AS10" s="373">
        <f ca="1">Geometria!$L$298*AO33+Geometria!$L$300*AO10</f>
        <v>772.6319438584005</v>
      </c>
      <c r="AT10" s="373">
        <f ca="1">Geometria!$L$298*AO33*Geometria!$L$299/100-Geometria!$L$300*AO10*Geometria!$L$301/100</f>
        <v>144.8684894734501</v>
      </c>
      <c r="AU10" s="365"/>
      <c r="AW10" s="122" t="s">
        <v>431</v>
      </c>
      <c r="AX10" s="198" t="str">
        <f ca="1">IF(Geometria!$M$437&lt;Geometria!$N$1307/100,"Reduzir","OK")</f>
        <v>Reduzir</v>
      </c>
      <c r="AY10" s="401">
        <f t="shared" ca="1" si="4"/>
        <v>-2887.765995049601</v>
      </c>
      <c r="AZ10" s="403">
        <f ca="1">-(BE10/(Geometria!$L$48/100^2))+(BF10/(Geometria!$L$52/100^3))-(('Cargas adicionais'!$O$245)/(Geometria!$L$52/100^3))-(('Cargas adicionais'!$R$245)/(Geometria!$L$401))-((Geometria!$L$76*'Cargas adicionais'!$U$245)/(Geometria!$L$401))</f>
        <v>-2887.765995049601</v>
      </c>
      <c r="BA10" s="400">
        <f ca="1">((Geometria!$N$369*(Geometria!$M$897*100))/Geometria!$N$1307)</f>
        <v>82.7750161643391</v>
      </c>
      <c r="BB10" s="751">
        <f ca="1">-('Perdas por Seção'!$E$99/(Geometria!$L$48/100^2))+('Perdas por Seção'!$E$100/(Geometria!$L$52/100^3))-((Geometria!$M$673)/(Geometria!$L$52/100^3))-((Geometria!$M$684)/(Geometria!$L$401))</f>
        <v>-268.65599757949207</v>
      </c>
      <c r="BC10" s="751"/>
      <c r="BE10" s="373">
        <f ca="1">Geometria!$L$298*BA33+Geometria!$L$300*BA10</f>
        <v>772.6319438584005</v>
      </c>
      <c r="BF10" s="373">
        <f ca="1">Geometria!$L$298*BA33*Geometria!$L$299/100-Geometria!$L$300*BA10*Geometria!$L$301/100</f>
        <v>144.8684894734501</v>
      </c>
      <c r="BG10" s="365"/>
      <c r="BI10" s="61"/>
    </row>
    <row r="11" spans="1:61" x14ac:dyDescent="0.25">
      <c r="A11" s="4" t="s">
        <v>432</v>
      </c>
      <c r="B11" s="198" t="str">
        <f ca="1">IF(Geometria!$N$437&lt;Geometria!$N$1307/100,"Reduzir","OK")</f>
        <v>OK</v>
      </c>
      <c r="C11" s="396">
        <f t="shared" ca="1" si="0"/>
        <v>5987.049201515409</v>
      </c>
      <c r="D11" s="397">
        <f ca="1">-I11/(Geometria!$L$48/100^2)+J11/(Geometria!$L$52/100^3)-Geometria!$L$898/(Geometria!$L$52/100^3)</f>
        <v>6251.193223355327</v>
      </c>
      <c r="E11" s="400">
        <f ca="1">((Geometria!$L$326*(Geometria!$N$897*100))/Geometria!$N$1307)</f>
        <v>146.93756534007045</v>
      </c>
      <c r="F11" s="743">
        <f ca="1">-'Perdas por Seção'!$F$101/(Geometria!$L$48/100^2)+'Perdas por Seção'!$F$102/(Geometria!$L$52/100^3)-Geometria!$N$898/(Geometria!$L$52/100^3)</f>
        <v>5987.049201515409</v>
      </c>
      <c r="G11" s="743"/>
      <c r="I11" s="373">
        <f ca="1">Geometria!$L$298*E34+Geometria!$L$300*E11</f>
        <v>1375.0262693402383</v>
      </c>
      <c r="J11" s="373">
        <f ca="1">Geometria!$L$298*E34*Geometria!$L$299/100-Geometria!$L$300*E11*Geometria!$L$301/100</f>
        <v>257.8174255012947</v>
      </c>
      <c r="K11" s="365"/>
      <c r="M11" s="122" t="s">
        <v>432</v>
      </c>
      <c r="N11" s="198" t="str">
        <f ca="1">IF(Geometria!$N$437&lt;Geometria!$N$1307/100,"Reduzir","OK")</f>
        <v>OK</v>
      </c>
      <c r="O11" s="401">
        <f t="shared" ca="1" si="1"/>
        <v>-3732.011871243197</v>
      </c>
      <c r="P11" s="403">
        <f ca="1">-(U11/(Geometria!$L$48/100^2))+(V11/(Geometria!$L$52/100^3))-(('Cargas adicionais'!$O$246)/(Geometria!$L$52/100^3))-(('Cargas adicionais'!$R$246)/(Geometria!$L$401))-((Geometria!$L$76*'Cargas adicionais'!$U$246)/(Geometria!$L$401))</f>
        <v>-3778.014349062814</v>
      </c>
      <c r="Q11" s="400">
        <f ca="1">((Geometria!$N$369*(Geometria!$N$897*100))/Geometria!$N$1307)</f>
        <v>124.16252424650864</v>
      </c>
      <c r="R11" s="751">
        <f ca="1">-('Perdas por Seção'!$F$99/(Geometria!$L$48/100^2))+('Perdas por Seção'!$F$100/(Geometria!$L$52/100^3))-(('Cargas adicionais'!$O$246)/(Geometria!$L$52/100^3))-(('Cargas adicionais'!$R$246)/(Geometria!$L$401))-((Geometria!$L$76*'Cargas adicionais'!$U$246)/(Geometria!$L$401))</f>
        <v>-3732.011871243197</v>
      </c>
      <c r="S11" s="751"/>
      <c r="U11" s="373">
        <f ca="1">Geometria!$L$298*Q34+Geometria!$L$300*Q11</f>
        <v>1158.947915787601</v>
      </c>
      <c r="V11" s="373">
        <f ca="1">Geometria!$L$298*Q34*Geometria!$L$299/100-Geometria!$L$300*Q11*Geometria!$L$301/100</f>
        <v>217.30273421017517</v>
      </c>
      <c r="W11" s="365"/>
      <c r="Y11" s="122" t="s">
        <v>432</v>
      </c>
      <c r="Z11" s="198" t="str">
        <f ca="1">IF(Geometria!$N$437&lt;Geometria!$N$1307/100,"Reduzir","OK")</f>
        <v>OK</v>
      </c>
      <c r="AA11" s="401">
        <f t="shared" ca="1" si="2"/>
        <v>-2588.62567063616</v>
      </c>
      <c r="AB11" s="403">
        <f ca="1">-(AG11/(Geometria!$L$48/100^2))+(AH11/(Geometria!$L$52/100^3))-(('Cargas adicionais'!$O$246)/(Geometria!$L$52/100^3))-(('Cargas adicionais'!$R$246)/(Geometria!$L$401))-((Geometria!$L$76*'Cargas adicionais'!$U$246)/(Geometria!$L$401))</f>
        <v>-3778.014349062814</v>
      </c>
      <c r="AC11" s="400">
        <f ca="1">((Geometria!$N$369*(Geometria!$N$897*100))/Geometria!$N$1307)</f>
        <v>124.16252424650864</v>
      </c>
      <c r="AD11" s="751">
        <f ca="1">-('Perdas por Seção'!$F$99/(Geometria!$L$48/100^2))+('Perdas por Seção'!$F$100/(Geometria!$L$52/100^3))-(('Cargas adicionais'!$O$246)/(Geometria!$L$52/100^3))-(('Cargas adicionais'!$R$246)/(Geometria!$L$401))</f>
        <v>-2588.62567063616</v>
      </c>
      <c r="AE11" s="751"/>
      <c r="AG11" s="373">
        <f ca="1">Geometria!$L$298*AC34+Geometria!$L$300*AC11</f>
        <v>1158.947915787601</v>
      </c>
      <c r="AH11" s="373">
        <f ca="1">Geometria!$L$298*AC34*Geometria!$L$299/100-Geometria!$L$300*AC11*Geometria!$L$301/100</f>
        <v>217.30273421017517</v>
      </c>
      <c r="AI11" s="365"/>
      <c r="AK11" s="122" t="s">
        <v>432</v>
      </c>
      <c r="AL11" s="198" t="str">
        <f ca="1">IF(Geometria!$N$437&lt;Geometria!$N$1307/100,"Reduzir","OK")</f>
        <v>OK</v>
      </c>
      <c r="AM11" s="401">
        <f t="shared" ca="1" si="3"/>
        <v>-3350.883137707518</v>
      </c>
      <c r="AN11" s="403">
        <f ca="1">-(AS11/(Geometria!$L$48/100^2))+(AT11/(Geometria!$L$52/100^3))-(('Cargas adicionais'!$O$246)/(Geometria!$L$52/100^3))-(('Cargas adicionais'!$R$246)/(Geometria!$L$401))-((Geometria!$L$76*'Cargas adicionais'!$U$246)/(Geometria!$L$401))</f>
        <v>-3778.014349062814</v>
      </c>
      <c r="AO11" s="400">
        <f ca="1">((Geometria!$N$369*(Geometria!$N$897*100))/Geometria!$N$1307)</f>
        <v>124.16252424650864</v>
      </c>
      <c r="AP11" s="751">
        <f ca="1">-('Perdas por Seção'!$F$99/(Geometria!$L$48/100^2))+('Perdas por Seção'!$F$100/(Geometria!$L$52/100^3))-((Geometria!$N$673)/(Geometria!$L$52/100^3))-((Geometria!$N$684)/(Geometria!$L$401))-((Geometria!$L$77*Geometria!$N$695)/(Geometria!$L$401))</f>
        <v>-3350.883137707518</v>
      </c>
      <c r="AQ11" s="751"/>
      <c r="AS11" s="373">
        <f ca="1">Geometria!$L$298*AO34+Geometria!$L$300*AO11</f>
        <v>1158.947915787601</v>
      </c>
      <c r="AT11" s="373">
        <f ca="1">Geometria!$L$298*AO34*Geometria!$L$299/100-Geometria!$L$300*AO11*Geometria!$L$301/100</f>
        <v>217.30273421017517</v>
      </c>
      <c r="AU11" s="365"/>
      <c r="AW11" s="122" t="s">
        <v>432</v>
      </c>
      <c r="AX11" s="198" t="str">
        <f ca="1">IF(Geometria!$N$437&lt;Geometria!$N$1307/100,"Reduzir","OK")</f>
        <v>OK</v>
      </c>
      <c r="AY11" s="401">
        <f t="shared" ca="1" si="4"/>
        <v>-2588.62567063616</v>
      </c>
      <c r="AZ11" s="403">
        <f ca="1">-(BE11/(Geometria!$L$48/100^2))+(BF11/(Geometria!$L$52/100^3))-(('Cargas adicionais'!$O$246)/(Geometria!$L$52/100^3))-(('Cargas adicionais'!$R$246)/(Geometria!$L$401))-((Geometria!$L$76*'Cargas adicionais'!$U$246)/(Geometria!$L$401))</f>
        <v>-3778.014349062814</v>
      </c>
      <c r="BA11" s="400">
        <f ca="1">((Geometria!$N$369*(Geometria!$N$897*100))/Geometria!$N$1307)</f>
        <v>124.16252424650864</v>
      </c>
      <c r="BB11" s="751">
        <f ca="1">-('Perdas por Seção'!$F$99/(Geometria!$L$48/100^2))+('Perdas por Seção'!$F$100/(Geometria!$L$52/100^3))-((Geometria!$N$673)/(Geometria!$L$52/100^3))-((Geometria!$N$684)/(Geometria!$L$401))</f>
        <v>-2588.62567063616</v>
      </c>
      <c r="BC11" s="751"/>
      <c r="BE11" s="373">
        <f ca="1">Geometria!$L$298*BA34+Geometria!$L$300*BA11</f>
        <v>1158.947915787601</v>
      </c>
      <c r="BF11" s="373">
        <f ca="1">Geometria!$L$298*BA34*Geometria!$L$299/100-Geometria!$L$300*BA11*Geometria!$L$301/100</f>
        <v>217.30273421017517</v>
      </c>
      <c r="BG11" s="365"/>
      <c r="BI11" s="61"/>
    </row>
    <row r="12" spans="1:61" x14ac:dyDescent="0.25">
      <c r="A12" s="4" t="s">
        <v>433</v>
      </c>
      <c r="B12" s="198" t="str">
        <f ca="1">IF(Geometria!$O$437&lt;Geometria!$N$1307/100,"Reduzir","OK")</f>
        <v>OK</v>
      </c>
      <c r="C12" s="396">
        <f t="shared" ca="1" si="0"/>
        <v>5696.8971613533495</v>
      </c>
      <c r="D12" s="397">
        <f ca="1">-I12/(Geometria!$L$48/100^2)+J12/(Geometria!$L$52/100^3)-Geometria!$L$898/(Geometria!$L$52/100^3)</f>
        <v>8479.245048675162</v>
      </c>
      <c r="E12" s="400">
        <f ca="1">((Geometria!$L$326*(Geometria!$O$897*100))/Geometria!$N$1307)</f>
        <v>195.91675378676064</v>
      </c>
      <c r="F12" s="743">
        <f ca="1">-'Perdas por Seção'!$G$101/(Geometria!$L$48/100^2)+'Perdas por Seção'!$G$102/(Geometria!$L$52/100^3)-Geometria!$O$898/(Geometria!$L$52/100^3)</f>
        <v>5696.8971613533495</v>
      </c>
      <c r="G12" s="743"/>
      <c r="I12" s="373">
        <f ca="1">Geometria!$L$298*E35+Geometria!$L$300*E12</f>
        <v>1833.368359120318</v>
      </c>
      <c r="J12" s="373">
        <f ca="1">Geometria!$L$298*E35*Geometria!$L$299/100-Geometria!$L$300*E12*Geometria!$L$301/100</f>
        <v>343.7565673350597</v>
      </c>
      <c r="K12" s="365"/>
      <c r="M12" s="122" t="s">
        <v>433</v>
      </c>
      <c r="N12" s="198" t="str">
        <f ca="1">IF(Geometria!$O$437&lt;Geometria!$N$1307/100,"Reduzir","OK")</f>
        <v>OK</v>
      </c>
      <c r="O12" s="401">
        <f t="shared" ca="1" si="1"/>
        <v>-6034.136100500944</v>
      </c>
      <c r="P12" s="403">
        <f ca="1">-(U12/(Geometria!$L$48/100^2))+(V12/(Geometria!$L$52/100^3))-(('Cargas adicionais'!$O$247)/(Geometria!$L$52/100^3))-(('Cargas adicionais'!$R$247)/(Geometria!$L$401))-((Geometria!$L$76*'Cargas adicionais'!$U$247)/(Geometria!$L$401))</f>
        <v>-4299.1729407349685</v>
      </c>
      <c r="Q12" s="400">
        <f ca="1">((Geometria!$N$369*(Geometria!$O$897*100))/Geometria!$N$1307)</f>
        <v>165.5500323286782</v>
      </c>
      <c r="R12" s="751">
        <f ca="1">-('Perdas por Seção'!$G$99/(Geometria!$L$48/100^2))+('Perdas por Seção'!$G$100/(Geometria!$L$52/100^3))-(('Cargas adicionais'!$O$247)/(Geometria!$L$52/100^3))-(('Cargas adicionais'!$R$247)/(Geometria!$L$401))-((Geometria!$L$76*'Cargas adicionais'!$U$247)/(Geometria!$L$401))</f>
        <v>-6034.136100500944</v>
      </c>
      <c r="S12" s="751"/>
      <c r="U12" s="373">
        <f ca="1">Geometria!$L$298*Q35+Geometria!$L$300*Q12</f>
        <v>1545.263887716801</v>
      </c>
      <c r="V12" s="373">
        <f ca="1">Geometria!$L$298*Q35*Geometria!$L$299/100-Geometria!$L$300*Q12*Geometria!$L$301/100</f>
        <v>289.7369789469002</v>
      </c>
      <c r="W12" s="365"/>
      <c r="Y12" s="122" t="s">
        <v>433</v>
      </c>
      <c r="Z12" s="198" t="str">
        <f ca="1">IF(Geometria!$O$437&lt;Geometria!$N$1307/100,"Reduzir","OK")</f>
        <v>OK</v>
      </c>
      <c r="AA12" s="401">
        <f t="shared" ca="1" si="2"/>
        <v>-4599.298515425447</v>
      </c>
      <c r="AB12" s="403">
        <f ca="1">-(AG12/(Geometria!$L$48/100^2))+(AH12/(Geometria!$L$52/100^3))-(('Cargas adicionais'!$O$247)/(Geometria!$L$52/100^3))-(('Cargas adicionais'!$R$247)/(Geometria!$L$401))-((Geometria!$L$76*'Cargas adicionais'!$U$247)/(Geometria!$L$401))</f>
        <v>-4299.1729407349685</v>
      </c>
      <c r="AC12" s="400">
        <f ca="1">((Geometria!$N$369*(Geometria!$O$897*100))/Geometria!$N$1307)</f>
        <v>165.5500323286782</v>
      </c>
      <c r="AD12" s="751">
        <f ca="1">-('Perdas por Seção'!$G$99/(Geometria!$L$48/100^2))+('Perdas por Seção'!$G$100/(Geometria!$L$52/100^3))-(('Cargas adicionais'!$O$247)/(Geometria!$L$52/100^3))-(('Cargas adicionais'!$R$247)/(Geometria!$L$401))</f>
        <v>-4599.298515425447</v>
      </c>
      <c r="AE12" s="751"/>
      <c r="AG12" s="373">
        <f ca="1">Geometria!$L$298*AC35+Geometria!$L$300*AC12</f>
        <v>1545.263887716801</v>
      </c>
      <c r="AH12" s="373">
        <f ca="1">Geometria!$L$298*AC35*Geometria!$L$299/100-Geometria!$L$300*AC12*Geometria!$L$301/100</f>
        <v>289.7369789469002</v>
      </c>
      <c r="AI12" s="365"/>
      <c r="AK12" s="122" t="s">
        <v>433</v>
      </c>
      <c r="AL12" s="198" t="str">
        <f ca="1">IF(Geometria!$O$437&lt;Geometria!$N$1307/100,"Reduzir","OK")</f>
        <v>OK</v>
      </c>
      <c r="AM12" s="401">
        <f t="shared" ca="1" si="3"/>
        <v>-5555.856905475778</v>
      </c>
      <c r="AN12" s="403">
        <f ca="1">-(AS12/(Geometria!$L$48/100^2))+(AT12/(Geometria!$L$52/100^3))-(('Cargas adicionais'!$O$247)/(Geometria!$L$52/100^3))-(('Cargas adicionais'!$R$247)/(Geometria!$L$401))-((Geometria!$L$76*'Cargas adicionais'!$U$247)/(Geometria!$L$401))</f>
        <v>-4299.1729407349685</v>
      </c>
      <c r="AO12" s="400">
        <f ca="1">((Geometria!$N$369*(Geometria!$O$897*100))/Geometria!$N$1307)</f>
        <v>165.5500323286782</v>
      </c>
      <c r="AP12" s="751">
        <f ca="1">-('Perdas por Seção'!$G$99/(Geometria!$L$48/100^2))+('Perdas por Seção'!$G$100/(Geometria!$L$52/100^3))-((Geometria!$O$673)/(Geometria!$L$52/100^3))-((Geometria!$O$684)/(Geometria!$L$401))-((Geometria!$L$77*Geometria!$O$695)/(Geometria!$L$401))</f>
        <v>-5555.856905475778</v>
      </c>
      <c r="AQ12" s="751"/>
      <c r="AS12" s="373">
        <f ca="1">Geometria!$L$298*AO35+Geometria!$L$300*AO12</f>
        <v>1545.263887716801</v>
      </c>
      <c r="AT12" s="373">
        <f ca="1">Geometria!$L$298*AO35*Geometria!$L$299/100-Geometria!$L$300*AO12*Geometria!$L$301/100</f>
        <v>289.7369789469002</v>
      </c>
      <c r="AU12" s="365"/>
      <c r="AW12" s="122" t="s">
        <v>433</v>
      </c>
      <c r="AX12" s="198" t="str">
        <f ca="1">IF(Geometria!$O$437&lt;Geometria!$N$1307/100,"Reduzir","OK")</f>
        <v>OK</v>
      </c>
      <c r="AY12" s="401">
        <f t="shared" ca="1" si="4"/>
        <v>-4599.298515425447</v>
      </c>
      <c r="AZ12" s="403">
        <f ca="1">-(BE12/(Geometria!$L$48/100^2))+(BF12/(Geometria!$L$52/100^3))-(('Cargas adicionais'!$O$247)/(Geometria!$L$52/100^3))-(('Cargas adicionais'!$R$247)/(Geometria!$L$401))-((Geometria!$L$76*'Cargas adicionais'!$U$247)/(Geometria!$L$401))</f>
        <v>-4299.1729407349685</v>
      </c>
      <c r="BA12" s="400">
        <f ca="1">((Geometria!$N$369*(Geometria!$O$897*100))/Geometria!$N$1307)</f>
        <v>165.5500323286782</v>
      </c>
      <c r="BB12" s="751">
        <f ca="1">-('Perdas por Seção'!$G$99/(Geometria!$L$48/100^2))+('Perdas por Seção'!$G$100/(Geometria!$L$52/100^3))-((Geometria!$O$673)/(Geometria!$L$52/100^3))-((Geometria!$O$684)/(Geometria!$L$401))</f>
        <v>-4599.298515425447</v>
      </c>
      <c r="BC12" s="751"/>
      <c r="BE12" s="373">
        <f ca="1">Geometria!$L$298*BA35+Geometria!$L$300*BA12</f>
        <v>1545.263887716801</v>
      </c>
      <c r="BF12" s="373">
        <f ca="1">Geometria!$L$298*BA35*Geometria!$L$299/100-Geometria!$L$300*BA12*Geometria!$L$301/100</f>
        <v>289.7369789469002</v>
      </c>
      <c r="BG12" s="365"/>
      <c r="BI12" s="61"/>
    </row>
    <row r="13" spans="1:61" x14ac:dyDescent="0.25">
      <c r="A13" s="4" t="s">
        <v>434</v>
      </c>
      <c r="B13" s="198" t="str">
        <f ca="1">IF(Geometria!$P$437&lt;Geometria!$N$1307/100,"Reduzir","OK")</f>
        <v>OK</v>
      </c>
      <c r="C13" s="396">
        <f t="shared" ca="1" si="0"/>
        <v>5451.383896600835</v>
      </c>
      <c r="D13" s="397">
        <f ca="1">-I13/(Geometria!$L$48/100^2)+J13/(Geometria!$L$52/100^3)-Geometria!$L$898/(Geometria!$L$52/100^3)</f>
        <v>10707.296873994987</v>
      </c>
      <c r="E13" s="400">
        <f ca="1">((Geometria!$L$326*(Geometria!$P$897*100))/Geometria!$N$1307)</f>
        <v>244.89594223345082</v>
      </c>
      <c r="F13" s="743">
        <f ca="1">-'Perdas por Seção'!$H$101/(Geometria!$L$48/100^2)+'Perdas por Seção'!$H$102/(Geometria!$L$52/100^3)-Geometria!$P$898/(Geometria!$L$52/100^3)</f>
        <v>5451.383896600835</v>
      </c>
      <c r="G13" s="743"/>
      <c r="I13" s="373">
        <f ca="1">Geometria!$L$298*E36+Geometria!$L$300*E13</f>
        <v>2291.7104489003978</v>
      </c>
      <c r="J13" s="373">
        <f ca="1">Geometria!$L$298*E36*Geometria!$L$299/100-Geometria!$L$300*E13*Geometria!$L$301/100</f>
        <v>429.6957091688245</v>
      </c>
      <c r="K13" s="365"/>
      <c r="M13" s="122" t="s">
        <v>434</v>
      </c>
      <c r="N13" s="198" t="str">
        <f ca="1">IF(Geometria!$P$437&lt;Geometria!$N$1307/100,"Reduzir","OK")</f>
        <v>OK</v>
      </c>
      <c r="O13" s="401">
        <f t="shared" ca="1" si="1"/>
        <v>-7982.110910622607</v>
      </c>
      <c r="P13" s="403">
        <f ca="1">-(U13/(Geometria!$L$48/100^2))+(V13/(Geometria!$L$52/100^3))-(('Cargas adicionais'!$O$248)/(Geometria!$L$52/100^3))-(('Cargas adicionais'!$R$248)/(Geometria!$L$401))-((Geometria!$L$76*'Cargas adicionais'!$U$248)/(Geometria!$L$401))</f>
        <v>-4451.2417700660635</v>
      </c>
      <c r="Q13" s="400">
        <f ca="1">((Geometria!$N$369*(Geometria!$P$897*100))/Geometria!$N$1307)</f>
        <v>206.93754041084782</v>
      </c>
      <c r="R13" s="751">
        <f ca="1">-('Perdas por Seção'!$H$99/(Geometria!$L$48/100^2))+('Perdas por Seção'!$H$100/(Geometria!$L$52/100^3))-(('Cargas adicionais'!$O$248)/(Geometria!$L$52/100^3))-(('Cargas adicionais'!$R$248)/(Geometria!$L$401))-((Geometria!$L$76*'Cargas adicionais'!$U$248)/(Geometria!$L$401))</f>
        <v>-7982.110910622607</v>
      </c>
      <c r="S13" s="751"/>
      <c r="U13" s="373">
        <f ca="1">Geometria!$L$298*Q36+Geometria!$L$300*Q13</f>
        <v>1931.579859646002</v>
      </c>
      <c r="V13" s="373">
        <f ca="1">Geometria!$L$298*Q36*Geometria!$L$299/100-Geometria!$L$300*Q13*Geometria!$L$301/100</f>
        <v>362.1712236836254</v>
      </c>
      <c r="W13" s="365"/>
      <c r="Y13" s="122" t="s">
        <v>434</v>
      </c>
      <c r="Z13" s="198" t="str">
        <f ca="1">IF(Geometria!$P$437&lt;Geometria!$N$1307/100,"Reduzir","OK")</f>
        <v>OK</v>
      </c>
      <c r="AA13" s="401">
        <f t="shared" ca="1" si="2"/>
        <v>-6300.660615612258</v>
      </c>
      <c r="AB13" s="403">
        <f ca="1">-(AG13/(Geometria!$L$48/100^2))+(AH13/(Geometria!$L$52/100^3))-(('Cargas adicionais'!$O$248)/(Geometria!$L$52/100^3))-(('Cargas adicionais'!$R$248)/(Geometria!$L$401))-((Geometria!$L$76*'Cargas adicionais'!$U$248)/(Geometria!$L$401))</f>
        <v>-4451.2417700660635</v>
      </c>
      <c r="AC13" s="400">
        <f ca="1">((Geometria!$N$369*(Geometria!$P$897*100))/Geometria!$N$1307)</f>
        <v>206.93754041084782</v>
      </c>
      <c r="AD13" s="751">
        <f ca="1">-('Perdas por Seção'!$H$99/(Geometria!$L$48/100^2))+('Perdas por Seção'!$H$100/(Geometria!$L$52/100^3))-(('Cargas adicionais'!$O$248)/(Geometria!$L$52/100^3))-(('Cargas adicionais'!$R$248)/(Geometria!$L$401))</f>
        <v>-6300.660615612258</v>
      </c>
      <c r="AE13" s="751"/>
      <c r="AG13" s="373">
        <f ca="1">Geometria!$L$298*AC36+Geometria!$L$300*AC13</f>
        <v>1931.579859646002</v>
      </c>
      <c r="AH13" s="373">
        <f ca="1">Geometria!$L$298*AC36*Geometria!$L$299/100-Geometria!$L$300*AC13*Geometria!$L$301/100</f>
        <v>362.1712236836254</v>
      </c>
      <c r="AI13" s="365"/>
      <c r="AK13" s="122" t="s">
        <v>434</v>
      </c>
      <c r="AL13" s="198" t="str">
        <f ca="1">IF(Geometria!$P$437&lt;Geometria!$N$1307/100,"Reduzir","OK")</f>
        <v>OK</v>
      </c>
      <c r="AM13" s="401">
        <f t="shared" ca="1" si="3"/>
        <v>-7421.6274789524905</v>
      </c>
      <c r="AN13" s="403">
        <f ca="1">-(AS13/(Geometria!$L$48/100^2))+(AT13/(Geometria!$L$52/100^3))-(('Cargas adicionais'!$O$248)/(Geometria!$L$52/100^3))-(('Cargas adicionais'!$R$248)/(Geometria!$L$401))-((Geometria!$L$76*'Cargas adicionais'!$U$248)/(Geometria!$L$401))</f>
        <v>-4451.2417700660635</v>
      </c>
      <c r="AO13" s="400">
        <f ca="1">((Geometria!$N$369*(Geometria!$P$897*100))/Geometria!$N$1307)</f>
        <v>206.93754041084782</v>
      </c>
      <c r="AP13" s="751">
        <f ca="1">-('Perdas por Seção'!$H$99/(Geometria!$L$48/100^2))+('Perdas por Seção'!$H$100/(Geometria!$L$52/100^3))-((Geometria!$P$673)/(Geometria!$L$52/100^3))-((Geometria!$P$684)/(Geometria!$L$401))-((Geometria!$L$77*Geometria!$P$695)/(Geometria!$L$401))</f>
        <v>-7421.6274789524905</v>
      </c>
      <c r="AQ13" s="751"/>
      <c r="AS13" s="373">
        <f ca="1">Geometria!$L$298*AO36+Geometria!$L$300*AO13</f>
        <v>1931.579859646002</v>
      </c>
      <c r="AT13" s="373">
        <f ca="1">Geometria!$L$298*AO36*Geometria!$L$299/100-Geometria!$L$300*AO13*Geometria!$L$301/100</f>
        <v>362.1712236836254</v>
      </c>
      <c r="AU13" s="365"/>
      <c r="AW13" s="122" t="s">
        <v>434</v>
      </c>
      <c r="AX13" s="198" t="str">
        <f ca="1">IF(Geometria!$P$437&lt;Geometria!$N$1307/100,"Reduzir","OK")</f>
        <v>OK</v>
      </c>
      <c r="AY13" s="401">
        <f t="shared" ca="1" si="4"/>
        <v>-6300.660615612258</v>
      </c>
      <c r="AZ13" s="403">
        <f ca="1">-(BE13/(Geometria!$L$48/100^2))+(BF13/(Geometria!$L$52/100^3))-(('Cargas adicionais'!$O$248)/(Geometria!$L$52/100^3))-(('Cargas adicionais'!$R$248)/(Geometria!$L$401))-((Geometria!$L$76*'Cargas adicionais'!$U$248)/(Geometria!$L$401))</f>
        <v>-4451.2417700660635</v>
      </c>
      <c r="BA13" s="400">
        <f ca="1">((Geometria!$N$369*(Geometria!$P$897*100))/Geometria!$N$1307)</f>
        <v>206.93754041084782</v>
      </c>
      <c r="BB13" s="751">
        <f ca="1">-('Perdas por Seção'!$H$99/(Geometria!$L$48/100^2))+('Perdas por Seção'!$H$100/(Geometria!$L$52/100^3))-((Geometria!$P$673)/(Geometria!$L$52/100^3))-((Geometria!$P$684)/(Geometria!$L$401))</f>
        <v>-6300.660615612258</v>
      </c>
      <c r="BC13" s="751"/>
      <c r="BE13" s="373">
        <f ca="1">Geometria!$L$298*BA36+Geometria!$L$300*BA13</f>
        <v>1931.579859646002</v>
      </c>
      <c r="BF13" s="373">
        <f ca="1">Geometria!$L$298*BA36*Geometria!$L$299/100-Geometria!$L$300*BA13*Geometria!$L$301/100</f>
        <v>362.1712236836254</v>
      </c>
      <c r="BG13" s="365"/>
      <c r="BI13" s="61"/>
    </row>
    <row r="14" spans="1:61" x14ac:dyDescent="0.25">
      <c r="A14" s="4" t="s">
        <v>435</v>
      </c>
      <c r="B14" s="198" t="str">
        <f ca="1">IF(Geometria!$Q$437&lt;Geometria!$N$1307/100,"Reduzir","OK")</f>
        <v>OK</v>
      </c>
      <c r="C14" s="396">
        <f t="shared" ca="1" si="0"/>
        <v>5250.509407257871</v>
      </c>
      <c r="D14" s="397">
        <f ca="1">-I14/(Geometria!$L$48/100^2)+J14/(Geometria!$L$52/100^3)-Geometria!$L$898/(Geometria!$L$52/100^3)</f>
        <v>12935.348699314822</v>
      </c>
      <c r="E14" s="400">
        <f ca="1">((Geometria!$L$326*(Geometria!$Q$897*100))/Geometria!$N$1307)</f>
        <v>293.87513068014107</v>
      </c>
      <c r="F14" s="743">
        <f ca="1">-'Perdas por Seção'!$I$101/(Geometria!$L$48/100^2)+'Perdas por Seção'!$I$102/(Geometria!$L$52/100^3)-Geometria!$Q$898/(Geometria!$L$52/100^3)</f>
        <v>5250.509407257871</v>
      </c>
      <c r="G14" s="743"/>
      <c r="I14" s="373">
        <f ca="1">Geometria!$L$298*E37+Geometria!$L$300*E14</f>
        <v>2750.052538680477</v>
      </c>
      <c r="J14" s="373">
        <f ca="1">Geometria!$L$298*E37*Geometria!$L$299/100-Geometria!$L$300*E14*Geometria!$L$301/100</f>
        <v>515.6348510025895</v>
      </c>
      <c r="K14" s="365"/>
      <c r="M14" s="122" t="s">
        <v>435</v>
      </c>
      <c r="N14" s="198" t="str">
        <f ca="1">IF(Geometria!$Q$437&lt;Geometria!$N$1307/100,"Reduzir","OK")</f>
        <v>OK</v>
      </c>
      <c r="O14" s="401">
        <f t="shared" ca="1" si="1"/>
        <v>-9575.924529537184</v>
      </c>
      <c r="P14" s="403">
        <f ca="1">-(U14/(Geometria!$L$48/100^2))+(V14/(Geometria!$L$52/100^3))-(('Cargas adicionais'!$O$249)/(Geometria!$L$52/100^3))-(('Cargas adicionais'!$R$249)/(Geometria!$L$401))-((Geometria!$L$76*'Cargas adicionais'!$U$249)/(Geometria!$L$401))</f>
        <v>-4234.220837056099</v>
      </c>
      <c r="Q14" s="400">
        <f ca="1">((Geometria!$N$369*(Geometria!$Q$897*100))/Geometria!$N$1307)</f>
        <v>248.32504849301736</v>
      </c>
      <c r="R14" s="751">
        <f ca="1">-('Perdas por Seção'!$I$99/(Geometria!$L$48/100^2))+('Perdas por Seção'!$I$100/(Geometria!$L$52/100^3))-(('Cargas adicionais'!$O$249)/(Geometria!$L$52/100^3))-(('Cargas adicionais'!$R$249)/(Geometria!$L$401))-((Geometria!$L$76*'Cargas adicionais'!$U$249)/(Geometria!$L$401))</f>
        <v>-9575.924529537184</v>
      </c>
      <c r="S14" s="751"/>
      <c r="U14" s="373">
        <f ca="1">Geometria!$L$298*Q37+Geometria!$L$300*Q14</f>
        <v>2317.8958315752025</v>
      </c>
      <c r="V14" s="373">
        <f ca="1">Geometria!$L$298*Q37*Geometria!$L$299/100-Geometria!$L$300*Q14*Geometria!$L$301/100</f>
        <v>434.60546842035046</v>
      </c>
      <c r="W14" s="365"/>
      <c r="Y14" s="122" t="s">
        <v>435</v>
      </c>
      <c r="Z14" s="198" t="str">
        <f ca="1">IF(Geometria!$Q$437&lt;Geometria!$N$1307/100,"Reduzir","OK")</f>
        <v>OK</v>
      </c>
      <c r="AA14" s="401">
        <f t="shared" ca="1" si="2"/>
        <v>-7692.700199125593</v>
      </c>
      <c r="AB14" s="403">
        <f ca="1">-(AG14/(Geometria!$L$48/100^2))+(AH14/(Geometria!$L$52/100^3))-(('Cargas adicionais'!$O$249)/(Geometria!$L$52/100^3))-(('Cargas adicionais'!$R$249)/(Geometria!$L$401))-((Geometria!$L$76*'Cargas adicionais'!$U$249)/(Geometria!$L$401))</f>
        <v>-4234.220837056099</v>
      </c>
      <c r="AC14" s="400">
        <f ca="1">((Geometria!$N$369*(Geometria!$Q$897*100))/Geometria!$N$1307)</f>
        <v>248.32504849301736</v>
      </c>
      <c r="AD14" s="751">
        <f ca="1">-('Perdas por Seção'!$I$99/(Geometria!$L$48/100^2))+('Perdas por Seção'!$I$100/(Geometria!$L$52/100^3))-(('Cargas adicionais'!$O$249)/(Geometria!$L$52/100^3))-(('Cargas adicionais'!$R$249)/(Geometria!$L$401))</f>
        <v>-7692.700199125593</v>
      </c>
      <c r="AE14" s="751"/>
      <c r="AG14" s="373">
        <f ca="1">Geometria!$L$298*AC37+Geometria!$L$300*AC14</f>
        <v>2317.8958315752025</v>
      </c>
      <c r="AH14" s="373">
        <f ca="1">Geometria!$L$298*AC37*Geometria!$L$299/100-Geometria!$L$300*AC14*Geometria!$L$301/100</f>
        <v>434.60546842035046</v>
      </c>
      <c r="AI14" s="365"/>
      <c r="AK14" s="122" t="s">
        <v>435</v>
      </c>
      <c r="AL14" s="198" t="str">
        <f ca="1">IF(Geometria!$Q$437&lt;Geometria!$N$1307/100,"Reduzir","OK")</f>
        <v>OK</v>
      </c>
      <c r="AM14" s="401">
        <f t="shared" ca="1" si="3"/>
        <v>-8948.183086066654</v>
      </c>
      <c r="AN14" s="403">
        <f ca="1">-(AS14/(Geometria!$L$48/100^2))+(AT14/(Geometria!$L$52/100^3))-(('Cargas adicionais'!$O$249)/(Geometria!$L$52/100^3))-(('Cargas adicionais'!$R$249)/(Geometria!$L$401))-((Geometria!$L$76*'Cargas adicionais'!$U$249)/(Geometria!$L$401))</f>
        <v>-4234.220837056099</v>
      </c>
      <c r="AO14" s="400">
        <f ca="1">((Geometria!$N$369*(Geometria!$Q$897*100))/Geometria!$N$1307)</f>
        <v>248.32504849301736</v>
      </c>
      <c r="AP14" s="751">
        <f ca="1">-('Perdas por Seção'!$I$99/(Geometria!$L$48/100^2))+('Perdas por Seção'!$I$100/(Geometria!$L$52/100^3))-((Geometria!$Q$673)/(Geometria!$L$52/100^3))-((Geometria!$Q$684)/(Geometria!$L$401))-((Geometria!$L$77*Geometria!$Q$695)/(Geometria!$L$401))</f>
        <v>-8948.183086066654</v>
      </c>
      <c r="AQ14" s="751"/>
      <c r="AS14" s="373">
        <f ca="1">Geometria!$L$298*AO37+Geometria!$L$300*AO14</f>
        <v>2317.8958315752025</v>
      </c>
      <c r="AT14" s="373">
        <f ca="1">Geometria!$L$298*AO37*Geometria!$L$299/100-Geometria!$L$300*AO14*Geometria!$L$301/100</f>
        <v>434.60546842035046</v>
      </c>
      <c r="AU14" s="365"/>
      <c r="AW14" s="122" t="s">
        <v>435</v>
      </c>
      <c r="AX14" s="198" t="str">
        <f ca="1">IF(Geometria!$Q$437&lt;Geometria!$N$1307/100,"Reduzir","OK")</f>
        <v>OK</v>
      </c>
      <c r="AY14" s="401">
        <f t="shared" ca="1" si="4"/>
        <v>-7692.700199125593</v>
      </c>
      <c r="AZ14" s="403">
        <f ca="1">-(BE14/(Geometria!$L$48/100^2))+(BF14/(Geometria!$L$52/100^3))-(('Cargas adicionais'!$O$249)/(Geometria!$L$52/100^3))-(('Cargas adicionais'!$R$249)/(Geometria!$L$401))-((Geometria!$L$76*'Cargas adicionais'!$U$249)/(Geometria!$L$401))</f>
        <v>-4234.220837056099</v>
      </c>
      <c r="BA14" s="400">
        <f ca="1">((Geometria!$N$369*(Geometria!$Q$897*100))/Geometria!$N$1307)</f>
        <v>248.32504849301736</v>
      </c>
      <c r="BB14" s="751">
        <f ca="1">-('Perdas por Seção'!$I$99/(Geometria!$L$48/100^2))+('Perdas por Seção'!$I$100/(Geometria!$L$52/100^3))-((Geometria!$Q$673)/(Geometria!$L$52/100^3))-((Geometria!$Q$684)/(Geometria!$L$401))</f>
        <v>-7692.700199125593</v>
      </c>
      <c r="BC14" s="751"/>
      <c r="BE14" s="373">
        <f ca="1">Geometria!$L$298*BA37+Geometria!$L$300*BA14</f>
        <v>2317.8958315752025</v>
      </c>
      <c r="BF14" s="373">
        <f ca="1">Geometria!$L$298*BA37*Geometria!$L$299/100-Geometria!$L$300*BA14*Geometria!$L$301/100</f>
        <v>434.60546842035046</v>
      </c>
      <c r="BG14" s="365"/>
      <c r="BI14" s="61"/>
    </row>
    <row r="15" spans="1:61" x14ac:dyDescent="0.25">
      <c r="A15" s="4" t="s">
        <v>436</v>
      </c>
      <c r="B15" s="198" t="str">
        <f ca="1">IF(Geometria!$R$437&lt;Geometria!$N$1307/100,"Reduzir","OK")</f>
        <v>OK</v>
      </c>
      <c r="C15" s="396">
        <f t="shared" ca="1" si="0"/>
        <v>5094.273693324452</v>
      </c>
      <c r="D15" s="397">
        <f ca="1">-I15/(Geometria!$L$48/100^2)+J15/(Geometria!$L$52/100^3)-Geometria!$L$898/(Geometria!$L$52/100^3)</f>
        <v>15163.400524634651</v>
      </c>
      <c r="E15" s="400">
        <f ca="1">((Geometria!$L$326*(Geometria!$R$897*100))/Geometria!$N$1307)</f>
        <v>342.8543191268312</v>
      </c>
      <c r="F15" s="743">
        <f ca="1">-'Perdas por Seção'!$J$101/(Geometria!$L$48/100^2)+'Perdas por Seção'!$J$102/(Geometria!$L$52/100^3)-Geometria!$R$898/(Geometria!$L$52/100^3)</f>
        <v>5094.273693324452</v>
      </c>
      <c r="G15" s="743"/>
      <c r="I15" s="373">
        <f ca="1">Geometria!$L$298*E38+Geometria!$L$300*E15</f>
        <v>3208.3946284605568</v>
      </c>
      <c r="J15" s="373">
        <f ca="1">Geometria!$L$298*E38*Geometria!$L$299/100-Geometria!$L$300*E15*Geometria!$L$301/100</f>
        <v>601.5739928363544</v>
      </c>
      <c r="K15" s="365"/>
      <c r="M15" s="122" t="s">
        <v>436</v>
      </c>
      <c r="N15" s="198" t="str">
        <f ca="1">IF(Geometria!$R$437&lt;Geometria!$N$1307/100,"Reduzir","OK")</f>
        <v>OK</v>
      </c>
      <c r="O15" s="401">
        <f t="shared" ca="1" si="1"/>
        <v>-10815.567327791894</v>
      </c>
      <c r="P15" s="403">
        <f ca="1">-(U15/(Geometria!$L$48/100^2))+(V15/(Geometria!$L$52/100^3))-(('Cargas adicionais'!$O$250)/(Geometria!$L$52/100^3))-(('Cargas adicionais'!$R$250)/(Geometria!$L$401))-((Geometria!$L$76*'Cargas adicionais'!$U$250)/(Geometria!$L$401))</f>
        <v>-3648.1101417050777</v>
      </c>
      <c r="Q15" s="400">
        <f ca="1">((Geometria!$N$369*(Geometria!$R$897*100))/Geometria!$N$1307)</f>
        <v>289.7125565751869</v>
      </c>
      <c r="R15" s="751">
        <f ca="1">-('Perdas por Seção'!$J$99/(Geometria!$L$48/100^2))+('Perdas por Seção'!$J$100/(Geometria!$L$52/100^3))-(('Cargas adicionais'!$O$250)/(Geometria!$L$52/100^3))-(('Cargas adicionais'!$R$250)/(Geometria!$L$401))-((Geometria!$L$76*'Cargas adicionais'!$U$250)/(Geometria!$L$401))</f>
        <v>-10815.567327791894</v>
      </c>
      <c r="S15" s="751"/>
      <c r="U15" s="373">
        <f ca="1">Geometria!$L$298*Q38+Geometria!$L$300*Q15</f>
        <v>2704.2118035044027</v>
      </c>
      <c r="V15" s="373">
        <f ca="1">Geometria!$L$298*Q38*Geometria!$L$299/100-Geometria!$L$300*Q15*Geometria!$L$301/100</f>
        <v>507.03971315707554</v>
      </c>
      <c r="W15" s="365"/>
      <c r="Y15" s="122" t="s">
        <v>436</v>
      </c>
      <c r="Z15" s="198" t="str">
        <f ca="1">IF(Geometria!$R$437&lt;Geometria!$N$1307/100,"Reduzir","OK")</f>
        <v>OK</v>
      </c>
      <c r="AA15" s="401">
        <f t="shared" ca="1" si="2"/>
        <v>-8775.407636512671</v>
      </c>
      <c r="AB15" s="403">
        <f ca="1">-(AG15/(Geometria!$L$48/100^2))+(AH15/(Geometria!$L$52/100^3))-(('Cargas adicionais'!$O$250)/(Geometria!$L$52/100^3))-(('Cargas adicionais'!$R$250)/(Geometria!$L$401))-((Geometria!$L$76*'Cargas adicionais'!$U$250)/(Geometria!$L$401))</f>
        <v>-3648.1101417050777</v>
      </c>
      <c r="AC15" s="400">
        <f ca="1">((Geometria!$N$369*(Geometria!$R$897*100))/Geometria!$N$1307)</f>
        <v>289.7125565751869</v>
      </c>
      <c r="AD15" s="751">
        <f ca="1">-('Perdas por Seção'!$J$99/(Geometria!$L$48/100^2))+('Perdas por Seção'!$J$100/(Geometria!$L$52/100^3))-(('Cargas adicionais'!$O$250)/(Geometria!$L$52/100^3))-(('Cargas adicionais'!$R$250)/(Geometria!$L$401))</f>
        <v>-8775.407636512671</v>
      </c>
      <c r="AE15" s="751"/>
      <c r="AG15" s="373">
        <f ca="1">Geometria!$L$298*AC38+Geometria!$L$300*AC15</f>
        <v>2704.2118035044027</v>
      </c>
      <c r="AH15" s="373">
        <f ca="1">Geometria!$L$298*AC38*Geometria!$L$299/100-Geometria!$L$300*AC15*Geometria!$L$301/100</f>
        <v>507.03971315707554</v>
      </c>
      <c r="AI15" s="365"/>
      <c r="AK15" s="122" t="s">
        <v>436</v>
      </c>
      <c r="AL15" s="198" t="str">
        <f ca="1">IF(Geometria!$R$437&lt;Geometria!$N$1307/100,"Reduzir","OK")</f>
        <v>OK</v>
      </c>
      <c r="AM15" s="401">
        <f t="shared" ca="1" si="3"/>
        <v>-10135.514097365487</v>
      </c>
      <c r="AN15" s="403">
        <f ca="1">-(AS15/(Geometria!$L$48/100^2))+(AT15/(Geometria!$L$52/100^3))-(('Cargas adicionais'!$O$250)/(Geometria!$L$52/100^3))-(('Cargas adicionais'!$R$250)/(Geometria!$L$401))-((Geometria!$L$76*'Cargas adicionais'!$U$250)/(Geometria!$L$401))</f>
        <v>-3648.1101417050777</v>
      </c>
      <c r="AO15" s="400">
        <f ca="1">((Geometria!$N$369*(Geometria!$R$897*100))/Geometria!$N$1307)</f>
        <v>289.7125565751869</v>
      </c>
      <c r="AP15" s="751">
        <f ca="1">-('Perdas por Seção'!$J$99/(Geometria!$L$48/100^2))+('Perdas por Seção'!$J$100/(Geometria!$L$52/100^3))-((Geometria!$R$673)/(Geometria!$L$52/100^3))-((Geometria!$R$684)/(Geometria!$L$401))-((Geometria!$L$77*Geometria!$R$695)/(Geometria!$L$401))</f>
        <v>-10135.514097365487</v>
      </c>
      <c r="AQ15" s="751"/>
      <c r="AS15" s="373">
        <f ca="1">Geometria!$L$298*AO38+Geometria!$L$300*AO15</f>
        <v>2704.2118035044027</v>
      </c>
      <c r="AT15" s="373">
        <f ca="1">Geometria!$L$298*AO38*Geometria!$L$299/100-Geometria!$L$300*AO15*Geometria!$L$301/100</f>
        <v>507.03971315707554</v>
      </c>
      <c r="AU15" s="365"/>
      <c r="AW15" s="122" t="s">
        <v>436</v>
      </c>
      <c r="AX15" s="198" t="str">
        <f ca="1">IF(Geometria!$R$437&lt;Geometria!$N$1307/100,"Reduzir","OK")</f>
        <v>OK</v>
      </c>
      <c r="AY15" s="401">
        <f t="shared" ca="1" si="4"/>
        <v>-8775.407636512671</v>
      </c>
      <c r="AZ15" s="403">
        <f ca="1">-(BE15/(Geometria!$L$48/100^2))+(BF15/(Geometria!$L$52/100^3))-(('Cargas adicionais'!$O$250)/(Geometria!$L$52/100^3))-(('Cargas adicionais'!$R$250)/(Geometria!$L$401))-((Geometria!$L$76*'Cargas adicionais'!$U$250)/(Geometria!$L$401))</f>
        <v>-3648.1101417050777</v>
      </c>
      <c r="BA15" s="400">
        <f ca="1">((Geometria!$N$369*(Geometria!$R$897*100))/Geometria!$N$1307)</f>
        <v>289.7125565751869</v>
      </c>
      <c r="BB15" s="751">
        <f ca="1">-('Perdas por Seção'!$J$99/(Geometria!$L$48/100^2))+('Perdas por Seção'!$J$100/(Geometria!$L$52/100^3))-((Geometria!$R$673)/(Geometria!$L$52/100^3))-((Geometria!$R$684)/(Geometria!$L$401))</f>
        <v>-8775.407636512671</v>
      </c>
      <c r="BC15" s="751"/>
      <c r="BE15" s="373">
        <f ca="1">Geometria!$L$298*BA38+Geometria!$L$300*BA15</f>
        <v>2704.2118035044027</v>
      </c>
      <c r="BF15" s="373">
        <f ca="1">Geometria!$L$298*BA38*Geometria!$L$299/100-Geometria!$L$300*BA15*Geometria!$L$301/100</f>
        <v>507.03971315707554</v>
      </c>
      <c r="BG15" s="365"/>
      <c r="BI15" s="61"/>
    </row>
    <row r="16" spans="1:61" x14ac:dyDescent="0.25">
      <c r="A16" s="4" t="s">
        <v>437</v>
      </c>
      <c r="B16" s="198" t="str">
        <f ca="1">IF(Geometria!$K$440&lt;Geometria!$N$1307/100,"Reduzir","OK")</f>
        <v>OK</v>
      </c>
      <c r="C16" s="396">
        <f t="shared" ca="1" si="0"/>
        <v>4982.676754800583</v>
      </c>
      <c r="D16" s="397">
        <f ca="1">-I16/(Geometria!$L$48/100^2)+J16/(Geometria!$L$52/100^3)-Geometria!$L$898/(Geometria!$L$52/100^3)</f>
        <v>17391.45234995449</v>
      </c>
      <c r="E16" s="400">
        <f ca="1">((Geometria!$L$326*(Geometria!$K$900*100))/Geometria!$N$1307)</f>
        <v>391.83350757352133</v>
      </c>
      <c r="F16" s="743">
        <f ca="1">-'Perdas por Seção'!$K$101/(Geometria!$L$48/100^2)+'Perdas por Seção'!$K$102/(Geometria!$L$52/100^3)-Geometria!$K$901/(Geometria!$L$52/100^3)</f>
        <v>4982.676754800583</v>
      </c>
      <c r="G16" s="743"/>
      <c r="I16" s="373">
        <f ca="1">Geometria!$L$298*E39+Geometria!$L$300*E16</f>
        <v>3666.736718240637</v>
      </c>
      <c r="J16" s="373">
        <f ca="1">Geometria!$L$298*E39*Geometria!$L$299/100-Geometria!$L$300*E16*Geometria!$L$301/100</f>
        <v>687.5131346701195</v>
      </c>
      <c r="K16" s="365"/>
      <c r="M16" s="122" t="s">
        <v>437</v>
      </c>
      <c r="N16" s="198" t="str">
        <f ca="1">IF(Geometria!$K$440&lt;Geometria!$N$1307/100,"Reduzir","OK")</f>
        <v>OK</v>
      </c>
      <c r="O16" s="401">
        <f t="shared" ca="1" si="1"/>
        <v>-11701.031817206567</v>
      </c>
      <c r="P16" s="403">
        <f ca="1">-(U16/(Geometria!$L$48/100^2))+(V16/(Geometria!$L$52/100^3))-(('Cargas adicionais'!$O$251)/(Geometria!$L$52/100^3))-(('Cargas adicionais'!$R$251)/(Geometria!$L$401))-((Geometria!$L$76*'Cargas adicionais'!$U$251)/(Geometria!$L$401))</f>
        <v>-2692.9096840130064</v>
      </c>
      <c r="Q16" s="400">
        <f ca="1">((Geometria!$N$369*(Geometria!$K$900*100))/Geometria!$N$1307)</f>
        <v>331.1000646573565</v>
      </c>
      <c r="R16" s="751">
        <f ca="1">-('Perdas por Seção'!$K$99/(Geometria!$L$48/100^2))+('Perdas por Seção'!$K$100/(Geometria!$L$52/100^3))-(('Cargas adicionais'!$O$251)/(Geometria!$L$52/100^3))-(('Cargas adicionais'!$R$251)/(Geometria!$L$401))-((Geometria!$L$76*'Cargas adicionais'!$U$251)/(Geometria!$L$401))</f>
        <v>-11701.031817206567</v>
      </c>
      <c r="S16" s="751"/>
      <c r="U16" s="373">
        <f ca="1">Geometria!$L$298*Q39+Geometria!$L$300*Q16</f>
        <v>3090.527775433603</v>
      </c>
      <c r="V16" s="373">
        <f ca="1">Geometria!$L$298*Q39*Geometria!$L$299/100-Geometria!$L$300*Q16*Geometria!$L$301/100</f>
        <v>579.4739578938005</v>
      </c>
      <c r="W16" s="365"/>
      <c r="Y16" s="122" t="s">
        <v>437</v>
      </c>
      <c r="Z16" s="198" t="str">
        <f ca="1">IF(Geometria!$K$440&lt;Geometria!$N$1307/100,"Reduzir","OK")</f>
        <v>OK</v>
      </c>
      <c r="AA16" s="401">
        <f t="shared" ca="1" si="2"/>
        <v>-9548.77543959332</v>
      </c>
      <c r="AB16" s="403">
        <f ca="1">-(AG16/(Geometria!$L$48/100^2))+(AH16/(Geometria!$L$52/100^3))-(('Cargas adicionais'!$O$251)/(Geometria!$L$52/100^3))-(('Cargas adicionais'!$R$251)/(Geometria!$L$401))-((Geometria!$L$76*'Cargas adicionais'!$U$251)/(Geometria!$L$401))</f>
        <v>-2692.9096840130064</v>
      </c>
      <c r="AC16" s="400">
        <f ca="1">((Geometria!$N$369*(Geometria!$K$900*100))/Geometria!$N$1307)</f>
        <v>331.1000646573565</v>
      </c>
      <c r="AD16" s="751">
        <f ca="1">-('Perdas por Seção'!$K$99/(Geometria!$L$48/100^2))+('Perdas por Seção'!$K$100/(Geometria!$L$52/100^3))-(('Cargas adicionais'!$O$251)/(Geometria!$L$52/100^3))-(('Cargas adicionais'!$R$251)/(Geometria!$L$401))</f>
        <v>-9548.77543959332</v>
      </c>
      <c r="AE16" s="751"/>
      <c r="AG16" s="373">
        <f ca="1">Geometria!$L$298*AC39+Geometria!$L$300*AC16</f>
        <v>3090.527775433603</v>
      </c>
      <c r="AH16" s="373">
        <f ca="1">Geometria!$L$298*AC39*Geometria!$L$299/100-Geometria!$L$300*AC16*Geometria!$L$301/100</f>
        <v>579.4739578938005</v>
      </c>
      <c r="AI16" s="365"/>
      <c r="AK16" s="122" t="s">
        <v>437</v>
      </c>
      <c r="AL16" s="198" t="str">
        <f ca="1">IF(Geometria!$K$440&lt;Geometria!$N$1307/100,"Reduzir","OK")</f>
        <v>OK</v>
      </c>
      <c r="AM16" s="401">
        <f t="shared" ca="1" si="3"/>
        <v>-10983.613024668819</v>
      </c>
      <c r="AN16" s="403">
        <f ca="1">-(AS16/(Geometria!$L$48/100^2))+(AT16/(Geometria!$L$52/100^3))-(('Cargas adicionais'!$O$251)/(Geometria!$L$52/100^3))-(('Cargas adicionais'!$R$251)/(Geometria!$L$401))-((Geometria!$L$76*'Cargas adicionais'!$U$251)/(Geometria!$L$401))</f>
        <v>-2692.9096840130064</v>
      </c>
      <c r="AO16" s="400">
        <f ca="1">((Geometria!$N$369*(Geometria!$K$900*100))/Geometria!$N$1307)</f>
        <v>331.1000646573565</v>
      </c>
      <c r="AP16" s="751">
        <f ca="1">-('Perdas por Seção'!$K$99/(Geometria!$L$48/100^2))+('Perdas por Seção'!$K$100/(Geometria!$L$52/100^3))-((Geometria!$K$676)/(Geometria!$L$52/100^3))-((Geometria!$K$687)/(Geometria!$L$401))-((Geometria!$L$77*Geometria!$K$698)/(Geometria!$L$401))</f>
        <v>-10983.613024668819</v>
      </c>
      <c r="AQ16" s="751"/>
      <c r="AS16" s="373">
        <f ca="1">Geometria!$L$298*AO39+Geometria!$L$300*AO16</f>
        <v>3090.527775433603</v>
      </c>
      <c r="AT16" s="373">
        <f ca="1">Geometria!$L$298*AO39*Geometria!$L$299/100-Geometria!$L$300*AO16*Geometria!$L$301/100</f>
        <v>579.4739578938005</v>
      </c>
      <c r="AU16" s="365"/>
      <c r="AW16" s="122" t="s">
        <v>437</v>
      </c>
      <c r="AX16" s="198" t="str">
        <f ca="1">IF(Geometria!$K$440&lt;Geometria!$N$1307/100,"Reduzir","OK")</f>
        <v>OK</v>
      </c>
      <c r="AY16" s="401">
        <f t="shared" ca="1" si="4"/>
        <v>-9548.77543959332</v>
      </c>
      <c r="AZ16" s="403">
        <f ca="1">-(BE16/(Geometria!$L$48/100^2))+(BF16/(Geometria!$L$52/100^3))-(('Cargas adicionais'!$O$251)/(Geometria!$L$52/100^3))-(('Cargas adicionais'!$R$251)/(Geometria!$L$401))-((Geometria!$L$76*'Cargas adicionais'!$U$251)/(Geometria!$L$401))</f>
        <v>-2692.9096840130064</v>
      </c>
      <c r="BA16" s="400">
        <f ca="1">((Geometria!$N$369*(Geometria!$K$900*100))/Geometria!$N$1307)</f>
        <v>331.1000646573565</v>
      </c>
      <c r="BB16" s="751">
        <f ca="1">-('Perdas por Seção'!$K$99/(Geometria!$L$48/100^2))+('Perdas por Seção'!$K$100/(Geometria!$L$52/100^3))-((Geometria!$K$676)/(Geometria!$L$52/100^3))-((Geometria!$K$687)/(Geometria!$L$401))</f>
        <v>-9548.77543959332</v>
      </c>
      <c r="BC16" s="751"/>
      <c r="BE16" s="373">
        <f ca="1">Geometria!$L$298*BA39+Geometria!$L$300*BA16</f>
        <v>3090.527775433603</v>
      </c>
      <c r="BF16" s="373">
        <f ca="1">Geometria!$L$298*BA39*Geometria!$L$299/100-Geometria!$L$300*BA16*Geometria!$L$301/100</f>
        <v>579.4739578938005</v>
      </c>
      <c r="BG16" s="365"/>
      <c r="BI16" s="61"/>
    </row>
    <row r="17" spans="1:61" x14ac:dyDescent="0.25">
      <c r="A17" s="4" t="s">
        <v>438</v>
      </c>
      <c r="B17" s="198" t="str">
        <f ca="1">IF(Geometria!$L$440&lt;Geometria!$N$1307/100,"Reduzir","OK")</f>
        <v>OK</v>
      </c>
      <c r="C17" s="396">
        <f t="shared" ca="1" si="0"/>
        <v>4915.718591686258</v>
      </c>
      <c r="D17" s="397">
        <f ca="1">-I17/(Geometria!$L$48/100^2)+J17/(Geometria!$L$52/100^3)-Geometria!$L$898/(Geometria!$L$52/100^3)</f>
        <v>19619.50417527431</v>
      </c>
      <c r="E17" s="400">
        <f ca="1">((Geometria!$L$326*(Geometria!$L$900*100))/Geometria!$N$1307)</f>
        <v>440.81269602021155</v>
      </c>
      <c r="F17" s="743">
        <f ca="1">-'Perdas por Seção'!$L$101/(Geometria!$L$48/100^2)+'Perdas por Seção'!$L$102/(Geometria!$L$52/100^3)-Geometria!$L$901/(Geometria!$L$52/100^3)</f>
        <v>4915.718591686258</v>
      </c>
      <c r="G17" s="743"/>
      <c r="I17" s="373">
        <f ca="1">Geometria!$L$298*E40+Geometria!$L$300*E17</f>
        <v>4125.078808020716</v>
      </c>
      <c r="J17" s="373">
        <f ca="1">Geometria!$L$298*E40*Geometria!$L$299/100-Geometria!$L$300*E17*Geometria!$L$301/100</f>
        <v>773.4522765038841</v>
      </c>
      <c r="K17" s="365"/>
      <c r="M17" s="122" t="s">
        <v>438</v>
      </c>
      <c r="N17" s="198" t="str">
        <f ca="1">IF(Geometria!$L$440&lt;Geometria!$N$1307/100,"Reduzir","OK")</f>
        <v>OK</v>
      </c>
      <c r="O17" s="401">
        <f t="shared" ca="1" si="1"/>
        <v>-12232.312649827745</v>
      </c>
      <c r="P17" s="403">
        <f ca="1">-(U17/(Geometria!$L$48/100^2))+(V17/(Geometria!$L$52/100^3))-(('Cargas adicionais'!$O$252)/(Geometria!$L$52/100^3))-(('Cargas adicionais'!$R$252)/(Geometria!$L$401))-((Geometria!$L$76*'Cargas adicionais'!$U$252)/(Geometria!$L$401))</f>
        <v>-1368.6194639798648</v>
      </c>
      <c r="Q17" s="400">
        <f ca="1">((Geometria!$N$369*(Geometria!$L$900*100))/Geometria!$N$1307)</f>
        <v>372.48757273952606</v>
      </c>
      <c r="R17" s="751">
        <f ca="1">-('Perdas por Seção'!$L$99/(Geometria!$L$48/100^2))+('Perdas por Seção'!$L$100/(Geometria!$L$52/100^3))-(('Cargas adicionais'!$O$252)/(Geometria!$L$52/100^3))-(('Cargas adicionais'!$R$252)/(Geometria!$L$401))-((Geometria!$L$76*'Cargas adicionais'!$U$252)/(Geometria!$L$401))</f>
        <v>-12232.312649827745</v>
      </c>
      <c r="S17" s="751"/>
      <c r="U17" s="373">
        <f ca="1">Geometria!$L$298*Q40+Geometria!$L$300*Q17</f>
        <v>3476.8437473628037</v>
      </c>
      <c r="V17" s="373">
        <f ca="1">Geometria!$L$298*Q40*Geometria!$L$299/100-Geometria!$L$300*Q17*Geometria!$L$301/100</f>
        <v>651.9082026305257</v>
      </c>
      <c r="W17" s="365"/>
      <c r="Y17" s="122" t="s">
        <v>438</v>
      </c>
      <c r="Z17" s="198" t="str">
        <f ca="1">IF(Geometria!$L$440&lt;Geometria!$N$1307/100,"Reduzir","OK")</f>
        <v>OK</v>
      </c>
      <c r="AA17" s="401">
        <f t="shared" ca="1" si="2"/>
        <v>-10012.798260414085</v>
      </c>
      <c r="AB17" s="403">
        <f ca="1">-(AG17/(Geometria!$L$48/100^2))+(AH17/(Geometria!$L$52/100^3))-(('Cargas adicionais'!$O$252)/(Geometria!$L$52/100^3))-(('Cargas adicionais'!$R$252)/(Geometria!$L$401))-((Geometria!$L$76*'Cargas adicionais'!$U$252)/(Geometria!$L$401))</f>
        <v>-1368.6194639798648</v>
      </c>
      <c r="AC17" s="400">
        <f ca="1">((Geometria!$N$369*(Geometria!$L$900*100))/Geometria!$N$1307)</f>
        <v>372.48757273952606</v>
      </c>
      <c r="AD17" s="751">
        <f ca="1">-('Perdas por Seção'!$L$99/(Geometria!$L$48/100^2))+('Perdas por Seção'!$L$100/(Geometria!$L$52/100^3))-(('Cargas adicionais'!$O$252)/(Geometria!$L$52/100^3))-(('Cargas adicionais'!$R$252)/(Geometria!$L$401))</f>
        <v>-10012.798260414085</v>
      </c>
      <c r="AE17" s="751"/>
      <c r="AG17" s="373">
        <f ca="1">Geometria!$L$298*AC40+Geometria!$L$300*AC17</f>
        <v>3476.8437473628037</v>
      </c>
      <c r="AH17" s="373">
        <f ca="1">Geometria!$L$298*AC40*Geometria!$L$299/100-Geometria!$L$300*AC17*Geometria!$L$301/100</f>
        <v>651.9082026305257</v>
      </c>
      <c r="AI17" s="365"/>
      <c r="AK17" s="122" t="s">
        <v>438</v>
      </c>
      <c r="AL17" s="198" t="str">
        <f ca="1">IF(Geometria!$L$440&lt;Geometria!$N$1307/100,"Reduzir","OK")</f>
        <v>OK</v>
      </c>
      <c r="AM17" s="401">
        <f t="shared" ca="1" si="3"/>
        <v>-11492.474520023192</v>
      </c>
      <c r="AN17" s="403">
        <f ca="1">-(AS17/(Geometria!$L$48/100^2))+(AT17/(Geometria!$L$52/100^3))-(('Cargas adicionais'!$O$252)/(Geometria!$L$52/100^3))-(('Cargas adicionais'!$R$252)/(Geometria!$L$401))-((Geometria!$L$76*'Cargas adicionais'!$U$252)/(Geometria!$L$401))</f>
        <v>-1368.6194639798648</v>
      </c>
      <c r="AO17" s="400">
        <f ca="1">((Geometria!$N$369*(Geometria!$L$900*100))/Geometria!$N$1307)</f>
        <v>372.48757273952606</v>
      </c>
      <c r="AP17" s="751">
        <f ca="1">-('Perdas por Seção'!$L$99/(Geometria!$L$48/100^2))+('Perdas por Seção'!$L$100/(Geometria!$L$52/100^3))-((Geometria!$L$676)/(Geometria!$L$52/100^3))-((Geometria!$L$687)/(Geometria!$L$401))-((Geometria!$L$77*Geometria!$L$698)/(Geometria!$L$401))</f>
        <v>-11492.474520023192</v>
      </c>
      <c r="AQ17" s="751"/>
      <c r="AS17" s="373">
        <f ca="1">Geometria!$L$298*AO40+Geometria!$L$300*AO17</f>
        <v>3476.8437473628037</v>
      </c>
      <c r="AT17" s="373">
        <f ca="1">Geometria!$L$298*AO40*Geometria!$L$299/100-Geometria!$L$300*AO17*Geometria!$L$301/100</f>
        <v>651.9082026305257</v>
      </c>
      <c r="AU17" s="365"/>
      <c r="AW17" s="122" t="s">
        <v>438</v>
      </c>
      <c r="AX17" s="198" t="str">
        <f ca="1">IF(Geometria!$L$440&lt;Geometria!$N$1307/100,"Reduzir","OK")</f>
        <v>OK</v>
      </c>
      <c r="AY17" s="401">
        <f t="shared" ca="1" si="4"/>
        <v>-10012.798260414085</v>
      </c>
      <c r="AZ17" s="403">
        <f ca="1">-(BE17/(Geometria!$L$48/100^2))+(BF17/(Geometria!$L$52/100^3))-(('Cargas adicionais'!$O$252)/(Geometria!$L$52/100^3))-(('Cargas adicionais'!$R$252)/(Geometria!$L$401))-((Geometria!$L$76*'Cargas adicionais'!$U$252)/(Geometria!$L$401))</f>
        <v>-1368.6194639798648</v>
      </c>
      <c r="BA17" s="400">
        <f ca="1">((Geometria!$N$369*(Geometria!$L$900*100))/Geometria!$N$1307)</f>
        <v>372.48757273952606</v>
      </c>
      <c r="BB17" s="751">
        <f ca="1">-('Perdas por Seção'!$L$99/(Geometria!$L$48/100^2))+('Perdas por Seção'!$L$100/(Geometria!$L$52/100^3))-((Geometria!$L$676)/(Geometria!$L$52/100^3))-((Geometria!$L$687)/(Geometria!$L$401))</f>
        <v>-10012.798260414085</v>
      </c>
      <c r="BC17" s="751"/>
      <c r="BE17" s="373">
        <f ca="1">Geometria!$L$298*BA40+Geometria!$L$300*BA17</f>
        <v>3476.8437473628037</v>
      </c>
      <c r="BF17" s="373">
        <f ca="1">Geometria!$L$298*BA40*Geometria!$L$299/100-Geometria!$L$300*BA17*Geometria!$L$301/100</f>
        <v>651.9082026305257</v>
      </c>
      <c r="BG17" s="365"/>
      <c r="BI17" s="61"/>
    </row>
    <row r="18" spans="1:61" x14ac:dyDescent="0.25">
      <c r="A18" s="4" t="s">
        <v>439</v>
      </c>
      <c r="B18" s="198" t="str">
        <f ca="1">IF(Geometria!$M$440&lt;Geometria!$N$1307/100,"Reduzir","OK")</f>
        <v>OK</v>
      </c>
      <c r="C18" s="396">
        <f t="shared" ca="1" si="0"/>
        <v>4893.3992039814875</v>
      </c>
      <c r="D18" s="397">
        <f ca="1">-I18/(Geometria!$L$48/100^2)+J18/(Geometria!$L$52/100^3)-Geometria!$L$898/(Geometria!$L$52/100^3)</f>
        <v>21847.556000594137</v>
      </c>
      <c r="E18" s="400">
        <f ca="1">((Geometria!$L$326*(Geometria!$M$900*100))/Geometria!$N$1307)</f>
        <v>489.79188446690165</v>
      </c>
      <c r="F18" s="743">
        <f ca="1">-'Perdas por Seção'!$M$101/(Geometria!$L$48/100^2)+'Perdas por Seção'!$M$102/(Geometria!$L$52/100^3)-Geometria!$M$901/(Geometria!$L$52/100^3)</f>
        <v>4893.3992039814875</v>
      </c>
      <c r="G18" s="743"/>
      <c r="I18" s="373">
        <f ca="1">Geometria!$L$298*E41+Geometria!$L$300*E18</f>
        <v>4583.4208978007955</v>
      </c>
      <c r="J18" s="373">
        <f ca="1">Geometria!$L$298*E41*Geometria!$L$299/100-Geometria!$L$300*E18*Geometria!$L$301/100</f>
        <v>859.391418337649</v>
      </c>
      <c r="K18" s="365"/>
      <c r="M18" s="122" t="s">
        <v>439</v>
      </c>
      <c r="N18" s="198" t="str">
        <f ca="1">IF(Geometria!$M$440&lt;Geometria!$N$1307/100,"Reduzir","OK")</f>
        <v>OK</v>
      </c>
      <c r="O18" s="401">
        <f t="shared" ca="1" si="1"/>
        <v>-12409.40661718194</v>
      </c>
      <c r="P18" s="403">
        <f ca="1">-(U18/(Geometria!$L$48/100^2))+(V18/(Geometria!$L$52/100^3))-(('Cargas adicionais'!$O$253)/(Geometria!$L$52/100^3))-(('Cargas adicionais'!$R$253)/(Geometria!$L$401))-((Geometria!$L$76*'Cargas adicionais'!$U$253)/(Geometria!$L$401))</f>
        <v>324.7605183943324</v>
      </c>
      <c r="Q18" s="400">
        <f ca="1">((Geometria!$N$369*(Geometria!$M$900*100))/Geometria!$N$1307)</f>
        <v>413.87508082169563</v>
      </c>
      <c r="R18" s="751">
        <f ca="1">-('Perdas por Seção'!$M$99/(Geometria!$L$48/100^2))+('Perdas por Seção'!$M$100/(Geometria!$L$52/100^3))-(('Cargas adicionais'!$O$253)/(Geometria!$L$52/100^3))-(('Cargas adicionais'!$R$253)/(Geometria!$L$401))-((Geometria!$L$76*'Cargas adicionais'!$U$253)/(Geometria!$L$401))</f>
        <v>-12409.40661718194</v>
      </c>
      <c r="S18" s="751"/>
      <c r="U18" s="373">
        <f ca="1">Geometria!$L$298*Q41+Geometria!$L$300*Q18</f>
        <v>3863.159719292004</v>
      </c>
      <c r="V18" s="373">
        <f ca="1">Geometria!$L$298*Q41*Geometria!$L$299/100-Geometria!$L$300*Q18*Geometria!$L$301/100</f>
        <v>724.3424473672508</v>
      </c>
      <c r="W18" s="365"/>
      <c r="Y18" s="122" t="s">
        <v>439</v>
      </c>
      <c r="Z18" s="198" t="str">
        <f ca="1">IF(Geometria!$M$440&lt;Geometria!$N$1307/100,"Reduzir","OK")</f>
        <v>OK</v>
      </c>
      <c r="AA18" s="401">
        <f t="shared" ca="1" si="2"/>
        <v>-10167.472890501474</v>
      </c>
      <c r="AB18" s="403">
        <f ca="1">-(AG18/(Geometria!$L$48/100^2))+(AH18/(Geometria!$L$52/100^3))-(('Cargas adicionais'!$O$253)/(Geometria!$L$52/100^3))-(('Cargas adicionais'!$R$253)/(Geometria!$L$401))-((Geometria!$L$76*'Cargas adicionais'!$U$253)/(Geometria!$L$401))</f>
        <v>324.7605183943324</v>
      </c>
      <c r="AC18" s="400">
        <f ca="1">((Geometria!$N$369*(Geometria!$M$900*100))/Geometria!$N$1307)</f>
        <v>413.87508082169563</v>
      </c>
      <c r="AD18" s="751">
        <f ca="1">-('Perdas por Seção'!$M$99/(Geometria!$L$48/100^2))+('Perdas por Seção'!$M$100/(Geometria!$L$52/100^3))-(('Cargas adicionais'!$O$253)/(Geometria!$L$52/100^3))-(('Cargas adicionais'!$R$253)/(Geometria!$L$401))</f>
        <v>-10167.472890501474</v>
      </c>
      <c r="AE18" s="751"/>
      <c r="AG18" s="373">
        <f ca="1">Geometria!$L$298*AC41+Geometria!$L$300*AC18</f>
        <v>3863.159719292004</v>
      </c>
      <c r="AH18" s="373">
        <f ca="1">Geometria!$L$298*AC41*Geometria!$L$299/100-Geometria!$L$300*AC18*Geometria!$L$301/100</f>
        <v>724.3424473672508</v>
      </c>
      <c r="AI18" s="365"/>
      <c r="AK18" s="122" t="s">
        <v>439</v>
      </c>
      <c r="AL18" s="198" t="str">
        <f ca="1">IF(Geometria!$M$440&lt;Geometria!$N$1307/100,"Reduzir","OK")</f>
        <v>OK</v>
      </c>
      <c r="AM18" s="401">
        <f t="shared" ca="1" si="3"/>
        <v>-11662.095374955119</v>
      </c>
      <c r="AN18" s="403">
        <f ca="1">-(AS18/(Geometria!$L$48/100^2))+(AT18/(Geometria!$L$52/100^3))-(('Cargas adicionais'!$O$253)/(Geometria!$L$52/100^3))-(('Cargas adicionais'!$R$253)/(Geometria!$L$401))-((Geometria!$L$76*'Cargas adicionais'!$U$253)/(Geometria!$L$401))</f>
        <v>324.7605183943324</v>
      </c>
      <c r="AO18" s="400">
        <f ca="1">((Geometria!$N$369*(Geometria!$M$900*100))/Geometria!$N$1307)</f>
        <v>413.87508082169563</v>
      </c>
      <c r="AP18" s="751">
        <f ca="1">-('Perdas por Seção'!$M$99/(Geometria!$L$48/100^2))+('Perdas por Seção'!$M$100/(Geometria!$L$52/100^3))-((Geometria!$M$676)/(Geometria!$L$52/100^3))-((Geometria!$M$687)/(Geometria!$L$401))-((Geometria!$L$77*Geometria!$M$698)/(Geometria!$L$401))</f>
        <v>-11662.095374955119</v>
      </c>
      <c r="AQ18" s="751"/>
      <c r="AS18" s="373">
        <f ca="1">Geometria!$L$298*AO41+Geometria!$L$300*AO18</f>
        <v>3863.159719292004</v>
      </c>
      <c r="AT18" s="373">
        <f ca="1">Geometria!$L$298*AO41*Geometria!$L$299/100-Geometria!$L$300*AO18*Geometria!$L$301/100</f>
        <v>724.3424473672508</v>
      </c>
      <c r="AU18" s="365"/>
      <c r="AW18" s="122" t="s">
        <v>439</v>
      </c>
      <c r="AX18" s="198" t="str">
        <f ca="1">IF(Geometria!$M$440&lt;Geometria!$N$1307/100,"Reduzir","OK")</f>
        <v>OK</v>
      </c>
      <c r="AY18" s="401">
        <f t="shared" ca="1" si="4"/>
        <v>-10167.472890501474</v>
      </c>
      <c r="AZ18" s="403">
        <f ca="1">-(BE18/(Geometria!$L$48/100^2))+(BF18/(Geometria!$L$52/100^3))-(('Cargas adicionais'!$O$253)/(Geometria!$L$52/100^3))-(('Cargas adicionais'!$R$253)/(Geometria!$L$401))-((Geometria!$L$76*'Cargas adicionais'!$U$253)/(Geometria!$L$401))</f>
        <v>324.7605183943324</v>
      </c>
      <c r="BA18" s="400">
        <f ca="1">((Geometria!$N$369*(Geometria!$M$900*100))/Geometria!$N$1307)</f>
        <v>413.87508082169563</v>
      </c>
      <c r="BB18" s="751">
        <f ca="1">-('Perdas por Seção'!$M$99/(Geometria!$L$48/100^2))+('Perdas por Seção'!$M$100/(Geometria!$L$52/100^3))-((Geometria!$M$676)/(Geometria!$L$52/100^3))-((Geometria!$M$687)/(Geometria!$L$401))</f>
        <v>-10167.472890501474</v>
      </c>
      <c r="BC18" s="751"/>
      <c r="BE18" s="373">
        <f ca="1">Geometria!$L$298*BA41+Geometria!$L$300*BA18</f>
        <v>3863.159719292004</v>
      </c>
      <c r="BF18" s="373">
        <f ca="1">Geometria!$L$298*BA41*Geometria!$L$299/100-Geometria!$L$300*BA18*Geometria!$L$301/100</f>
        <v>724.3424473672508</v>
      </c>
      <c r="BG18" s="365"/>
      <c r="BI18" s="61"/>
    </row>
    <row r="19" spans="1:61" x14ac:dyDescent="0.25">
      <c r="A19" s="4" t="s">
        <v>440</v>
      </c>
      <c r="B19" s="198" t="str">
        <f ca="1">B17</f>
        <v>OK</v>
      </c>
      <c r="C19" s="396">
        <f t="shared" ca="1" si="0"/>
        <v>4915.718591686258</v>
      </c>
      <c r="D19" s="397">
        <f ca="1">-I19/(Geometria!$L$48/100^2)+J19/(Geometria!$L$52/100^3)-Geometria!$L$898/(Geometria!$L$52/100^3)</f>
        <v>19619.50417527431</v>
      </c>
      <c r="E19" s="400">
        <f ca="1">E17</f>
        <v>440.81269602021155</v>
      </c>
      <c r="F19" s="743">
        <f ca="1">-'Perdas por Seção'!$N$101/(Geometria!$L$48/100^2)+'Perdas por Seção'!$N$102/(Geometria!$L$52/100^3)-Geometria!$N$901/(Geometria!$L$52/100^3)</f>
        <v>4915.718591686258</v>
      </c>
      <c r="G19" s="743"/>
      <c r="I19" s="373">
        <f ca="1">Geometria!$L$298*E42+Geometria!$L$300*E19</f>
        <v>4125.078808020716</v>
      </c>
      <c r="J19" s="373">
        <f ca="1">Geometria!$L$298*E42*Geometria!$L$299/100-Geometria!$L$300*E19*Geometria!$L$301/100</f>
        <v>773.4522765038841</v>
      </c>
      <c r="K19" s="365"/>
      <c r="M19" s="122" t="s">
        <v>440</v>
      </c>
      <c r="N19" s="198" t="str">
        <f ca="1">N17</f>
        <v>OK</v>
      </c>
      <c r="O19" s="401">
        <f t="shared" ca="1" si="1"/>
        <v>-12232.312649827745</v>
      </c>
      <c r="P19" s="403">
        <f ca="1">-(U19/(Geometria!$L$48/100^2))+(V19/(Geometria!$L$52/100^3))-(('Cargas adicionais'!$O$254)/(Geometria!$L$52/100^3))-(('Cargas adicionais'!$R$254)/(Geometria!$L$401))-((Geometria!$L$76*'Cargas adicionais'!$U$254)/(Geometria!$L$401))</f>
        <v>-1368.6194639798653</v>
      </c>
      <c r="Q19" s="400">
        <f ca="1">Q17</f>
        <v>372.48757273952606</v>
      </c>
      <c r="R19" s="751">
        <f ca="1">-('Perdas por Seção'!$N$99/(Geometria!$L$48/100^2))+('Perdas por Seção'!$N$100/(Geometria!$L$52/100^3))-(('Cargas adicionais'!$O$254)/(Geometria!$L$52/100^3))-(('Cargas adicionais'!$R$254)/(Geometria!$L$401))-((Geometria!$L$76*'Cargas adicionais'!$U$254)/(Geometria!$L$401))</f>
        <v>-12232.312649827745</v>
      </c>
      <c r="S19" s="751"/>
      <c r="U19" s="373">
        <f ca="1">Geometria!$L$298*Q42+Geometria!$L$300*Q19</f>
        <v>3476.8437473628037</v>
      </c>
      <c r="V19" s="373">
        <f ca="1">Geometria!$L$298*Q42*Geometria!$L$299/100-Geometria!$L$300*Q19*Geometria!$L$301/100</f>
        <v>651.9082026305257</v>
      </c>
      <c r="W19" s="365"/>
      <c r="Y19" s="122" t="s">
        <v>440</v>
      </c>
      <c r="Z19" s="198" t="str">
        <f ca="1">Z17</f>
        <v>OK</v>
      </c>
      <c r="AA19" s="401">
        <f t="shared" ca="1" si="2"/>
        <v>-10012.798260414085</v>
      </c>
      <c r="AB19" s="403">
        <f ca="1">-(AG19/(Geometria!$L$48/100^2))+(AH19/(Geometria!$L$52/100^3))-(('Cargas adicionais'!$O$254)/(Geometria!$L$52/100^3))-(('Cargas adicionais'!$R$254)/(Geometria!$L$401))-((Geometria!$L$76*'Cargas adicionais'!$U$254)/(Geometria!$L$401))</f>
        <v>-1368.6194639798653</v>
      </c>
      <c r="AC19" s="400">
        <f ca="1">AC17</f>
        <v>372.48757273952606</v>
      </c>
      <c r="AD19" s="751">
        <f ca="1">-('Perdas por Seção'!$N$99/(Geometria!$L$48/100^2))+('Perdas por Seção'!$N$100/(Geometria!$L$52/100^3))-(('Cargas adicionais'!$O$254)/(Geometria!$L$52/100^3))-(('Cargas adicionais'!$R$254)/(Geometria!$L$401))</f>
        <v>-10012.798260414085</v>
      </c>
      <c r="AE19" s="751"/>
      <c r="AG19" s="373">
        <f ca="1">Geometria!$L$298*AC42+Geometria!$L$300*AC19</f>
        <v>3476.8437473628037</v>
      </c>
      <c r="AH19" s="373">
        <f ca="1">Geometria!$L$298*AC42*Geometria!$L$299/100-Geometria!$L$300*AC19*Geometria!$L$301/100</f>
        <v>651.9082026305257</v>
      </c>
      <c r="AI19" s="365"/>
      <c r="AK19" s="122" t="s">
        <v>440</v>
      </c>
      <c r="AL19" s="198" t="str">
        <f ca="1">AL17</f>
        <v>OK</v>
      </c>
      <c r="AM19" s="401">
        <f t="shared" ca="1" si="3"/>
        <v>-11492.474520023192</v>
      </c>
      <c r="AN19" s="403">
        <f ca="1">-(AS19/(Geometria!$L$48/100^2))+(AT19/(Geometria!$L$52/100^3))-(('Cargas adicionais'!$O$254)/(Geometria!$L$52/100^3))-(('Cargas adicionais'!$R$254)/(Geometria!$L$401))-((Geometria!$L$76*'Cargas adicionais'!$U$254)/(Geometria!$L$401))</f>
        <v>-1368.6194639798653</v>
      </c>
      <c r="AO19" s="400">
        <f ca="1">AO17</f>
        <v>372.48757273952606</v>
      </c>
      <c r="AP19" s="751">
        <f ca="1">-('Perdas por Seção'!$N$99/(Geometria!$L$48/100^2))+('Perdas por Seção'!$N$100/(Geometria!$L$52/100^3))-((Geometria!$N$676)/(Geometria!$L$52/100^3))-((Geometria!$N$687)/(Geometria!$L$401))-((Geometria!$L$77*Geometria!$N$698)/(Geometria!$L$401))</f>
        <v>-11492.474520023192</v>
      </c>
      <c r="AQ19" s="751"/>
      <c r="AS19" s="373">
        <f ca="1">Geometria!$L$298*AO42+Geometria!$L$300*AO19</f>
        <v>3476.8437473628037</v>
      </c>
      <c r="AT19" s="373">
        <f ca="1">Geometria!$L$298*AO42*Geometria!$L$299/100-Geometria!$L$300*AO19*Geometria!$L$301/100</f>
        <v>651.9082026305257</v>
      </c>
      <c r="AU19" s="365"/>
      <c r="AW19" s="122" t="s">
        <v>440</v>
      </c>
      <c r="AX19" s="198" t="str">
        <f ca="1">AX17</f>
        <v>OK</v>
      </c>
      <c r="AY19" s="401">
        <f t="shared" ca="1" si="4"/>
        <v>-10012.798260414085</v>
      </c>
      <c r="AZ19" s="403">
        <f ca="1">-(BE19/(Geometria!$L$48/100^2))+(BF19/(Geometria!$L$52/100^3))-(('Cargas adicionais'!$O$254)/(Geometria!$L$52/100^3))-(('Cargas adicionais'!$R$254)/(Geometria!$L$401))-((Geometria!$L$76*'Cargas adicionais'!$U$254)/(Geometria!$L$401))</f>
        <v>-1368.6194639798653</v>
      </c>
      <c r="BA19" s="400">
        <f ca="1">BA17</f>
        <v>372.48757273952606</v>
      </c>
      <c r="BB19" s="751">
        <f ca="1">-('Perdas por Seção'!$N$99/(Geometria!$L$48/100^2))+('Perdas por Seção'!$N$100/(Geometria!$L$52/100^3))-((Geometria!$N$676)/(Geometria!$L$52/100^3))-((Geometria!$N$687)/(Geometria!$L$401))</f>
        <v>-10012.798260414085</v>
      </c>
      <c r="BC19" s="751"/>
      <c r="BE19" s="373">
        <f ca="1">Geometria!$L$298*BA42+Geometria!$L$300*BA19</f>
        <v>3476.8437473628037</v>
      </c>
      <c r="BF19" s="373">
        <f ca="1">Geometria!$L$298*BA42*Geometria!$L$299/100-Geometria!$L$300*BA19*Geometria!$L$301/100</f>
        <v>651.9082026305257</v>
      </c>
      <c r="BG19" s="365"/>
      <c r="BI19" s="61"/>
    </row>
    <row r="20" spans="1:61" x14ac:dyDescent="0.25">
      <c r="A20" s="4" t="s">
        <v>441</v>
      </c>
      <c r="B20" s="198" t="str">
        <f ca="1">B16</f>
        <v>OK</v>
      </c>
      <c r="C20" s="396">
        <f t="shared" ca="1" si="0"/>
        <v>4982.676754800583</v>
      </c>
      <c r="D20" s="397">
        <f ca="1">-I20/(Geometria!$L$48/100^2)+J20/(Geometria!$L$52/100^3)-Geometria!$L$898/(Geometria!$L$52/100^3)</f>
        <v>17391.45234995449</v>
      </c>
      <c r="E20" s="400">
        <f ca="1">E16</f>
        <v>391.83350757352133</v>
      </c>
      <c r="F20" s="743">
        <f ca="1">-'Perdas por Seção'!$O$101/(Geometria!$L$48/100^2)+'Perdas por Seção'!$O$102/(Geometria!$L$52/100^3)-Geometria!$O$901/(Geometria!$L$52/100^3)</f>
        <v>4982.676754800583</v>
      </c>
      <c r="G20" s="743"/>
      <c r="I20" s="373">
        <f ca="1">Geometria!$L$298*E43+Geometria!$L$300*E20</f>
        <v>3666.736718240637</v>
      </c>
      <c r="J20" s="373">
        <f ca="1">Geometria!$L$298*E43*Geometria!$L$299/100-Geometria!$L$300*E20*Geometria!$L$301/100</f>
        <v>687.5131346701195</v>
      </c>
      <c r="K20" s="365"/>
      <c r="M20" s="122" t="s">
        <v>441</v>
      </c>
      <c r="N20" s="198" t="str">
        <f ca="1">N16</f>
        <v>OK</v>
      </c>
      <c r="O20" s="401">
        <f t="shared" ca="1" si="1"/>
        <v>-11701.031817206567</v>
      </c>
      <c r="P20" s="403">
        <f ca="1">-(U20/(Geometria!$L$48/100^2))+(V20/(Geometria!$L$52/100^3))-(('Cargas adicionais'!$O$255)/(Geometria!$L$52/100^3))-(('Cargas adicionais'!$R$255)/(Geometria!$L$401))-((Geometria!$L$76*'Cargas adicionais'!$U$255)/(Geometria!$L$401))</f>
        <v>-2692.9096840130073</v>
      </c>
      <c r="Q20" s="400">
        <f ca="1">Q16</f>
        <v>331.1000646573565</v>
      </c>
      <c r="R20" s="751">
        <f ca="1">-('Perdas por Seção'!$O$99/(Geometria!$L$48/100^2))+('Perdas por Seção'!$O$100/(Geometria!$L$52/100^3))-(('Cargas adicionais'!$O$255)/(Geometria!$L$52/100^3))-(('Cargas adicionais'!$R$255)/(Geometria!$L$401))-((Geometria!$L$76*'Cargas adicionais'!$U$255)/(Geometria!$L$401))</f>
        <v>-11701.031817206567</v>
      </c>
      <c r="S20" s="751"/>
      <c r="U20" s="373">
        <f ca="1">Geometria!$L$298*Q43+Geometria!$L$300*Q20</f>
        <v>3090.527775433603</v>
      </c>
      <c r="V20" s="373">
        <f ca="1">Geometria!$L$298*Q43*Geometria!$L$299/100-Geometria!$L$300*Q20*Geometria!$L$301/100</f>
        <v>579.4739578938005</v>
      </c>
      <c r="W20" s="365"/>
      <c r="Y20" s="122" t="s">
        <v>441</v>
      </c>
      <c r="Z20" s="198" t="str">
        <f ca="1">Z16</f>
        <v>OK</v>
      </c>
      <c r="AA20" s="401">
        <f t="shared" ca="1" si="2"/>
        <v>-9548.77543959332</v>
      </c>
      <c r="AB20" s="403">
        <f ca="1">-(AG20/(Geometria!$L$48/100^2))+(AH20/(Geometria!$L$52/100^3))-(('Cargas adicionais'!$O$255)/(Geometria!$L$52/100^3))-(('Cargas adicionais'!$R$255)/(Geometria!$L$401))-((Geometria!$L$76*'Cargas adicionais'!$U$255)/(Geometria!$L$401))</f>
        <v>-2692.9096840130073</v>
      </c>
      <c r="AC20" s="400">
        <f ca="1">AC16</f>
        <v>331.1000646573565</v>
      </c>
      <c r="AD20" s="751">
        <f ca="1">-('Perdas por Seção'!$O$99/(Geometria!$L$48/100^2))+('Perdas por Seção'!$O$100/(Geometria!$L$52/100^3))-(('Cargas adicionais'!$O$255)/(Geometria!$L$52/100^3))-(('Cargas adicionais'!$R$255)/(Geometria!$L$401))</f>
        <v>-9548.77543959332</v>
      </c>
      <c r="AE20" s="751"/>
      <c r="AG20" s="373">
        <f ca="1">Geometria!$L$298*AC43+Geometria!$L$300*AC20</f>
        <v>3090.527775433603</v>
      </c>
      <c r="AH20" s="373">
        <f ca="1">Geometria!$L$298*AC43*Geometria!$L$299/100-Geometria!$L$300*AC20*Geometria!$L$301/100</f>
        <v>579.4739578938005</v>
      </c>
      <c r="AI20" s="365"/>
      <c r="AK20" s="122" t="s">
        <v>441</v>
      </c>
      <c r="AL20" s="198" t="str">
        <f ca="1">AL16</f>
        <v>OK</v>
      </c>
      <c r="AM20" s="401">
        <f t="shared" ca="1" si="3"/>
        <v>-10983.613024668819</v>
      </c>
      <c r="AN20" s="403">
        <f ca="1">-(AS20/(Geometria!$L$48/100^2))+(AT20/(Geometria!$L$52/100^3))-(('Cargas adicionais'!$O$255)/(Geometria!$L$52/100^3))-(('Cargas adicionais'!$R$255)/(Geometria!$L$401))-((Geometria!$L$76*'Cargas adicionais'!$U$255)/(Geometria!$L$401))</f>
        <v>-2692.9096840130073</v>
      </c>
      <c r="AO20" s="400">
        <f ca="1">AO16</f>
        <v>331.1000646573565</v>
      </c>
      <c r="AP20" s="751">
        <f ca="1">-('Perdas por Seção'!$O$99/(Geometria!$L$48/100^2))+('Perdas por Seção'!$O$100/(Geometria!$L$52/100^3))-((Geometria!$O$676)/(Geometria!$L$52/100^3))-((Geometria!$O$687)/(Geometria!$L$401))-((Geometria!$L$77*Geometria!$O$698)/(Geometria!$L$401))</f>
        <v>-10983.613024668819</v>
      </c>
      <c r="AQ20" s="751"/>
      <c r="AS20" s="373">
        <f ca="1">Geometria!$L$298*AO43+Geometria!$L$300*AO20</f>
        <v>3090.527775433603</v>
      </c>
      <c r="AT20" s="373">
        <f ca="1">Geometria!$L$298*AO43*Geometria!$L$299/100-Geometria!$L$300*AO20*Geometria!$L$301/100</f>
        <v>579.4739578938005</v>
      </c>
      <c r="AU20" s="365"/>
      <c r="AW20" s="122" t="s">
        <v>441</v>
      </c>
      <c r="AX20" s="198" t="str">
        <f ca="1">AX16</f>
        <v>OK</v>
      </c>
      <c r="AY20" s="401">
        <f t="shared" ca="1" si="4"/>
        <v>-9548.77543959332</v>
      </c>
      <c r="AZ20" s="403">
        <f ca="1">-(BE20/(Geometria!$L$48/100^2))+(BF20/(Geometria!$L$52/100^3))-(('Cargas adicionais'!$O$255)/(Geometria!$L$52/100^3))-(('Cargas adicionais'!$R$255)/(Geometria!$L$401))-((Geometria!$L$76*'Cargas adicionais'!$U$255)/(Geometria!$L$401))</f>
        <v>-2692.9096840130073</v>
      </c>
      <c r="BA20" s="400">
        <f ca="1">BA16</f>
        <v>331.1000646573565</v>
      </c>
      <c r="BB20" s="751">
        <f ca="1">-('Perdas por Seção'!$O$99/(Geometria!$L$48/100^2))+('Perdas por Seção'!$O$100/(Geometria!$L$52/100^3))-((Geometria!$O$676)/(Geometria!$L$52/100^3))-((Geometria!$O$687)/(Geometria!$L$401))</f>
        <v>-9548.77543959332</v>
      </c>
      <c r="BC20" s="751"/>
      <c r="BE20" s="373">
        <f ca="1">Geometria!$L$298*BA43+Geometria!$L$300*BA20</f>
        <v>3090.527775433603</v>
      </c>
      <c r="BF20" s="373">
        <f ca="1">Geometria!$L$298*BA43*Geometria!$L$299/100-Geometria!$L$300*BA20*Geometria!$L$301/100</f>
        <v>579.4739578938005</v>
      </c>
      <c r="BG20" s="365"/>
      <c r="BI20" s="61"/>
    </row>
    <row r="21" spans="1:61" x14ac:dyDescent="0.25">
      <c r="A21" s="4" t="s">
        <v>442</v>
      </c>
      <c r="B21" s="198" t="str">
        <f ca="1">B15</f>
        <v>OK</v>
      </c>
      <c r="C21" s="396">
        <f t="shared" ca="1" si="0"/>
        <v>5094.273693324452</v>
      </c>
      <c r="D21" s="397">
        <f ca="1">-I21/(Geometria!$L$48/100^2)+J21/(Geometria!$L$52/100^3)-Geometria!$L$898/(Geometria!$L$52/100^3)</f>
        <v>15163.400524634651</v>
      </c>
      <c r="E21" s="400">
        <f ca="1">E15</f>
        <v>342.8543191268312</v>
      </c>
      <c r="F21" s="743">
        <f ca="1">-'Perdas por Seção'!$P$101/(Geometria!$L$48/100^2)+'Perdas por Seção'!$P$102/(Geometria!$L$52/100^3)-Geometria!$P$901/(Geometria!$L$52/100^3)</f>
        <v>5094.273693324452</v>
      </c>
      <c r="G21" s="743"/>
      <c r="I21" s="373">
        <f ca="1">Geometria!$L$298*E44+Geometria!$L$300*E21</f>
        <v>3208.3946284605568</v>
      </c>
      <c r="J21" s="373">
        <f ca="1">Geometria!$L$298*E44*Geometria!$L$299/100-Geometria!$L$300*E21*Geometria!$L$301/100</f>
        <v>601.5739928363544</v>
      </c>
      <c r="K21" s="365"/>
      <c r="M21" s="122" t="s">
        <v>442</v>
      </c>
      <c r="N21" s="198" t="str">
        <f ca="1">N15</f>
        <v>OK</v>
      </c>
      <c r="O21" s="401">
        <f t="shared" ca="1" si="1"/>
        <v>-10815.567327791896</v>
      </c>
      <c r="P21" s="403">
        <f ca="1">-(U21/(Geometria!$L$48/100^2))+(V21/(Geometria!$L$52/100^3))-(('Cargas adicionais'!$O$256)/(Geometria!$L$52/100^3))-(('Cargas adicionais'!$R$256)/(Geometria!$L$401))-((Geometria!$L$76*'Cargas adicionais'!$U$256)/(Geometria!$L$401))</f>
        <v>-3648.1101417050786</v>
      </c>
      <c r="Q21" s="400">
        <f ca="1">Q15</f>
        <v>289.7125565751869</v>
      </c>
      <c r="R21" s="751">
        <f ca="1">-('Perdas por Seção'!$P$99/(Geometria!$L$48/100^2))+('Perdas por Seção'!$P$100/(Geometria!$L$52/100^3))-(('Cargas adicionais'!$O$256)/(Geometria!$L$52/100^3))-(('Cargas adicionais'!$R$256)/(Geometria!$L$401))-((Geometria!$L$76*'Cargas adicionais'!$U$256)/(Geometria!$L$401))</f>
        <v>-10815.567327791896</v>
      </c>
      <c r="S21" s="751"/>
      <c r="U21" s="373">
        <f ca="1">Geometria!$L$298*Q44+Geometria!$L$300*Q21</f>
        <v>2704.2118035044027</v>
      </c>
      <c r="V21" s="373">
        <f ca="1">Geometria!$L$298*Q44*Geometria!$L$299/100-Geometria!$L$300*Q21*Geometria!$L$301/100</f>
        <v>507.03971315707554</v>
      </c>
      <c r="W21" s="365"/>
      <c r="Y21" s="122" t="s">
        <v>442</v>
      </c>
      <c r="Z21" s="198" t="str">
        <f ca="1">Z15</f>
        <v>OK</v>
      </c>
      <c r="AA21" s="401">
        <f t="shared" ca="1" si="2"/>
        <v>-8775.407636512671</v>
      </c>
      <c r="AB21" s="403">
        <f ca="1">-(AG21/(Geometria!$L$48/100^2))+(AH21/(Geometria!$L$52/100^3))-(('Cargas adicionais'!$O$256)/(Geometria!$L$52/100^3))-(('Cargas adicionais'!$R$256)/(Geometria!$L$401))-((Geometria!$L$76*'Cargas adicionais'!$U$256)/(Geometria!$L$401))</f>
        <v>-3648.1101417050786</v>
      </c>
      <c r="AC21" s="400">
        <f ca="1">AC15</f>
        <v>289.7125565751869</v>
      </c>
      <c r="AD21" s="751">
        <f ca="1">-('Perdas por Seção'!$P$99/(Geometria!$L$48/100^2))+('Perdas por Seção'!$P$100/(Geometria!$L$52/100^3))-(('Cargas adicionais'!$O$256)/(Geometria!$L$52/100^3))-(('Cargas adicionais'!$R$256)/(Geometria!$L$401))</f>
        <v>-8775.407636512671</v>
      </c>
      <c r="AE21" s="751"/>
      <c r="AG21" s="373">
        <f ca="1">Geometria!$L$298*AC44+Geometria!$L$300*AC21</f>
        <v>2704.2118035044027</v>
      </c>
      <c r="AH21" s="373">
        <f ca="1">Geometria!$L$298*AC44*Geometria!$L$299/100-Geometria!$L$300*AC21*Geometria!$L$301/100</f>
        <v>507.03971315707554</v>
      </c>
      <c r="AI21" s="365"/>
      <c r="AK21" s="122" t="s">
        <v>442</v>
      </c>
      <c r="AL21" s="198" t="str">
        <f ca="1">AL15</f>
        <v>OK</v>
      </c>
      <c r="AM21" s="401">
        <f t="shared" ca="1" si="3"/>
        <v>-10135.514097365487</v>
      </c>
      <c r="AN21" s="403">
        <f ca="1">-(AS21/(Geometria!$L$48/100^2))+(AT21/(Geometria!$L$52/100^3))-(('Cargas adicionais'!$O$256)/(Geometria!$L$52/100^3))-(('Cargas adicionais'!$R$256)/(Geometria!$L$401))-((Geometria!$L$76*'Cargas adicionais'!$U$256)/(Geometria!$L$401))</f>
        <v>-3648.1101417050786</v>
      </c>
      <c r="AO21" s="400">
        <f ca="1">AO15</f>
        <v>289.7125565751869</v>
      </c>
      <c r="AP21" s="751">
        <f ca="1">-('Perdas por Seção'!$P$99/(Geometria!$L$48/100^2))+('Perdas por Seção'!$P$100/(Geometria!$L$52/100^3))-((Geometria!$P$676)/(Geometria!$L$52/100^3))-((Geometria!$P$687)/(Geometria!$L$401))-((Geometria!$L$77*Geometria!$P$698)/(Geometria!$L$401))</f>
        <v>-10135.514097365487</v>
      </c>
      <c r="AQ21" s="751"/>
      <c r="AS21" s="373">
        <f ca="1">Geometria!$L$298*AO44+Geometria!$L$300*AO21</f>
        <v>2704.2118035044027</v>
      </c>
      <c r="AT21" s="373">
        <f ca="1">Geometria!$L$298*AO44*Geometria!$L$299/100-Geometria!$L$300*AO21*Geometria!$L$301/100</f>
        <v>507.03971315707554</v>
      </c>
      <c r="AU21" s="365"/>
      <c r="AW21" s="122" t="s">
        <v>442</v>
      </c>
      <c r="AX21" s="198" t="str">
        <f ca="1">AX15</f>
        <v>OK</v>
      </c>
      <c r="AY21" s="401">
        <f t="shared" ca="1" si="4"/>
        <v>-8775.407636512671</v>
      </c>
      <c r="AZ21" s="403">
        <f ca="1">-(BE21/(Geometria!$L$48/100^2))+(BF21/(Geometria!$L$52/100^3))-(('Cargas adicionais'!$O$256)/(Geometria!$L$52/100^3))-(('Cargas adicionais'!$R$256)/(Geometria!$L$401))-((Geometria!$L$76*'Cargas adicionais'!$U$256)/(Geometria!$L$401))</f>
        <v>-3648.1101417050786</v>
      </c>
      <c r="BA21" s="400">
        <f ca="1">BA15</f>
        <v>289.7125565751869</v>
      </c>
      <c r="BB21" s="751">
        <f ca="1">-('Perdas por Seção'!$P$99/(Geometria!$L$48/100^2))+('Perdas por Seção'!$P$100/(Geometria!$L$52/100^3))-((Geometria!$P$676)/(Geometria!$L$52/100^3))-((Geometria!$P$687)/(Geometria!$L$401))</f>
        <v>-8775.407636512671</v>
      </c>
      <c r="BC21" s="751"/>
      <c r="BE21" s="373">
        <f ca="1">Geometria!$L$298*BA44+Geometria!$L$300*BA21</f>
        <v>2704.2118035044027</v>
      </c>
      <c r="BF21" s="373">
        <f ca="1">Geometria!$L$298*BA44*Geometria!$L$299/100-Geometria!$L$300*BA21*Geometria!$L$301/100</f>
        <v>507.03971315707554</v>
      </c>
      <c r="BG21" s="365"/>
      <c r="BI21" s="61"/>
    </row>
    <row r="22" spans="1:61" x14ac:dyDescent="0.25">
      <c r="A22" s="4" t="s">
        <v>443</v>
      </c>
      <c r="B22" s="198" t="str">
        <f ca="1">B14</f>
        <v>OK</v>
      </c>
      <c r="C22" s="396">
        <f t="shared" ca="1" si="0"/>
        <v>5250.509407257872</v>
      </c>
      <c r="D22" s="397">
        <f ca="1">-I22/(Geometria!$L$48/100^2)+J22/(Geometria!$L$52/100^3)-Geometria!$L$898/(Geometria!$L$52/100^3)</f>
        <v>12935.348699314822</v>
      </c>
      <c r="E22" s="400">
        <f ca="1">E14</f>
        <v>293.87513068014107</v>
      </c>
      <c r="F22" s="743">
        <f ca="1">-'Perdas por Seção'!$Q$101/(Geometria!$L$48/100^2)+'Perdas por Seção'!$Q$102/(Geometria!$L$52/100^3)-Geometria!$Q$901/(Geometria!$L$52/100^3)</f>
        <v>5250.509407257872</v>
      </c>
      <c r="G22" s="743"/>
      <c r="I22" s="373">
        <f ca="1">Geometria!$L$298*E45+Geometria!$L$300*E22</f>
        <v>2750.052538680477</v>
      </c>
      <c r="J22" s="373">
        <f ca="1">Geometria!$L$298*E45*Geometria!$L$299/100-Geometria!$L$300*E22*Geometria!$L$301/100</f>
        <v>515.6348510025895</v>
      </c>
      <c r="K22" s="365"/>
      <c r="M22" s="122" t="s">
        <v>443</v>
      </c>
      <c r="N22" s="198" t="str">
        <f ca="1">N14</f>
        <v>OK</v>
      </c>
      <c r="O22" s="401">
        <f t="shared" ca="1" si="1"/>
        <v>-9575.924529537184</v>
      </c>
      <c r="P22" s="403">
        <f ca="1">-(U22/(Geometria!$L$48/100^2))+(V22/(Geometria!$L$52/100^3))-(('Cargas adicionais'!$O$257)/(Geometria!$L$52/100^3))-(('Cargas adicionais'!$R$257)/(Geometria!$L$401))-((Geometria!$L$76*'Cargas adicionais'!$U$257)/(Geometria!$L$401))</f>
        <v>-4234.2208370561</v>
      </c>
      <c r="Q22" s="400">
        <f ca="1">Q14</f>
        <v>248.32504849301736</v>
      </c>
      <c r="R22" s="751">
        <f ca="1">-('Perdas por Seção'!$Q$99/(Geometria!$L$48/100^2))+('Perdas por Seção'!$Q$100/(Geometria!$L$52/100^3))-(('Cargas adicionais'!$O$257)/(Geometria!$L$52/100^3))-(('Cargas adicionais'!$R$257)/(Geometria!$L$401))-((Geometria!$L$76*'Cargas adicionais'!$U$257)/(Geometria!$L$401))</f>
        <v>-9575.924529537184</v>
      </c>
      <c r="S22" s="751"/>
      <c r="U22" s="373">
        <f ca="1">Geometria!$L$298*Q45+Geometria!$L$300*Q22</f>
        <v>2317.8958315752025</v>
      </c>
      <c r="V22" s="373">
        <f ca="1">Geometria!$L$298*Q45*Geometria!$L$299/100-Geometria!$L$300*Q22*Geometria!$L$301/100</f>
        <v>434.60546842035046</v>
      </c>
      <c r="W22" s="365"/>
      <c r="Y22" s="122" t="s">
        <v>443</v>
      </c>
      <c r="Z22" s="198" t="str">
        <f ca="1">Z14</f>
        <v>OK</v>
      </c>
      <c r="AA22" s="401">
        <f t="shared" ca="1" si="2"/>
        <v>-7692.700199125593</v>
      </c>
      <c r="AB22" s="403">
        <f ca="1">-(AG22/(Geometria!$L$48/100^2))+(AH22/(Geometria!$L$52/100^3))-(('Cargas adicionais'!$O$257)/(Geometria!$L$52/100^3))-(('Cargas adicionais'!$R$257)/(Geometria!$L$401))-((Geometria!$L$76*'Cargas adicionais'!$U$257)/(Geometria!$L$401))</f>
        <v>-4234.2208370561</v>
      </c>
      <c r="AC22" s="400">
        <f ca="1">AC14</f>
        <v>248.32504849301736</v>
      </c>
      <c r="AD22" s="751">
        <f ca="1">-('Perdas por Seção'!$Q$99/(Geometria!$L$48/100^2))+('Perdas por Seção'!$Q$100/(Geometria!$L$52/100^3))-(('Cargas adicionais'!$O$257)/(Geometria!$L$52/100^3))-(('Cargas adicionais'!$R$257)/(Geometria!$L$401))</f>
        <v>-7692.700199125593</v>
      </c>
      <c r="AE22" s="751"/>
      <c r="AG22" s="373">
        <f ca="1">Geometria!$L$298*AC45+Geometria!$L$300*AC22</f>
        <v>2317.8958315752025</v>
      </c>
      <c r="AH22" s="373">
        <f ca="1">Geometria!$L$298*AC45*Geometria!$L$299/100-Geometria!$L$300*AC22*Geometria!$L$301/100</f>
        <v>434.60546842035046</v>
      </c>
      <c r="AI22" s="365"/>
      <c r="AK22" s="122" t="s">
        <v>443</v>
      </c>
      <c r="AL22" s="198" t="str">
        <f ca="1">AL14</f>
        <v>OK</v>
      </c>
      <c r="AM22" s="401">
        <f t="shared" ca="1" si="3"/>
        <v>-8948.183086066654</v>
      </c>
      <c r="AN22" s="403">
        <f ca="1">-(AS22/(Geometria!$L$48/100^2))+(AT22/(Geometria!$L$52/100^3))-(('Cargas adicionais'!$O$257)/(Geometria!$L$52/100^3))-(('Cargas adicionais'!$R$257)/(Geometria!$L$401))-((Geometria!$L$76*'Cargas adicionais'!$U$257)/(Geometria!$L$401))</f>
        <v>-4234.2208370561</v>
      </c>
      <c r="AO22" s="400">
        <f ca="1">AO14</f>
        <v>248.32504849301736</v>
      </c>
      <c r="AP22" s="751">
        <f ca="1">-('Perdas por Seção'!$Q$99/(Geometria!$L$48/100^2))+('Perdas por Seção'!$Q$100/(Geometria!$L$52/100^3))-((Geometria!$Q$676)/(Geometria!$L$52/100^3))-((Geometria!$Q$687)/(Geometria!$L$401))-((Geometria!$L$77*Geometria!$Q$698)/(Geometria!$L$401))</f>
        <v>-8948.183086066654</v>
      </c>
      <c r="AQ22" s="751"/>
      <c r="AS22" s="373">
        <f ca="1">Geometria!$L$298*AO45+Geometria!$L$300*AO22</f>
        <v>2317.8958315752025</v>
      </c>
      <c r="AT22" s="373">
        <f ca="1">Geometria!$L$298*AO45*Geometria!$L$299/100-Geometria!$L$300*AO22*Geometria!$L$301/100</f>
        <v>434.60546842035046</v>
      </c>
      <c r="AU22" s="365"/>
      <c r="AW22" s="122" t="s">
        <v>443</v>
      </c>
      <c r="AX22" s="198" t="str">
        <f ca="1">AX14</f>
        <v>OK</v>
      </c>
      <c r="AY22" s="401">
        <f t="shared" ca="1" si="4"/>
        <v>-7692.700199125593</v>
      </c>
      <c r="AZ22" s="403">
        <f ca="1">-(BE22/(Geometria!$L$48/100^2))+(BF22/(Geometria!$L$52/100^3))-(('Cargas adicionais'!$O$257)/(Geometria!$L$52/100^3))-(('Cargas adicionais'!$R$257)/(Geometria!$L$401))-((Geometria!$L$76*'Cargas adicionais'!$U$257)/(Geometria!$L$401))</f>
        <v>-4234.2208370561</v>
      </c>
      <c r="BA22" s="400">
        <f ca="1">BA14</f>
        <v>248.32504849301736</v>
      </c>
      <c r="BB22" s="751">
        <f ca="1">-('Perdas por Seção'!$Q$99/(Geometria!$L$48/100^2))+('Perdas por Seção'!$Q$100/(Geometria!$L$52/100^3))-((Geometria!$Q$676)/(Geometria!$L$52/100^3))-((Geometria!$Q$687)/(Geometria!$L$401))</f>
        <v>-7692.700199125593</v>
      </c>
      <c r="BC22" s="751"/>
      <c r="BE22" s="373">
        <f ca="1">Geometria!$L$298*BA45+Geometria!$L$300*BA22</f>
        <v>2317.8958315752025</v>
      </c>
      <c r="BF22" s="373">
        <f ca="1">Geometria!$L$298*BA45*Geometria!$L$299/100-Geometria!$L$300*BA22*Geometria!$L$301/100</f>
        <v>434.60546842035046</v>
      </c>
      <c r="BG22" s="365"/>
      <c r="BI22" s="61"/>
    </row>
    <row r="23" spans="1:61" x14ac:dyDescent="0.25">
      <c r="A23" s="4" t="s">
        <v>444</v>
      </c>
      <c r="B23" s="198" t="str">
        <f ca="1">B13</f>
        <v>OK</v>
      </c>
      <c r="C23" s="396">
        <f t="shared" ca="1" si="0"/>
        <v>5451.383896600837</v>
      </c>
      <c r="D23" s="397">
        <f ca="1">-I23/(Geometria!$L$48/100^2)+J23/(Geometria!$L$52/100^3)-Geometria!$L$898/(Geometria!$L$52/100^3)</f>
        <v>10707.296873994987</v>
      </c>
      <c r="E23" s="400">
        <f ca="1">E13</f>
        <v>244.89594223345082</v>
      </c>
      <c r="F23" s="743">
        <f ca="1">-'Perdas por Seção'!$R$101/(Geometria!$L$48/100^2)+'Perdas por Seção'!$R$102/(Geometria!$L$52/100^3)-Geometria!$R$901/(Geometria!$L$52/100^3)</f>
        <v>5451.383896600837</v>
      </c>
      <c r="G23" s="743"/>
      <c r="I23" s="373">
        <f ca="1">Geometria!$L$298*E46+Geometria!$L$300*E23</f>
        <v>2291.7104489003978</v>
      </c>
      <c r="J23" s="373">
        <f ca="1">Geometria!$L$298*E46*Geometria!$L$299/100-Geometria!$L$300*E23*Geometria!$L$301/100</f>
        <v>429.6957091688245</v>
      </c>
      <c r="K23" s="365"/>
      <c r="M23" s="122" t="s">
        <v>444</v>
      </c>
      <c r="N23" s="198" t="str">
        <f ca="1">N13</f>
        <v>OK</v>
      </c>
      <c r="O23" s="401">
        <f t="shared" ca="1" si="1"/>
        <v>-7982.110910622608</v>
      </c>
      <c r="P23" s="403">
        <f ca="1">-(U23/(Geometria!$L$48/100^2))+(V23/(Geometria!$L$52/100^3))-(('Cargas adicionais'!$O$258)/(Geometria!$L$52/100^3))-(('Cargas adicionais'!$R$258)/(Geometria!$L$401))-((Geometria!$L$76*'Cargas adicionais'!$U$258)/(Geometria!$L$401))</f>
        <v>-4451.241770066065</v>
      </c>
      <c r="Q23" s="400">
        <f ca="1">Q13</f>
        <v>206.93754041084782</v>
      </c>
      <c r="R23" s="751">
        <f ca="1">-('Perdas por Seção'!$R$99/(Geometria!$L$48/100^2))+('Perdas por Seção'!$R$100/(Geometria!$L$52/100^3))-(('Cargas adicionais'!$O$258)/(Geometria!$L$52/100^3))-(('Cargas adicionais'!$R$258)/(Geometria!$L$401))-((Geometria!$L$76*'Cargas adicionais'!$U$258)/(Geometria!$L$401))</f>
        <v>-7982.110910622608</v>
      </c>
      <c r="S23" s="751"/>
      <c r="U23" s="373">
        <f ca="1">Geometria!$L$298*Q46+Geometria!$L$300*Q23</f>
        <v>1931.579859646002</v>
      </c>
      <c r="V23" s="373">
        <f ca="1">Geometria!$L$298*Q46*Geometria!$L$299/100-Geometria!$L$300*Q23*Geometria!$L$301/100</f>
        <v>362.1712236836254</v>
      </c>
      <c r="W23" s="365"/>
      <c r="Y23" s="122" t="s">
        <v>444</v>
      </c>
      <c r="Z23" s="198" t="str">
        <f ca="1">Z13</f>
        <v>OK</v>
      </c>
      <c r="AA23" s="401">
        <f t="shared" ca="1" si="2"/>
        <v>-6300.660615612258</v>
      </c>
      <c r="AB23" s="403">
        <f ca="1">-(AG23/(Geometria!$L$48/100^2))+(AH23/(Geometria!$L$52/100^3))-(('Cargas adicionais'!$O$258)/(Geometria!$L$52/100^3))-(('Cargas adicionais'!$R$258)/(Geometria!$L$401))-((Geometria!$L$76*'Cargas adicionais'!$U$258)/(Geometria!$L$401))</f>
        <v>-4451.241770066065</v>
      </c>
      <c r="AC23" s="400">
        <f ca="1">AC13</f>
        <v>206.93754041084782</v>
      </c>
      <c r="AD23" s="751">
        <f ca="1">-('Perdas por Seção'!$R$99/(Geometria!$L$48/100^2))+('Perdas por Seção'!$R$100/(Geometria!$L$52/100^3))-(('Cargas adicionais'!$O$258)/(Geometria!$L$52/100^3))-(('Cargas adicionais'!$R$258)/(Geometria!$L$401))</f>
        <v>-6300.660615612258</v>
      </c>
      <c r="AE23" s="751"/>
      <c r="AG23" s="373">
        <f ca="1">Geometria!$L$298*AC46+Geometria!$L$300*AC23</f>
        <v>1931.579859646002</v>
      </c>
      <c r="AH23" s="373">
        <f ca="1">Geometria!$L$298*AC46*Geometria!$L$299/100-Geometria!$L$300*AC23*Geometria!$L$301/100</f>
        <v>362.1712236836254</v>
      </c>
      <c r="AI23" s="365"/>
      <c r="AK23" s="122" t="s">
        <v>444</v>
      </c>
      <c r="AL23" s="198" t="str">
        <f ca="1">AL13</f>
        <v>OK</v>
      </c>
      <c r="AM23" s="401">
        <f t="shared" ca="1" si="3"/>
        <v>-7421.627478952491</v>
      </c>
      <c r="AN23" s="403">
        <f ca="1">-(AS23/(Geometria!$L$48/100^2))+(AT23/(Geometria!$L$52/100^3))-(('Cargas adicionais'!$O$258)/(Geometria!$L$52/100^3))-(('Cargas adicionais'!$R$258)/(Geometria!$L$401))-((Geometria!$L$76*'Cargas adicionais'!$U$258)/(Geometria!$L$401))</f>
        <v>-4451.241770066065</v>
      </c>
      <c r="AO23" s="400">
        <f ca="1">AO13</f>
        <v>206.93754041084782</v>
      </c>
      <c r="AP23" s="751">
        <f ca="1">-('Perdas por Seção'!$R$99/(Geometria!$L$48/100^2))+('Perdas por Seção'!$R$100/(Geometria!$L$52/100^3))-((Geometria!$R$676)/(Geometria!$L$52/100^3))-((Geometria!$R$687)/(Geometria!$L$401))-((Geometria!$L$77*Geometria!$R$698)/(Geometria!$L$401))</f>
        <v>-7421.627478952491</v>
      </c>
      <c r="AQ23" s="751"/>
      <c r="AS23" s="373">
        <f ca="1">Geometria!$L$298*AO46+Geometria!$L$300*AO23</f>
        <v>1931.579859646002</v>
      </c>
      <c r="AT23" s="373">
        <f ca="1">Geometria!$L$298*AO46*Geometria!$L$299/100-Geometria!$L$300*AO23*Geometria!$L$301/100</f>
        <v>362.1712236836254</v>
      </c>
      <c r="AU23" s="365"/>
      <c r="AW23" s="122" t="s">
        <v>444</v>
      </c>
      <c r="AX23" s="198" t="str">
        <f ca="1">AX13</f>
        <v>OK</v>
      </c>
      <c r="AY23" s="401">
        <f t="shared" ca="1" si="4"/>
        <v>-6300.660615612258</v>
      </c>
      <c r="AZ23" s="403">
        <f ca="1">-(BE23/(Geometria!$L$48/100^2))+(BF23/(Geometria!$L$52/100^3))-(('Cargas adicionais'!$O$258)/(Geometria!$L$52/100^3))-(('Cargas adicionais'!$R$258)/(Geometria!$L$401))-((Geometria!$L$76*'Cargas adicionais'!$U$258)/(Geometria!$L$401))</f>
        <v>-4451.241770066065</v>
      </c>
      <c r="BA23" s="400">
        <f ca="1">BA13</f>
        <v>206.93754041084782</v>
      </c>
      <c r="BB23" s="751">
        <f ca="1">-('Perdas por Seção'!$R$99/(Geometria!$L$48/100^2))+('Perdas por Seção'!$R$100/(Geometria!$L$52/100^3))-((Geometria!$R$676)/(Geometria!$L$52/100^3))-((Geometria!$R$687)/(Geometria!$L$401))</f>
        <v>-6300.660615612258</v>
      </c>
      <c r="BC23" s="751"/>
      <c r="BE23" s="373">
        <f ca="1">Geometria!$L$298*BA46+Geometria!$L$300*BA23</f>
        <v>1931.579859646002</v>
      </c>
      <c r="BF23" s="373">
        <f ca="1">Geometria!$L$298*BA46*Geometria!$L$299/100-Geometria!$L$300*BA23*Geometria!$L$301/100</f>
        <v>362.1712236836254</v>
      </c>
      <c r="BG23" s="365"/>
      <c r="BI23" s="61"/>
    </row>
    <row r="24" spans="1:61" x14ac:dyDescent="0.25">
      <c r="A24" s="4" t="s">
        <v>445</v>
      </c>
      <c r="B24" s="198" t="str">
        <f ca="1">B12</f>
        <v>OK</v>
      </c>
      <c r="C24" s="396">
        <f t="shared" ca="1" si="0"/>
        <v>5696.897161353351</v>
      </c>
      <c r="D24" s="397">
        <f ca="1">-I24/(Geometria!$L$48/100^2)+J24/(Geometria!$L$52/100^3)-Geometria!$L$898/(Geometria!$L$52/100^3)</f>
        <v>8479.245048675162</v>
      </c>
      <c r="E24" s="400">
        <f ca="1">E12</f>
        <v>195.91675378676064</v>
      </c>
      <c r="F24" s="743">
        <f ca="1">-'Perdas por Seção'!$S$101/(Geometria!$L$48/100^2)+'Perdas por Seção'!$S$102/(Geometria!$L$52/100^3)-Geometria!$K$904/(Geometria!$L$52/100^3)</f>
        <v>5696.897161353351</v>
      </c>
      <c r="G24" s="743"/>
      <c r="I24" s="373">
        <f ca="1">Geometria!$L$298*E47+Geometria!$L$300*E24</f>
        <v>1833.368359120318</v>
      </c>
      <c r="J24" s="373">
        <f ca="1">Geometria!$L$298*E47*Geometria!$L$299/100-Geometria!$L$300*E24*Geometria!$L$301/100</f>
        <v>343.7565673350597</v>
      </c>
      <c r="K24" s="365"/>
      <c r="M24" s="122" t="s">
        <v>445</v>
      </c>
      <c r="N24" s="198" t="str">
        <f ca="1">N12</f>
        <v>OK</v>
      </c>
      <c r="O24" s="401">
        <f t="shared" ca="1" si="1"/>
        <v>-6034.136100500948</v>
      </c>
      <c r="P24" s="403">
        <f ca="1">-(U24/(Geometria!$L$48/100^2))+(V24/(Geometria!$L$52/100^3))-(('Cargas adicionais'!$O$259)/(Geometria!$L$52/100^3))-(('Cargas adicionais'!$R$259)/(Geometria!$L$401))-((Geometria!$L$76*'Cargas adicionais'!$U$259)/(Geometria!$L$401))</f>
        <v>-4299.172940734972</v>
      </c>
      <c r="Q24" s="400">
        <f ca="1">Q12</f>
        <v>165.5500323286782</v>
      </c>
      <c r="R24" s="751">
        <f ca="1">-('Perdas por Seção'!$S$99/(Geometria!$L$48/100^2))+('Perdas por Seção'!$S$100/(Geometria!$L$52/100^3))-(('Cargas adicionais'!$O$259)/(Geometria!$L$52/100^3))-(('Cargas adicionais'!$R$259)/(Geometria!$L$401))-((Geometria!$L$76*'Cargas adicionais'!$U$259)/(Geometria!$L$401))</f>
        <v>-6034.136100500948</v>
      </c>
      <c r="S24" s="751"/>
      <c r="U24" s="373">
        <f ca="1">Geometria!$L$298*Q47+Geometria!$L$300*Q24</f>
        <v>1545.263887716801</v>
      </c>
      <c r="V24" s="373">
        <f ca="1">Geometria!$L$298*Q47*Geometria!$L$299/100-Geometria!$L$300*Q24*Geometria!$L$301/100</f>
        <v>289.7369789469002</v>
      </c>
      <c r="W24" s="365"/>
      <c r="Y24" s="122" t="s">
        <v>445</v>
      </c>
      <c r="Z24" s="198" t="str">
        <f ca="1">Z12</f>
        <v>OK</v>
      </c>
      <c r="AA24" s="401">
        <f t="shared" ca="1" si="2"/>
        <v>-4599.298515425448</v>
      </c>
      <c r="AB24" s="403">
        <f ca="1">-(AG24/(Geometria!$L$48/100^2))+(AH24/(Geometria!$L$52/100^3))-(('Cargas adicionais'!$O$259)/(Geometria!$L$52/100^3))-(('Cargas adicionais'!$R$259)/(Geometria!$L$401))-((Geometria!$L$76*'Cargas adicionais'!$U$259)/(Geometria!$L$401))</f>
        <v>-4299.172940734972</v>
      </c>
      <c r="AC24" s="400">
        <f ca="1">AC12</f>
        <v>165.5500323286782</v>
      </c>
      <c r="AD24" s="751">
        <f ca="1">-('Perdas por Seção'!$S$99/(Geometria!$L$48/100^2))+('Perdas por Seção'!$S$100/(Geometria!$L$52/100^3))-(('Cargas adicionais'!$O$259)/(Geometria!$L$52/100^3))-(('Cargas adicionais'!$R$259)/(Geometria!$L$401))</f>
        <v>-4599.298515425448</v>
      </c>
      <c r="AE24" s="751"/>
      <c r="AG24" s="373">
        <f ca="1">Geometria!$L$298*AC47+Geometria!$L$300*AC24</f>
        <v>1545.263887716801</v>
      </c>
      <c r="AH24" s="373">
        <f ca="1">Geometria!$L$298*AC47*Geometria!$L$299/100-Geometria!$L$300*AC24*Geometria!$L$301/100</f>
        <v>289.7369789469002</v>
      </c>
      <c r="AI24" s="365"/>
      <c r="AK24" s="122" t="s">
        <v>445</v>
      </c>
      <c r="AL24" s="198" t="str">
        <f ca="1">AL12</f>
        <v>OK</v>
      </c>
      <c r="AM24" s="401">
        <f t="shared" ca="1" si="3"/>
        <v>-5555.856905475781</v>
      </c>
      <c r="AN24" s="403">
        <f ca="1">-(AS24/(Geometria!$L$48/100^2))+(AT24/(Geometria!$L$52/100^3))-(('Cargas adicionais'!$O$259)/(Geometria!$L$52/100^3))-(('Cargas adicionais'!$R$259)/(Geometria!$L$401))-((Geometria!$L$76*'Cargas adicionais'!$U$259)/(Geometria!$L$401))</f>
        <v>-4299.172940734972</v>
      </c>
      <c r="AO24" s="400">
        <f ca="1">AO12</f>
        <v>165.5500323286782</v>
      </c>
      <c r="AP24" s="751">
        <f ca="1">-('Perdas por Seção'!$S$99/(Geometria!$L$48/100^2))+('Perdas por Seção'!$S$100/(Geometria!$L$52/100^3))-((Geometria!$K$679)/(Geometria!$L$52/100^3))-((Geometria!$K$690)/(Geometria!$L$401))-((Geometria!$L$77*Geometria!$K$701)/(Geometria!$L$401))</f>
        <v>-5555.856905475781</v>
      </c>
      <c r="AQ24" s="751"/>
      <c r="AS24" s="373">
        <f ca="1">Geometria!$L$298*AO47+Geometria!$L$300*AO24</f>
        <v>1545.263887716801</v>
      </c>
      <c r="AT24" s="373">
        <f ca="1">Geometria!$L$298*AO47*Geometria!$L$299/100-Geometria!$L$300*AO24*Geometria!$L$301/100</f>
        <v>289.7369789469002</v>
      </c>
      <c r="AU24" s="365"/>
      <c r="AW24" s="122" t="s">
        <v>445</v>
      </c>
      <c r="AX24" s="198" t="str">
        <f ca="1">AX12</f>
        <v>OK</v>
      </c>
      <c r="AY24" s="401">
        <f t="shared" ca="1" si="4"/>
        <v>-4599.298515425448</v>
      </c>
      <c r="AZ24" s="403">
        <f ca="1">-(BE24/(Geometria!$L$48/100^2))+(BF24/(Geometria!$L$52/100^3))-(('Cargas adicionais'!$O$259)/(Geometria!$L$52/100^3))-(('Cargas adicionais'!$R$259)/(Geometria!$L$401))-((Geometria!$L$76*'Cargas adicionais'!$U$259)/(Geometria!$L$401))</f>
        <v>-4299.172940734972</v>
      </c>
      <c r="BA24" s="400">
        <f ca="1">BA12</f>
        <v>165.5500323286782</v>
      </c>
      <c r="BB24" s="751">
        <f ca="1">-('Perdas por Seção'!$S$99/(Geometria!$L$48/100^2))+('Perdas por Seção'!$S$100/(Geometria!$L$52/100^3))-((Geometria!$K$679)/(Geometria!$L$52/100^3))-((Geometria!$K$690)/(Geometria!$L$401))</f>
        <v>-4599.298515425448</v>
      </c>
      <c r="BC24" s="751"/>
      <c r="BE24" s="373">
        <f ca="1">Geometria!$L$298*BA47+Geometria!$L$300*BA24</f>
        <v>1545.263887716801</v>
      </c>
      <c r="BF24" s="373">
        <f ca="1">Geometria!$L$298*BA47*Geometria!$L$299/100-Geometria!$L$300*BA24*Geometria!$L$301/100</f>
        <v>289.7369789469002</v>
      </c>
      <c r="BG24" s="365"/>
      <c r="BI24" s="61"/>
    </row>
    <row r="25" spans="1:61" x14ac:dyDescent="0.25">
      <c r="A25" s="4" t="s">
        <v>446</v>
      </c>
      <c r="B25" s="198" t="str">
        <f ca="1">B11</f>
        <v>OK</v>
      </c>
      <c r="C25" s="396">
        <f t="shared" ca="1" si="0"/>
        <v>5987.0492015154105</v>
      </c>
      <c r="D25" s="397">
        <f ca="1">-I25/(Geometria!$L$48/100^2)+J25/(Geometria!$L$52/100^3)-Geometria!$L$898/(Geometria!$L$52/100^3)</f>
        <v>6251.193223355327</v>
      </c>
      <c r="E25" s="400">
        <f ca="1">E11</f>
        <v>146.93756534007045</v>
      </c>
      <c r="F25" s="743">
        <f ca="1">-'Perdas por Seção'!$T$101/(Geometria!$L$48/100^2)+'Perdas por Seção'!$T$102/(Geometria!$L$52/100^3)-Geometria!$L$904/(Geometria!$L$52/100^3)</f>
        <v>5987.0492015154105</v>
      </c>
      <c r="G25" s="743"/>
      <c r="I25" s="373">
        <f ca="1">Geometria!$L$298*E48+Geometria!$L$300*E25</f>
        <v>1375.0262693402383</v>
      </c>
      <c r="J25" s="373">
        <f ca="1">Geometria!$L$298*E48*Geometria!$L$299/100-Geometria!$L$300*E25*Geometria!$L$301/100</f>
        <v>257.8174255012947</v>
      </c>
      <c r="K25" s="365"/>
      <c r="M25" s="122" t="s">
        <v>446</v>
      </c>
      <c r="N25" s="198" t="str">
        <f ca="1">N11</f>
        <v>OK</v>
      </c>
      <c r="O25" s="401">
        <f t="shared" ca="1" si="1"/>
        <v>-3732.0118712431986</v>
      </c>
      <c r="P25" s="403">
        <f ca="1">-(U25/(Geometria!$L$48/100^2))+(V25/(Geometria!$L$52/100^3))-(('Cargas adicionais'!$O$260)/(Geometria!$L$52/100^3))-(('Cargas adicionais'!$R$260)/(Geometria!$L$401))-((Geometria!$L$76*'Cargas adicionais'!$U$260)/(Geometria!$L$401))</f>
        <v>-3778.014349062817</v>
      </c>
      <c r="Q25" s="400">
        <f ca="1">Q11</f>
        <v>124.16252424650864</v>
      </c>
      <c r="R25" s="751">
        <f ca="1">-('Perdas por Seção'!$T$99/(Geometria!$L$48/100^2))+('Perdas por Seção'!$T$100/(Geometria!$L$52/100^3))-(('Cargas adicionais'!$O$260)/(Geometria!$L$52/100^3))-(('Cargas adicionais'!$R$260)/(Geometria!$L$401))-((Geometria!$L$76*'Cargas adicionais'!$U$260)/(Geometria!$L$401))</f>
        <v>-3732.0118712431986</v>
      </c>
      <c r="S25" s="751"/>
      <c r="U25" s="373">
        <f ca="1">Geometria!$L$298*Q48+Geometria!$L$300*Q25</f>
        <v>1158.947915787601</v>
      </c>
      <c r="V25" s="373">
        <f ca="1">Geometria!$L$298*Q48*Geometria!$L$299/100-Geometria!$L$300*Q25*Geometria!$L$301/100</f>
        <v>217.30273421017517</v>
      </c>
      <c r="W25" s="365"/>
      <c r="Y25" s="122" t="s">
        <v>446</v>
      </c>
      <c r="Z25" s="198" t="str">
        <f ca="1">Z11</f>
        <v>OK</v>
      </c>
      <c r="AA25" s="401">
        <f t="shared" ca="1" si="2"/>
        <v>-2588.62567063616</v>
      </c>
      <c r="AB25" s="403">
        <f ca="1">-(AG25/(Geometria!$L$48/100^2))+(AH25/(Geometria!$L$52/100^3))-(('Cargas adicionais'!$O$260)/(Geometria!$L$52/100^3))-(('Cargas adicionais'!$R$260)/(Geometria!$L$401))-((Geometria!$L$76*'Cargas adicionais'!$U$260)/(Geometria!$L$401))</f>
        <v>-3778.014349062817</v>
      </c>
      <c r="AC25" s="400">
        <f ca="1">AC11</f>
        <v>124.16252424650864</v>
      </c>
      <c r="AD25" s="751">
        <f ca="1">-('Perdas por Seção'!$T$99/(Geometria!$L$48/100^2))+('Perdas por Seção'!$T$100/(Geometria!$L$52/100^3))-(('Cargas adicionais'!$O$260)/(Geometria!$L$52/100^3))-(('Cargas adicionais'!$R$260)/(Geometria!$L$401))</f>
        <v>-2588.62567063616</v>
      </c>
      <c r="AE25" s="751"/>
      <c r="AG25" s="373">
        <f ca="1">Geometria!$L$298*AC48+Geometria!$L$300*AC25</f>
        <v>1158.947915787601</v>
      </c>
      <c r="AH25" s="373">
        <f ca="1">Geometria!$L$298*AC48*Geometria!$L$299/100-Geometria!$L$300*AC25*Geometria!$L$301/100</f>
        <v>217.30273421017517</v>
      </c>
      <c r="AI25" s="365"/>
      <c r="AK25" s="122" t="s">
        <v>446</v>
      </c>
      <c r="AL25" s="198" t="str">
        <f ca="1">AL11</f>
        <v>OK</v>
      </c>
      <c r="AM25" s="401">
        <f t="shared" ca="1" si="3"/>
        <v>-3350.8831377075194</v>
      </c>
      <c r="AN25" s="403">
        <f ca="1">-(AS25/(Geometria!$L$48/100^2))+(AT25/(Geometria!$L$52/100^3))-(('Cargas adicionais'!$O$260)/(Geometria!$L$52/100^3))-(('Cargas adicionais'!$R$260)/(Geometria!$L$401))-((Geometria!$L$76*'Cargas adicionais'!$U$260)/(Geometria!$L$401))</f>
        <v>-3778.014349062817</v>
      </c>
      <c r="AO25" s="400">
        <f ca="1">AO11</f>
        <v>124.16252424650864</v>
      </c>
      <c r="AP25" s="751">
        <f ca="1">-('Perdas por Seção'!$T$99/(Geometria!$L$48/100^2))+('Perdas por Seção'!$T$100/(Geometria!$L$52/100^3))-((Geometria!$L$679)/(Geometria!$L$52/100^3))-((Geometria!$L$690)/(Geometria!$L$401))-((Geometria!$L$77*Geometria!$L$701)/(Geometria!$L$401))</f>
        <v>-3350.8831377075194</v>
      </c>
      <c r="AQ25" s="751"/>
      <c r="AS25" s="373">
        <f ca="1">Geometria!$L$298*AO48+Geometria!$L$300*AO25</f>
        <v>1158.947915787601</v>
      </c>
      <c r="AT25" s="373">
        <f ca="1">Geometria!$L$298*AO48*Geometria!$L$299/100-Geometria!$L$300*AO25*Geometria!$L$301/100</f>
        <v>217.30273421017517</v>
      </c>
      <c r="AU25" s="365"/>
      <c r="AW25" s="122" t="s">
        <v>446</v>
      </c>
      <c r="AX25" s="198" t="str">
        <f ca="1">AX11</f>
        <v>OK</v>
      </c>
      <c r="AY25" s="401">
        <f t="shared" ca="1" si="4"/>
        <v>-2588.62567063616</v>
      </c>
      <c r="AZ25" s="403">
        <f ca="1">-(BE25/(Geometria!$L$48/100^2))+(BF25/(Geometria!$L$52/100^3))-(('Cargas adicionais'!$O$260)/(Geometria!$L$52/100^3))-(('Cargas adicionais'!$R$260)/(Geometria!$L$401))-((Geometria!$L$76*'Cargas adicionais'!$U$260)/(Geometria!$L$401))</f>
        <v>-3778.014349062817</v>
      </c>
      <c r="BA25" s="400">
        <f ca="1">BA11</f>
        <v>124.16252424650864</v>
      </c>
      <c r="BB25" s="751">
        <f ca="1">-('Perdas por Seção'!$T$99/(Geometria!$L$48/100^2))+('Perdas por Seção'!$T$100/(Geometria!$L$52/100^3))-((Geometria!$L$679)/(Geometria!$L$52/100^3))-((Geometria!$L$690)/(Geometria!$L$401))</f>
        <v>-2588.62567063616</v>
      </c>
      <c r="BC25" s="751"/>
      <c r="BE25" s="373">
        <f ca="1">Geometria!$L$298*BA48+Geometria!$L$300*BA25</f>
        <v>1158.947915787601</v>
      </c>
      <c r="BF25" s="373">
        <f ca="1">Geometria!$L$298*BA48*Geometria!$L$299/100-Geometria!$L$300*BA25*Geometria!$L$301/100</f>
        <v>217.30273421017517</v>
      </c>
      <c r="BG25" s="365"/>
      <c r="BI25" s="61"/>
    </row>
    <row r="26" spans="1:61" x14ac:dyDescent="0.25">
      <c r="A26" s="4" t="s">
        <v>447</v>
      </c>
      <c r="B26" s="198" t="str">
        <f ca="1">B10</f>
        <v>Reduzir</v>
      </c>
      <c r="C26" s="396">
        <f t="shared" ca="1" si="0"/>
        <v>4023.1413980354973</v>
      </c>
      <c r="D26" s="397">
        <f ca="1">-I26/(Geometria!$L$48/100^2)+J26/(Geometria!$L$52/100^3)-Geometria!$L$898/(Geometria!$L$52/100^3)</f>
        <v>4023.1413980354973</v>
      </c>
      <c r="E26" s="400">
        <f ca="1">E10</f>
        <v>97.95837689338032</v>
      </c>
      <c r="F26" s="743">
        <f ca="1">-'Perdas por Seção'!$U$101/(Geometria!$L$48/100^2)+'Perdas por Seção'!$U$102/(Geometria!$L$52/100^3)-Geometria!$M$904/(Geometria!$L$52/100^3)</f>
        <v>6321.840017087023</v>
      </c>
      <c r="G26" s="743"/>
      <c r="I26" s="373">
        <f ca="1">Geometria!$L$298*E49+Geometria!$L$300*E26</f>
        <v>916.684179560159</v>
      </c>
      <c r="J26" s="373">
        <f ca="1">Geometria!$L$298*E49*Geometria!$L$299/100-Geometria!$L$300*E26*Geometria!$L$301/100</f>
        <v>171.87828366752984</v>
      </c>
      <c r="K26" s="365"/>
      <c r="M26" s="122" t="s">
        <v>447</v>
      </c>
      <c r="N26" s="198" t="str">
        <f ca="1">N10</f>
        <v>Reduzir</v>
      </c>
      <c r="O26" s="401">
        <f t="shared" ca="1" si="1"/>
        <v>-2887.7659950496045</v>
      </c>
      <c r="P26" s="403">
        <f ca="1">-(U26/(Geometria!$L$48/100^2))+(V26/(Geometria!$L$52/100^3))-(('Cargas adicionais'!$O$261)/(Geometria!$L$52/100^3))-(('Cargas adicionais'!$R$261)/(Geometria!$L$401))-((Geometria!$L$76*'Cargas adicionais'!$U$261)/(Geometria!$L$401))</f>
        <v>-2887.7659950496045</v>
      </c>
      <c r="Q26" s="400">
        <f ca="1">Q10</f>
        <v>82.7750161643391</v>
      </c>
      <c r="R26" s="751">
        <f ca="1">-('Perdas por Seção'!$U$99/(Geometria!$L$48/100^2))+('Perdas por Seção'!$U$100/(Geometria!$L$52/100^3))-(('Cargas adicionais'!$O$261)/(Geometria!$L$52/100^3))-(('Cargas adicionais'!$R$261)/(Geometria!$L$401))-((Geometria!$L$76*'Cargas adicionais'!$U$261)/(Geometria!$L$401))</f>
        <v>-1075.752139184463</v>
      </c>
      <c r="S26" s="751"/>
      <c r="U26" s="373">
        <f ca="1">Geometria!$L$298*Q49+Geometria!$L$300*Q26</f>
        <v>772.6319438584005</v>
      </c>
      <c r="V26" s="373">
        <f ca="1">Geometria!$L$298*Q49*Geometria!$L$299/100-Geometria!$L$300*Q26*Geometria!$L$301/100</f>
        <v>144.8684894734501</v>
      </c>
      <c r="W26" s="365"/>
      <c r="Y26" s="122" t="s">
        <v>447</v>
      </c>
      <c r="Z26" s="198" t="str">
        <f ca="1">Z10</f>
        <v>Reduzir</v>
      </c>
      <c r="AA26" s="401">
        <f t="shared" ca="1" si="2"/>
        <v>-2887.7659950496045</v>
      </c>
      <c r="AB26" s="403">
        <f ca="1">-(AG26/(Geometria!$L$48/100^2))+(AH26/(Geometria!$L$52/100^3))-(('Cargas adicionais'!$O$261)/(Geometria!$L$52/100^3))-(('Cargas adicionais'!$R$261)/(Geometria!$L$401))-((Geometria!$L$76*'Cargas adicionais'!$U$261)/(Geometria!$L$401))</f>
        <v>-2887.7659950496045</v>
      </c>
      <c r="AC26" s="400">
        <f ca="1">AC10</f>
        <v>82.7750161643391</v>
      </c>
      <c r="AD26" s="751">
        <f ca="1">-('Perdas por Seção'!$U$99/(Geometria!$L$48/100^2))+('Perdas por Seção'!$U$100/(Geometria!$L$52/100^3))-(('Cargas adicionais'!$O$261)/(Geometria!$L$52/100^3))-(('Cargas adicionais'!$R$261)/(Geometria!$L$401))</f>
        <v>-268.6559975794939</v>
      </c>
      <c r="AE26" s="751"/>
      <c r="AG26" s="373">
        <f ca="1">Geometria!$L$298*AC49+Geometria!$L$300*AC26</f>
        <v>772.6319438584005</v>
      </c>
      <c r="AH26" s="373">
        <f ca="1">Geometria!$L$298*AC49*Geometria!$L$299/100-Geometria!$L$300*AC26*Geometria!$L$301/100</f>
        <v>144.8684894734501</v>
      </c>
      <c r="AI26" s="365"/>
      <c r="AK26" s="122" t="s">
        <v>447</v>
      </c>
      <c r="AL26" s="198" t="str">
        <f ca="1">AL10</f>
        <v>Reduzir</v>
      </c>
      <c r="AM26" s="401">
        <f t="shared" ca="1" si="3"/>
        <v>-2887.7659950496045</v>
      </c>
      <c r="AN26" s="403">
        <f ca="1">-(AS26/(Geometria!$L$48/100^2))+(AT26/(Geometria!$L$52/100^3))-(('Cargas adicionais'!$O$261)/(Geometria!$L$52/100^3))-(('Cargas adicionais'!$R$261)/(Geometria!$L$401))-((Geometria!$L$76*'Cargas adicionais'!$U$261)/(Geometria!$L$401))</f>
        <v>-2887.7659950496045</v>
      </c>
      <c r="AO26" s="400">
        <f ca="1">AO10</f>
        <v>82.7750161643391</v>
      </c>
      <c r="AP26" s="751">
        <f ca="1">-('Perdas por Seção'!$U$99/(Geometria!$L$48/100^2))+('Perdas por Seção'!$U$100/(Geometria!$L$52/100^3))-((Geometria!$M$679)/(Geometria!$L$52/100^3))-((Geometria!$M$690)/(Geometria!$L$401))-((Geometria!$L$77*Geometria!$M$701)/(Geometria!$L$401))</f>
        <v>-806.7200919828067</v>
      </c>
      <c r="AQ26" s="751"/>
      <c r="AS26" s="373">
        <f ca="1">Geometria!$L$298*AO49+Geometria!$L$300*AO26</f>
        <v>772.6319438584005</v>
      </c>
      <c r="AT26" s="373">
        <f ca="1">Geometria!$L$298*AO49*Geometria!$L$299/100-Geometria!$L$300*AO26*Geometria!$L$301/100</f>
        <v>144.8684894734501</v>
      </c>
      <c r="AU26" s="365"/>
      <c r="AW26" s="122" t="s">
        <v>447</v>
      </c>
      <c r="AX26" s="198" t="str">
        <f ca="1">AX10</f>
        <v>Reduzir</v>
      </c>
      <c r="AY26" s="401">
        <f t="shared" ca="1" si="4"/>
        <v>-2887.7659950496045</v>
      </c>
      <c r="AZ26" s="403">
        <f ca="1">-(BE26/(Geometria!$L$48/100^2))+(BF26/(Geometria!$L$52/100^3))-(('Cargas adicionais'!$O$261)/(Geometria!$L$52/100^3))-(('Cargas adicionais'!$R$261)/(Geometria!$L$401))-((Geometria!$L$76*'Cargas adicionais'!$U$261)/(Geometria!$L$401))</f>
        <v>-2887.7659950496045</v>
      </c>
      <c r="BA26" s="400">
        <f ca="1">BA10</f>
        <v>82.7750161643391</v>
      </c>
      <c r="BB26" s="751">
        <f ca="1">-('Perdas por Seção'!$U$99/(Geometria!$L$48/100^2))+('Perdas por Seção'!$U$100/(Geometria!$L$52/100^3))-((Geometria!$M$679)/(Geometria!$L$52/100^3))-((Geometria!$M$690)/(Geometria!$L$401))</f>
        <v>-268.6559975794939</v>
      </c>
      <c r="BC26" s="751"/>
      <c r="BE26" s="373">
        <f ca="1">Geometria!$L$298*BA49+Geometria!$L$300*BA26</f>
        <v>772.6319438584005</v>
      </c>
      <c r="BF26" s="373">
        <f ca="1">Geometria!$L$298*BA49*Geometria!$L$299/100-Geometria!$L$300*BA26*Geometria!$L$301/100</f>
        <v>144.8684894734501</v>
      </c>
      <c r="BG26" s="365"/>
    </row>
    <row r="27" spans="1:61" x14ac:dyDescent="0.25">
      <c r="A27" s="4" t="s">
        <v>448</v>
      </c>
      <c r="B27" s="198" t="str">
        <f ca="1">B9</f>
        <v>Reduzir</v>
      </c>
      <c r="C27" s="396">
        <f t="shared" ca="1" si="0"/>
        <v>1795.0895727156653</v>
      </c>
      <c r="D27" s="397">
        <f ca="1">-I27/(Geometria!$L$48/100^2)+J27/(Geometria!$L$52/100^3)-Geometria!$L$898/(Geometria!$L$52/100^3)</f>
        <v>1795.0895727156653</v>
      </c>
      <c r="E27" s="400">
        <f ca="1">E9</f>
        <v>48.97918844669016</v>
      </c>
      <c r="F27" s="743">
        <f ca="1">-'Perdas por Seção'!$V$101/(Geometria!$L$48/100^2)+'Perdas por Seção'!$V$102/(Geometria!$L$52/100^3)-Geometria!$N$904/(Geometria!$L$52/100^3)</f>
        <v>6701.269608068181</v>
      </c>
      <c r="G27" s="743"/>
      <c r="I27" s="373">
        <f ca="1">Geometria!$L$298*E50+Geometria!$L$300*E27</f>
        <v>458.3420897800795</v>
      </c>
      <c r="J27" s="373">
        <f ca="1">Geometria!$L$298*E50*Geometria!$L$299/100-Geometria!$L$300*E27*Geometria!$L$301/100</f>
        <v>85.93914183376492</v>
      </c>
      <c r="K27" s="365"/>
      <c r="M27" s="122" t="s">
        <v>448</v>
      </c>
      <c r="N27" s="198" t="str">
        <f ca="1">N9</f>
        <v>Reduzir</v>
      </c>
      <c r="O27" s="401">
        <f t="shared" ca="1" si="1"/>
        <v>-1628.427878695333</v>
      </c>
      <c r="P27" s="404">
        <f ca="1">-(U27/(Geometria!$L$48/100^2))+(V27/(Geometria!$L$52/100^3))-(('Cargas adicionais'!$O$262)/(Geometria!$L$52/100^3))-(('Cargas adicionais'!$R$262)/(Geometria!$L$401))-((Geometria!$L$76*'Cargas adicionais'!$U$262)/(Geometria!$L$401))</f>
        <v>-1628.427878695333</v>
      </c>
      <c r="Q27" s="400">
        <f ca="1">Q9</f>
        <v>41.38750808216955</v>
      </c>
      <c r="R27" s="752">
        <f ca="1">-('Perdas por Seção'!$V$99/(Geometria!$L$48/100^2))+('Perdas por Seção'!$V$100/(Geometria!$L$52/100^3))-(('Cargas adicionais'!$O$262)/(Geometria!$L$52/100^3))-(('Cargas adicionais'!$R$262)/(Geometria!$L$401))-((Geometria!$L$76*'Cargas adicionais'!$U$262)/(Geometria!$L$401))</f>
        <v>1934.6270331290532</v>
      </c>
      <c r="S27" s="752"/>
      <c r="U27" s="373">
        <f ca="1">Geometria!$L$298*Q50+Geometria!$L$300*Q27</f>
        <v>386.31597192920026</v>
      </c>
      <c r="V27" s="373">
        <f ca="1">Geometria!$L$298*Q50*Geometria!$L$299/100-Geometria!$L$300*Q27*Geometria!$L$301/100</f>
        <v>72.43424473672505</v>
      </c>
      <c r="W27" s="365"/>
      <c r="Y27" s="122" t="s">
        <v>448</v>
      </c>
      <c r="Z27" s="198" t="str">
        <f ca="1">Z9</f>
        <v>Reduzir</v>
      </c>
      <c r="AA27" s="401">
        <f t="shared" ca="1" si="2"/>
        <v>-1628.427878695333</v>
      </c>
      <c r="AB27" s="404">
        <f ca="1">-(AG27/(Geometria!$L$48/100^2))+(AH27/(Geometria!$L$52/100^3))-(('Cargas adicionais'!$O$262)/(Geometria!$L$52/100^3))-(('Cargas adicionais'!$R$262)/(Geometria!$L$401))-((Geometria!$L$76*'Cargas adicionais'!$U$262)/(Geometria!$L$401))</f>
        <v>-1628.427878695333</v>
      </c>
      <c r="AC27" s="400">
        <f ca="1">AC9</f>
        <v>41.38750808216955</v>
      </c>
      <c r="AD27" s="751">
        <f ca="1">-('Perdas por Seção'!$V$99/(Geometria!$L$48/100^2))+('Perdas por Seção'!$V$100/(Geometria!$L$52/100^3))-(('Cargas adicionais'!$O$262)/(Geometria!$L$52/100^3))-(('Cargas adicionais'!$R$262)/(Geometria!$L$401))</f>
        <v>2360.5944411983432</v>
      </c>
      <c r="AE27" s="751"/>
      <c r="AG27" s="373">
        <f ca="1">Geometria!$L$298*AC50+Geometria!$L$300*AC27</f>
        <v>386.31597192920026</v>
      </c>
      <c r="AH27" s="373">
        <f ca="1">Geometria!$L$298*AC50*Geometria!$L$299/100-Geometria!$L$300*AC27*Geometria!$L$301/100</f>
        <v>72.43424473672505</v>
      </c>
      <c r="AI27" s="365"/>
      <c r="AK27" s="122" t="s">
        <v>448</v>
      </c>
      <c r="AL27" s="198" t="str">
        <f ca="1">AL9</f>
        <v>Reduzir</v>
      </c>
      <c r="AM27" s="401">
        <f t="shared" ca="1" si="3"/>
        <v>-1628.427878695333</v>
      </c>
      <c r="AN27" s="404">
        <f ca="1">-(AS27/(Geometria!$L$48/100^2))+(AT27/(Geometria!$L$52/100^3))-(('Cargas adicionais'!$O$262)/(Geometria!$L$52/100^3))-(('Cargas adicionais'!$R$262)/(Geometria!$L$401))-((Geometria!$L$76*'Cargas adicionais'!$U$262)/(Geometria!$L$401))</f>
        <v>-1628.427878695333</v>
      </c>
      <c r="AO27" s="400">
        <f ca="1">AO9</f>
        <v>41.38750808216955</v>
      </c>
      <c r="AP27" s="751">
        <f ca="1">-('Perdas por Seção'!$V$99/(Geometria!$L$48/100^2))+('Perdas por Seção'!$V$100/(Geometria!$L$52/100^3))-((Geometria!$N$679)/(Geometria!$L$52/100^3))-((Geometria!$N$690)/(Geometria!$L$401))-((Geometria!$L$77*Geometria!$N$701)/(Geometria!$L$401))</f>
        <v>2076.6161691521497</v>
      </c>
      <c r="AQ27" s="751"/>
      <c r="AS27" s="373">
        <f ca="1">Geometria!$L$298*AO50+Geometria!$L$300*AO27</f>
        <v>386.31597192920026</v>
      </c>
      <c r="AT27" s="373">
        <f ca="1">Geometria!$L$298*AO50*Geometria!$L$299/100-Geometria!$L$300*AO27*Geometria!$L$301/100</f>
        <v>72.43424473672505</v>
      </c>
      <c r="AU27" s="365"/>
      <c r="AW27" s="122" t="s">
        <v>448</v>
      </c>
      <c r="AX27" s="198" t="str">
        <f ca="1">AX9</f>
        <v>Reduzir</v>
      </c>
      <c r="AY27" s="401">
        <f t="shared" ca="1" si="4"/>
        <v>-1628.427878695333</v>
      </c>
      <c r="AZ27" s="404">
        <f ca="1">-(BE27/(Geometria!$L$48/100^2))+(BF27/(Geometria!$L$52/100^3))-(('Cargas adicionais'!$O$262)/(Geometria!$L$52/100^3))-(('Cargas adicionais'!$R$262)/(Geometria!$L$401))-((Geometria!$L$76*'Cargas adicionais'!$U$262)/(Geometria!$L$401))</f>
        <v>-1628.427878695333</v>
      </c>
      <c r="BA27" s="400">
        <f ca="1">BA9</f>
        <v>41.38750808216955</v>
      </c>
      <c r="BB27" s="752">
        <f ca="1">-('Perdas por Seção'!$V$99/(Geometria!$L$48/100^2))+('Perdas por Seção'!$V$100/(Geometria!$L$52/100^3))-((Geometria!$N$679)/(Geometria!$L$52/100^3))-((Geometria!$N$690)/(Geometria!$L$401))</f>
        <v>2360.5944411983432</v>
      </c>
      <c r="BC27" s="752"/>
      <c r="BE27" s="373">
        <f ca="1">Geometria!$L$298*BA50+Geometria!$L$300*BA27</f>
        <v>386.31597192920026</v>
      </c>
      <c r="BF27" s="373">
        <f ca="1">Geometria!$L$298*BA50*Geometria!$L$299/100-Geometria!$L$300*BA27*Geometria!$L$301/100</f>
        <v>72.43424473672505</v>
      </c>
      <c r="BG27" s="365"/>
    </row>
    <row r="28" spans="1:61" x14ac:dyDescent="0.25">
      <c r="A28" s="32" t="s">
        <v>449</v>
      </c>
      <c r="B28" s="198" t="str">
        <f ca="1">B8</f>
        <v>Reduzir</v>
      </c>
      <c r="C28" s="406"/>
      <c r="D28" s="407"/>
      <c r="E28" s="408">
        <f>Geometria!$B$933</f>
        <v>0.0</v>
      </c>
      <c r="F28" s="743">
        <f>Geometria!$C$933</f>
        <v>0.0</v>
      </c>
      <c r="G28" s="743"/>
      <c r="K28" s="365"/>
      <c r="M28" s="405" t="s">
        <v>449</v>
      </c>
      <c r="N28" s="198" t="str">
        <f ca="1">N8</f>
        <v>Reduzir</v>
      </c>
      <c r="O28" s="406"/>
      <c r="P28" s="407"/>
      <c r="Q28" s="408">
        <f>Geometria!$B$933</f>
        <v>0.0</v>
      </c>
      <c r="R28" s="743">
        <f>Geometria!$C$933</f>
        <v>0.0</v>
      </c>
      <c r="S28" s="743"/>
      <c r="W28" s="365"/>
      <c r="Y28" s="405" t="s">
        <v>449</v>
      </c>
      <c r="Z28" s="198" t="str">
        <f ca="1">Z8</f>
        <v>Reduzir</v>
      </c>
      <c r="AA28" s="406"/>
      <c r="AB28" s="407"/>
      <c r="AC28" s="408">
        <f>Geometria!$B$933</f>
        <v>0.0</v>
      </c>
      <c r="AD28" s="744">
        <f>Geometria!$C$933</f>
        <v>0.0</v>
      </c>
      <c r="AE28" s="744"/>
      <c r="AI28" s="365"/>
      <c r="AK28" s="405" t="s">
        <v>449</v>
      </c>
      <c r="AL28" s="198" t="str">
        <f ca="1">AL8</f>
        <v>Reduzir</v>
      </c>
      <c r="AM28" s="406"/>
      <c r="AN28" s="407"/>
      <c r="AO28" s="408">
        <f>Geometria!$B$933</f>
        <v>0.0</v>
      </c>
      <c r="AP28" s="744">
        <f>Geometria!$C$933</f>
        <v>0.0</v>
      </c>
      <c r="AQ28" s="744"/>
      <c r="AU28" s="365"/>
      <c r="AW28" s="405" t="s">
        <v>449</v>
      </c>
      <c r="AX28" s="198" t="str">
        <f ca="1">AX8</f>
        <v>Reduzir</v>
      </c>
      <c r="AY28" s="406"/>
      <c r="AZ28" s="407"/>
      <c r="BA28" s="408">
        <f>Geometria!$B$933</f>
        <v>0.0</v>
      </c>
      <c r="BB28" s="755">
        <f>Geometria!$C$933</f>
        <v>0.0</v>
      </c>
      <c r="BC28" s="755"/>
      <c r="BG28" s="365"/>
    </row>
    <row r="29" spans="1:61" ht="15" customHeight="1" x14ac:dyDescent="0.25">
      <c r="A29" s="364"/>
      <c r="C29" s="745" t="s">
        <v>1086</v>
      </c>
      <c r="D29" s="746" t="s">
        <v>1087</v>
      </c>
      <c r="E29" s="746"/>
      <c r="F29" s="746" t="s">
        <v>1064</v>
      </c>
      <c r="G29" s="746"/>
      <c r="I29" s="747" t="s">
        <v>291</v>
      </c>
      <c r="J29" s="747" t="s">
        <v>295</v>
      </c>
      <c r="K29" s="365"/>
      <c r="M29" s="364"/>
      <c r="O29" s="745" t="s">
        <v>1086</v>
      </c>
      <c r="P29" s="746" t="s">
        <v>1087</v>
      </c>
      <c r="Q29" s="746"/>
      <c r="R29" s="746" t="s">
        <v>1064</v>
      </c>
      <c r="S29" s="746"/>
      <c r="U29" s="747" t="s">
        <v>291</v>
      </c>
      <c r="V29" s="747" t="s">
        <v>295</v>
      </c>
      <c r="W29" s="365"/>
      <c r="Y29" s="364"/>
      <c r="AA29" s="745" t="s">
        <v>1086</v>
      </c>
      <c r="AB29" s="746" t="s">
        <v>1087</v>
      </c>
      <c r="AC29" s="746"/>
      <c r="AD29" s="746" t="s">
        <v>1064</v>
      </c>
      <c r="AE29" s="746"/>
      <c r="AG29" s="747" t="s">
        <v>291</v>
      </c>
      <c r="AH29" s="747" t="s">
        <v>295</v>
      </c>
      <c r="AI29" s="365"/>
      <c r="AK29" s="364"/>
      <c r="AM29" s="745" t="s">
        <v>1086</v>
      </c>
      <c r="AN29" s="746" t="s">
        <v>1087</v>
      </c>
      <c r="AO29" s="746"/>
      <c r="AP29" s="757" t="s">
        <v>1064</v>
      </c>
      <c r="AQ29" s="757"/>
      <c r="AS29" s="747" t="s">
        <v>291</v>
      </c>
      <c r="AT29" s="747" t="s">
        <v>295</v>
      </c>
      <c r="AU29" s="365"/>
      <c r="AW29" s="364"/>
      <c r="AY29" s="745" t="s">
        <v>1086</v>
      </c>
      <c r="AZ29" s="746" t="s">
        <v>1087</v>
      </c>
      <c r="BA29" s="746"/>
      <c r="BB29" s="757" t="s">
        <v>1064</v>
      </c>
      <c r="BC29" s="757"/>
      <c r="BE29" s="747" t="s">
        <v>291</v>
      </c>
      <c r="BF29" s="747" t="s">
        <v>295</v>
      </c>
      <c r="BG29" s="365"/>
    </row>
    <row r="30" spans="1:61" x14ac:dyDescent="0.25">
      <c r="A30" s="364"/>
      <c r="C30" s="745"/>
      <c r="D30" s="746"/>
      <c r="E30" s="746"/>
      <c r="F30" s="746"/>
      <c r="G30" s="746"/>
      <c r="I30" s="747"/>
      <c r="J30" s="747"/>
      <c r="K30" s="365"/>
      <c r="M30" s="364"/>
      <c r="O30" s="745"/>
      <c r="P30" s="746"/>
      <c r="Q30" s="746"/>
      <c r="R30" s="746"/>
      <c r="S30" s="746"/>
      <c r="U30" s="747"/>
      <c r="V30" s="747"/>
      <c r="W30" s="365"/>
      <c r="Y30" s="364"/>
      <c r="AA30" s="745"/>
      <c r="AB30" s="746"/>
      <c r="AC30" s="746"/>
      <c r="AD30" s="746"/>
      <c r="AE30" s="746"/>
      <c r="AG30" s="747"/>
      <c r="AH30" s="747"/>
      <c r="AI30" s="365"/>
      <c r="AK30" s="364"/>
      <c r="AM30" s="745"/>
      <c r="AN30" s="746"/>
      <c r="AO30" s="746"/>
      <c r="AP30" s="757"/>
      <c r="AQ30" s="757"/>
      <c r="AS30" s="747"/>
      <c r="AT30" s="747"/>
      <c r="AU30" s="365"/>
      <c r="AW30" s="364"/>
      <c r="AY30" s="745"/>
      <c r="AZ30" s="746"/>
      <c r="BA30" s="746"/>
      <c r="BB30" s="757"/>
      <c r="BC30" s="757"/>
      <c r="BE30" s="747"/>
      <c r="BF30" s="747"/>
      <c r="BG30" s="365"/>
    </row>
    <row r="31" spans="1:61" x14ac:dyDescent="0.25">
      <c r="A31" s="4" t="s">
        <v>429</v>
      </c>
      <c r="B31" s="198" t="str">
        <f ca="1">IF(Geometria!$K$437&lt;Geometria!$N$1308/100,"Reduzir","OK")</f>
        <v>Reduzir</v>
      </c>
      <c r="C31" s="396">
        <f t="shared" ref="C31:C50" ca="1" si="5">IF(B31="Reduzir",D31,F31)</f>
        <v>0.0</v>
      </c>
      <c r="D31" s="397">
        <v>0</v>
      </c>
      <c r="E31" s="398">
        <v>0</v>
      </c>
      <c r="F31" s="743">
        <f>Geometria!$C$936</f>
        <v>0.0</v>
      </c>
      <c r="G31" s="743"/>
      <c r="I31">
        <v>0</v>
      </c>
      <c r="J31">
        <v>0</v>
      </c>
      <c r="K31" s="365"/>
      <c r="M31" s="122" t="s">
        <v>429</v>
      </c>
      <c r="N31" s="198" t="str">
        <f ca="1">IF(Geometria!$K$437&lt;Geometria!$N$1308/100,"Reduzir","OK")</f>
        <v>Reduzir</v>
      </c>
      <c r="O31" s="396">
        <f t="shared" ref="O31:O50" ca="1" si="6">IF(N31="Reduzir",P31,R31)</f>
        <v>0.0</v>
      </c>
      <c r="P31" s="397">
        <v>0</v>
      </c>
      <c r="Q31" s="398">
        <v>0</v>
      </c>
      <c r="R31" s="753">
        <f>Geometria!$C$936</f>
        <v>0.0</v>
      </c>
      <c r="S31" s="753"/>
      <c r="U31">
        <v>0</v>
      </c>
      <c r="V31">
        <v>0</v>
      </c>
      <c r="W31" s="365"/>
      <c r="Y31" s="122" t="s">
        <v>429</v>
      </c>
      <c r="Z31" s="198" t="str">
        <f ca="1">IF(Geometria!$K$437&lt;Geometria!$N$1308/100,"Reduzir","OK")</f>
        <v>Reduzir</v>
      </c>
      <c r="AA31" s="396">
        <f t="shared" ref="AA31:AA50" ca="1" si="7">IF(Z31="Reduzir",AB31,AD31)</f>
        <v>0.0</v>
      </c>
      <c r="AB31" s="397">
        <v>0</v>
      </c>
      <c r="AC31" s="398">
        <v>0</v>
      </c>
      <c r="AD31" s="753">
        <f>Geometria!$C$936</f>
        <v>0.0</v>
      </c>
      <c r="AE31" s="753"/>
      <c r="AG31">
        <v>0</v>
      </c>
      <c r="AH31">
        <v>0</v>
      </c>
      <c r="AI31" s="365"/>
      <c r="AK31" s="122" t="s">
        <v>429</v>
      </c>
      <c r="AL31" s="198" t="str">
        <f ca="1">IF(Geometria!$K$437&lt;Geometria!$N$1308/100,"Reduzir","OK")</f>
        <v>Reduzir</v>
      </c>
      <c r="AM31" s="396">
        <f t="shared" ref="AM31:AM50" ca="1" si="8">IF(AL31="Reduzir",AN31,AP31)</f>
        <v>0.0</v>
      </c>
      <c r="AN31" s="397">
        <v>0</v>
      </c>
      <c r="AO31" s="398">
        <v>0</v>
      </c>
      <c r="AP31" s="758">
        <f>Geometria!$C$936</f>
        <v>0.0</v>
      </c>
      <c r="AQ31" s="758"/>
      <c r="AS31">
        <v>0</v>
      </c>
      <c r="AT31">
        <v>0</v>
      </c>
      <c r="AU31" s="365"/>
      <c r="AW31" s="122" t="s">
        <v>429</v>
      </c>
      <c r="AX31" s="198" t="str">
        <f ca="1">IF(Geometria!$K$437&lt;Geometria!$N$1308/100,"Reduzir","OK")</f>
        <v>Reduzir</v>
      </c>
      <c r="AY31" s="396">
        <f t="shared" ref="AY31:AY50" ca="1" si="9">IF(AX31="Reduzir",AZ31,BB31)</f>
        <v>0.0</v>
      </c>
      <c r="AZ31" s="397">
        <v>0</v>
      </c>
      <c r="BA31" s="398">
        <v>0</v>
      </c>
      <c r="BB31" s="758">
        <f>Geometria!$C$936</f>
        <v>0.0</v>
      </c>
      <c r="BC31" s="758"/>
      <c r="BE31">
        <v>0</v>
      </c>
      <c r="BF31">
        <v>0</v>
      </c>
      <c r="BG31" s="365"/>
    </row>
    <row r="32" spans="1:61" x14ac:dyDescent="0.25">
      <c r="A32" s="4" t="s">
        <v>430</v>
      </c>
      <c r="B32" s="198" t="str">
        <f ca="1">IF(Geometria!$L$437&lt;Geometria!$N$1308/100,"Reduzir","OK")</f>
        <v>Reduzir</v>
      </c>
      <c r="C32" s="396">
        <f t="shared" ca="1" si="5"/>
        <v>-6887.779459160994</v>
      </c>
      <c r="D32" s="397">
        <f ca="1">-I32/(Geometria!$L$48/100^2)-J32/(Geometria!$L$53/100^3)+Geometria!$L$898/(Geometria!$L$53/100^3)</f>
        <v>-6887.779459160994</v>
      </c>
      <c r="E32" s="400">
        <f ca="1">(((Geometria!$L$324*(Geometria!$L$897*100))/Geometria!$N$1308))</f>
        <v>40.92340087322139</v>
      </c>
      <c r="F32" s="743">
        <f ca="1">-'Perdas por Seção'!$D$101/(Geometria!$L$48/100^2)-'Perdas por Seção'!$D$102/(Geometria!$L$53/100^3)+Geometria!$L$898/(Geometria!$L$53/100^3)</f>
        <v>-23008.085289604962</v>
      </c>
      <c r="G32" s="743"/>
      <c r="I32" s="373">
        <f ca="1">Geometria!$L$298*E32+Geometria!$L$300*E9</f>
        <v>458.3420897800795</v>
      </c>
      <c r="J32" s="373">
        <f ca="1">Geometria!$L$298*E32*Geometria!$L$299/100-Geometria!$L$300*E9*Geometria!$L$301/100</f>
        <v>85.93914183376492</v>
      </c>
      <c r="K32" s="365"/>
      <c r="M32" s="122" t="s">
        <v>430</v>
      </c>
      <c r="N32" s="198" t="str">
        <f ca="1">IF(Geometria!$L$437&lt;Geometria!$N$1308/100,"Reduzir","OK")</f>
        <v>Reduzir</v>
      </c>
      <c r="O32" s="401">
        <f t="shared" ca="1" si="6"/>
        <v>-416.5000928822924</v>
      </c>
      <c r="P32" s="402">
        <f ca="1">-(U32/(Geometria!$L$48/100^2))-(V32/(Geometria!$L$53/100^3))+(('Cargas adicionais'!$O$244)/(Geometria!$L$53/100^3))+(('Cargas adicionais'!$R$244)/(Geometria!$M$53/100^3))+((Geometria!$L$76*'Cargas adicionais'!$U$244)/(Geometria!$M$53/100^3))</f>
        <v>-416.5000928822924</v>
      </c>
      <c r="Q32" s="400">
        <f ca="1">(((Geometria!$N$368*(Geometria!$L$897*100))/Geometria!$N$1308))</f>
        <v>34.4924974936786</v>
      </c>
      <c r="R32" s="754">
        <f ca="1">-('Perdas por Seção'!$D$99/(Geometria!$L$48/100^2))-('Perdas por Seção'!$D$100/(Geometria!$L$53/100^3))+(('Cargas adicionais'!$O$244)/(Geometria!$L$53/100^3))+(('Cargas adicionais'!$R$244)/(Geometria!$M$53/100^3))+((Geometria!$L$76*'Cargas adicionais'!$U$244)/(Geometria!$M$53/100^3))</f>
        <v>-12123.680517448132</v>
      </c>
      <c r="S32" s="754"/>
      <c r="U32" s="373">
        <f ca="1">Geometria!$L$298*Q32+Geometria!$L$300*Q9</f>
        <v>386.31597192920026</v>
      </c>
      <c r="V32" s="373">
        <f ca="1">Geometria!$L$298*Q32*Geometria!$L$299/100-Geometria!$L$300*Q9*Geometria!$L$301/100</f>
        <v>72.43424473672505</v>
      </c>
      <c r="W32" s="365"/>
      <c r="Y32" s="122" t="s">
        <v>430</v>
      </c>
      <c r="Z32" s="198" t="str">
        <f ca="1">IF(Geometria!$L$437&lt;Geometria!$N$1308/100,"Reduzir","OK")</f>
        <v>Reduzir</v>
      </c>
      <c r="AA32" s="401">
        <f t="shared" ca="1" si="7"/>
        <v>-416.5000928822924</v>
      </c>
      <c r="AB32" s="402">
        <f ca="1">-(AG32/(Geometria!$L$48/100^2))-(AH32/(Geometria!$L$53/100^3))+(('Cargas adicionais'!$O$244)/(Geometria!$L$53/100^3))+(('Cargas adicionais'!$R$244)/(Geometria!$M$53/100^3))+((Geometria!$L$76*'Cargas adicionais'!$U$244)/(Geometria!$M$53/100^3))</f>
        <v>-416.5000928822924</v>
      </c>
      <c r="AC32" s="400">
        <f ca="1">(((Geometria!$N$368*(Geometria!$L$897*100))/Geometria!$N$1308))</f>
        <v>34.4924974936786</v>
      </c>
      <c r="AD32" s="751">
        <f ca="1">-('Perdas por Seção'!$D$99/(Geometria!$L$48/100^2))-('Perdas por Seção'!$D$100/(Geometria!$L$53/100^3))+(('Cargas adicionais'!$O$244)/(Geometria!$L$53/100^3))+(('Cargas adicionais'!$R$244)/(Geometria!$M$53/100^3))</f>
        <v>-14656.652659759236</v>
      </c>
      <c r="AE32" s="751"/>
      <c r="AG32" s="373">
        <f ca="1">Geometria!$L$298*AC32+Geometria!$L$300*AC9</f>
        <v>386.31597192920026</v>
      </c>
      <c r="AH32" s="373">
        <f ca="1">Geometria!$L$298*AC32*Geometria!$L$299/100-Geometria!$L$300*AC9*Geometria!$L$301/100</f>
        <v>72.43424473672505</v>
      </c>
      <c r="AI32" s="365"/>
      <c r="AK32" s="122" t="s">
        <v>430</v>
      </c>
      <c r="AL32" s="198" t="str">
        <f ca="1">IF(Geometria!$L$437&lt;Geometria!$N$1308/100,"Reduzir","OK")</f>
        <v>Reduzir</v>
      </c>
      <c r="AM32" s="401">
        <f t="shared" ca="1" si="8"/>
        <v>-416.5000928822924</v>
      </c>
      <c r="AN32" s="402">
        <f ca="1">-(AS32/(Geometria!$L$48/100^2))-(AT32/(Geometria!$L$53/100^3))+(('Cargas adicionais'!$O$244)/(Geometria!$L$53/100^3))+(('Cargas adicionais'!$R$244)/(Geometria!$M$53/100^3))+((Geometria!$L$76*'Cargas adicionais'!$U$244)/(Geometria!$M$53/100^3))</f>
        <v>-416.5000928822924</v>
      </c>
      <c r="AO32" s="400">
        <f ca="1">(((Geometria!$N$368*(Geometria!$L$897*100))/Geometria!$N$1308))</f>
        <v>34.4924974936786</v>
      </c>
      <c r="AP32" s="751">
        <f ca="1">-('Perdas por Seção'!$D$99/(Geometria!$L$48/100^2))-('Perdas por Seção'!$D$100/(Geometria!$L$53/100^3))+((Geometria!$L$673)/(Geometria!$L$53/100^3))+((Geometria!$L$684)/(Geometria!$M$53/100^3))+((Geometria!$L$77*Geometria!$L$695)/(Geometria!$M$53/100^3))</f>
        <v>-12968.004564885166</v>
      </c>
      <c r="AQ32" s="751"/>
      <c r="AS32" s="373">
        <f ca="1">Geometria!$L$298*AO32+Geometria!$L$300*AO9</f>
        <v>386.31597192920026</v>
      </c>
      <c r="AT32" s="373">
        <f ca="1">Geometria!$L$298*AO32*Geometria!$L$299/100-Geometria!$L$300*AO9*Geometria!$L$301/100</f>
        <v>72.43424473672505</v>
      </c>
      <c r="AU32" s="365"/>
      <c r="AW32" s="122" t="s">
        <v>430</v>
      </c>
      <c r="AX32" s="198" t="str">
        <f ca="1">IF(Geometria!$L$437&lt;Geometria!$N$1308/100,"Reduzir","OK")</f>
        <v>Reduzir</v>
      </c>
      <c r="AY32" s="401">
        <f t="shared" ca="1" si="9"/>
        <v>-416.5000928822924</v>
      </c>
      <c r="AZ32" s="402">
        <f ca="1">-(BE32/(Geometria!$L$48/100^2))-(BF32/(Geometria!$L$53/100^3))+(('Cargas adicionais'!$O$244)/(Geometria!$L$53/100^3))+(('Cargas adicionais'!$R$244)/(Geometria!$M$53/100^3))+((Geometria!$L$76*'Cargas adicionais'!$U$244)/(Geometria!$M$53/100^3))</f>
        <v>-416.5000928822924</v>
      </c>
      <c r="BA32" s="400">
        <f ca="1">(((Geometria!$N$368*(Geometria!$L$897*100))/Geometria!$N$1308))</f>
        <v>34.4924974936786</v>
      </c>
      <c r="BB32" s="751">
        <f ca="1">-('Perdas por Seção'!$D$99/(Geometria!$L$48/100^2))-('Perdas por Seção'!$D$100/(Geometria!$L$53/100^3))+((Geometria!$L$673)/(Geometria!$L$53/100^3))+((Geometria!$L$684)/(Geometria!$M$53/100^3))</f>
        <v>-14656.652659759236</v>
      </c>
      <c r="BC32" s="751"/>
      <c r="BE32" s="373">
        <f ca="1">Geometria!$L$298*BA32+Geometria!$L$300*BA9</f>
        <v>386.31597192920026</v>
      </c>
      <c r="BF32" s="373">
        <f ca="1">Geometria!$L$298*BA32*Geometria!$L$299/100-Geometria!$L$300*BA9*Geometria!$L$301/100</f>
        <v>72.43424473672505</v>
      </c>
      <c r="BG32" s="365"/>
    </row>
    <row r="33" spans="1:62" x14ac:dyDescent="0.25">
      <c r="A33" s="4" t="s">
        <v>431</v>
      </c>
      <c r="B33" s="198" t="str">
        <f ca="1">IF(Geometria!$M$437&lt;Geometria!$N$1308/100,"Reduzir","OK")</f>
        <v>Reduzir</v>
      </c>
      <c r="C33" s="396">
        <f t="shared" ca="1" si="5"/>
        <v>-14208.521170926155</v>
      </c>
      <c r="D33" s="397">
        <f ca="1">-I33/(Geometria!$L$48/100^2)-J33/(Geometria!$L$53/100^3)+Geometria!$L$898/(Geometria!$L$53/100^3)</f>
        <v>-14208.521170926155</v>
      </c>
      <c r="E33" s="400">
        <f ca="1">((Geometria!$L$324*(Geometria!$M$897*100))/Geometria!$N$1308)</f>
        <v>81.84680174644278</v>
      </c>
      <c r="F33" s="743">
        <f ca="1">-'Perdas por Seção'!$E$101/(Geometria!$L$48/100^2)-'Perdas por Seção'!$E$102/(Geometria!$L$53/100^3)+Geometria!$M$898/(Geometria!$L$53/100^3)</f>
        <v>-22646.844699000205</v>
      </c>
      <c r="G33" s="743"/>
      <c r="I33" s="373">
        <f ca="1">Geometria!$L$298*E33+Geometria!$L$300*E10</f>
        <v>916.684179560159</v>
      </c>
      <c r="J33" s="373">
        <f ca="1">Geometria!$L$298*E33*Geometria!$L$299/100-Geometria!$L$300*E10*Geometria!$L$301/100</f>
        <v>171.87828366752984</v>
      </c>
      <c r="K33" s="365"/>
      <c r="M33" s="122" t="s">
        <v>431</v>
      </c>
      <c r="N33" s="198" t="str">
        <f ca="1">IF(Geometria!$M$437&lt;Geometria!$N$1308/100,"Reduzir","OK")</f>
        <v>Reduzir</v>
      </c>
      <c r="O33" s="401">
        <f t="shared" ca="1" si="6"/>
        <v>-1438.665918266127</v>
      </c>
      <c r="P33" s="403">
        <f ca="1">-(U33/(Geometria!$L$48/100^2))-(V33/(Geometria!$L$53/100^3))+(('Cargas adicionais'!$O$245)/(Geometria!$L$53/100^3))+(('Cargas adicionais'!$R$245)/(Geometria!$M$53/100^3))+((Geometria!$L$76*'Cargas adicionais'!$U$245)/(Geometria!$M$53/100^3))</f>
        <v>-1438.665918266127</v>
      </c>
      <c r="Q33" s="400">
        <f ca="1">((Geometria!$N$368*(Geometria!$M$897*100))/Geometria!$N$1308)</f>
        <v>68.9849949873572</v>
      </c>
      <c r="R33" s="751">
        <f ca="1">-('Perdas por Seção'!$E$99/(Geometria!$L$48/100^2))-('Perdas por Seção'!$E$100/(Geometria!$L$53/100^3))+(('Cargas adicionais'!$O$245)/(Geometria!$L$53/100^3))+(('Cargas adicionais'!$R$245)/(Geometria!$M$53/100^3))+((Geometria!$L$76*'Cargas adicionais'!$U$245)/(Geometria!$M$53/100^3))</f>
        <v>-7392.425730394449</v>
      </c>
      <c r="S33" s="751"/>
      <c r="U33" s="373">
        <f ca="1">Geometria!$L$298*Q33+Geometria!$L$300*Q10</f>
        <v>772.6319438584005</v>
      </c>
      <c r="V33" s="373">
        <f ca="1">Geometria!$L$298*Q33*Geometria!$L$299/100-Geometria!$L$300*Q10*Geometria!$L$301/100</f>
        <v>144.8684894734501</v>
      </c>
      <c r="W33" s="365"/>
      <c r="Y33" s="122" t="s">
        <v>431</v>
      </c>
      <c r="Z33" s="198" t="str">
        <f ca="1">IF(Geometria!$M$437&lt;Geometria!$N$1308/100,"Reduzir","OK")</f>
        <v>Reduzir</v>
      </c>
      <c r="AA33" s="401">
        <f t="shared" ca="1" si="7"/>
        <v>-1438.665918266127</v>
      </c>
      <c r="AB33" s="403">
        <f ca="1">-(AG33/(Geometria!$L$48/100^2))-(AH33/(Geometria!$L$53/100^3))+(('Cargas adicionais'!$O$245)/(Geometria!$L$53/100^3))+(('Cargas adicionais'!$R$245)/(Geometria!$M$53/100^3))+((Geometria!$L$76*'Cargas adicionais'!$U$245)/(Geometria!$M$53/100^3))</f>
        <v>-1438.665918266127</v>
      </c>
      <c r="AC33" s="400">
        <f ca="1">((Geometria!$N$368*(Geometria!$M$897*100))/Geometria!$N$1308)</f>
        <v>68.9849949873572</v>
      </c>
      <c r="AD33" s="751">
        <f ca="1">-('Perdas por Seção'!$E$99/(Geometria!$L$48/100^2))-('Perdas por Seção'!$E$100/(Geometria!$L$53/100^3))+(('Cargas adicionais'!$O$245)/(Geometria!$L$53/100^3))+(('Cargas adicionais'!$R$245)/(Geometria!$M$53/100^3))</f>
        <v>-12191.741368457593</v>
      </c>
      <c r="AE33" s="751"/>
      <c r="AG33" s="373">
        <f ca="1">Geometria!$L$298*AC33+Geometria!$L$300*AC10</f>
        <v>772.6319438584005</v>
      </c>
      <c r="AH33" s="373">
        <f ca="1">Geometria!$L$298*AC33*Geometria!$L$299/100-Geometria!$L$300*AC10*Geometria!$L$301/100</f>
        <v>144.8684894734501</v>
      </c>
      <c r="AI33" s="365"/>
      <c r="AK33" s="122" t="s">
        <v>431</v>
      </c>
      <c r="AL33" s="198" t="str">
        <f ca="1">IF(Geometria!$M$437&lt;Geometria!$N$1308/100,"Reduzir","OK")</f>
        <v>Reduzir</v>
      </c>
      <c r="AM33" s="401">
        <f t="shared" ca="1" si="8"/>
        <v>-1438.665918266127</v>
      </c>
      <c r="AN33" s="403">
        <f ca="1">-(AS33/(Geometria!$L$48/100^2))-(AT33/(Geometria!$L$53/100^3))+(('Cargas adicionais'!$O$245)/(Geometria!$L$53/100^3))+(('Cargas adicionais'!$R$245)/(Geometria!$M$53/100^3))+((Geometria!$L$76*'Cargas adicionais'!$U$245)/(Geometria!$M$53/100^3))</f>
        <v>-1438.665918266127</v>
      </c>
      <c r="AO33" s="400">
        <f ca="1">((Geometria!$N$368*(Geometria!$M$897*100))/Geometria!$N$1308)</f>
        <v>68.9849949873572</v>
      </c>
      <c r="AP33" s="751">
        <f ca="1">-('Perdas por Seção'!$E$99/(Geometria!$L$48/100^2))-('Perdas por Seção'!$E$100/(Geometria!$L$53/100^3))+((Geometria!$M$673)/(Geometria!$L$53/100^3))+((Geometria!$M$684)/(Geometria!$M$53/100^3))+((Geometria!$L$77*Geometria!$M$695)/(Geometria!$M$53/100^3))</f>
        <v>-8992.19760974883</v>
      </c>
      <c r="AQ33" s="751"/>
      <c r="AS33" s="373">
        <f ca="1">Geometria!$L$298*AO33+Geometria!$L$300*AO10</f>
        <v>772.6319438584005</v>
      </c>
      <c r="AT33" s="373">
        <f ca="1">Geometria!$L$298*AO33*Geometria!$L$299/100-Geometria!$L$300*AO10*Geometria!$L$301/100</f>
        <v>144.8684894734501</v>
      </c>
      <c r="AU33" s="365"/>
      <c r="AW33" s="122" t="s">
        <v>431</v>
      </c>
      <c r="AX33" s="198" t="str">
        <f ca="1">IF(Geometria!$M$437&lt;Geometria!$N$1308/100,"Reduzir","OK")</f>
        <v>Reduzir</v>
      </c>
      <c r="AY33" s="401">
        <f t="shared" ca="1" si="9"/>
        <v>-1438.665918266127</v>
      </c>
      <c r="AZ33" s="403">
        <f ca="1">-(BE33/(Geometria!$L$48/100^2))-(BF33/(Geometria!$L$53/100^3))+(('Cargas adicionais'!$O$245)/(Geometria!$L$53/100^3))+(('Cargas adicionais'!$R$245)/(Geometria!$M$53/100^3))+((Geometria!$L$76*'Cargas adicionais'!$U$245)/(Geometria!$M$53/100^3))</f>
        <v>-1438.665918266127</v>
      </c>
      <c r="BA33" s="400">
        <f ca="1">((Geometria!$N$368*(Geometria!$M$897*100))/Geometria!$N$1308)</f>
        <v>68.9849949873572</v>
      </c>
      <c r="BB33" s="751">
        <f ca="1">-('Perdas por Seção'!$E$99/(Geometria!$L$48/100^2))-('Perdas por Seção'!$E$100/(Geometria!$L$53/100^3))+((Geometria!$M$673)/(Geometria!$L$53/100^3))+((Geometria!$M$684)/(Geometria!$M$53/100^3))</f>
        <v>-12191.741368457593</v>
      </c>
      <c r="BC33" s="751"/>
      <c r="BE33" s="373">
        <f ca="1">Geometria!$L$298*BA33+Geometria!$L$300*BA10</f>
        <v>772.6319438584005</v>
      </c>
      <c r="BF33" s="373">
        <f ca="1">Geometria!$L$298*BA33*Geometria!$L$299/100-Geometria!$L$300*BA10*Geometria!$L$301/100</f>
        <v>144.8684894734501</v>
      </c>
      <c r="BG33" s="365"/>
      <c r="BJ33" s="61"/>
    </row>
    <row r="34" spans="1:62" x14ac:dyDescent="0.25">
      <c r="A34" s="4" t="s">
        <v>432</v>
      </c>
      <c r="B34" s="198" t="str">
        <f ca="1">IF(Geometria!$N$437&lt;Geometria!$N$1308/100,"Reduzir","OK")</f>
        <v>Reduzir</v>
      </c>
      <c r="C34" s="396">
        <f t="shared" ca="1" si="5"/>
        <v>-21529.262882691306</v>
      </c>
      <c r="D34" s="397">
        <f ca="1">-I34/(Geometria!$L$48/100^2)-J34/(Geometria!$L$53/100^3)+Geometria!$L$898/(Geometria!$L$53/100^3)</f>
        <v>-21529.262882691306</v>
      </c>
      <c r="E34" s="400">
        <f ca="1">((Geometria!$L$324*(Geometria!$N$897*100))/Geometria!$N$1308)</f>
        <v>122.77020261966413</v>
      </c>
      <c r="F34" s="743">
        <f ca="1">-'Perdas por Seção'!$F$101/(Geometria!$L$48/100^2)-'Perdas por Seção'!$F$102/(Geometria!$L$53/100^3)+Geometria!$N$898/(Geometria!$L$53/100^3)</f>
        <v>-22328.103001407773</v>
      </c>
      <c r="G34" s="743"/>
      <c r="I34" s="373">
        <f ca="1">Geometria!$L$298*E34+Geometria!$L$300*E11</f>
        <v>1375.0262693402383</v>
      </c>
      <c r="J34" s="373">
        <f ca="1">Geometria!$L$298*E34*Geometria!$L$299/100-Geometria!$L$300*E11*Geometria!$L$301/100</f>
        <v>257.8174255012947</v>
      </c>
      <c r="K34" s="365"/>
      <c r="M34" s="122" t="s">
        <v>432</v>
      </c>
      <c r="N34" s="198" t="str">
        <f ca="1">IF(Geometria!$N$437&lt;Geometria!$N$1308/100,"Reduzir","OK")</f>
        <v>Reduzir</v>
      </c>
      <c r="O34" s="401">
        <f t="shared" ca="1" si="6"/>
        <v>-3066.497476151507</v>
      </c>
      <c r="P34" s="403">
        <f ca="1">-(U34/(Geometria!$L$48/100^2))-(V34/(Geometria!$L$53/100^3))+(('Cargas adicionais'!$O$246)/(Geometria!$L$53/100^3))+(('Cargas adicionais'!$R$246)/(Geometria!$M$53/100^3))+((Geometria!$L$76*'Cargas adicionais'!$U$246)/(Geometria!$M$53/100^3))</f>
        <v>-3066.497476151507</v>
      </c>
      <c r="Q34" s="400">
        <f ca="1">((Geometria!$N$368*(Geometria!$N$897*100))/Geometria!$N$1308)</f>
        <v>103.47749248103581</v>
      </c>
      <c r="R34" s="751">
        <f ca="1">-('Perdas por Seção'!$F$99/(Geometria!$L$48/100^2))-('Perdas por Seção'!$F$100/(Geometria!$L$53/100^3))+(('Cargas adicionais'!$O$246)/(Geometria!$L$53/100^3))+(('Cargas adicionais'!$R$246)/(Geometria!$M$53/100^3))+((Geometria!$L$76*'Cargas adicionais'!$U$246)/(Geometria!$M$53/100^3))</f>
        <v>-3217.6484747016757</v>
      </c>
      <c r="S34" s="751"/>
      <c r="U34" s="373">
        <f ca="1">Geometria!$L$298*Q34+Geometria!$L$300*Q11</f>
        <v>1158.947915787601</v>
      </c>
      <c r="V34" s="373">
        <f ca="1">Geometria!$L$298*Q34*Geometria!$L$299/100-Geometria!$L$300*Q11*Geometria!$L$301/100</f>
        <v>217.30273421017517</v>
      </c>
      <c r="W34" s="365"/>
      <c r="Y34" s="122" t="s">
        <v>432</v>
      </c>
      <c r="Z34" s="198" t="str">
        <f ca="1">IF(Geometria!$N$437&lt;Geometria!$N$1308/100,"Reduzir","OK")</f>
        <v>Reduzir</v>
      </c>
      <c r="AA34" s="401">
        <f t="shared" ca="1" si="7"/>
        <v>-3066.497476151507</v>
      </c>
      <c r="AB34" s="403">
        <f ca="1">-(AG34/(Geometria!$L$48/100^2))-(AH34/(Geometria!$L$53/100^3))+(('Cargas adicionais'!$O$246)/(Geometria!$L$53/100^3))+(('Cargas adicionais'!$R$246)/(Geometria!$M$53/100^3))+((Geometria!$L$76*'Cargas adicionais'!$U$246)/(Geometria!$M$53/100^3))</f>
        <v>-3066.497476151507</v>
      </c>
      <c r="AC34" s="400">
        <f ca="1">((Geometria!$N$368*(Geometria!$N$897*100))/Geometria!$N$1308)</f>
        <v>103.47749248103581</v>
      </c>
      <c r="AD34" s="751">
        <f ca="1">-('Perdas por Seção'!$F$99/(Geometria!$L$48/100^2))-('Perdas por Seção'!$F$100/(Geometria!$L$53/100^3))+(('Cargas adicionais'!$O$246)/(Geometria!$L$53/100^3))+(('Cargas adicionais'!$R$246)/(Geometria!$M$53/100^3))</f>
        <v>-10016.678961957796</v>
      </c>
      <c r="AE34" s="751"/>
      <c r="AG34" s="373">
        <f ca="1">Geometria!$L$298*AC34+Geometria!$L$300*AC11</f>
        <v>1158.947915787601</v>
      </c>
      <c r="AH34" s="373">
        <f ca="1">Geometria!$L$298*AC34*Geometria!$L$299/100-Geometria!$L$300*AC11*Geometria!$L$301/100</f>
        <v>217.30273421017517</v>
      </c>
      <c r="AI34" s="365"/>
      <c r="AK34" s="122" t="s">
        <v>432</v>
      </c>
      <c r="AL34" s="198" t="str">
        <f ca="1">IF(Geometria!$N$437&lt;Geometria!$N$1308/100,"Reduzir","OK")</f>
        <v>Reduzir</v>
      </c>
      <c r="AM34" s="401">
        <f t="shared" ca="1" si="8"/>
        <v>-3066.497476151507</v>
      </c>
      <c r="AN34" s="403">
        <f ca="1">-(AS34/(Geometria!$L$48/100^2))-(AT34/(Geometria!$L$53/100^3))+(('Cargas adicionais'!$O$246)/(Geometria!$L$53/100^3))+(('Cargas adicionais'!$R$246)/(Geometria!$M$53/100^3))+((Geometria!$L$76*'Cargas adicionais'!$U$246)/(Geometria!$M$53/100^3))</f>
        <v>-3066.497476151507</v>
      </c>
      <c r="AO34" s="400">
        <f ca="1">((Geometria!$N$368*(Geometria!$N$897*100))/Geometria!$N$1308)</f>
        <v>103.47749248103581</v>
      </c>
      <c r="AP34" s="751">
        <f ca="1">-('Perdas por Seção'!$F$99/(Geometria!$L$48/100^2))-('Perdas por Seção'!$F$100/(Geometria!$L$53/100^3))+((Geometria!$N$673)/(Geometria!$L$53/100^3))+((Geometria!$N$684)/(Geometria!$M$53/100^3))+((Geometria!$L$77*Geometria!$N$695)/(Geometria!$M$53/100^3))</f>
        <v>-5483.991970453715</v>
      </c>
      <c r="AQ34" s="751"/>
      <c r="AS34" s="373">
        <f ca="1">Geometria!$L$298*AO34+Geometria!$L$300*AO11</f>
        <v>1158.947915787601</v>
      </c>
      <c r="AT34" s="373">
        <f ca="1">Geometria!$L$298*AO34*Geometria!$L$299/100-Geometria!$L$300*AO11*Geometria!$L$301/100</f>
        <v>217.30273421017517</v>
      </c>
      <c r="AU34" s="365"/>
      <c r="AW34" s="122" t="s">
        <v>432</v>
      </c>
      <c r="AX34" s="198" t="str">
        <f ca="1">IF(Geometria!$N$437&lt;Geometria!$N$1308/100,"Reduzir","OK")</f>
        <v>Reduzir</v>
      </c>
      <c r="AY34" s="401">
        <f t="shared" ca="1" si="9"/>
        <v>-3066.497476151507</v>
      </c>
      <c r="AZ34" s="403">
        <f ca="1">-(BE34/(Geometria!$L$48/100^2))-(BF34/(Geometria!$L$53/100^3))+(('Cargas adicionais'!$O$246)/(Geometria!$L$53/100^3))+(('Cargas adicionais'!$R$246)/(Geometria!$M$53/100^3))+((Geometria!$L$76*'Cargas adicionais'!$U$246)/(Geometria!$M$53/100^3))</f>
        <v>-3066.497476151507</v>
      </c>
      <c r="BA34" s="400">
        <f ca="1">((Geometria!$N$368*(Geometria!$N$897*100))/Geometria!$N$1308)</f>
        <v>103.47749248103581</v>
      </c>
      <c r="BB34" s="751">
        <f ca="1">-('Perdas por Seção'!$F$99/(Geometria!$L$48/100^2))-('Perdas por Seção'!$F$100/(Geometria!$L$53/100^3))+((Geometria!$N$673)/(Geometria!$L$53/100^3))+((Geometria!$N$684)/(Geometria!$M$53/100^3))</f>
        <v>-10016.678961957796</v>
      </c>
      <c r="BC34" s="751"/>
      <c r="BE34" s="373">
        <f ca="1">Geometria!$L$298*BA34+Geometria!$L$300*BA11</f>
        <v>1158.947915787601</v>
      </c>
      <c r="BF34" s="373">
        <f ca="1">Geometria!$L$298*BA34*Geometria!$L$299/100-Geometria!$L$300*BA11*Geometria!$L$301/100</f>
        <v>217.30273421017517</v>
      </c>
      <c r="BG34" s="365"/>
      <c r="BJ34" s="61"/>
    </row>
    <row r="35" spans="1:62" x14ac:dyDescent="0.25">
      <c r="A35" s="4" t="s">
        <v>433</v>
      </c>
      <c r="B35" s="198" t="str">
        <f ca="1">IF(Geometria!$O$437&lt;Geometria!$N$1308/100,"Reduzir","OK")</f>
        <v>OK</v>
      </c>
      <c r="C35" s="396">
        <f t="shared" ca="1" si="5"/>
        <v>-22051.860196827667</v>
      </c>
      <c r="D35" s="397">
        <f ca="1">-I35/(Geometria!$L$48/100^2)-J35/(Geometria!$L$53/100^3)+Geometria!$L$898/(Geometria!$L$53/100^3)</f>
        <v>-28850.004594456474</v>
      </c>
      <c r="E35" s="400">
        <f ca="1">((Geometria!$L$324*(Geometria!$O$897*100))/Geometria!$N$1308)</f>
        <v>163.69360349288556</v>
      </c>
      <c r="F35" s="743">
        <f ca="1">-'Perdas por Seção'!$G$101/(Geometria!$L$48/100^2)-'Perdas por Seção'!$G$102/(Geometria!$L$53/100^3)+Geometria!$O$898/(Geometria!$L$53/100^3)</f>
        <v>-22051.860196827667</v>
      </c>
      <c r="G35" s="743"/>
      <c r="I35" s="373">
        <f ca="1">Geometria!$L$298*E35+Geometria!$L$300*E12</f>
        <v>1833.368359120318</v>
      </c>
      <c r="J35" s="373">
        <f ca="1">Geometria!$L$298*E35*Geometria!$L$299/100-Geometria!$L$300*E12*Geometria!$L$301/100</f>
        <v>343.7565673350597</v>
      </c>
      <c r="K35" s="365"/>
      <c r="M35" s="122" t="s">
        <v>433</v>
      </c>
      <c r="N35" s="198" t="str">
        <f ca="1">IF(Geometria!$O$437&lt;Geometria!$N$1308/100,"Reduzir","OK")</f>
        <v>OK</v>
      </c>
      <c r="O35" s="401">
        <f t="shared" ca="1" si="6"/>
        <v>400.5984726926308</v>
      </c>
      <c r="P35" s="403">
        <f ca="1">-(U35/(Geometria!$L$48/100^2))-(V35/(Geometria!$L$53/100^3))+(('Cargas adicionais'!$O$247)/(Geometria!$L$53/100^3))+(('Cargas adicionais'!$R$247)/(Geometria!$M$53/100^3))+((Geometria!$L$76*'Cargas adicionais'!$U$247)/(Geometria!$M$53/100^3))</f>
        <v>-5299.994766538426</v>
      </c>
      <c r="Q35" s="400">
        <f ca="1">((Geometria!$N$368*(Geometria!$O$897*100))/Geometria!$N$1308)</f>
        <v>137.9699899747144</v>
      </c>
      <c r="R35" s="751">
        <f ca="1">-('Perdas por Seção'!$G$99/(Geometria!$L$48/100^2))-('Perdas por Seção'!$G$100/(Geometria!$L$53/100^3))+(('Cargas adicionais'!$O$247)/(Geometria!$L$53/100^3))+(('Cargas adicionais'!$R$247)/(Geometria!$M$53/100^3))+((Geometria!$L$76*'Cargas adicionais'!$U$247)/(Geometria!$M$53/100^3))</f>
        <v>400.5984726926308</v>
      </c>
      <c r="S35" s="751"/>
      <c r="U35" s="373">
        <f ca="1">Geometria!$L$298*Q35+Geometria!$L$300*Q12</f>
        <v>1545.263887716801</v>
      </c>
      <c r="V35" s="373">
        <f ca="1">Geometria!$L$298*Q35*Geometria!$L$299/100-Geometria!$L$300*Q12*Geometria!$L$301/100</f>
        <v>289.7369789469002</v>
      </c>
      <c r="W35" s="365"/>
      <c r="Y35" s="122" t="s">
        <v>433</v>
      </c>
      <c r="Z35" s="198" t="str">
        <f ca="1">IF(Geometria!$O$437&lt;Geometria!$N$1308/100,"Reduzir","OK")</f>
        <v>OK</v>
      </c>
      <c r="AA35" s="401">
        <f t="shared" ca="1" si="7"/>
        <v>-8131.518217197403</v>
      </c>
      <c r="AB35" s="403">
        <f ca="1">-(AG35/(Geometria!$L$48/100^2))-(AH35/(Geometria!$L$53/100^3))+(('Cargas adicionais'!$O$247)/(Geometria!$L$53/100^3))+(('Cargas adicionais'!$R$247)/(Geometria!$M$53/100^3))+((Geometria!$L$76*'Cargas adicionais'!$U$247)/(Geometria!$M$53/100^3))</f>
        <v>-5299.994766538426</v>
      </c>
      <c r="AC35" s="400">
        <f ca="1">((Geometria!$N$368*(Geometria!$O$897*100))/Geometria!$N$1308)</f>
        <v>137.9699899747144</v>
      </c>
      <c r="AD35" s="751">
        <f ca="1">-('Perdas por Seção'!$G$99/(Geometria!$L$48/100^2))-('Perdas por Seção'!$G$100/(Geometria!$L$53/100^3))+(('Cargas adicionais'!$O$247)/(Geometria!$L$53/100^3))+(('Cargas adicionais'!$R$247)/(Geometria!$M$53/100^3))</f>
        <v>-8131.518217197403</v>
      </c>
      <c r="AE35" s="751"/>
      <c r="AG35" s="373">
        <f ca="1">Geometria!$L$298*AC35+Geometria!$L$300*AC12</f>
        <v>1545.263887716801</v>
      </c>
      <c r="AH35" s="373">
        <f ca="1">Geometria!$L$298*AC35*Geometria!$L$299/100-Geometria!$L$300*AC12*Geometria!$L$301/100</f>
        <v>289.7369789469002</v>
      </c>
      <c r="AI35" s="365"/>
      <c r="AK35" s="122" t="s">
        <v>433</v>
      </c>
      <c r="AL35" s="198" t="str">
        <f ca="1">IF(Geometria!$O$437&lt;Geometria!$N$1308/100,"Reduzir","OK")</f>
        <v>OK</v>
      </c>
      <c r="AM35" s="401">
        <f t="shared" ca="1" si="8"/>
        <v>-2443.44042393738</v>
      </c>
      <c r="AN35" s="403">
        <f ca="1">-(AS35/(Geometria!$L$48/100^2))-(AT35/(Geometria!$L$53/100^3))+(('Cargas adicionais'!$O$247)/(Geometria!$L$53/100^3))+(('Cargas adicionais'!$R$247)/(Geometria!$M$53/100^3))+((Geometria!$L$76*'Cargas adicionais'!$U$247)/(Geometria!$M$53/100^3))</f>
        <v>-5299.994766538426</v>
      </c>
      <c r="AO35" s="400">
        <f ca="1">((Geometria!$N$368*(Geometria!$O$897*100))/Geometria!$N$1308)</f>
        <v>137.9699899747144</v>
      </c>
      <c r="AP35" s="751">
        <f ca="1">-('Perdas por Seção'!$G$99/(Geometria!$L$48/100^2))-('Perdas por Seção'!$G$100/(Geometria!$L$53/100^3))+((Geometria!$O$673)/(Geometria!$L$53/100^3))+((Geometria!$O$684)/(Geometria!$M$53/100^3))+((Geometria!$L$77*Geometria!$O$695)/(Geometria!$M$53/100^3))</f>
        <v>-2443.44042393738</v>
      </c>
      <c r="AQ35" s="751"/>
      <c r="AS35" s="373">
        <f ca="1">Geometria!$L$298*AO35+Geometria!$L$300*AO12</f>
        <v>1545.263887716801</v>
      </c>
      <c r="AT35" s="373">
        <f ca="1">Geometria!$L$298*AO35*Geometria!$L$299/100-Geometria!$L$300*AO12*Geometria!$L$301/100</f>
        <v>289.7369789469002</v>
      </c>
      <c r="AU35" s="365"/>
      <c r="AW35" s="122" t="s">
        <v>433</v>
      </c>
      <c r="AX35" s="198" t="str">
        <f ca="1">IF(Geometria!$O$437&lt;Geometria!$N$1308/100,"Reduzir","OK")</f>
        <v>OK</v>
      </c>
      <c r="AY35" s="401">
        <f t="shared" ca="1" si="9"/>
        <v>-8131.518217197403</v>
      </c>
      <c r="AZ35" s="403">
        <f ca="1">-(BE35/(Geometria!$L$48/100^2))-(BF35/(Geometria!$L$53/100^3))+(('Cargas adicionais'!$O$247)/(Geometria!$L$53/100^3))+(('Cargas adicionais'!$R$247)/(Geometria!$M$53/100^3))+((Geometria!$L$76*'Cargas adicionais'!$U$247)/(Geometria!$M$53/100^3))</f>
        <v>-5299.994766538426</v>
      </c>
      <c r="BA35" s="400">
        <f ca="1">((Geometria!$N$368*(Geometria!$O$897*100))/Geometria!$N$1308)</f>
        <v>137.9699899747144</v>
      </c>
      <c r="BB35" s="751">
        <f ca="1">-('Perdas por Seção'!$G$99/(Geometria!$L$48/100^2))-('Perdas por Seção'!$G$100/(Geometria!$L$53/100^3))+((Geometria!$O$673)/(Geometria!$L$53/100^3))+((Geometria!$O$684)/(Geometria!$M$53/100^3))</f>
        <v>-8131.518217197403</v>
      </c>
      <c r="BC35" s="751"/>
      <c r="BE35" s="373">
        <f ca="1">Geometria!$L$298*BA35+Geometria!$L$300*BA12</f>
        <v>1545.263887716801</v>
      </c>
      <c r="BF35" s="373">
        <f ca="1">Geometria!$L$298*BA35*Geometria!$L$299/100-Geometria!$L$300*BA12*Geometria!$L$301/100</f>
        <v>289.7369789469002</v>
      </c>
      <c r="BG35" s="365"/>
      <c r="BJ35" s="61"/>
    </row>
    <row r="36" spans="1:62" x14ac:dyDescent="0.25">
      <c r="A36" s="4" t="s">
        <v>434</v>
      </c>
      <c r="B36" s="198" t="str">
        <f ca="1">IF(Geometria!$P$437&lt;Geometria!$N$1308/100,"Reduzir","OK")</f>
        <v>OK</v>
      </c>
      <c r="C36" s="396">
        <f t="shared" ca="1" si="5"/>
        <v>-21818.116285259886</v>
      </c>
      <c r="D36" s="397">
        <f ca="1">-I36/(Geometria!$L$48/100^2)-J36/(Geometria!$L$53/100^3)+Geometria!$L$898/(Geometria!$L$53/100^3)</f>
        <v>-36170.746306221634</v>
      </c>
      <c r="E36" s="400">
        <f ca="1">((Geometria!$L$324*(Geometria!$P$897*100))/Geometria!$N$1308)</f>
        <v>204.61700436610695</v>
      </c>
      <c r="F36" s="743">
        <f ca="1">-'Perdas por Seção'!$H$101/(Geometria!$L$48/100^2)-'Perdas por Seção'!$H$102/(Geometria!$L$53/100^3)+Geometria!$P$898/(Geometria!$L$53/100^3)</f>
        <v>-21818.116285259886</v>
      </c>
      <c r="G36" s="743"/>
      <c r="I36" s="373">
        <f ca="1">Geometria!$L$298*E36+Geometria!$L$300*E13</f>
        <v>2291.7104489003978</v>
      </c>
      <c r="J36" s="373">
        <f ca="1">Geometria!$L$298*E36*Geometria!$L$299/100-Geometria!$L$300*E13*Geometria!$L$301/100</f>
        <v>429.6957091688245</v>
      </c>
      <c r="K36" s="365"/>
      <c r="M36" s="122" t="s">
        <v>434</v>
      </c>
      <c r="N36" s="198" t="str">
        <f ca="1">IF(Geometria!$P$437&lt;Geometria!$N$1308/100,"Reduzir","OK")</f>
        <v>OK</v>
      </c>
      <c r="O36" s="401">
        <f t="shared" ca="1" si="6"/>
        <v>3462.2693866874497</v>
      </c>
      <c r="P36" s="403">
        <f ca="1">-(U36/(Geometria!$L$48/100^2))-(V36/(Geometria!$L$53/100^3))+(('Cargas adicionais'!$O$248)/(Geometria!$L$53/100^3))+(('Cargas adicionais'!$R$248)/(Geometria!$M$53/100^3))+((Geometria!$L$76*'Cargas adicionais'!$U$248)/(Geometria!$M$53/100^3))</f>
        <v>-8139.157789426903</v>
      </c>
      <c r="Q36" s="400">
        <f ca="1">((Geometria!$N$368*(Geometria!$P$897*100))/Geometria!$N$1308)</f>
        <v>172.46248746839305</v>
      </c>
      <c r="R36" s="751">
        <f ca="1">-('Perdas por Seção'!$H$99/(Geometria!$L$48/100^2))-('Perdas por Seção'!$H$100/(Geometria!$L$53/100^3))+(('Cargas adicionais'!$O$248)/(Geometria!$L$53/100^3))+(('Cargas adicionais'!$R$248)/(Geometria!$M$53/100^3))+((Geometria!$L$76*'Cargas adicionais'!$U$248)/(Geometria!$M$53/100^3))</f>
        <v>3462.2693866874497</v>
      </c>
      <c r="S36" s="751"/>
      <c r="U36" s="373">
        <f ca="1">Geometria!$L$298*Q36+Geometria!$L$300*Q13</f>
        <v>1931.579859646002</v>
      </c>
      <c r="V36" s="373">
        <f ca="1">Geometria!$L$298*Q36*Geometria!$L$299/100-Geometria!$L$300*Q13*Geometria!$L$301/100</f>
        <v>362.1712236836254</v>
      </c>
      <c r="W36" s="365"/>
      <c r="Y36" s="122" t="s">
        <v>434</v>
      </c>
      <c r="Z36" s="198" t="str">
        <f ca="1">IF(Geometria!$P$437&lt;Geometria!$N$1308/100,"Reduzir","OK")</f>
        <v>OK</v>
      </c>
      <c r="AA36" s="401">
        <f t="shared" ca="1" si="7"/>
        <v>-6536.304859277433</v>
      </c>
      <c r="AB36" s="403">
        <f ca="1">-(AG36/(Geometria!$L$48/100^2))-(AH36/(Geometria!$L$53/100^3))+(('Cargas adicionais'!$O$248)/(Geometria!$L$53/100^3))+(('Cargas adicionais'!$R$248)/(Geometria!$M$53/100^3))+((Geometria!$L$76*'Cargas adicionais'!$U$248)/(Geometria!$M$53/100^3))</f>
        <v>-8139.157789426903</v>
      </c>
      <c r="AC36" s="400">
        <f ca="1">((Geometria!$N$368*(Geometria!$P$897*100))/Geometria!$N$1308)</f>
        <v>172.46248746839305</v>
      </c>
      <c r="AD36" s="751">
        <f ca="1">-('Perdas por Seção'!$H$99/(Geometria!$L$48/100^2))-('Perdas por Seção'!$H$100/(Geometria!$L$53/100^3))+(('Cargas adicionais'!$O$248)/(Geometria!$L$53/100^3))+(('Cargas adicionais'!$R$248)/(Geometria!$M$53/100^3))</f>
        <v>-6536.304859277433</v>
      </c>
      <c r="AE36" s="751"/>
      <c r="AG36" s="373">
        <f ca="1">Geometria!$L$298*AC36+Geometria!$L$300*AC13</f>
        <v>1931.579859646002</v>
      </c>
      <c r="AH36" s="373">
        <f ca="1">Geometria!$L$298*AC36*Geometria!$L$299/100-Geometria!$L$300*AC13*Geometria!$L$301/100</f>
        <v>362.1712236836254</v>
      </c>
      <c r="AI36" s="365"/>
      <c r="AK36" s="122" t="s">
        <v>434</v>
      </c>
      <c r="AL36" s="198" t="str">
        <f ca="1">IF(Geometria!$P$437&lt;Geometria!$N$1308/100,"Reduzir","OK")</f>
        <v>OK</v>
      </c>
      <c r="AM36" s="401">
        <f t="shared" ca="1" si="8"/>
        <v>129.41130469915697</v>
      </c>
      <c r="AN36" s="403">
        <f ca="1">-(AS36/(Geometria!$L$48/100^2))-(AT36/(Geometria!$L$53/100^3))+(('Cargas adicionais'!$O$248)/(Geometria!$L$53/100^3))+(('Cargas adicionais'!$R$248)/(Geometria!$M$53/100^3))+((Geometria!$L$76*'Cargas adicionais'!$U$248)/(Geometria!$M$53/100^3))</f>
        <v>-8139.157789426903</v>
      </c>
      <c r="AO36" s="400">
        <f ca="1">((Geometria!$N$368*(Geometria!$P$897*100))/Geometria!$N$1308)</f>
        <v>172.46248746839305</v>
      </c>
      <c r="AP36" s="751">
        <f ca="1">-('Perdas por Seção'!$H$99/(Geometria!$L$48/100^2))-('Perdas por Seção'!$H$100/(Geometria!$L$53/100^3))+((Geometria!$P$673)/(Geometria!$L$53/100^3))+((Geometria!$P$684)/(Geometria!$M$53/100^3))+((Geometria!$L$77*Geometria!$P$695)/(Geometria!$M$53/100^3))</f>
        <v>129.41130469915697</v>
      </c>
      <c r="AQ36" s="751"/>
      <c r="AS36" s="373">
        <f ca="1">Geometria!$L$298*AO36+Geometria!$L$300*AO13</f>
        <v>1931.579859646002</v>
      </c>
      <c r="AT36" s="373">
        <f ca="1">Geometria!$L$298*AO36*Geometria!$L$299/100-Geometria!$L$300*AO13*Geometria!$L$301/100</f>
        <v>362.1712236836254</v>
      </c>
      <c r="AU36" s="365"/>
      <c r="AW36" s="122" t="s">
        <v>434</v>
      </c>
      <c r="AX36" s="198" t="str">
        <f ca="1">IF(Geometria!$P$437&lt;Geometria!$N$1308/100,"Reduzir","OK")</f>
        <v>OK</v>
      </c>
      <c r="AY36" s="401">
        <f t="shared" ca="1" si="9"/>
        <v>-6536.304859277433</v>
      </c>
      <c r="AZ36" s="403">
        <f ca="1">-(BE36/(Geometria!$L$48/100^2))-(BF36/(Geometria!$L$53/100^3))+(('Cargas adicionais'!$O$248)/(Geometria!$L$53/100^3))+(('Cargas adicionais'!$R$248)/(Geometria!$M$53/100^3))+((Geometria!$L$76*'Cargas adicionais'!$U$248)/(Geometria!$M$53/100^3))</f>
        <v>-8139.157789426903</v>
      </c>
      <c r="BA36" s="400">
        <f ca="1">((Geometria!$N$368*(Geometria!$P$897*100))/Geometria!$N$1308)</f>
        <v>172.46248746839305</v>
      </c>
      <c r="BB36" s="751">
        <f ca="1">-('Perdas por Seção'!$H$99/(Geometria!$L$48/100^2))-('Perdas por Seção'!$H$100/(Geometria!$L$53/100^3))+((Geometria!$P$673)/(Geometria!$L$53/100^3))+((Geometria!$P$684)/(Geometria!$M$53/100^3))</f>
        <v>-6536.304859277433</v>
      </c>
      <c r="BC36" s="751"/>
      <c r="BE36" s="373">
        <f ca="1">Geometria!$L$298*BA36+Geometria!$L$300*BA13</f>
        <v>1931.579859646002</v>
      </c>
      <c r="BF36" s="373">
        <f ca="1">Geometria!$L$298*BA36*Geometria!$L$299/100-Geometria!$L$300*BA13*Geometria!$L$301/100</f>
        <v>362.1712236836254</v>
      </c>
      <c r="BG36" s="365"/>
      <c r="BJ36" s="61"/>
    </row>
    <row r="37" spans="1:62" x14ac:dyDescent="0.25">
      <c r="A37" s="4" t="s">
        <v>435</v>
      </c>
      <c r="B37" s="198" t="str">
        <f ca="1">IF(Geometria!$Q$437&lt;Geometria!$N$1308/100,"Reduzir","OK")</f>
        <v>OK</v>
      </c>
      <c r="C37" s="396">
        <f t="shared" ca="1" si="5"/>
        <v>-21626.871266704427</v>
      </c>
      <c r="D37" s="397">
        <f ca="1">-I37/(Geometria!$L$48/100^2)-J37/(Geometria!$L$53/100^3)+Geometria!$L$898/(Geometria!$L$53/100^3)</f>
        <v>-43491.48801798679</v>
      </c>
      <c r="E37" s="400">
        <f ca="1">((Geometria!$L$324*(Geometria!$Q$897*100))/Geometria!$N$1308)</f>
        <v>245.54040523932832</v>
      </c>
      <c r="F37" s="743">
        <f ca="1">-'Perdas por Seção'!$I$101/(Geometria!$L$48/100^2)-'Perdas por Seção'!$I$102/(Geometria!$L$53/100^3)+Geometria!$Q$898/(Geometria!$L$53/100^3)</f>
        <v>-21626.871266704427</v>
      </c>
      <c r="G37" s="743"/>
      <c r="I37" s="373">
        <f ca="1">Geometria!$L$298*E37+Geometria!$L$300*E14</f>
        <v>2750.052538680477</v>
      </c>
      <c r="J37" s="373">
        <f ca="1">Geometria!$L$298*E37*Geometria!$L$299/100-Geometria!$L$300*E14*Geometria!$L$301/100</f>
        <v>515.6348510025895</v>
      </c>
      <c r="K37" s="365"/>
      <c r="M37" s="122" t="s">
        <v>435</v>
      </c>
      <c r="N37" s="198" t="str">
        <f ca="1">IF(Geometria!$Q$437&lt;Geometria!$N$1308/100,"Reduzir","OK")</f>
        <v>OK</v>
      </c>
      <c r="O37" s="401">
        <f t="shared" ca="1" si="6"/>
        <v>5967.32558762093</v>
      </c>
      <c r="P37" s="403">
        <f ca="1">-(U37/(Geometria!$L$48/100^2))-(V37/(Geometria!$L$53/100^3))+(('Cargas adicionais'!$O$249)/(Geometria!$L$53/100^3))+(('Cargas adicionais'!$R$249)/(Geometria!$M$53/100^3))+((Geometria!$L$76*'Cargas adicionais'!$U$249)/(Geometria!$M$53/100^3))</f>
        <v>-11583.986544816913</v>
      </c>
      <c r="Q37" s="400">
        <f ca="1">((Geometria!$N$368*(Geometria!$Q$897*100))/Geometria!$N$1308)</f>
        <v>206.95498496207165</v>
      </c>
      <c r="R37" s="751">
        <f ca="1">-('Perdas por Seção'!$I$99/(Geometria!$L$48/100^2))-('Perdas por Seção'!$I$100/(Geometria!$L$53/100^3))+(('Cargas adicionais'!$O$249)/(Geometria!$L$53/100^3))+(('Cargas adicionais'!$R$249)/(Geometria!$M$53/100^3))+((Geometria!$L$76*'Cargas adicionais'!$U$249)/(Geometria!$M$53/100^3))</f>
        <v>5967.32558762093</v>
      </c>
      <c r="S37" s="751"/>
      <c r="U37" s="373">
        <f ca="1">Geometria!$L$298*Q37+Geometria!$L$300*Q14</f>
        <v>2317.8958315752025</v>
      </c>
      <c r="V37" s="373">
        <f ca="1">Geometria!$L$298*Q37*Geometria!$L$299/100-Geometria!$L$300*Q14*Geometria!$L$301/100</f>
        <v>434.60546842035046</v>
      </c>
      <c r="W37" s="365"/>
      <c r="Y37" s="122" t="s">
        <v>435</v>
      </c>
      <c r="Z37" s="198" t="str">
        <f ca="1">IF(Geometria!$Q$437&lt;Geometria!$N$1308/100,"Reduzir","OK")</f>
        <v>OK</v>
      </c>
      <c r="AA37" s="401">
        <f t="shared" ca="1" si="7"/>
        <v>-5231.07756785974</v>
      </c>
      <c r="AB37" s="403">
        <f ca="1">-(AG37/(Geometria!$L$48/100^2))-(AH37/(Geometria!$L$53/100^3))+(('Cargas adicionais'!$O$249)/(Geometria!$L$53/100^3))+(('Cargas adicionais'!$R$249)/(Geometria!$M$53/100^3))+((Geometria!$L$76*'Cargas adicionais'!$U$249)/(Geometria!$M$53/100^3))</f>
        <v>-11583.986544816913</v>
      </c>
      <c r="AC37" s="400">
        <f ca="1">((Geometria!$N$368*(Geometria!$Q$897*100))/Geometria!$N$1308)</f>
        <v>206.95498496207165</v>
      </c>
      <c r="AD37" s="751">
        <f ca="1">-('Perdas por Seção'!$I$99/(Geometria!$L$48/100^2))-('Perdas por Seção'!$I$100/(Geometria!$L$53/100^3))+(('Cargas adicionais'!$O$249)/(Geometria!$L$53/100^3))+(('Cargas adicionais'!$R$249)/(Geometria!$M$53/100^3))</f>
        <v>-5231.07756785974</v>
      </c>
      <c r="AE37" s="751"/>
      <c r="AG37" s="373">
        <f ca="1">Geometria!$L$298*AC37+Geometria!$L$300*AC14</f>
        <v>2317.8958315752025</v>
      </c>
      <c r="AH37" s="373">
        <f ca="1">Geometria!$L$298*AC37*Geometria!$L$299/100-Geometria!$L$300*AC14*Geometria!$L$301/100</f>
        <v>434.60546842035046</v>
      </c>
      <c r="AI37" s="365"/>
      <c r="AK37" s="122" t="s">
        <v>435</v>
      </c>
      <c r="AL37" s="198" t="str">
        <f ca="1">IF(Geometria!$Q$437&lt;Geometria!$N$1308/100,"Reduzir","OK")</f>
        <v>OK</v>
      </c>
      <c r="AM37" s="401">
        <f t="shared" ca="1" si="8"/>
        <v>2234.5245357940403</v>
      </c>
      <c r="AN37" s="403">
        <f ca="1">-(AS37/(Geometria!$L$48/100^2))-(AT37/(Geometria!$L$53/100^3))+(('Cargas adicionais'!$O$249)/(Geometria!$L$53/100^3))+(('Cargas adicionais'!$R$249)/(Geometria!$M$53/100^3))+((Geometria!$L$76*'Cargas adicionais'!$U$249)/(Geometria!$M$53/100^3))</f>
        <v>-11583.986544816913</v>
      </c>
      <c r="AO37" s="400">
        <f ca="1">((Geometria!$N$368*(Geometria!$Q$897*100))/Geometria!$N$1308)</f>
        <v>206.95498496207165</v>
      </c>
      <c r="AP37" s="751">
        <f ca="1">-('Perdas por Seção'!$I$99/(Geometria!$L$48/100^2))-('Perdas por Seção'!$I$100/(Geometria!$L$53/100^3))+((Geometria!$Q$673)/(Geometria!$L$53/100^3))+((Geometria!$Q$684)/(Geometria!$M$53/100^3))+((Geometria!$L$77*Geometria!$Q$695)/(Geometria!$M$53/100^3))</f>
        <v>2234.5245357940403</v>
      </c>
      <c r="AQ37" s="751"/>
      <c r="AS37" s="373">
        <f ca="1">Geometria!$L$298*AO37+Geometria!$L$300*AO14</f>
        <v>2317.8958315752025</v>
      </c>
      <c r="AT37" s="373">
        <f ca="1">Geometria!$L$298*AO37*Geometria!$L$299/100-Geometria!$L$300*AO14*Geometria!$L$301/100</f>
        <v>434.60546842035046</v>
      </c>
      <c r="AU37" s="365"/>
      <c r="AW37" s="122" t="s">
        <v>435</v>
      </c>
      <c r="AX37" s="198" t="str">
        <f ca="1">IF(Geometria!$Q$437&lt;Geometria!$N$1308/100,"Reduzir","OK")</f>
        <v>OK</v>
      </c>
      <c r="AY37" s="401">
        <f t="shared" ca="1" si="9"/>
        <v>-5231.07756785974</v>
      </c>
      <c r="AZ37" s="403">
        <f ca="1">-(BE37/(Geometria!$L$48/100^2))-(BF37/(Geometria!$L$53/100^3))+(('Cargas adicionais'!$O$249)/(Geometria!$L$53/100^3))+(('Cargas adicionais'!$R$249)/(Geometria!$M$53/100^3))+((Geometria!$L$76*'Cargas adicionais'!$U$249)/(Geometria!$M$53/100^3))</f>
        <v>-11583.986544816913</v>
      </c>
      <c r="BA37" s="400">
        <f ca="1">((Geometria!$N$368*(Geometria!$Q$897*100))/Geometria!$N$1308)</f>
        <v>206.95498496207165</v>
      </c>
      <c r="BB37" s="751">
        <f ca="1">-('Perdas por Seção'!$I$99/(Geometria!$L$48/100^2))-('Perdas por Seção'!$I$100/(Geometria!$L$53/100^3))+((Geometria!$Q$673)/(Geometria!$L$53/100^3))+((Geometria!$Q$684)/(Geometria!$M$53/100^3))</f>
        <v>-5231.07756785974</v>
      </c>
      <c r="BC37" s="751"/>
      <c r="BE37" s="373">
        <f ca="1">Geometria!$L$298*BA37+Geometria!$L$300*BA14</f>
        <v>2317.8958315752025</v>
      </c>
      <c r="BF37" s="373">
        <f ca="1">Geometria!$L$298*BA37*Geometria!$L$299/100-Geometria!$L$300*BA14*Geometria!$L$301/100</f>
        <v>434.60546842035046</v>
      </c>
      <c r="BG37" s="365"/>
      <c r="BJ37" s="61"/>
    </row>
    <row r="38" spans="1:62" x14ac:dyDescent="0.25">
      <c r="A38" s="4" t="s">
        <v>436</v>
      </c>
      <c r="B38" s="198" t="str">
        <f ca="1">IF(Geometria!$R$437&lt;Geometria!$N$1308/100,"Reduzir","OK")</f>
        <v>OK</v>
      </c>
      <c r="C38" s="396">
        <f t="shared" ca="1" si="5"/>
        <v>-21478.12514116129</v>
      </c>
      <c r="D38" s="397">
        <f ca="1">-I38/(Geometria!$L$48/100^2)-J38/(Geometria!$L$53/100^3)+Geometria!$L$898/(Geometria!$L$53/100^3)</f>
        <v>-50812.229729751954</v>
      </c>
      <c r="E38" s="400">
        <f ca="1">((Geometria!$L$324*(Geometria!$R$897*100))/Geometria!$N$1308)</f>
        <v>286.4638061125497</v>
      </c>
      <c r="F38" s="743">
        <f ca="1">-'Perdas por Seção'!$J$101/(Geometria!$L$48/100^2)-'Perdas por Seção'!$J$102/(Geometria!$L$53/100^3)+Geometria!$R$898/(Geometria!$L$53/100^3)</f>
        <v>-21478.12514116129</v>
      </c>
      <c r="G38" s="743"/>
      <c r="I38" s="373">
        <f ca="1">Geometria!$L$298*E38+Geometria!$L$300*E15</f>
        <v>3208.3946284605568</v>
      </c>
      <c r="J38" s="373">
        <f ca="1">Geometria!$L$298*E38*Geometria!$L$299/100-Geometria!$L$300*E15*Geometria!$L$301/100</f>
        <v>601.5739928363544</v>
      </c>
      <c r="K38" s="365"/>
      <c r="M38" s="122" t="s">
        <v>436</v>
      </c>
      <c r="N38" s="198" t="str">
        <f ca="1">IF(Geometria!$R$437&lt;Geometria!$N$1308/100,"Reduzir","OK")</f>
        <v>OK</v>
      </c>
      <c r="O38" s="401">
        <f t="shared" ca="1" si="6"/>
        <v>7915.735435862499</v>
      </c>
      <c r="P38" s="403">
        <f ca="1">-(U38/(Geometria!$L$48/100^2))-(V38/(Geometria!$L$53/100^3))+(('Cargas adicionais'!$O$250)/(Geometria!$L$53/100^3))+(('Cargas adicionais'!$R$250)/(Geometria!$M$53/100^3))+((Geometria!$L$76*'Cargas adicionais'!$U$250)/(Geometria!$M$53/100^3))</f>
        <v>-15634.48103270846</v>
      </c>
      <c r="Q38" s="400">
        <f ca="1">((Geometria!$N$368*(Geometria!$R$897*100))/Geometria!$N$1308)</f>
        <v>241.44748245575025</v>
      </c>
      <c r="R38" s="751">
        <f ca="1">-('Perdas por Seção'!$J$99/(Geometria!$L$48/100^2))-('Perdas por Seção'!$J$100/(Geometria!$L$53/100^3))+(('Cargas adicionais'!$O$250)/(Geometria!$L$53/100^3))+(('Cargas adicionais'!$R$250)/(Geometria!$M$53/100^3))+((Geometria!$L$76*'Cargas adicionais'!$U$250)/(Geometria!$M$53/100^3))</f>
        <v>7915.735435862499</v>
      </c>
      <c r="S38" s="751"/>
      <c r="U38" s="373">
        <f ca="1">Geometria!$L$298*Q38+Geometria!$L$300*Q15</f>
        <v>2704.2118035044027</v>
      </c>
      <c r="V38" s="373">
        <f ca="1">Geometria!$L$298*Q38*Geometria!$L$299/100-Geometria!$L$300*Q15*Geometria!$L$301/100</f>
        <v>507.03971315707554</v>
      </c>
      <c r="W38" s="365"/>
      <c r="Y38" s="122" t="s">
        <v>436</v>
      </c>
      <c r="Z38" s="198" t="str">
        <f ca="1">IF(Geometria!$R$437&lt;Geometria!$N$1308/100,"Reduzir","OK")</f>
        <v>OK</v>
      </c>
      <c r="AA38" s="401">
        <f t="shared" ca="1" si="7"/>
        <v>-4215.867982574894</v>
      </c>
      <c r="AB38" s="403">
        <f ca="1">-(AG38/(Geometria!$L$48/100^2))-(AH38/(Geometria!$L$53/100^3))+(('Cargas adicionais'!$O$250)/(Geometria!$L$53/100^3))+(('Cargas adicionais'!$R$250)/(Geometria!$M$53/100^3))+((Geometria!$L$76*'Cargas adicionais'!$U$250)/(Geometria!$M$53/100^3))</f>
        <v>-15634.48103270846</v>
      </c>
      <c r="AC38" s="400">
        <f ca="1">((Geometria!$N$368*(Geometria!$R$897*100))/Geometria!$N$1308)</f>
        <v>241.44748245575025</v>
      </c>
      <c r="AD38" s="751">
        <f ca="1">-('Perdas por Seção'!$J$99/(Geometria!$L$48/100^2))-('Perdas por Seção'!$J$100/(Geometria!$L$53/100^3))+(('Cargas adicionais'!$O$250)/(Geometria!$L$53/100^3))+(('Cargas adicionais'!$R$250)/(Geometria!$M$53/100^3))</f>
        <v>-4215.867982574894</v>
      </c>
      <c r="AE38" s="751"/>
      <c r="AG38" s="373">
        <f ca="1">Geometria!$L$298*AC38+Geometria!$L$300*AC15</f>
        <v>2704.2118035044027</v>
      </c>
      <c r="AH38" s="373">
        <f ca="1">Geometria!$L$298*AC38*Geometria!$L$299/100-Geometria!$L$300*AC15*Geometria!$L$301/100</f>
        <v>507.03971315707554</v>
      </c>
      <c r="AI38" s="365"/>
      <c r="AK38" s="122" t="s">
        <v>436</v>
      </c>
      <c r="AL38" s="198" t="str">
        <f ca="1">IF(Geometria!$R$437&lt;Geometria!$N$1308/100,"Reduzir","OK")</f>
        <v>OK</v>
      </c>
      <c r="AM38" s="401">
        <f t="shared" ca="1" si="8"/>
        <v>3871.867629716702</v>
      </c>
      <c r="AN38" s="403">
        <f ca="1">-(AS38/(Geometria!$L$48/100^2))-(AT38/(Geometria!$L$53/100^3))+(('Cargas adicionais'!$O$250)/(Geometria!$L$53/100^3))+(('Cargas adicionais'!$R$250)/(Geometria!$M$53/100^3))+((Geometria!$L$76*'Cargas adicionais'!$U$250)/(Geometria!$M$53/100^3))</f>
        <v>-15634.48103270846</v>
      </c>
      <c r="AO38" s="400">
        <f ca="1">((Geometria!$N$368*(Geometria!$R$897*100))/Geometria!$N$1308)</f>
        <v>241.44748245575025</v>
      </c>
      <c r="AP38" s="751">
        <f ca="1">-('Perdas por Seção'!$J$99/(Geometria!$L$48/100^2))-('Perdas por Seção'!$J$100/(Geometria!$L$53/100^3))+((Geometria!$R$673)/(Geometria!$L$53/100^3))+((Geometria!$R$684)/(Geometria!$M$53/100^3))+((Geometria!$L$77*Geometria!$R$695)/(Geometria!$M$53/100^3))</f>
        <v>3871.867629716702</v>
      </c>
      <c r="AQ38" s="751"/>
      <c r="AS38" s="373">
        <f ca="1">Geometria!$L$298*AO38+Geometria!$L$300*AO15</f>
        <v>2704.2118035044027</v>
      </c>
      <c r="AT38" s="373">
        <f ca="1">Geometria!$L$298*AO38*Geometria!$L$299/100-Geometria!$L$300*AO15*Geometria!$L$301/100</f>
        <v>507.03971315707554</v>
      </c>
      <c r="AU38" s="365"/>
      <c r="AW38" s="122" t="s">
        <v>436</v>
      </c>
      <c r="AX38" s="198" t="str">
        <f ca="1">IF(Geometria!$R$437&lt;Geometria!$N$1308/100,"Reduzir","OK")</f>
        <v>OK</v>
      </c>
      <c r="AY38" s="401">
        <f t="shared" ca="1" si="9"/>
        <v>-4215.867982574894</v>
      </c>
      <c r="AZ38" s="403">
        <f ca="1">-(BE38/(Geometria!$L$48/100^2))-(BF38/(Geometria!$L$53/100^3))+(('Cargas adicionais'!$O$250)/(Geometria!$L$53/100^3))+(('Cargas adicionais'!$R$250)/(Geometria!$M$53/100^3))+((Geometria!$L$76*'Cargas adicionais'!$U$250)/(Geometria!$M$53/100^3))</f>
        <v>-15634.48103270846</v>
      </c>
      <c r="BA38" s="400">
        <f ca="1">((Geometria!$N$368*(Geometria!$R$897*100))/Geometria!$N$1308)</f>
        <v>241.44748245575025</v>
      </c>
      <c r="BB38" s="751">
        <f ca="1">-('Perdas por Seção'!$J$99/(Geometria!$L$48/100^2))-('Perdas por Seção'!$J$100/(Geometria!$L$53/100^3))+((Geometria!$R$673)/(Geometria!$L$53/100^3))+((Geometria!$R$684)/(Geometria!$M$53/100^3))</f>
        <v>-4215.867982574894</v>
      </c>
      <c r="BC38" s="751"/>
      <c r="BE38" s="373">
        <f ca="1">Geometria!$L$298*BA38+Geometria!$L$300*BA15</f>
        <v>2704.2118035044027</v>
      </c>
      <c r="BF38" s="373">
        <f ca="1">Geometria!$L$298*BA38*Geometria!$L$299/100-Geometria!$L$300*BA15*Geometria!$L$301/100</f>
        <v>507.03971315707554</v>
      </c>
      <c r="BG38" s="365"/>
      <c r="BJ38" s="61"/>
    </row>
    <row r="39" spans="1:62" x14ac:dyDescent="0.25">
      <c r="A39" s="4" t="s">
        <v>437</v>
      </c>
      <c r="B39" s="198" t="str">
        <f ca="1">IF(Geometria!$K$440&lt;Geometria!$N$1308/100,"Reduzir","OK")</f>
        <v>OK</v>
      </c>
      <c r="C39" s="396">
        <f t="shared" ca="1" si="5"/>
        <v>-21371.877908630486</v>
      </c>
      <c r="D39" s="397">
        <f ca="1">-I39/(Geometria!$L$48/100^2)-J39/(Geometria!$L$53/100^3)+Geometria!$L$898/(Geometria!$L$53/100^3)</f>
        <v>-58132.97144151713</v>
      </c>
      <c r="E39" s="400">
        <f ca="1">((Geometria!$L$324*(Geometria!$K$900*100))/Geometria!$N$1308)</f>
        <v>327.3872069857712</v>
      </c>
      <c r="F39" s="743">
        <f ca="1">-'Perdas por Seção'!$K$101/(Geometria!$L$48/100^2)-'Perdas por Seção'!$K$102/(Geometria!$L$53/100^3)+Geometria!$K$901/(Geometria!$L$53/100^3)</f>
        <v>-21371.877908630486</v>
      </c>
      <c r="G39" s="743"/>
      <c r="I39" s="373">
        <f ca="1">Geometria!$L$298*E39+Geometria!$L$300*E16</f>
        <v>3666.736718240637</v>
      </c>
      <c r="J39" s="373">
        <f ca="1">Geometria!$L$298*E39*Geometria!$L$299/100-Geometria!$L$300*E16*Geometria!$L$301/100</f>
        <v>687.5131346701195</v>
      </c>
      <c r="K39" s="365"/>
      <c r="M39" s="122" t="s">
        <v>437</v>
      </c>
      <c r="N39" s="198" t="str">
        <f ca="1">IF(Geometria!$K$440&lt;Geometria!$N$1308/100,"Reduzir","OK")</f>
        <v>OK</v>
      </c>
      <c r="O39" s="401">
        <f t="shared" ca="1" si="6"/>
        <v>9307.47432739159</v>
      </c>
      <c r="P39" s="403">
        <f ca="1">-(U39/(Geometria!$L$48/100^2))-(V39/(Geometria!$L$53/100^3))+(('Cargas adicionais'!$O$251)/(Geometria!$L$53/100^3))+(('Cargas adicionais'!$R$251)/(Geometria!$M$53/100^3))+((Geometria!$L$76*'Cargas adicionais'!$U$251)/(Geometria!$M$53/100^3))</f>
        <v>-20290.64125310155</v>
      </c>
      <c r="Q39" s="400">
        <f ca="1">((Geometria!$N$368*(Geometria!$K$900*100))/Geometria!$N$1308)</f>
        <v>275.93997994942885</v>
      </c>
      <c r="R39" s="751">
        <f ca="1">-('Perdas por Seção'!$K$99/(Geometria!$L$48/100^2))-('Perdas por Seção'!$K$100/(Geometria!$L$53/100^3))+(('Cargas adicionais'!$O$251)/(Geometria!$L$53/100^3))+(('Cargas adicionais'!$R$251)/(Geometria!$M$53/100^3))+((Geometria!$L$76*'Cargas adicionais'!$U$251)/(Geometria!$M$53/100^3))</f>
        <v>9307.47432739159</v>
      </c>
      <c r="S39" s="751"/>
      <c r="U39" s="373">
        <f ca="1">Geometria!$L$298*Q39+Geometria!$L$300*Q16</f>
        <v>3090.527775433603</v>
      </c>
      <c r="V39" s="373">
        <f ca="1">Geometria!$L$298*Q39*Geometria!$L$299/100-Geometria!$L$300*Q16*Geometria!$L$301/100</f>
        <v>579.4739578938005</v>
      </c>
      <c r="W39" s="365"/>
      <c r="Y39" s="122" t="s">
        <v>437</v>
      </c>
      <c r="Z39" s="198" t="str">
        <f ca="1">IF(Geometria!$K$440&lt;Geometria!$N$1308/100,"Reduzir","OK")</f>
        <v>OK</v>
      </c>
      <c r="AA39" s="401">
        <f t="shared" ca="1" si="7"/>
        <v>-3490.70070744346</v>
      </c>
      <c r="AB39" s="403">
        <f ca="1">-(AG39/(Geometria!$L$48/100^2))-(AH39/(Geometria!$L$53/100^3))+(('Cargas adicionais'!$O$251)/(Geometria!$L$53/100^3))+(('Cargas adicionais'!$R$251)/(Geometria!$M$53/100^3))+((Geometria!$L$76*'Cargas adicionais'!$U$251)/(Geometria!$M$53/100^3))</f>
        <v>-20290.64125310155</v>
      </c>
      <c r="AC39" s="400">
        <f ca="1">((Geometria!$N$368*(Geometria!$K$900*100))/Geometria!$N$1308)</f>
        <v>275.93997994942885</v>
      </c>
      <c r="AD39" s="751">
        <f ca="1">-('Perdas por Seção'!$K$99/(Geometria!$L$48/100^2))-('Perdas por Seção'!$K$100/(Geometria!$L$53/100^3))+(('Cargas adicionais'!$O$251)/(Geometria!$L$53/100^3))+(('Cargas adicionais'!$R$251)/(Geometria!$M$53/100^3))</f>
        <v>-3490.70070744346</v>
      </c>
      <c r="AE39" s="751"/>
      <c r="AG39" s="373">
        <f ca="1">Geometria!$L$298*AC39+Geometria!$L$300*AC16</f>
        <v>3090.527775433603</v>
      </c>
      <c r="AH39" s="373">
        <f ca="1">Geometria!$L$298*AC39*Geometria!$L$299/100-Geometria!$L$300*AC16*Geometria!$L$301/100</f>
        <v>579.4739578938005</v>
      </c>
      <c r="AI39" s="365"/>
      <c r="AK39" s="122" t="s">
        <v>437</v>
      </c>
      <c r="AL39" s="198" t="str">
        <f ca="1">IF(Geometria!$K$440&lt;Geometria!$N$1308/100,"Reduzir","OK")</f>
        <v>OK</v>
      </c>
      <c r="AM39" s="401">
        <f t="shared" ca="1" si="8"/>
        <v>5041.415982446575</v>
      </c>
      <c r="AN39" s="403">
        <f ca="1">-(AS39/(Geometria!$L$48/100^2))-(AT39/(Geometria!$L$53/100^3))+(('Cargas adicionais'!$O$251)/(Geometria!$L$53/100^3))+(('Cargas adicionais'!$R$251)/(Geometria!$M$53/100^3))+((Geometria!$L$76*'Cargas adicionais'!$U$251)/(Geometria!$M$53/100^3))</f>
        <v>-20290.64125310155</v>
      </c>
      <c r="AO39" s="400">
        <f ca="1">((Geometria!$N$368*(Geometria!$K$900*100))/Geometria!$N$1308)</f>
        <v>275.93997994942885</v>
      </c>
      <c r="AP39" s="751">
        <f ca="1">-('Perdas por Seção'!$K$99/(Geometria!$L$48/100^2))-('Perdas por Seção'!$K$100/(Geometria!$L$53/100^3))+((Geometria!$K$676)/(Geometria!$L$53/100^3))+((Geometria!$K$687)/(Geometria!$M$53/100^3))+((Geometria!$L$77*Geometria!$K$698)/(Geometria!$M$53/100^3))</f>
        <v>5041.415982446575</v>
      </c>
      <c r="AQ39" s="751"/>
      <c r="AS39" s="373">
        <f ca="1">Geometria!$L$298*AO39+Geometria!$L$300*AO16</f>
        <v>3090.527775433603</v>
      </c>
      <c r="AT39" s="373">
        <f ca="1">Geometria!$L$298*AO39*Geometria!$L$299/100-Geometria!$L$300*AO16*Geometria!$L$301/100</f>
        <v>579.4739578938005</v>
      </c>
      <c r="AU39" s="365"/>
      <c r="AW39" s="122" t="s">
        <v>437</v>
      </c>
      <c r="AX39" s="198" t="str">
        <f ca="1">IF(Geometria!$K$440&lt;Geometria!$N$1308/100,"Reduzir","OK")</f>
        <v>OK</v>
      </c>
      <c r="AY39" s="401">
        <f t="shared" ca="1" si="9"/>
        <v>-3490.70070744346</v>
      </c>
      <c r="AZ39" s="403">
        <f ca="1">-(BE39/(Geometria!$L$48/100^2))-(BF39/(Geometria!$L$53/100^3))+(('Cargas adicionais'!$O$251)/(Geometria!$L$53/100^3))+(('Cargas adicionais'!$R$251)/(Geometria!$M$53/100^3))+((Geometria!$L$76*'Cargas adicionais'!$U$251)/(Geometria!$M$53/100^3))</f>
        <v>-20290.64125310155</v>
      </c>
      <c r="BA39" s="400">
        <f ca="1">((Geometria!$N$368*(Geometria!$K$900*100))/Geometria!$N$1308)</f>
        <v>275.93997994942885</v>
      </c>
      <c r="BB39" s="751">
        <f ca="1">-('Perdas por Seção'!$K$99/(Geometria!$L$48/100^2))-('Perdas por Seção'!$K$100/(Geometria!$L$53/100^3))+((Geometria!$K$676)/(Geometria!$L$53/100^3))+((Geometria!$K$687)/(Geometria!$M$53/100^3))</f>
        <v>-3490.70070744346</v>
      </c>
      <c r="BC39" s="751"/>
      <c r="BE39" s="373">
        <f ca="1">Geometria!$L$298*BA39+Geometria!$L$300*BA16</f>
        <v>3090.527775433603</v>
      </c>
      <c r="BF39" s="373">
        <f ca="1">Geometria!$L$298*BA39*Geometria!$L$299/100-Geometria!$L$300*BA16*Geometria!$L$301/100</f>
        <v>579.4739578938005</v>
      </c>
      <c r="BG39" s="365"/>
      <c r="BJ39" s="61"/>
    </row>
    <row r="40" spans="1:62" x14ac:dyDescent="0.25">
      <c r="A40" s="4" t="s">
        <v>438</v>
      </c>
      <c r="B40" s="198" t="str">
        <f ca="1">IF(Geometria!$L$440&lt;Geometria!$N$1308/100,"Reduzir","OK")</f>
        <v>OK</v>
      </c>
      <c r="C40" s="396">
        <f t="shared" ca="1" si="5"/>
        <v>-21308.129569111992</v>
      </c>
      <c r="D40" s="397">
        <f ca="1">-I40/(Geometria!$L$48/100^2)-J40/(Geometria!$L$53/100^3)+Geometria!$L$898/(Geometria!$L$53/100^3)</f>
        <v>-65453.71315328227</v>
      </c>
      <c r="E40" s="400">
        <f ca="1">((Geometria!$L$324*(Geometria!$L$900*100))/Geometria!$N$1308)</f>
        <v>368.3106078589925</v>
      </c>
      <c r="F40" s="743">
        <f ca="1">-'Perdas por Seção'!$L$101/(Geometria!$L$48/100^2)-'Perdas por Seção'!$L$102/(Geometria!$L$53/100^3)+Geometria!$L$901/(Geometria!$L$53/100^3)</f>
        <v>-21308.129569111992</v>
      </c>
      <c r="G40" s="743"/>
      <c r="I40" s="373">
        <f ca="1">Geometria!$L$298*E40+Geometria!$L$300*E17</f>
        <v>4125.078808020716</v>
      </c>
      <c r="J40" s="373">
        <f ca="1">Geometria!$L$298*E40*Geometria!$L$299/100-Geometria!$L$300*E17*Geometria!$L$301/100</f>
        <v>773.4522765038841</v>
      </c>
      <c r="K40" s="365"/>
      <c r="M40" s="122" t="s">
        <v>438</v>
      </c>
      <c r="N40" s="198" t="str">
        <f ca="1">IF(Geometria!$L$440&lt;Geometria!$N$1308/100,"Reduzir","OK")</f>
        <v>OK</v>
      </c>
      <c r="O40" s="401">
        <f t="shared" ca="1" si="6"/>
        <v>10142.52469036113</v>
      </c>
      <c r="P40" s="403">
        <f ca="1">-(U40/(Geometria!$L$48/100^2))-(V40/(Geometria!$L$53/100^3))+(('Cargas adicionais'!$O$252)/(Geometria!$L$53/100^3))+(('Cargas adicionais'!$R$252)/(Geometria!$M$53/100^3))+((Geometria!$L$76*'Cargas adicionais'!$U$252)/(Geometria!$M$53/100^3))</f>
        <v>-25552.467205996196</v>
      </c>
      <c r="Q40" s="400">
        <f ca="1">((Geometria!$N$368*(Geometria!$L$900*100))/Geometria!$N$1308)</f>
        <v>310.4324774431075</v>
      </c>
      <c r="R40" s="751">
        <f ca="1">-('Perdas por Seção'!$L$99/(Geometria!$L$48/100^2))-('Perdas por Seção'!$L$100/(Geometria!$L$53/100^3))+(('Cargas adicionais'!$O$252)/(Geometria!$L$53/100^3))+(('Cargas adicionais'!$R$252)/(Geometria!$M$53/100^3))+((Geometria!$L$76*'Cargas adicionais'!$U$252)/(Geometria!$M$53/100^3))</f>
        <v>10142.52469036113</v>
      </c>
      <c r="S40" s="751"/>
      <c r="U40" s="373">
        <f ca="1">Geometria!$L$298*Q40+Geometria!$L$300*Q17</f>
        <v>3476.8437473628037</v>
      </c>
      <c r="V40" s="373">
        <f ca="1">Geometria!$L$298*Q40*Geometria!$L$299/100-Geometria!$L$300*Q17*Geometria!$L$301/100</f>
        <v>651.9082026305257</v>
      </c>
      <c r="W40" s="365"/>
      <c r="Y40" s="122" t="s">
        <v>438</v>
      </c>
      <c r="Z40" s="198" t="str">
        <f ca="1">IF(Geometria!$L$440&lt;Geometria!$N$1308/100,"Reduzir","OK")</f>
        <v>OK</v>
      </c>
      <c r="AA40" s="401">
        <f t="shared" ca="1" si="7"/>
        <v>-3055.5933143125176</v>
      </c>
      <c r="AB40" s="403">
        <f ca="1">-(AG40/(Geometria!$L$48/100^2))-(AH40/(Geometria!$L$53/100^3))+(('Cargas adicionais'!$O$252)/(Geometria!$L$53/100^3))+(('Cargas adicionais'!$R$252)/(Geometria!$M$53/100^3))+((Geometria!$L$76*'Cargas adicionais'!$U$252)/(Geometria!$M$53/100^3))</f>
        <v>-25552.467205996196</v>
      </c>
      <c r="AC40" s="400">
        <f ca="1">((Geometria!$N$368*(Geometria!$L$900*100))/Geometria!$N$1308)</f>
        <v>310.4324774431075</v>
      </c>
      <c r="AD40" s="751">
        <f ca="1">-('Perdas por Seção'!$L$99/(Geometria!$L$48/100^2))-('Perdas por Seção'!$L$100/(Geometria!$L$53/100^3))+(('Cargas adicionais'!$O$252)/(Geometria!$L$53/100^3))+(('Cargas adicionais'!$R$252)/(Geometria!$M$53/100^3))</f>
        <v>-3055.5933143125176</v>
      </c>
      <c r="AE40" s="751"/>
      <c r="AG40" s="373">
        <f ca="1">Geometria!$L$298*AC40+Geometria!$L$300*AC17</f>
        <v>3476.8437473628037</v>
      </c>
      <c r="AH40" s="373">
        <f ca="1">Geometria!$L$298*AC40*Geometria!$L$299/100-Geometria!$L$300*AC17*Geometria!$L$301/100</f>
        <v>651.9082026305257</v>
      </c>
      <c r="AI40" s="365"/>
      <c r="AK40" s="122" t="s">
        <v>438</v>
      </c>
      <c r="AL40" s="198" t="str">
        <f ca="1">IF(Geometria!$L$440&lt;Geometria!$N$1308/100,"Reduzir","OK")</f>
        <v>OK</v>
      </c>
      <c r="AM40" s="401">
        <f t="shared" ca="1" si="8"/>
        <v>5743.152022136582</v>
      </c>
      <c r="AN40" s="403">
        <f ca="1">-(AS40/(Geometria!$L$48/100^2))-(AT40/(Geometria!$L$53/100^3))+(('Cargas adicionais'!$O$252)/(Geometria!$L$53/100^3))+(('Cargas adicionais'!$R$252)/(Geometria!$M$53/100^3))+((Geometria!$L$76*'Cargas adicionais'!$U$252)/(Geometria!$M$53/100^3))</f>
        <v>-25552.467205996196</v>
      </c>
      <c r="AO40" s="400">
        <f ca="1">((Geometria!$N$368*(Geometria!$L$900*100))/Geometria!$N$1308)</f>
        <v>310.4324774431075</v>
      </c>
      <c r="AP40" s="751">
        <f ca="1">-('Perdas por Seção'!$L$99/(Geometria!$L$48/100^2))-('Perdas por Seção'!$L$100/(Geometria!$L$53/100^3))+((Geometria!$L$676)/(Geometria!$L$53/100^3))+((Geometria!$L$687)/(Geometria!$M$53/100^3))+((Geometria!$L$77*Geometria!$L$698)/(Geometria!$M$53/100^3))</f>
        <v>5743.152022136582</v>
      </c>
      <c r="AQ40" s="751"/>
      <c r="AS40" s="373">
        <f ca="1">Geometria!$L$298*AO40+Geometria!$L$300*AO17</f>
        <v>3476.8437473628037</v>
      </c>
      <c r="AT40" s="373">
        <f ca="1">Geometria!$L$298*AO40*Geometria!$L$299/100-Geometria!$L$300*AO17*Geometria!$L$301/100</f>
        <v>651.9082026305257</v>
      </c>
      <c r="AU40" s="365"/>
      <c r="AW40" s="122" t="s">
        <v>438</v>
      </c>
      <c r="AX40" s="198" t="str">
        <f ca="1">IF(Geometria!$L$440&lt;Geometria!$N$1308/100,"Reduzir","OK")</f>
        <v>OK</v>
      </c>
      <c r="AY40" s="401">
        <f t="shared" ca="1" si="9"/>
        <v>-3055.5933143125176</v>
      </c>
      <c r="AZ40" s="403">
        <f ca="1">-(BE40/(Geometria!$L$48/100^2))-(BF40/(Geometria!$L$53/100^3))+(('Cargas adicionais'!$O$252)/(Geometria!$L$53/100^3))+(('Cargas adicionais'!$R$252)/(Geometria!$M$53/100^3))+((Geometria!$L$76*'Cargas adicionais'!$U$252)/(Geometria!$M$53/100^3))</f>
        <v>-25552.467205996196</v>
      </c>
      <c r="BA40" s="400">
        <f ca="1">((Geometria!$N$368*(Geometria!$L$900*100))/Geometria!$N$1308)</f>
        <v>310.4324774431075</v>
      </c>
      <c r="BB40" s="751">
        <f ca="1">-('Perdas por Seção'!$L$99/(Geometria!$L$48/100^2))-('Perdas por Seção'!$L$100/(Geometria!$L$53/100^3))+((Geometria!$L$676)/(Geometria!$L$53/100^3))+((Geometria!$L$687)/(Geometria!$M$53/100^3))</f>
        <v>-3055.5933143125176</v>
      </c>
      <c r="BC40" s="751"/>
      <c r="BE40" s="373">
        <f ca="1">Geometria!$L$298*BA40+Geometria!$L$300*BA17</f>
        <v>3476.8437473628037</v>
      </c>
      <c r="BF40" s="373">
        <f ca="1">Geometria!$L$298*BA40*Geometria!$L$299/100-Geometria!$L$300*BA17*Geometria!$L$301/100</f>
        <v>651.9082026305257</v>
      </c>
      <c r="BG40" s="365"/>
      <c r="BJ40" s="61"/>
    </row>
    <row r="41" spans="1:62" x14ac:dyDescent="0.25">
      <c r="A41" s="4" t="s">
        <v>439</v>
      </c>
      <c r="B41" s="198" t="str">
        <f ca="1">IF(Geometria!$M$440&lt;Geometria!$N$1308/100,"Reduzir","OK")</f>
        <v>OK</v>
      </c>
      <c r="C41" s="396">
        <f t="shared" ca="1" si="5"/>
        <v>-21286.880122605835</v>
      </c>
      <c r="D41" s="397">
        <f ca="1">-I41/(Geometria!$L$48/100^2)-J41/(Geometria!$L$53/100^3)+Geometria!$L$898/(Geometria!$L$53/100^3)</f>
        <v>-72774.45486504743</v>
      </c>
      <c r="E41" s="400">
        <f ca="1">((Geometria!$L$324*(Geometria!$M$900*100))/Geometria!$N$1308)</f>
        <v>409.2340087322139</v>
      </c>
      <c r="F41" s="743">
        <f ca="1">-'Perdas por Seção'!$M$101/(Geometria!$L$48/100^2)-'Perdas por Seção'!$M$102/(Geometria!$L$53/100^3)+Geometria!$M$901/(Geometria!$L$53/100^3)</f>
        <v>-21286.880122605835</v>
      </c>
      <c r="G41" s="743"/>
      <c r="I41" s="373">
        <f ca="1">Geometria!$L$298*E41+Geometria!$L$300*E18</f>
        <v>4583.4208978007955</v>
      </c>
      <c r="J41" s="373">
        <f ca="1">Geometria!$L$298*E41*Geometria!$L$299/100-Geometria!$L$300*E18*Geometria!$L$301/100</f>
        <v>859.391418337649</v>
      </c>
      <c r="K41" s="365"/>
      <c r="M41" s="122" t="s">
        <v>439</v>
      </c>
      <c r="N41" s="198" t="str">
        <f ca="1">IF(Geometria!$M$440&lt;Geometria!$N$1308/100,"Reduzir","OK")</f>
        <v>OK</v>
      </c>
      <c r="O41" s="401">
        <f t="shared" ca="1" si="6"/>
        <v>10420.875982643945</v>
      </c>
      <c r="P41" s="403">
        <f ca="1">-(U41/(Geometria!$L$48/100^2))-(V41/(Geometria!$L$53/100^3))+(('Cargas adicionais'!$O$253)/(Geometria!$L$53/100^3))+(('Cargas adicionais'!$R$253)/(Geometria!$M$53/100^3))+((Geometria!$L$76*'Cargas adicionais'!$U$253)/(Geometria!$M$53/100^3))</f>
        <v>-31419.958891392373</v>
      </c>
      <c r="Q41" s="400">
        <f ca="1">((Geometria!$N$368*(Geometria!$M$900*100))/Geometria!$N$1308)</f>
        <v>344.9249749367861</v>
      </c>
      <c r="R41" s="751">
        <f ca="1">-('Perdas por Seção'!$M$99/(Geometria!$L$48/100^2))-('Perdas por Seção'!$M$100/(Geometria!$L$53/100^3))+(('Cargas adicionais'!$O$253)/(Geometria!$L$53/100^3))+(('Cargas adicionais'!$R$253)/(Geometria!$M$53/100^3))+((Geometria!$L$76*'Cargas adicionais'!$U$253)/(Geometria!$M$53/100^3))</f>
        <v>10420.875982643945</v>
      </c>
      <c r="S41" s="751"/>
      <c r="U41" s="373">
        <f ca="1">Geometria!$L$298*Q41+Geometria!$L$300*Q18</f>
        <v>3863.159719292004</v>
      </c>
      <c r="V41" s="373">
        <f ca="1">Geometria!$L$298*Q41*Geometria!$L$299/100-Geometria!$L$300*Q18*Geometria!$L$301/100</f>
        <v>724.3424473672508</v>
      </c>
      <c r="W41" s="365"/>
      <c r="Y41" s="122" t="s">
        <v>439</v>
      </c>
      <c r="Z41" s="198" t="str">
        <f ca="1">IF(Geometria!$M$440&lt;Geometria!$N$1308/100,"Reduzir","OK")</f>
        <v>OK</v>
      </c>
      <c r="AA41" s="401">
        <f t="shared" ca="1" si="7"/>
        <v>-2910.556345309237</v>
      </c>
      <c r="AB41" s="403">
        <f ca="1">-(AG41/(Geometria!$L$48/100^2))-(AH41/(Geometria!$L$53/100^3))+(('Cargas adicionais'!$O$253)/(Geometria!$L$53/100^3))+(('Cargas adicionais'!$R$253)/(Geometria!$M$53/100^3))+((Geometria!$L$76*'Cargas adicionais'!$U$253)/(Geometria!$M$53/100^3))</f>
        <v>-31419.958891392373</v>
      </c>
      <c r="AC41" s="400">
        <f ca="1">((Geometria!$N$368*(Geometria!$M$900*100))/Geometria!$N$1308)</f>
        <v>344.9249749367861</v>
      </c>
      <c r="AD41" s="751">
        <f ca="1">-('Perdas por Seção'!$M$99/(Geometria!$L$48/100^2))-('Perdas por Seção'!$M$100/(Geometria!$L$53/100^3))+(('Cargas adicionais'!$O$253)/(Geometria!$L$53/100^3))+(('Cargas adicionais'!$R$253)/(Geometria!$M$53/100^3))</f>
        <v>-2910.556345309237</v>
      </c>
      <c r="AE41" s="751"/>
      <c r="AG41" s="373">
        <f ca="1">Geometria!$L$298*AC41+Geometria!$L$300*AC18</f>
        <v>3863.159719292004</v>
      </c>
      <c r="AH41" s="373">
        <f ca="1">Geometria!$L$298*AC41*Geometria!$L$299/100-Geometria!$L$300*AC18*Geometria!$L$301/100</f>
        <v>724.3424473672508</v>
      </c>
      <c r="AI41" s="365"/>
      <c r="AK41" s="122" t="s">
        <v>439</v>
      </c>
      <c r="AL41" s="198" t="str">
        <f ca="1">IF(Geometria!$M$440&lt;Geometria!$N$1308/100,"Reduzir","OK")</f>
        <v>OK</v>
      </c>
      <c r="AM41" s="401">
        <f t="shared" ca="1" si="8"/>
        <v>5977.065206659552</v>
      </c>
      <c r="AN41" s="403">
        <f ca="1">-(AS41/(Geometria!$L$48/100^2))-(AT41/(Geometria!$L$53/100^3))+(('Cargas adicionais'!$O$253)/(Geometria!$L$53/100^3))+(('Cargas adicionais'!$R$253)/(Geometria!$M$53/100^3))+((Geometria!$L$76*'Cargas adicionais'!$U$253)/(Geometria!$M$53/100^3))</f>
        <v>-31419.958891392373</v>
      </c>
      <c r="AO41" s="400">
        <f ca="1">((Geometria!$N$368*(Geometria!$M$900*100))/Geometria!$N$1308)</f>
        <v>344.9249749367861</v>
      </c>
      <c r="AP41" s="751">
        <f ca="1">-('Perdas por Seção'!$M$99/(Geometria!$L$48/100^2))-('Perdas por Seção'!$M$100/(Geometria!$L$53/100^3))+((Geometria!$M$676)/(Geometria!$L$53/100^3))+((Geometria!$M$687)/(Geometria!$M$53/100^3))+((Geometria!$L$77*Geometria!$M$698)/(Geometria!$M$53/100^3))</f>
        <v>5977.065206659552</v>
      </c>
      <c r="AQ41" s="751"/>
      <c r="AS41" s="373">
        <f ca="1">Geometria!$L$298*AO41+Geometria!$L$300*AO18</f>
        <v>3863.159719292004</v>
      </c>
      <c r="AT41" s="373">
        <f ca="1">Geometria!$L$298*AO41*Geometria!$L$299/100-Geometria!$L$300*AO18*Geometria!$L$301/100</f>
        <v>724.3424473672508</v>
      </c>
      <c r="AU41" s="365"/>
      <c r="AW41" s="122" t="s">
        <v>439</v>
      </c>
      <c r="AX41" s="198" t="str">
        <f ca="1">IF(Geometria!$M$440&lt;Geometria!$N$1308/100,"Reduzir","OK")</f>
        <v>OK</v>
      </c>
      <c r="AY41" s="401">
        <f t="shared" ca="1" si="9"/>
        <v>-2910.556345309237</v>
      </c>
      <c r="AZ41" s="403">
        <f ca="1">-(BE41/(Geometria!$L$48/100^2))-(BF41/(Geometria!$L$53/100^3))+(('Cargas adicionais'!$O$253)/(Geometria!$L$53/100^3))+(('Cargas adicionais'!$R$253)/(Geometria!$M$53/100^3))+((Geometria!$L$76*'Cargas adicionais'!$U$253)/(Geometria!$M$53/100^3))</f>
        <v>-31419.958891392373</v>
      </c>
      <c r="BA41" s="400">
        <f ca="1">((Geometria!$N$368*(Geometria!$M$900*100))/Geometria!$N$1308)</f>
        <v>344.9249749367861</v>
      </c>
      <c r="BB41" s="751">
        <f ca="1">-('Perdas por Seção'!$M$99/(Geometria!$L$48/100^2))-('Perdas por Seção'!$M$100/(Geometria!$L$53/100^3))+((Geometria!$M$676)/(Geometria!$L$53/100^3))+((Geometria!$M$687)/(Geometria!$M$53/100^3))</f>
        <v>-2910.556345309237</v>
      </c>
      <c r="BC41" s="751"/>
      <c r="BE41" s="373">
        <f ca="1">Geometria!$L$298*BA41+Geometria!$L$300*BA18</f>
        <v>3863.159719292004</v>
      </c>
      <c r="BF41" s="373">
        <f ca="1">Geometria!$L$298*BA41*Geometria!$L$299/100-Geometria!$L$300*BA18*Geometria!$L$301/100</f>
        <v>724.3424473672508</v>
      </c>
      <c r="BG41" s="365"/>
      <c r="BJ41" s="61"/>
    </row>
    <row r="42" spans="1:62" x14ac:dyDescent="0.25">
      <c r="A42" s="4" t="s">
        <v>440</v>
      </c>
      <c r="B42" s="198" t="str">
        <f ca="1">B40</f>
        <v>OK</v>
      </c>
      <c r="C42" s="396">
        <f t="shared" ca="1" si="5"/>
        <v>-21308.129569111992</v>
      </c>
      <c r="D42" s="397">
        <f ca="1">-I42/(Geometria!$L$48/100^2)-J42/(Geometria!$L$53/100^3)+Geometria!$L$898/(Geometria!$L$53/100^3)</f>
        <v>-65453.71315328227</v>
      </c>
      <c r="E42" s="400">
        <f ca="1">E40</f>
        <v>368.3106078589925</v>
      </c>
      <c r="F42" s="743">
        <f ca="1">-'Perdas por Seção'!$N$101/(Geometria!$L$48/100^2)-'Perdas por Seção'!$N$102/(Geometria!$L$53/100^3)+Geometria!$N$901/(Geometria!$L$53/100^3)</f>
        <v>-21308.129569111992</v>
      </c>
      <c r="G42" s="743"/>
      <c r="I42" s="373">
        <f ca="1">Geometria!$L$298*E42+Geometria!$L$300*E19</f>
        <v>4125.078808020716</v>
      </c>
      <c r="J42" s="373">
        <f ca="1">Geometria!$L$298*E42*Geometria!$L$299/100-Geometria!$L$300*E19*Geometria!$L$301/100</f>
        <v>773.4522765038841</v>
      </c>
      <c r="K42" s="365"/>
      <c r="M42" s="122" t="s">
        <v>440</v>
      </c>
      <c r="N42" s="198" t="str">
        <f ca="1">N40</f>
        <v>OK</v>
      </c>
      <c r="O42" s="401">
        <f t="shared" ca="1" si="6"/>
        <v>10142.524690361133</v>
      </c>
      <c r="P42" s="403">
        <f ca="1">-(U42/(Geometria!$L$48/100^2))-(V42/(Geometria!$L$53/100^3))+(('Cargas adicionais'!$O$254)/(Geometria!$L$53/100^3))+(('Cargas adicionais'!$R$254)/(Geometria!$M$53/100^3))+((Geometria!$L$76*'Cargas adicionais'!$U$254)/(Geometria!$M$53/100^3))</f>
        <v>-25552.467205996196</v>
      </c>
      <c r="Q42" s="400">
        <f ca="1">Q40</f>
        <v>310.4324774431075</v>
      </c>
      <c r="R42" s="751">
        <f ca="1">-('Perdas por Seção'!$N$99/(Geometria!$L$48/100^2))-('Perdas por Seção'!$N$100/(Geometria!$L$53/100^3))+(('Cargas adicionais'!$O$254)/(Geometria!$L$53/100^3))+(('Cargas adicionais'!$R$254)/(Geometria!$M$53/100^3))+((Geometria!$L$76*'Cargas adicionais'!$U$254)/(Geometria!$M$53/100^3))</f>
        <v>10142.524690361133</v>
      </c>
      <c r="S42" s="751"/>
      <c r="U42" s="373">
        <f ca="1">Geometria!$L$298*Q42+Geometria!$L$300*Q19</f>
        <v>3476.8437473628037</v>
      </c>
      <c r="V42" s="373">
        <f ca="1">Geometria!$L$298*Q42*Geometria!$L$299/100-Geometria!$L$300*Q19*Geometria!$L$301/100</f>
        <v>651.9082026305257</v>
      </c>
      <c r="W42" s="365"/>
      <c r="Y42" s="122" t="s">
        <v>440</v>
      </c>
      <c r="Z42" s="198" t="str">
        <f ca="1">Z40</f>
        <v>OK</v>
      </c>
      <c r="AA42" s="401">
        <f t="shared" ca="1" si="7"/>
        <v>-3055.5933143125176</v>
      </c>
      <c r="AB42" s="403">
        <f ca="1">-(AG42/(Geometria!$L$48/100^2))-(AH42/(Geometria!$L$53/100^3))+(('Cargas adicionais'!$O$254)/(Geometria!$L$53/100^3))+(('Cargas adicionais'!$R$254)/(Geometria!$M$53/100^3))+((Geometria!$L$76*'Cargas adicionais'!$U$254)/(Geometria!$M$53/100^3))</f>
        <v>-25552.467205996196</v>
      </c>
      <c r="AC42" s="400">
        <f ca="1">AC40</f>
        <v>310.4324774431075</v>
      </c>
      <c r="AD42" s="751">
        <f ca="1">-('Perdas por Seção'!$N$99/(Geometria!$L$48/100^2))-('Perdas por Seção'!$N$100/(Geometria!$L$53/100^3))+(('Cargas adicionais'!$O$254)/(Geometria!$L$53/100^3))+(('Cargas adicionais'!$R$254)/(Geometria!$M$53/100^3))</f>
        <v>-3055.5933143125176</v>
      </c>
      <c r="AE42" s="751"/>
      <c r="AG42" s="373">
        <f ca="1">Geometria!$L$298*AC42+Geometria!$L$300*AC19</f>
        <v>3476.8437473628037</v>
      </c>
      <c r="AH42" s="373">
        <f ca="1">Geometria!$L$298*AC42*Geometria!$L$299/100-Geometria!$L$300*AC19*Geometria!$L$301/100</f>
        <v>651.9082026305257</v>
      </c>
      <c r="AI42" s="365"/>
      <c r="AK42" s="122" t="s">
        <v>440</v>
      </c>
      <c r="AL42" s="198" t="str">
        <f ca="1">AL40</f>
        <v>OK</v>
      </c>
      <c r="AM42" s="401">
        <f t="shared" ca="1" si="8"/>
        <v>5743.152022136584</v>
      </c>
      <c r="AN42" s="403">
        <f ca="1">-(AS42/(Geometria!$L$48/100^2))-(AT42/(Geometria!$L$53/100^3))+(('Cargas adicionais'!$O$254)/(Geometria!$L$53/100^3))+(('Cargas adicionais'!$R$254)/(Geometria!$M$53/100^3))+((Geometria!$L$76*'Cargas adicionais'!$U$254)/(Geometria!$M$53/100^3))</f>
        <v>-25552.467205996196</v>
      </c>
      <c r="AO42" s="400">
        <f ca="1">AO40</f>
        <v>310.4324774431075</v>
      </c>
      <c r="AP42" s="751">
        <f ca="1">-('Perdas por Seção'!$N$99/(Geometria!$L$48/100^2))-('Perdas por Seção'!$N$100/(Geometria!$L$53/100^3))+((Geometria!$N$676)/(Geometria!$L$53/100^3))+((Geometria!$N$687)/(Geometria!$M$53/100^3))+((Geometria!$L$77*Geometria!$N$698)/(Geometria!$M$53/100^3))</f>
        <v>5743.152022136584</v>
      </c>
      <c r="AQ42" s="751"/>
      <c r="AS42" s="373">
        <f ca="1">Geometria!$L$298*AO42+Geometria!$L$300*AO19</f>
        <v>3476.8437473628037</v>
      </c>
      <c r="AT42" s="373">
        <f ca="1">Geometria!$L$298*AO42*Geometria!$L$299/100-Geometria!$L$300*AO19*Geometria!$L$301/100</f>
        <v>651.9082026305257</v>
      </c>
      <c r="AU42" s="365"/>
      <c r="AW42" s="122" t="s">
        <v>440</v>
      </c>
      <c r="AX42" s="198" t="str">
        <f ca="1">AX40</f>
        <v>OK</v>
      </c>
      <c r="AY42" s="401">
        <f t="shared" ca="1" si="9"/>
        <v>-3055.5933143125176</v>
      </c>
      <c r="AZ42" s="403">
        <f ca="1">-(BE42/(Geometria!$L$48/100^2))-(BF42/(Geometria!$L$53/100^3))+(('Cargas adicionais'!$O$254)/(Geometria!$L$53/100^3))+(('Cargas adicionais'!$R$254)/(Geometria!$M$53/100^3))+((Geometria!$L$76*'Cargas adicionais'!$U$254)/(Geometria!$M$53/100^3))</f>
        <v>-25552.467205996196</v>
      </c>
      <c r="BA42" s="400">
        <f ca="1">BA40</f>
        <v>310.4324774431075</v>
      </c>
      <c r="BB42" s="751">
        <f ca="1">-('Perdas por Seção'!$N$99/(Geometria!$L$48/100^2))-('Perdas por Seção'!$N$100/(Geometria!$L$53/100^3))+((Geometria!$N$676)/(Geometria!$L$53/100^3))+((Geometria!$N$687)/(Geometria!$M$53/100^3))</f>
        <v>-3055.5933143125176</v>
      </c>
      <c r="BC42" s="751"/>
      <c r="BE42" s="373">
        <f ca="1">Geometria!$L$298*BA42+Geometria!$L$300*BA19</f>
        <v>3476.8437473628037</v>
      </c>
      <c r="BF42" s="373">
        <f ca="1">Geometria!$L$298*BA42*Geometria!$L$299/100-Geometria!$L$300*BA19*Geometria!$L$301/100</f>
        <v>651.9082026305257</v>
      </c>
      <c r="BG42" s="365"/>
      <c r="BJ42" s="61"/>
    </row>
    <row r="43" spans="1:62" x14ac:dyDescent="0.25">
      <c r="A43" s="4" t="s">
        <v>441</v>
      </c>
      <c r="B43" s="198" t="str">
        <f ca="1">B39</f>
        <v>OK</v>
      </c>
      <c r="C43" s="396">
        <f t="shared" ca="1" si="5"/>
        <v>-21371.877908630486</v>
      </c>
      <c r="D43" s="397">
        <f ca="1">-I43/(Geometria!$L$48/100^2)-J43/(Geometria!$L$53/100^3)+Geometria!$L$898/(Geometria!$L$53/100^3)</f>
        <v>-58132.97144151713</v>
      </c>
      <c r="E43" s="400">
        <f ca="1">E39</f>
        <v>327.3872069857712</v>
      </c>
      <c r="F43" s="743">
        <f ca="1">-'Perdas por Seção'!$O$101/(Geometria!$L$48/100^2)-'Perdas por Seção'!$O$102/(Geometria!$L$53/100^3)+Geometria!$O$901/(Geometria!$L$53/100^3)</f>
        <v>-21371.877908630486</v>
      </c>
      <c r="G43" s="743"/>
      <c r="I43" s="373">
        <f ca="1">Geometria!$L$298*E43+Geometria!$L$300*E20</f>
        <v>3666.736718240637</v>
      </c>
      <c r="J43" s="373">
        <f ca="1">Geometria!$L$298*E43*Geometria!$L$299/100-Geometria!$L$300*E20*Geometria!$L$301/100</f>
        <v>687.5131346701195</v>
      </c>
      <c r="K43" s="365"/>
      <c r="M43" s="122" t="s">
        <v>441</v>
      </c>
      <c r="N43" s="198" t="str">
        <f ca="1">N39</f>
        <v>OK</v>
      </c>
      <c r="O43" s="401">
        <f t="shared" ca="1" si="6"/>
        <v>9307.474327391597</v>
      </c>
      <c r="P43" s="403">
        <f ca="1">-(U43/(Geometria!$L$48/100^2))-(V43/(Geometria!$L$53/100^3))+(('Cargas adicionais'!$O$255)/(Geometria!$L$53/100^3))+(('Cargas adicionais'!$R$255)/(Geometria!$M$53/100^3))+((Geometria!$L$76*'Cargas adicionais'!$U$255)/(Geometria!$M$53/100^3))</f>
        <v>-20290.64125310154</v>
      </c>
      <c r="Q43" s="400">
        <f ca="1">Q39</f>
        <v>275.93997994942885</v>
      </c>
      <c r="R43" s="751">
        <f ca="1">-('Perdas por Seção'!$O$99/(Geometria!$L$48/100^2))-('Perdas por Seção'!$O$100/(Geometria!$L$53/100^3))+(('Cargas adicionais'!$O$255)/(Geometria!$L$53/100^3))+(('Cargas adicionais'!$R$255)/(Geometria!$M$53/100^3))+((Geometria!$L$76*'Cargas adicionais'!$U$255)/(Geometria!$M$53/100^3))</f>
        <v>9307.474327391597</v>
      </c>
      <c r="S43" s="751"/>
      <c r="U43" s="373">
        <f ca="1">Geometria!$L$298*Q43+Geometria!$L$300*Q20</f>
        <v>3090.527775433603</v>
      </c>
      <c r="V43" s="373">
        <f ca="1">Geometria!$L$298*Q43*Geometria!$L$299/100-Geometria!$L$300*Q20*Geometria!$L$301/100</f>
        <v>579.4739578938005</v>
      </c>
      <c r="W43" s="365"/>
      <c r="Y43" s="122" t="s">
        <v>441</v>
      </c>
      <c r="Z43" s="198" t="str">
        <f ca="1">Z39</f>
        <v>OK</v>
      </c>
      <c r="AA43" s="401">
        <f t="shared" ca="1" si="7"/>
        <v>-3490.70070744346</v>
      </c>
      <c r="AB43" s="403">
        <f ca="1">-(AG43/(Geometria!$L$48/100^2))-(AH43/(Geometria!$L$53/100^3))+(('Cargas adicionais'!$O$255)/(Geometria!$L$53/100^3))+(('Cargas adicionais'!$R$255)/(Geometria!$M$53/100^3))+((Geometria!$L$76*'Cargas adicionais'!$U$255)/(Geometria!$M$53/100^3))</f>
        <v>-20290.64125310154</v>
      </c>
      <c r="AC43" s="400">
        <f ca="1">AC39</f>
        <v>275.93997994942885</v>
      </c>
      <c r="AD43" s="751">
        <f ca="1">-('Perdas por Seção'!$O$99/(Geometria!$L$48/100^2))-('Perdas por Seção'!$O$100/(Geometria!$L$53/100^3))+(('Cargas adicionais'!$O$255)/(Geometria!$L$53/100^3))+(('Cargas adicionais'!$R$255)/(Geometria!$M$53/100^3))</f>
        <v>-3490.70070744346</v>
      </c>
      <c r="AE43" s="751"/>
      <c r="AG43" s="373">
        <f ca="1">Geometria!$L$298*AC43+Geometria!$L$300*AC20</f>
        <v>3090.527775433603</v>
      </c>
      <c r="AH43" s="373">
        <f ca="1">Geometria!$L$298*AC43*Geometria!$L$299/100-Geometria!$L$300*AC20*Geometria!$L$301/100</f>
        <v>579.4739578938005</v>
      </c>
      <c r="AI43" s="365"/>
      <c r="AK43" s="122" t="s">
        <v>441</v>
      </c>
      <c r="AL43" s="198" t="str">
        <f ca="1">AL39</f>
        <v>OK</v>
      </c>
      <c r="AM43" s="401">
        <f t="shared" ca="1" si="8"/>
        <v>5041.415982446579</v>
      </c>
      <c r="AN43" s="403">
        <f ca="1">-(AS43/(Geometria!$L$48/100^2))-(AT43/(Geometria!$L$53/100^3))+(('Cargas adicionais'!$O$255)/(Geometria!$L$53/100^3))+(('Cargas adicionais'!$R$255)/(Geometria!$M$53/100^3))+((Geometria!$L$76*'Cargas adicionais'!$U$255)/(Geometria!$M$53/100^3))</f>
        <v>-20290.64125310154</v>
      </c>
      <c r="AO43" s="400">
        <f ca="1">AO39</f>
        <v>275.93997994942885</v>
      </c>
      <c r="AP43" s="751">
        <f ca="1">-('Perdas por Seção'!$O$99/(Geometria!$L$48/100^2))-('Perdas por Seção'!$O$100/(Geometria!$L$53/100^3))+((Geometria!$O$676)/(Geometria!$L$53/100^3))+((Geometria!$O$687)/(Geometria!$M$53/100^3))+((Geometria!$L$77*Geometria!$O$698)/(Geometria!$M$53/100^3))</f>
        <v>5041.415982446579</v>
      </c>
      <c r="AQ43" s="751"/>
      <c r="AS43" s="373">
        <f ca="1">Geometria!$L$298*AO43+Geometria!$L$300*AO20</f>
        <v>3090.527775433603</v>
      </c>
      <c r="AT43" s="373">
        <f ca="1">Geometria!$L$298*AO43*Geometria!$L$299/100-Geometria!$L$300*AO20*Geometria!$L$301/100</f>
        <v>579.4739578938005</v>
      </c>
      <c r="AU43" s="365"/>
      <c r="AW43" s="122" t="s">
        <v>441</v>
      </c>
      <c r="AX43" s="198" t="str">
        <f ca="1">AX39</f>
        <v>OK</v>
      </c>
      <c r="AY43" s="401">
        <f t="shared" ca="1" si="9"/>
        <v>-3490.70070744346</v>
      </c>
      <c r="AZ43" s="403">
        <f ca="1">-(BE43/(Geometria!$L$48/100^2))-(BF43/(Geometria!$L$53/100^3))+(('Cargas adicionais'!$O$255)/(Geometria!$L$53/100^3))+(('Cargas adicionais'!$R$255)/(Geometria!$M$53/100^3))+((Geometria!$L$76*'Cargas adicionais'!$U$255)/(Geometria!$M$53/100^3))</f>
        <v>-20290.64125310154</v>
      </c>
      <c r="BA43" s="400">
        <f ca="1">BA39</f>
        <v>275.93997994942885</v>
      </c>
      <c r="BB43" s="751">
        <f ca="1">-('Perdas por Seção'!$O$99/(Geometria!$L$48/100^2))-('Perdas por Seção'!$O$100/(Geometria!$L$53/100^3))+((Geometria!$O$676)/(Geometria!$L$53/100^3))+((Geometria!$O$687)/(Geometria!$M$53/100^3))</f>
        <v>-3490.70070744346</v>
      </c>
      <c r="BC43" s="751"/>
      <c r="BE43" s="373">
        <f ca="1">Geometria!$L$298*BA43+Geometria!$L$300*BA20</f>
        <v>3090.527775433603</v>
      </c>
      <c r="BF43" s="373">
        <f ca="1">Geometria!$L$298*BA43*Geometria!$L$299/100-Geometria!$L$300*BA20*Geometria!$L$301/100</f>
        <v>579.4739578938005</v>
      </c>
      <c r="BG43" s="365"/>
      <c r="BJ43" s="61"/>
    </row>
    <row r="44" spans="1:62" x14ac:dyDescent="0.25">
      <c r="A44" s="4" t="s">
        <v>442</v>
      </c>
      <c r="B44" s="198" t="str">
        <f ca="1">B38</f>
        <v>OK</v>
      </c>
      <c r="C44" s="396">
        <f t="shared" ca="1" si="5"/>
        <v>-21478.125141161294</v>
      </c>
      <c r="D44" s="397">
        <f ca="1">-I44/(Geometria!$L$48/100^2)-J44/(Geometria!$L$53/100^3)+Geometria!$L$898/(Geometria!$L$53/100^3)</f>
        <v>-50812.229729751954</v>
      </c>
      <c r="E44" s="400">
        <f ca="1">E38</f>
        <v>286.4638061125497</v>
      </c>
      <c r="F44" s="743">
        <f ca="1">-'Perdas por Seção'!$P$101/(Geometria!$L$48/100^2)-'Perdas por Seção'!$P$102/(Geometria!$L$53/100^3)+Geometria!$P$901/(Geometria!$L$53/100^3)</f>
        <v>-21478.125141161294</v>
      </c>
      <c r="G44" s="743"/>
      <c r="I44" s="373">
        <f ca="1">Geometria!$L$298*E44+Geometria!$L$300*E21</f>
        <v>3208.3946284605568</v>
      </c>
      <c r="J44" s="373">
        <f ca="1">Geometria!$L$298*E44*Geometria!$L$299/100-Geometria!$L$300*E21*Geometria!$L$301/100</f>
        <v>601.5739928363544</v>
      </c>
      <c r="K44" s="365"/>
      <c r="M44" s="122" t="s">
        <v>442</v>
      </c>
      <c r="N44" s="198" t="str">
        <f ca="1">N38</f>
        <v>OK</v>
      </c>
      <c r="O44" s="401">
        <f t="shared" ca="1" si="6"/>
        <v>7915.735435862506</v>
      </c>
      <c r="P44" s="403">
        <f ca="1">-(U44/(Geometria!$L$48/100^2))-(V44/(Geometria!$L$53/100^3))+(('Cargas adicionais'!$O$256)/(Geometria!$L$53/100^3))+(('Cargas adicionais'!$R$256)/(Geometria!$M$53/100^3))+((Geometria!$L$76*'Cargas adicionais'!$U$256)/(Geometria!$M$53/100^3))</f>
        <v>-15634.481032708452</v>
      </c>
      <c r="Q44" s="400">
        <f ca="1">Q38</f>
        <v>241.44748245575025</v>
      </c>
      <c r="R44" s="751">
        <f ca="1">-('Perdas por Seção'!$P$99/(Geometria!$L$48/100^2))-('Perdas por Seção'!$P$100/(Geometria!$L$53/100^3))+(('Cargas adicionais'!$O$256)/(Geometria!$L$53/100^3))+(('Cargas adicionais'!$R$256)/(Geometria!$M$53/100^3))+((Geometria!$L$76*'Cargas adicionais'!$U$256)/(Geometria!$M$53/100^3))</f>
        <v>7915.735435862506</v>
      </c>
      <c r="S44" s="751"/>
      <c r="U44" s="373">
        <f ca="1">Geometria!$L$298*Q44+Geometria!$L$300*Q21</f>
        <v>2704.2118035044027</v>
      </c>
      <c r="V44" s="373">
        <f ca="1">Geometria!$L$298*Q44*Geometria!$L$299/100-Geometria!$L$300*Q21*Geometria!$L$301/100</f>
        <v>507.03971315707554</v>
      </c>
      <c r="W44" s="365"/>
      <c r="Y44" s="122" t="s">
        <v>442</v>
      </c>
      <c r="Z44" s="198" t="str">
        <f ca="1">Z38</f>
        <v>OK</v>
      </c>
      <c r="AA44" s="401">
        <f t="shared" ca="1" si="7"/>
        <v>-4215.867982574894</v>
      </c>
      <c r="AB44" s="403">
        <f ca="1">-(AG44/(Geometria!$L$48/100^2))-(AH44/(Geometria!$L$53/100^3))+(('Cargas adicionais'!$O$256)/(Geometria!$L$53/100^3))+(('Cargas adicionais'!$R$256)/(Geometria!$M$53/100^3))+((Geometria!$L$76*'Cargas adicionais'!$U$256)/(Geometria!$M$53/100^3))</f>
        <v>-15634.481032708452</v>
      </c>
      <c r="AC44" s="400">
        <f ca="1">AC38</f>
        <v>241.44748245575025</v>
      </c>
      <c r="AD44" s="751">
        <f ca="1">-('Perdas por Seção'!$P$99/(Geometria!$L$48/100^2))-('Perdas por Seção'!$P$100/(Geometria!$L$53/100^3))+(('Cargas adicionais'!$O$256)/(Geometria!$L$53/100^3))+(('Cargas adicionais'!$R$256)/(Geometria!$M$53/100^3))</f>
        <v>-4215.867982574894</v>
      </c>
      <c r="AE44" s="751"/>
      <c r="AG44" s="373">
        <f ca="1">Geometria!$L$298*AC44+Geometria!$L$300*AC21</f>
        <v>2704.2118035044027</v>
      </c>
      <c r="AH44" s="373">
        <f ca="1">Geometria!$L$298*AC44*Geometria!$L$299/100-Geometria!$L$300*AC21*Geometria!$L$301/100</f>
        <v>507.03971315707554</v>
      </c>
      <c r="AI44" s="365"/>
      <c r="AK44" s="122" t="s">
        <v>442</v>
      </c>
      <c r="AL44" s="198" t="str">
        <f ca="1">AL38</f>
        <v>OK</v>
      </c>
      <c r="AM44" s="401">
        <f t="shared" ca="1" si="8"/>
        <v>3871.8676297167067</v>
      </c>
      <c r="AN44" s="403">
        <f ca="1">-(AS44/(Geometria!$L$48/100^2))-(AT44/(Geometria!$L$53/100^3))+(('Cargas adicionais'!$O$256)/(Geometria!$L$53/100^3))+(('Cargas adicionais'!$R$256)/(Geometria!$M$53/100^3))+((Geometria!$L$76*'Cargas adicionais'!$U$256)/(Geometria!$M$53/100^3))</f>
        <v>-15634.481032708452</v>
      </c>
      <c r="AO44" s="400">
        <f ca="1">AO38</f>
        <v>241.44748245575025</v>
      </c>
      <c r="AP44" s="751">
        <f ca="1">-('Perdas por Seção'!$P$99/(Geometria!$L$48/100^2))-('Perdas por Seção'!$P$100/(Geometria!$L$53/100^3))+((Geometria!$P$676)/(Geometria!$L$53/100^3))+((Geometria!$P$687)/(Geometria!$M$53/100^3))+((Geometria!$L$77*Geometria!$P$698)/(Geometria!$M$53/100^3))</f>
        <v>3871.8676297167067</v>
      </c>
      <c r="AQ44" s="751"/>
      <c r="AS44" s="373">
        <f ca="1">Geometria!$L$298*AO44+Geometria!$L$300*AO21</f>
        <v>2704.2118035044027</v>
      </c>
      <c r="AT44" s="373">
        <f ca="1">Geometria!$L$298*AO44*Geometria!$L$299/100-Geometria!$L$300*AO21*Geometria!$L$301/100</f>
        <v>507.03971315707554</v>
      </c>
      <c r="AU44" s="365"/>
      <c r="AW44" s="122" t="s">
        <v>442</v>
      </c>
      <c r="AX44" s="198" t="str">
        <f ca="1">AX38</f>
        <v>OK</v>
      </c>
      <c r="AY44" s="401">
        <f t="shared" ca="1" si="9"/>
        <v>-4215.867982574894</v>
      </c>
      <c r="AZ44" s="403">
        <f ca="1">-(BE44/(Geometria!$L$48/100^2))-(BF44/(Geometria!$L$53/100^3))+(('Cargas adicionais'!$O$256)/(Geometria!$L$53/100^3))+(('Cargas adicionais'!$R$256)/(Geometria!$M$53/100^3))+((Geometria!$L$76*'Cargas adicionais'!$U$256)/(Geometria!$M$53/100^3))</f>
        <v>-15634.481032708452</v>
      </c>
      <c r="BA44" s="400">
        <f ca="1">BA38</f>
        <v>241.44748245575025</v>
      </c>
      <c r="BB44" s="751">
        <f ca="1">-('Perdas por Seção'!$P$99/(Geometria!$L$48/100^2))-('Perdas por Seção'!$P$100/(Geometria!$L$53/100^3))+((Geometria!$P$676)/(Geometria!$L$53/100^3))+((Geometria!$P$687)/(Geometria!$M$53/100^3))</f>
        <v>-4215.867982574894</v>
      </c>
      <c r="BC44" s="751"/>
      <c r="BE44" s="373">
        <f ca="1">Geometria!$L$298*BA44+Geometria!$L$300*BA21</f>
        <v>2704.2118035044027</v>
      </c>
      <c r="BF44" s="373">
        <f ca="1">Geometria!$L$298*BA44*Geometria!$L$299/100-Geometria!$L$300*BA21*Geometria!$L$301/100</f>
        <v>507.03971315707554</v>
      </c>
      <c r="BG44" s="365"/>
      <c r="BJ44" s="61"/>
    </row>
    <row r="45" spans="1:62" x14ac:dyDescent="0.25">
      <c r="A45" s="4" t="s">
        <v>443</v>
      </c>
      <c r="B45" s="198" t="str">
        <f ca="1">B37</f>
        <v>OK</v>
      </c>
      <c r="C45" s="396">
        <f t="shared" ca="1" si="5"/>
        <v>-21626.87126670443</v>
      </c>
      <c r="D45" s="397">
        <f ca="1">-I45/(Geometria!$L$48/100^2)-J45/(Geometria!$L$53/100^3)+Geometria!$L$898/(Geometria!$L$53/100^3)</f>
        <v>-43491.48801798679</v>
      </c>
      <c r="E45" s="400">
        <f ca="1">E37</f>
        <v>245.54040523932832</v>
      </c>
      <c r="F45" s="743">
        <f ca="1">-'Perdas por Seção'!$Q$101/(Geometria!$L$48/100^2)-'Perdas por Seção'!$Q$102/(Geometria!$L$53/100^3)+Geometria!$Q$901/(Geometria!$L$53/100^3)</f>
        <v>-21626.87126670443</v>
      </c>
      <c r="G45" s="743"/>
      <c r="I45" s="373">
        <f ca="1">Geometria!$L$298*E45+Geometria!$L$300*E22</f>
        <v>2750.052538680477</v>
      </c>
      <c r="J45" s="373">
        <f ca="1">Geometria!$L$298*E45*Geometria!$L$299/100-Geometria!$L$300*E22*Geometria!$L$301/100</f>
        <v>515.6348510025895</v>
      </c>
      <c r="K45" s="365"/>
      <c r="M45" s="122" t="s">
        <v>443</v>
      </c>
      <c r="N45" s="198" t="str">
        <f ca="1">N37</f>
        <v>OK</v>
      </c>
      <c r="O45" s="401">
        <f t="shared" ca="1" si="6"/>
        <v>5967.325587620935</v>
      </c>
      <c r="P45" s="403">
        <f ca="1">-(U45/(Geometria!$L$48/100^2))-(V45/(Geometria!$L$53/100^3))+(('Cargas adicionais'!$O$257)/(Geometria!$L$53/100^3))+(('Cargas adicionais'!$R$257)/(Geometria!$M$53/100^3))+((Geometria!$L$76*'Cargas adicionais'!$U$257)/(Geometria!$M$53/100^3))</f>
        <v>-11583.986544816908</v>
      </c>
      <c r="Q45" s="400">
        <f ca="1">Q37</f>
        <v>206.95498496207165</v>
      </c>
      <c r="R45" s="751">
        <f ca="1">-('Perdas por Seção'!$Q$99/(Geometria!$L$48/100^2))-('Perdas por Seção'!$Q$100/(Geometria!$L$53/100^3))+(('Cargas adicionais'!$O$257)/(Geometria!$L$53/100^3))+(('Cargas adicionais'!$R$257)/(Geometria!$M$53/100^3))+((Geometria!$L$76*'Cargas adicionais'!$U$257)/(Geometria!$M$53/100^3))</f>
        <v>5967.325587620935</v>
      </c>
      <c r="S45" s="751"/>
      <c r="U45" s="373">
        <f ca="1">Geometria!$L$298*Q45+Geometria!$L$300*Q22</f>
        <v>2317.8958315752025</v>
      </c>
      <c r="V45" s="373">
        <f ca="1">Geometria!$L$298*Q45*Geometria!$L$299/100-Geometria!$L$300*Q22*Geometria!$L$301/100</f>
        <v>434.60546842035046</v>
      </c>
      <c r="W45" s="365"/>
      <c r="Y45" s="122" t="s">
        <v>443</v>
      </c>
      <c r="Z45" s="198" t="str">
        <f ca="1">Z37</f>
        <v>OK</v>
      </c>
      <c r="AA45" s="401">
        <f t="shared" ca="1" si="7"/>
        <v>-5231.07756785974</v>
      </c>
      <c r="AB45" s="403">
        <f ca="1">-(AG45/(Geometria!$L$48/100^2))-(AH45/(Geometria!$L$53/100^3))+(('Cargas adicionais'!$O$257)/(Geometria!$L$53/100^3))+(('Cargas adicionais'!$R$257)/(Geometria!$M$53/100^3))+((Geometria!$L$76*'Cargas adicionais'!$U$257)/(Geometria!$M$53/100^3))</f>
        <v>-11583.986544816908</v>
      </c>
      <c r="AC45" s="400">
        <f ca="1">AC37</f>
        <v>206.95498496207165</v>
      </c>
      <c r="AD45" s="751">
        <f ca="1">-('Perdas por Seção'!$Q$99/(Geometria!$L$48/100^2))-('Perdas por Seção'!$Q$100/(Geometria!$L$53/100^3))+(('Cargas adicionais'!$O$257)/(Geometria!$L$53/100^3))+(('Cargas adicionais'!$R$257)/(Geometria!$M$53/100^3))</f>
        <v>-5231.07756785974</v>
      </c>
      <c r="AE45" s="751"/>
      <c r="AG45" s="373">
        <f ca="1">Geometria!$L$298*AC45+Geometria!$L$300*AC22</f>
        <v>2317.8958315752025</v>
      </c>
      <c r="AH45" s="373">
        <f ca="1">Geometria!$L$298*AC45*Geometria!$L$299/100-Geometria!$L$300*AC22*Geometria!$L$301/100</f>
        <v>434.60546842035046</v>
      </c>
      <c r="AI45" s="365"/>
      <c r="AK45" s="122" t="s">
        <v>443</v>
      </c>
      <c r="AL45" s="198" t="str">
        <f ca="1">AL37</f>
        <v>OK</v>
      </c>
      <c r="AM45" s="401">
        <f t="shared" ca="1" si="8"/>
        <v>2234.524535794045</v>
      </c>
      <c r="AN45" s="403">
        <f ca="1">-(AS45/(Geometria!$L$48/100^2))-(AT45/(Geometria!$L$53/100^3))+(('Cargas adicionais'!$O$257)/(Geometria!$L$53/100^3))+(('Cargas adicionais'!$R$257)/(Geometria!$M$53/100^3))+((Geometria!$L$76*'Cargas adicionais'!$U$257)/(Geometria!$M$53/100^3))</f>
        <v>-11583.986544816908</v>
      </c>
      <c r="AO45" s="400">
        <f ca="1">AO37</f>
        <v>206.95498496207165</v>
      </c>
      <c r="AP45" s="751">
        <f ca="1">-('Perdas por Seção'!$Q$99/(Geometria!$L$48/100^2))-('Perdas por Seção'!$Q$100/(Geometria!$L$53/100^3))+((Geometria!$Q$676)/(Geometria!$L$53/100^3))+((Geometria!$Q$687)/(Geometria!$M$53/100^3))+((Geometria!$L$77*Geometria!$Q$698)/(Geometria!$M$53/100^3))</f>
        <v>2234.524535794045</v>
      </c>
      <c r="AQ45" s="751"/>
      <c r="AS45" s="373">
        <f ca="1">Geometria!$L$298*AO45+Geometria!$L$300*AO22</f>
        <v>2317.8958315752025</v>
      </c>
      <c r="AT45" s="373">
        <f ca="1">Geometria!$L$298*AO45*Geometria!$L$299/100-Geometria!$L$300*AO22*Geometria!$L$301/100</f>
        <v>434.60546842035046</v>
      </c>
      <c r="AU45" s="365"/>
      <c r="AW45" s="122" t="s">
        <v>443</v>
      </c>
      <c r="AX45" s="198" t="str">
        <f ca="1">AX37</f>
        <v>OK</v>
      </c>
      <c r="AY45" s="401">
        <f t="shared" ca="1" si="9"/>
        <v>-5231.07756785974</v>
      </c>
      <c r="AZ45" s="403">
        <f ca="1">-(BE45/(Geometria!$L$48/100^2))-(BF45/(Geometria!$L$53/100^3))+(('Cargas adicionais'!$O$257)/(Geometria!$L$53/100^3))+(('Cargas adicionais'!$R$257)/(Geometria!$M$53/100^3))+((Geometria!$L$76*'Cargas adicionais'!$U$257)/(Geometria!$M$53/100^3))</f>
        <v>-11583.986544816908</v>
      </c>
      <c r="BA45" s="400">
        <f ca="1">BA37</f>
        <v>206.95498496207165</v>
      </c>
      <c r="BB45" s="751">
        <f ca="1">-('Perdas por Seção'!$Q$99/(Geometria!$L$48/100^2))-('Perdas por Seção'!$Q$100/(Geometria!$L$53/100^3))+((Geometria!$Q$676)/(Geometria!$L$53/100^3))+((Geometria!$Q$687)/(Geometria!$M$53/100^3))</f>
        <v>-5231.07756785974</v>
      </c>
      <c r="BC45" s="751"/>
      <c r="BE45" s="373">
        <f ca="1">Geometria!$L$298*BA45+Geometria!$L$300*BA22</f>
        <v>2317.8958315752025</v>
      </c>
      <c r="BF45" s="373">
        <f ca="1">Geometria!$L$298*BA45*Geometria!$L$299/100-Geometria!$L$300*BA22*Geometria!$L$301/100</f>
        <v>434.60546842035046</v>
      </c>
      <c r="BG45" s="365"/>
      <c r="BJ45" s="61"/>
    </row>
    <row r="46" spans="1:62" x14ac:dyDescent="0.25">
      <c r="A46" s="4" t="s">
        <v>444</v>
      </c>
      <c r="B46" s="198" t="str">
        <f ca="1">B36</f>
        <v>OK</v>
      </c>
      <c r="C46" s="396">
        <f t="shared" ca="1" si="5"/>
        <v>-21818.116285259886</v>
      </c>
      <c r="D46" s="397">
        <f ca="1">-I46/(Geometria!$L$48/100^2)-J46/(Geometria!$L$53/100^3)+Geometria!$L$898/(Geometria!$L$53/100^3)</f>
        <v>-36170.746306221634</v>
      </c>
      <c r="E46" s="400">
        <f ca="1">E36</f>
        <v>204.61700436610695</v>
      </c>
      <c r="F46" s="743">
        <f ca="1">-'Perdas por Seção'!$R$101/(Geometria!$L$48/100^2)-'Perdas por Seção'!$R$102/(Geometria!$L$53/100^3)+Geometria!$R$901/(Geometria!$L$53/100^3)</f>
        <v>-21818.116285259886</v>
      </c>
      <c r="G46" s="743"/>
      <c r="I46" s="373">
        <f ca="1">Geometria!$L$298*E46+Geometria!$L$300*E23</f>
        <v>2291.7104489003978</v>
      </c>
      <c r="J46" s="373">
        <f ca="1">Geometria!$L$298*E46*Geometria!$L$299/100-Geometria!$L$300*E23*Geometria!$L$301/100</f>
        <v>429.6957091688245</v>
      </c>
      <c r="K46" s="365"/>
      <c r="M46" s="122" t="s">
        <v>444</v>
      </c>
      <c r="N46" s="198" t="str">
        <f ca="1">N36</f>
        <v>OK</v>
      </c>
      <c r="O46" s="401">
        <f t="shared" ca="1" si="6"/>
        <v>3462.269386687459</v>
      </c>
      <c r="P46" s="403">
        <f ca="1">-(U46/(Geometria!$L$48/100^2))-(V46/(Geometria!$L$53/100^3))+(('Cargas adicionais'!$O$258)/(Geometria!$L$53/100^3))+(('Cargas adicionais'!$R$258)/(Geometria!$M$53/100^3))+((Geometria!$L$76*'Cargas adicionais'!$U$258)/(Geometria!$M$53/100^3))</f>
        <v>-8139.157789426894</v>
      </c>
      <c r="Q46" s="400">
        <f ca="1">Q36</f>
        <v>172.46248746839305</v>
      </c>
      <c r="R46" s="751">
        <f ca="1">-('Perdas por Seção'!$R$99/(Geometria!$L$48/100^2))-('Perdas por Seção'!$R$100/(Geometria!$L$53/100^3))+(('Cargas adicionais'!$O$258)/(Geometria!$L$53/100^3))+(('Cargas adicionais'!$R$258)/(Geometria!$M$53/100^3))+((Geometria!$L$76*'Cargas adicionais'!$U$258)/(Geometria!$M$53/100^3))</f>
        <v>3462.269386687459</v>
      </c>
      <c r="S46" s="751"/>
      <c r="U46" s="373">
        <f ca="1">Geometria!$L$298*Q46+Geometria!$L$300*Q23</f>
        <v>1931.579859646002</v>
      </c>
      <c r="V46" s="373">
        <f ca="1">Geometria!$L$298*Q46*Geometria!$L$299/100-Geometria!$L$300*Q23*Geometria!$L$301/100</f>
        <v>362.1712236836254</v>
      </c>
      <c r="W46" s="365"/>
      <c r="Y46" s="122" t="s">
        <v>444</v>
      </c>
      <c r="Z46" s="198" t="str">
        <f ca="1">Z36</f>
        <v>OK</v>
      </c>
      <c r="AA46" s="401">
        <f t="shared" ca="1" si="7"/>
        <v>-6536.304859277433</v>
      </c>
      <c r="AB46" s="403">
        <f ca="1">-(AG46/(Geometria!$L$48/100^2))-(AH46/(Geometria!$L$53/100^3))+(('Cargas adicionais'!$O$258)/(Geometria!$L$53/100^3))+(('Cargas adicionais'!$R$258)/(Geometria!$M$53/100^3))+((Geometria!$L$76*'Cargas adicionais'!$U$258)/(Geometria!$M$53/100^3))</f>
        <v>-8139.157789426894</v>
      </c>
      <c r="AC46" s="400">
        <f ca="1">AC36</f>
        <v>172.46248746839305</v>
      </c>
      <c r="AD46" s="751">
        <f ca="1">-('Perdas por Seção'!$R$99/(Geometria!$L$48/100^2))-('Perdas por Seção'!$R$100/(Geometria!$L$53/100^3))+(('Cargas adicionais'!$O$258)/(Geometria!$L$53/100^3))+(('Cargas adicionais'!$R$258)/(Geometria!$M$53/100^3))</f>
        <v>-6536.304859277433</v>
      </c>
      <c r="AE46" s="751"/>
      <c r="AG46" s="373">
        <f ca="1">Geometria!$L$298*AC46+Geometria!$L$300*AC23</f>
        <v>1931.579859646002</v>
      </c>
      <c r="AH46" s="373">
        <f ca="1">Geometria!$L$298*AC46*Geometria!$L$299/100-Geometria!$L$300*AC23*Geometria!$L$301/100</f>
        <v>362.1712236836254</v>
      </c>
      <c r="AI46" s="365"/>
      <c r="AK46" s="122" t="s">
        <v>444</v>
      </c>
      <c r="AL46" s="198" t="str">
        <f ca="1">AL36</f>
        <v>OK</v>
      </c>
      <c r="AM46" s="401">
        <f t="shared" ca="1" si="8"/>
        <v>129.41130469916243</v>
      </c>
      <c r="AN46" s="403">
        <f ca="1">-(AS46/(Geometria!$L$48/100^2))-(AT46/(Geometria!$L$53/100^3))+(('Cargas adicionais'!$O$258)/(Geometria!$L$53/100^3))+(('Cargas adicionais'!$R$258)/(Geometria!$M$53/100^3))+((Geometria!$L$76*'Cargas adicionais'!$U$258)/(Geometria!$M$53/100^3))</f>
        <v>-8139.157789426894</v>
      </c>
      <c r="AO46" s="400">
        <f ca="1">AO36</f>
        <v>172.46248746839305</v>
      </c>
      <c r="AP46" s="751">
        <f ca="1">-('Perdas por Seção'!$R$99/(Geometria!$L$48/100^2))-('Perdas por Seção'!$R$100/(Geometria!$L$53/100^3))+((Geometria!$R$676)/(Geometria!$L$53/100^3))+((Geometria!$R$687)/(Geometria!$M$53/100^3))+((Geometria!$L$77*Geometria!$R$698)/(Geometria!$M$53/100^3))</f>
        <v>129.41130469916243</v>
      </c>
      <c r="AQ46" s="751"/>
      <c r="AS46" s="373">
        <f ca="1">Geometria!$L$298*AO46+Geometria!$L$300*AO23</f>
        <v>1931.579859646002</v>
      </c>
      <c r="AT46" s="373">
        <f ca="1">Geometria!$L$298*AO46*Geometria!$L$299/100-Geometria!$L$300*AO23*Geometria!$L$301/100</f>
        <v>362.1712236836254</v>
      </c>
      <c r="AU46" s="365"/>
      <c r="AW46" s="122" t="s">
        <v>444</v>
      </c>
      <c r="AX46" s="198" t="str">
        <f ca="1">AX36</f>
        <v>OK</v>
      </c>
      <c r="AY46" s="401">
        <f t="shared" ca="1" si="9"/>
        <v>-6536.304859277433</v>
      </c>
      <c r="AZ46" s="403">
        <f ca="1">-(BE46/(Geometria!$L$48/100^2))-(BF46/(Geometria!$L$53/100^3))+(('Cargas adicionais'!$O$258)/(Geometria!$L$53/100^3))+(('Cargas adicionais'!$R$258)/(Geometria!$M$53/100^3))+((Geometria!$L$76*'Cargas adicionais'!$U$258)/(Geometria!$M$53/100^3))</f>
        <v>-8139.157789426894</v>
      </c>
      <c r="BA46" s="400">
        <f ca="1">BA36</f>
        <v>172.46248746839305</v>
      </c>
      <c r="BB46" s="751">
        <f ca="1">-('Perdas por Seção'!$R$99/(Geometria!$L$48/100^2))-('Perdas por Seção'!$R$100/(Geometria!$L$53/100^3))+((Geometria!$R$676)/(Geometria!$L$53/100^3))+((Geometria!$R$687)/(Geometria!$M$53/100^3))</f>
        <v>-6536.304859277433</v>
      </c>
      <c r="BC46" s="751"/>
      <c r="BE46" s="373">
        <f ca="1">Geometria!$L$298*BA46+Geometria!$L$300*BA23</f>
        <v>1931.579859646002</v>
      </c>
      <c r="BF46" s="373">
        <f ca="1">Geometria!$L$298*BA46*Geometria!$L$299/100-Geometria!$L$300*BA23*Geometria!$L$301/100</f>
        <v>362.1712236836254</v>
      </c>
      <c r="BG46" s="365"/>
      <c r="BJ46" s="61"/>
    </row>
    <row r="47" spans="1:62" x14ac:dyDescent="0.25">
      <c r="A47" s="4" t="s">
        <v>445</v>
      </c>
      <c r="B47" s="198" t="str">
        <f ca="1">B35</f>
        <v>OK</v>
      </c>
      <c r="C47" s="396">
        <f t="shared" ca="1" si="5"/>
        <v>-22051.860196827667</v>
      </c>
      <c r="D47" s="397">
        <f ca="1">-I47/(Geometria!$L$48/100^2)-J47/(Geometria!$L$53/100^3)+Geometria!$L$898/(Geometria!$L$53/100^3)</f>
        <v>-28850.004594456474</v>
      </c>
      <c r="E47" s="400">
        <f ca="1">E35</f>
        <v>163.69360349288556</v>
      </c>
      <c r="F47" s="743">
        <f ca="1">-'Perdas por Seção'!$S$101/(Geometria!$L$48/100^2)-'Perdas por Seção'!$S$102/(Geometria!$L$53/100^3)+Geometria!$K$904/(Geometria!$L$53/100^3)</f>
        <v>-22051.860196827667</v>
      </c>
      <c r="G47" s="743"/>
      <c r="I47" s="373">
        <f ca="1">Geometria!$L$298*E47+Geometria!$L$300*E24</f>
        <v>1833.368359120318</v>
      </c>
      <c r="J47" s="373">
        <f ca="1">Geometria!$L$298*E47*Geometria!$L$299/100-Geometria!$L$300*E24*Geometria!$L$301/100</f>
        <v>343.7565673350597</v>
      </c>
      <c r="K47" s="365"/>
      <c r="M47" s="122" t="s">
        <v>445</v>
      </c>
      <c r="N47" s="198" t="str">
        <f ca="1">N35</f>
        <v>OK</v>
      </c>
      <c r="O47" s="401">
        <f t="shared" ca="1" si="6"/>
        <v>400.59847269264174</v>
      </c>
      <c r="P47" s="403">
        <f ca="1">-(U47/(Geometria!$L$48/100^2))-(V47/(Geometria!$L$53/100^3))+(('Cargas adicionais'!$O$259)/(Geometria!$L$53/100^3))+(('Cargas adicionais'!$R$259)/(Geometria!$M$53/100^3))+((Geometria!$L$76*'Cargas adicionais'!$U$259)/(Geometria!$M$53/100^3))</f>
        <v>-5299.994766538415</v>
      </c>
      <c r="Q47" s="400">
        <f ca="1">Q35</f>
        <v>137.9699899747144</v>
      </c>
      <c r="R47" s="751">
        <f ca="1">-('Perdas por Seção'!$S$99/(Geometria!$L$48/100^2))-('Perdas por Seção'!$S$100/(Geometria!$L$53/100^3))+(('Cargas adicionais'!$O$259)/(Geometria!$L$53/100^3))+(('Cargas adicionais'!$R$259)/(Geometria!$M$53/100^3))+((Geometria!$L$76*'Cargas adicionais'!$U$259)/(Geometria!$M$53/100^3))</f>
        <v>400.59847269264174</v>
      </c>
      <c r="S47" s="751"/>
      <c r="U47" s="373">
        <f ca="1">Geometria!$L$298*Q47+Geometria!$L$300*Q24</f>
        <v>1545.263887716801</v>
      </c>
      <c r="V47" s="373">
        <f ca="1">Geometria!$L$298*Q47*Geometria!$L$299/100-Geometria!$L$300*Q24*Geometria!$L$301/100</f>
        <v>289.7369789469002</v>
      </c>
      <c r="W47" s="365"/>
      <c r="Y47" s="122" t="s">
        <v>445</v>
      </c>
      <c r="Z47" s="198" t="str">
        <f ca="1">Z35</f>
        <v>OK</v>
      </c>
      <c r="AA47" s="401">
        <f t="shared" ca="1" si="7"/>
        <v>-8131.518217197401</v>
      </c>
      <c r="AB47" s="403">
        <f ca="1">-(AG47/(Geometria!$L$48/100^2))-(AH47/(Geometria!$L$53/100^3))+(('Cargas adicionais'!$O$259)/(Geometria!$L$53/100^3))+(('Cargas adicionais'!$R$259)/(Geometria!$M$53/100^3))+((Geometria!$L$76*'Cargas adicionais'!$U$259)/(Geometria!$M$53/100^3))</f>
        <v>-5299.994766538415</v>
      </c>
      <c r="AC47" s="400">
        <f ca="1">AC35</f>
        <v>137.9699899747144</v>
      </c>
      <c r="AD47" s="751">
        <f ca="1">-('Perdas por Seção'!$S$99/(Geometria!$L$48/100^2))-('Perdas por Seção'!$S$100/(Geometria!$L$53/100^3))+(('Cargas adicionais'!$O$259)/(Geometria!$L$53/100^3))+(('Cargas adicionais'!$R$259)/(Geometria!$M$53/100^3))</f>
        <v>-8131.518217197401</v>
      </c>
      <c r="AE47" s="751"/>
      <c r="AG47" s="373">
        <f ca="1">Geometria!$L$298*AC47+Geometria!$L$300*AC24</f>
        <v>1545.263887716801</v>
      </c>
      <c r="AH47" s="373">
        <f ca="1">Geometria!$L$298*AC47*Geometria!$L$299/100-Geometria!$L$300*AC24*Geometria!$L$301/100</f>
        <v>289.7369789469002</v>
      </c>
      <c r="AI47" s="365"/>
      <c r="AK47" s="122" t="s">
        <v>445</v>
      </c>
      <c r="AL47" s="198" t="str">
        <f ca="1">AL35</f>
        <v>OK</v>
      </c>
      <c r="AM47" s="401">
        <f t="shared" ca="1" si="8"/>
        <v>-2443.4404239373725</v>
      </c>
      <c r="AN47" s="403">
        <f ca="1">-(AS47/(Geometria!$L$48/100^2))-(AT47/(Geometria!$L$53/100^3))+(('Cargas adicionais'!$O$259)/(Geometria!$L$53/100^3))+(('Cargas adicionais'!$R$259)/(Geometria!$M$53/100^3))+((Geometria!$L$76*'Cargas adicionais'!$U$259)/(Geometria!$M$53/100^3))</f>
        <v>-5299.994766538415</v>
      </c>
      <c r="AO47" s="400">
        <f ca="1">AO35</f>
        <v>137.9699899747144</v>
      </c>
      <c r="AP47" s="751">
        <f ca="1">-('Perdas por Seção'!$S$99/(Geometria!$L$48/100^2))-('Perdas por Seção'!$S$100/(Geometria!$L$53/100^3))+((Geometria!$K$679)/(Geometria!$L$53/100^3))+((Geometria!$K$690)/(Geometria!$M$53/100^3))+((Geometria!$L$77*Geometria!$K$701)/(Geometria!$M$53/100^3))</f>
        <v>-2443.4404239373725</v>
      </c>
      <c r="AQ47" s="751"/>
      <c r="AS47" s="373">
        <f ca="1">Geometria!$L$298*AO47+Geometria!$L$300*AO24</f>
        <v>1545.263887716801</v>
      </c>
      <c r="AT47" s="373">
        <f ca="1">Geometria!$L$298*AO47*Geometria!$L$299/100-Geometria!$L$300*AO24*Geometria!$L$301/100</f>
        <v>289.7369789469002</v>
      </c>
      <c r="AU47" s="365"/>
      <c r="AW47" s="122" t="s">
        <v>445</v>
      </c>
      <c r="AX47" s="198" t="str">
        <f ca="1">AX35</f>
        <v>OK</v>
      </c>
      <c r="AY47" s="401">
        <f t="shared" ca="1" si="9"/>
        <v>-8131.518217197401</v>
      </c>
      <c r="AZ47" s="403">
        <f ca="1">-(BE47/(Geometria!$L$48/100^2))-(BF47/(Geometria!$L$53/100^3))+(('Cargas adicionais'!$O$259)/(Geometria!$L$53/100^3))+(('Cargas adicionais'!$R$259)/(Geometria!$M$53/100^3))+((Geometria!$L$76*'Cargas adicionais'!$U$259)/(Geometria!$M$53/100^3))</f>
        <v>-5299.994766538415</v>
      </c>
      <c r="BA47" s="400">
        <f ca="1">BA35</f>
        <v>137.9699899747144</v>
      </c>
      <c r="BB47" s="751">
        <f ca="1">-('Perdas por Seção'!$S$99/(Geometria!$L$48/100^2))-('Perdas por Seção'!$S$100/(Geometria!$L$53/100^3))+((Geometria!$K$679)/(Geometria!$L$53/100^3))+((Geometria!$K$690)/(Geometria!$M$53/100^3))</f>
        <v>-8131.518217197401</v>
      </c>
      <c r="BC47" s="751"/>
      <c r="BE47" s="373">
        <f ca="1">Geometria!$L$298*BA47+Geometria!$L$300*BA24</f>
        <v>1545.263887716801</v>
      </c>
      <c r="BF47" s="373">
        <f ca="1">Geometria!$L$298*BA47*Geometria!$L$299/100-Geometria!$L$300*BA24*Geometria!$L$301/100</f>
        <v>289.7369789469002</v>
      </c>
      <c r="BG47" s="365"/>
      <c r="BJ47" s="61"/>
    </row>
    <row r="48" spans="1:62" x14ac:dyDescent="0.25">
      <c r="A48" s="4" t="s">
        <v>446</v>
      </c>
      <c r="B48" s="198" t="str">
        <f ca="1">B34</f>
        <v>Reduzir</v>
      </c>
      <c r="C48" s="396">
        <f t="shared" ca="1" si="5"/>
        <v>-21529.262882691306</v>
      </c>
      <c r="D48" s="397">
        <f ca="1">-I48/(Geometria!$L$48/100^2)-J48/(Geometria!$L$53/100^3)+Geometria!$L$898/(Geometria!$L$53/100^3)</f>
        <v>-21529.262882691306</v>
      </c>
      <c r="E48" s="400">
        <f ca="1">E34</f>
        <v>122.77020261966413</v>
      </c>
      <c r="F48" s="743">
        <f ca="1">-'Perdas por Seção'!$T$101/(Geometria!$L$48/100^2)-'Perdas por Seção'!$T$102/(Geometria!$L$53/100^3)+Geometria!$L$904/(Geometria!$L$53/100^3)</f>
        <v>-22328.103001407773</v>
      </c>
      <c r="G48" s="743"/>
      <c r="I48" s="373">
        <f ca="1">Geometria!$L$298*E48+Geometria!$L$300*E25</f>
        <v>1375.0262693402383</v>
      </c>
      <c r="J48" s="373">
        <f ca="1">Geometria!$L$298*E48*Geometria!$L$299/100-Geometria!$L$300*E25*Geometria!$L$301/100</f>
        <v>257.8174255012947</v>
      </c>
      <c r="K48" s="365"/>
      <c r="M48" s="122" t="s">
        <v>446</v>
      </c>
      <c r="N48" s="198" t="str">
        <f ca="1">N34</f>
        <v>Reduzir</v>
      </c>
      <c r="O48" s="401">
        <f t="shared" ca="1" si="6"/>
        <v>-3066.497476151496</v>
      </c>
      <c r="P48" s="403">
        <f ca="1">-(U48/(Geometria!$L$48/100^2))-(V48/(Geometria!$L$53/100^3))+(('Cargas adicionais'!$O$260)/(Geometria!$L$53/100^3))+(('Cargas adicionais'!$R$260)/(Geometria!$M$53/100^3))+((Geometria!$L$76*'Cargas adicionais'!$U$260)/(Geometria!$M$53/100^3))</f>
        <v>-3066.497476151496</v>
      </c>
      <c r="Q48" s="400">
        <f ca="1">Q34</f>
        <v>103.47749248103581</v>
      </c>
      <c r="R48" s="751">
        <f ca="1">-('Perdas por Seção'!$T$99/(Geometria!$L$48/100^2))-('Perdas por Seção'!$T$100/(Geometria!$L$53/100^3))+(('Cargas adicionais'!$O$260)/(Geometria!$L$53/100^3))+(('Cargas adicionais'!$R$260)/(Geometria!$M$53/100^3))+((Geometria!$L$76*'Cargas adicionais'!$U$260)/(Geometria!$M$53/100^3))</f>
        <v>-3217.648474701672</v>
      </c>
      <c r="S48" s="751"/>
      <c r="U48" s="373">
        <f ca="1">Geometria!$L$298*Q48+Geometria!$L$300*Q25</f>
        <v>1158.947915787601</v>
      </c>
      <c r="V48" s="373">
        <f ca="1">Geometria!$L$298*Q48*Geometria!$L$299/100-Geometria!$L$300*Q25*Geometria!$L$301/100</f>
        <v>217.30273421017517</v>
      </c>
      <c r="W48" s="365"/>
      <c r="Y48" s="122" t="s">
        <v>446</v>
      </c>
      <c r="Z48" s="198" t="str">
        <f ca="1">Z34</f>
        <v>Reduzir</v>
      </c>
      <c r="AA48" s="401">
        <f t="shared" ca="1" si="7"/>
        <v>-3066.497476151496</v>
      </c>
      <c r="AB48" s="403">
        <f ca="1">-(AG48/(Geometria!$L$48/100^2))-(AH48/(Geometria!$L$53/100^3))+(('Cargas adicionais'!$O$260)/(Geometria!$L$53/100^3))+(('Cargas adicionais'!$R$260)/(Geometria!$M$53/100^3))+((Geometria!$L$76*'Cargas adicionais'!$U$260)/(Geometria!$M$53/100^3))</f>
        <v>-3066.497476151496</v>
      </c>
      <c r="AC48" s="400">
        <f ca="1">AC34</f>
        <v>103.47749248103581</v>
      </c>
      <c r="AD48" s="751">
        <f ca="1">-('Perdas por Seção'!$T$99/(Geometria!$L$48/100^2))-('Perdas por Seção'!$T$100/(Geometria!$L$53/100^3))+(('Cargas adicionais'!$O$260)/(Geometria!$L$53/100^3))+(('Cargas adicionais'!$R$260)/(Geometria!$M$53/100^3))</f>
        <v>-10016.678961957801</v>
      </c>
      <c r="AE48" s="751"/>
      <c r="AG48" s="373">
        <f ca="1">Geometria!$L$298*AC48+Geometria!$L$300*AC25</f>
        <v>1158.947915787601</v>
      </c>
      <c r="AH48" s="373">
        <f ca="1">Geometria!$L$298*AC48*Geometria!$L$299/100-Geometria!$L$300*AC25*Geometria!$L$301/100</f>
        <v>217.30273421017517</v>
      </c>
      <c r="AI48" s="365"/>
      <c r="AK48" s="122" t="s">
        <v>446</v>
      </c>
      <c r="AL48" s="198" t="str">
        <f ca="1">AL34</f>
        <v>Reduzir</v>
      </c>
      <c r="AM48" s="401">
        <f t="shared" ca="1" si="8"/>
        <v>-3066.497476151496</v>
      </c>
      <c r="AN48" s="403">
        <f ca="1">-(AS48/(Geometria!$L$48/100^2))-(AT48/(Geometria!$L$53/100^3))+(('Cargas adicionais'!$O$260)/(Geometria!$L$53/100^3))+(('Cargas adicionais'!$R$260)/(Geometria!$M$53/100^3))+((Geometria!$L$76*'Cargas adicionais'!$U$260)/(Geometria!$M$53/100^3))</f>
        <v>-3066.497476151496</v>
      </c>
      <c r="AO48" s="400">
        <f ca="1">AO34</f>
        <v>103.47749248103581</v>
      </c>
      <c r="AP48" s="751">
        <f ca="1">-('Perdas por Seção'!$T$99/(Geometria!$L$48/100^2))-('Perdas por Seção'!$T$100/(Geometria!$L$53/100^3))+((Geometria!$L$679)/(Geometria!$L$53/100^3))+((Geometria!$L$690)/(Geometria!$M$53/100^3))+((Geometria!$L$77*Geometria!$L$701)/(Geometria!$M$53/100^3))</f>
        <v>-5483.991970453714</v>
      </c>
      <c r="AQ48" s="751"/>
      <c r="AS48" s="373">
        <f ca="1">Geometria!$L$298*AO48+Geometria!$L$300*AO25</f>
        <v>1158.947915787601</v>
      </c>
      <c r="AT48" s="373">
        <f ca="1">Geometria!$L$298*AO48*Geometria!$L$299/100-Geometria!$L$300*AO25*Geometria!$L$301/100</f>
        <v>217.30273421017517</v>
      </c>
      <c r="AU48" s="365"/>
      <c r="AW48" s="122" t="s">
        <v>446</v>
      </c>
      <c r="AX48" s="198" t="str">
        <f ca="1">AX34</f>
        <v>Reduzir</v>
      </c>
      <c r="AY48" s="401">
        <f t="shared" ca="1" si="9"/>
        <v>-3066.497476151496</v>
      </c>
      <c r="AZ48" s="403">
        <f ca="1">-(BE48/(Geometria!$L$48/100^2))-(BF48/(Geometria!$L$53/100^3))+(('Cargas adicionais'!$O$260)/(Geometria!$L$53/100^3))+(('Cargas adicionais'!$R$260)/(Geometria!$M$53/100^3))+((Geometria!$L$76*'Cargas adicionais'!$U$260)/(Geometria!$M$53/100^3))</f>
        <v>-3066.497476151496</v>
      </c>
      <c r="BA48" s="400">
        <f ca="1">BA34</f>
        <v>103.47749248103581</v>
      </c>
      <c r="BB48" s="751">
        <f ca="1">-('Perdas por Seção'!$T$99/(Geometria!$L$48/100^2))-('Perdas por Seção'!$T$100/(Geometria!$L$53/100^3))+((Geometria!$L$679)/(Geometria!$L$53/100^3))+((Geometria!$L$690)/(Geometria!$M$53/100^3))</f>
        <v>-10016.678961957801</v>
      </c>
      <c r="BC48" s="751"/>
      <c r="BE48" s="373">
        <f ca="1">Geometria!$L$298*BA48+Geometria!$L$300*BA25</f>
        <v>1158.947915787601</v>
      </c>
      <c r="BF48" s="373">
        <f ca="1">Geometria!$L$298*BA48*Geometria!$L$299/100-Geometria!$L$300*BA25*Geometria!$L$301/100</f>
        <v>217.30273421017517</v>
      </c>
      <c r="BG48" s="365"/>
      <c r="BJ48" s="61"/>
    </row>
    <row r="49" spans="1:62" x14ac:dyDescent="0.25">
      <c r="A49" s="4" t="s">
        <v>447</v>
      </c>
      <c r="B49" s="198" t="str">
        <f ca="1">B33</f>
        <v>Reduzir</v>
      </c>
      <c r="C49" s="396">
        <f t="shared" ca="1" si="5"/>
        <v>-14208.521170926155</v>
      </c>
      <c r="D49" s="397">
        <f ca="1">-I49/(Geometria!$L$48/100^2)-J49/(Geometria!$L$53/100^3)+Geometria!$L$898/(Geometria!$L$53/100^3)</f>
        <v>-14208.521170926155</v>
      </c>
      <c r="E49" s="400">
        <f ca="1">E33</f>
        <v>81.84680174644278</v>
      </c>
      <c r="F49" s="743">
        <f ca="1">-'Perdas por Seção'!$U$101/(Geometria!$L$48/100^2)-'Perdas por Seção'!$U$102/(Geometria!$L$53/100^3)+Geometria!$M$904/(Geometria!$L$53/100^3)</f>
        <v>-22646.84469900021</v>
      </c>
      <c r="G49" s="743"/>
      <c r="I49" s="373">
        <f ca="1">Geometria!$L$298*E49+Geometria!$L$300*E26</f>
        <v>916.684179560159</v>
      </c>
      <c r="J49" s="373">
        <f ca="1">Geometria!$L$298*E49*Geometria!$L$299/100-Geometria!$L$300*E26*Geometria!$L$301/100</f>
        <v>171.87828366752984</v>
      </c>
      <c r="K49" s="365"/>
      <c r="M49" s="122" t="s">
        <v>447</v>
      </c>
      <c r="N49" s="198" t="str">
        <f ca="1">N33</f>
        <v>Reduzir</v>
      </c>
      <c r="O49" s="401">
        <f t="shared" ca="1" si="6"/>
        <v>-1438.665918266116</v>
      </c>
      <c r="P49" s="403">
        <f ca="1">-(U49/(Geometria!$L$48/100^2))-(V49/(Geometria!$L$53/100^3))+(('Cargas adicionais'!$O$261)/(Geometria!$L$53/100^3))+(('Cargas adicionais'!$R$261)/(Geometria!$M$53/100^3))+((Geometria!$L$76*'Cargas adicionais'!$U$261)/(Geometria!$M$53/100^3))</f>
        <v>-1438.665918266116</v>
      </c>
      <c r="Q49" s="400">
        <f ca="1">Q33</f>
        <v>68.9849949873572</v>
      </c>
      <c r="R49" s="751">
        <f ca="1">-('Perdas por Seção'!$U$99/(Geometria!$L$48/100^2))-('Perdas por Seção'!$U$100/(Geometria!$L$53/100^3))+(('Cargas adicionais'!$O$261)/(Geometria!$L$53/100^3))+(('Cargas adicionais'!$R$261)/(Geometria!$M$53/100^3))+((Geometria!$L$76*'Cargas adicionais'!$U$261)/(Geometria!$M$53/100^3))</f>
        <v>-7392.425730394438</v>
      </c>
      <c r="S49" s="751"/>
      <c r="U49" s="373">
        <f ca="1">Geometria!$L$298*Q49+Geometria!$L$300*Q26</f>
        <v>772.6319438584005</v>
      </c>
      <c r="V49" s="373">
        <f ca="1">Geometria!$L$298*Q49*Geometria!$L$299/100-Geometria!$L$300*Q26*Geometria!$L$301/100</f>
        <v>144.8684894734501</v>
      </c>
      <c r="W49" s="365"/>
      <c r="Y49" s="122" t="s">
        <v>447</v>
      </c>
      <c r="Z49" s="198" t="str">
        <f ca="1">Z33</f>
        <v>Reduzir</v>
      </c>
      <c r="AA49" s="401">
        <f t="shared" ca="1" si="7"/>
        <v>-1438.665918266116</v>
      </c>
      <c r="AB49" s="403">
        <f ca="1">-(AG49/(Geometria!$L$48/100^2))-(AH49/(Geometria!$L$53/100^3))+(('Cargas adicionais'!$O$261)/(Geometria!$L$53/100^3))+(('Cargas adicionais'!$R$261)/(Geometria!$M$53/100^3))+((Geometria!$L$76*'Cargas adicionais'!$U$261)/(Geometria!$M$53/100^3))</f>
        <v>-1438.665918266116</v>
      </c>
      <c r="AC49" s="400">
        <f ca="1">AC33</f>
        <v>68.9849949873572</v>
      </c>
      <c r="AD49" s="751">
        <f ca="1">-('Perdas por Seção'!$U$99/(Geometria!$L$48/100^2))-('Perdas por Seção'!$U$100/(Geometria!$L$53/100^3))+(('Cargas adicionais'!$O$261)/(Geometria!$L$53/100^3))+(('Cargas adicionais'!$R$261)/(Geometria!$M$53/100^3))</f>
        <v>-12191.741368457591</v>
      </c>
      <c r="AE49" s="751"/>
      <c r="AG49" s="373">
        <f ca="1">Geometria!$L$298*AC49+Geometria!$L$300*AC26</f>
        <v>772.6319438584005</v>
      </c>
      <c r="AH49" s="373">
        <f ca="1">Geometria!$L$298*AC49*Geometria!$L$299/100-Geometria!$L$300*AC26*Geometria!$L$301/100</f>
        <v>144.8684894734501</v>
      </c>
      <c r="AI49" s="365"/>
      <c r="AK49" s="122" t="s">
        <v>447</v>
      </c>
      <c r="AL49" s="198" t="str">
        <f ca="1">AL33</f>
        <v>Reduzir</v>
      </c>
      <c r="AM49" s="401">
        <f t="shared" ca="1" si="8"/>
        <v>-1438.665918266116</v>
      </c>
      <c r="AN49" s="403">
        <f ca="1">-(AS49/(Geometria!$L$48/100^2))-(AT49/(Geometria!$L$53/100^3))+(('Cargas adicionais'!$O$261)/(Geometria!$L$53/100^3))+(('Cargas adicionais'!$R$261)/(Geometria!$M$53/100^3))+((Geometria!$L$76*'Cargas adicionais'!$U$261)/(Geometria!$M$53/100^3))</f>
        <v>-1438.665918266116</v>
      </c>
      <c r="AO49" s="400">
        <f ca="1">AO33</f>
        <v>68.9849949873572</v>
      </c>
      <c r="AP49" s="751">
        <f ca="1">-('Perdas por Seção'!$U$99/(Geometria!$L$48/100^2))-('Perdas por Seção'!$U$100/(Geometria!$L$53/100^3))+((Geometria!$M$679)/(Geometria!$L$53/100^3))+((Geometria!$M$690)/(Geometria!$M$53/100^3))+((Geometria!$L$77*Geometria!$M$701)/(Geometria!$M$53/100^3))</f>
        <v>-8992.197609748822</v>
      </c>
      <c r="AQ49" s="751"/>
      <c r="AS49" s="373">
        <f ca="1">Geometria!$L$298*AO49+Geometria!$L$300*AO26</f>
        <v>772.6319438584005</v>
      </c>
      <c r="AT49" s="373">
        <f ca="1">Geometria!$L$298*AO49*Geometria!$L$299/100-Geometria!$L$300*AO26*Geometria!$L$301/100</f>
        <v>144.8684894734501</v>
      </c>
      <c r="AU49" s="365"/>
      <c r="AW49" s="122" t="s">
        <v>447</v>
      </c>
      <c r="AX49" s="198" t="str">
        <f ca="1">AX33</f>
        <v>Reduzir</v>
      </c>
      <c r="AY49" s="401">
        <f t="shared" ca="1" si="9"/>
        <v>-1438.665918266116</v>
      </c>
      <c r="AZ49" s="403">
        <f ca="1">-(BE49/(Geometria!$L$48/100^2))-(BF49/(Geometria!$L$53/100^3))+(('Cargas adicionais'!$O$261)/(Geometria!$L$53/100^3))+(('Cargas adicionais'!$R$261)/(Geometria!$M$53/100^3))+((Geometria!$L$76*'Cargas adicionais'!$U$261)/(Geometria!$M$53/100^3))</f>
        <v>-1438.665918266116</v>
      </c>
      <c r="BA49" s="400">
        <f ca="1">BA33</f>
        <v>68.9849949873572</v>
      </c>
      <c r="BB49" s="751">
        <f ca="1">-('Perdas por Seção'!$U$99/(Geometria!$L$48/100^2))-('Perdas por Seção'!$U$100/(Geometria!$L$53/100^3))+((Geometria!$M$679)/(Geometria!$L$53/100^3))+((Geometria!$M$690)/(Geometria!$M$53/100^3))</f>
        <v>-12191.741368457591</v>
      </c>
      <c r="BC49" s="751"/>
      <c r="BE49" s="373">
        <f ca="1">Geometria!$L$298*BA49+Geometria!$L$300*BA26</f>
        <v>772.6319438584005</v>
      </c>
      <c r="BF49" s="373">
        <f ca="1">Geometria!$L$298*BA49*Geometria!$L$299/100-Geometria!$L$300*BA26*Geometria!$L$301/100</f>
        <v>144.8684894734501</v>
      </c>
      <c r="BG49" s="365"/>
      <c r="BJ49" s="61"/>
    </row>
    <row r="50" spans="1:62" x14ac:dyDescent="0.25">
      <c r="A50" s="4" t="s">
        <v>448</v>
      </c>
      <c r="B50" s="198" t="str">
        <f ca="1">B32</f>
        <v>Reduzir</v>
      </c>
      <c r="C50" s="396">
        <f t="shared" ca="1" si="5"/>
        <v>-6887.779459160994</v>
      </c>
      <c r="D50" s="397">
        <f ca="1">-I50/(Geometria!$L$48/100^2)-J50/(Geometria!$L$53/100^3)+Geometria!$L$898/(Geometria!$L$53/100^3)</f>
        <v>-6887.779459160994</v>
      </c>
      <c r="E50" s="400">
        <f ca="1">E32</f>
        <v>40.92340087322139</v>
      </c>
      <c r="F50" s="743">
        <f ca="1">-'Perdas por Seção'!$V$101/(Geometria!$L$48/100^2)-'Perdas por Seção'!$V$102/(Geometria!$L$53/100^3)+Geometria!$L$898/(Geometria!$L$53/100^3)</f>
        <v>-23008.085289604962</v>
      </c>
      <c r="G50" s="743"/>
      <c r="I50" s="373">
        <f ca="1">Geometria!$L$298*E50+Geometria!$L$300*E27</f>
        <v>458.3420897800795</v>
      </c>
      <c r="J50" s="373">
        <f ca="1">Geometria!$L$298*E50*Geometria!$L$299/100-Geometria!$L$300*E27*Geometria!$L$301/100</f>
        <v>85.93914183376492</v>
      </c>
      <c r="K50" s="365"/>
      <c r="M50" s="122" t="s">
        <v>448</v>
      </c>
      <c r="N50" s="198" t="str">
        <f ca="1">N32</f>
        <v>Reduzir</v>
      </c>
      <c r="O50" s="401">
        <f t="shared" ca="1" si="6"/>
        <v>-416.50009288227966</v>
      </c>
      <c r="P50" s="404">
        <f ca="1">-(U50/(Geometria!$L$48/100^2))-(V50/(Geometria!$L$53/100^3))+(('Cargas adicionais'!$O$262)/(Geometria!$L$53/100^3))+(('Cargas adicionais'!$R$262)/(Geometria!$M$53/100^3))+((Geometria!$L$76*'Cargas adicionais'!$U$262)/(Geometria!$M$53/100^3))</f>
        <v>-416.50009288227966</v>
      </c>
      <c r="Q50" s="400">
        <f ca="1">Q32</f>
        <v>34.4924974936786</v>
      </c>
      <c r="R50" s="752">
        <f ca="1">-('Perdas por Seção'!$V$99/(Geometria!$L$48/100^2))-('Perdas por Seção'!$V$100/(Geometria!$L$53/100^3))+(('Cargas adicionais'!$O$262)/(Geometria!$L$53/100^3))+(('Cargas adicionais'!$R$262)/(Geometria!$M$53/100^3))+((Geometria!$L$76*'Cargas adicionais'!$U$262)/(Geometria!$M$53/100^3))</f>
        <v>-12123.680517448121</v>
      </c>
      <c r="S50" s="752"/>
      <c r="U50" s="373">
        <f ca="1">Geometria!$L$298*Q50+Geometria!$L$300*Q27</f>
        <v>386.31597192920026</v>
      </c>
      <c r="V50" s="373">
        <f ca="1">Geometria!$L$298*Q50*Geometria!$L$299/100-Geometria!$L$300*Q27*Geometria!$L$301/100</f>
        <v>72.43424473672505</v>
      </c>
      <c r="W50" s="365"/>
      <c r="Y50" s="122" t="s">
        <v>448</v>
      </c>
      <c r="Z50" s="198" t="str">
        <f ca="1">Z32</f>
        <v>Reduzir</v>
      </c>
      <c r="AA50" s="401">
        <f t="shared" ca="1" si="7"/>
        <v>-416.50009288227966</v>
      </c>
      <c r="AB50" s="404">
        <f ca="1">-(AG50/(Geometria!$L$48/100^2))-(AH50/(Geometria!$L$53/100^3))+(('Cargas adicionais'!$O$262)/(Geometria!$L$53/100^3))+(('Cargas adicionais'!$R$262)/(Geometria!$M$53/100^3))+((Geometria!$L$76*'Cargas adicionais'!$U$262)/(Geometria!$M$53/100^3))</f>
        <v>-416.50009288227966</v>
      </c>
      <c r="AC50" s="400">
        <f ca="1">AC32</f>
        <v>34.4924974936786</v>
      </c>
      <c r="AD50" s="751">
        <f ca="1">-('Perdas por Seção'!$V$99/(Geometria!$L$48/100^2))-('Perdas por Seção'!$V$100/(Geometria!$L$53/100^3))+(('Cargas adicionais'!$O$262)/(Geometria!$L$53/100^3))+(('Cargas adicionais'!$R$262)/(Geometria!$M$53/100^3))</f>
        <v>-14656.652659759236</v>
      </c>
      <c r="AE50" s="751"/>
      <c r="AG50" s="373">
        <f ca="1">Geometria!$L$298*AC50+Geometria!$L$300*AC27</f>
        <v>386.31597192920026</v>
      </c>
      <c r="AH50" s="373">
        <f ca="1">Geometria!$L$298*AC50*Geometria!$L$299/100-Geometria!$L$300*AC27*Geometria!$L$301/100</f>
        <v>72.43424473672505</v>
      </c>
      <c r="AI50" s="365"/>
      <c r="AK50" s="122" t="s">
        <v>448</v>
      </c>
      <c r="AL50" s="198" t="str">
        <f ca="1">AL32</f>
        <v>Reduzir</v>
      </c>
      <c r="AM50" s="401">
        <f t="shared" ca="1" si="8"/>
        <v>-416.50009288227966</v>
      </c>
      <c r="AN50" s="404">
        <f ca="1">-(AS50/(Geometria!$L$48/100^2))-(AT50/(Geometria!$L$53/100^3))+(('Cargas adicionais'!$O$262)/(Geometria!$L$53/100^3))+(('Cargas adicionais'!$R$262)/(Geometria!$M$53/100^3))+((Geometria!$L$76*'Cargas adicionais'!$U$262)/(Geometria!$M$53/100^3))</f>
        <v>-416.50009288227966</v>
      </c>
      <c r="AO50" s="400">
        <f ca="1">AO32</f>
        <v>34.4924974936786</v>
      </c>
      <c r="AP50" s="751">
        <f ca="1">-('Perdas por Seção'!$V$99/(Geometria!$L$48/100^2))-('Perdas por Seção'!$V$100/(Geometria!$L$53/100^3))+((Geometria!$N$679)/(Geometria!$L$53/100^3))+((Geometria!$N$690)/(Geometria!$M$53/100^3))+((Geometria!$L$77*Geometria!$N$701)/(Geometria!$M$53/100^3))</f>
        <v>-12968.00456488516</v>
      </c>
      <c r="AQ50" s="751"/>
      <c r="AS50" s="373">
        <f ca="1">Geometria!$L$298*AO50+Geometria!$L$300*AO27</f>
        <v>386.31597192920026</v>
      </c>
      <c r="AT50" s="373">
        <f ca="1">Geometria!$L$298*AO50*Geometria!$L$299/100-Geometria!$L$300*AO27*Geometria!$L$301/100</f>
        <v>72.43424473672505</v>
      </c>
      <c r="AU50" s="365"/>
      <c r="AW50" s="122" t="s">
        <v>448</v>
      </c>
      <c r="AX50" s="198" t="str">
        <f ca="1">AX32</f>
        <v>Reduzir</v>
      </c>
      <c r="AY50" s="401">
        <f t="shared" ca="1" si="9"/>
        <v>-416.50009288227966</v>
      </c>
      <c r="AZ50" s="404">
        <f ca="1">-(BE50/(Geometria!$L$48/100^2))-(BF50/(Geometria!$L$53/100^3))+(('Cargas adicionais'!$O$262)/(Geometria!$L$53/100^3))+(('Cargas adicionais'!$R$262)/(Geometria!$M$53/100^3))+((Geometria!$L$76*'Cargas adicionais'!$U$262)/(Geometria!$M$53/100^3))</f>
        <v>-416.50009288227966</v>
      </c>
      <c r="BA50" s="400">
        <f ca="1">BA32</f>
        <v>34.4924974936786</v>
      </c>
      <c r="BB50" s="751">
        <f ca="1">-('Perdas por Seção'!$V$99/(Geometria!$L$48/100^2))-('Perdas por Seção'!$V$100/(Geometria!$L$53/100^3))+((Geometria!$N$679)/(Geometria!$L$53/100^3))+((Geometria!$N$690)/(Geometria!$M$53/100^3))</f>
        <v>-14656.652659759236</v>
      </c>
      <c r="BC50" s="751"/>
      <c r="BE50" s="373">
        <f ca="1">Geometria!$L$298*BA50+Geometria!$L$300*BA27</f>
        <v>386.31597192920026</v>
      </c>
      <c r="BF50" s="373">
        <f ca="1">Geometria!$L$298*BA50*Geometria!$L$299/100-Geometria!$L$300*BA27*Geometria!$L$301/100</f>
        <v>72.43424473672505</v>
      </c>
      <c r="BG50" s="365"/>
      <c r="BJ50" s="61"/>
    </row>
    <row r="51" spans="1:62" x14ac:dyDescent="0.25">
      <c r="A51" s="32" t="s">
        <v>449</v>
      </c>
      <c r="B51" s="198" t="str">
        <f ca="1">B31</f>
        <v>Reduzir</v>
      </c>
      <c r="C51" s="406"/>
      <c r="D51" s="407">
        <v>0</v>
      </c>
      <c r="E51" s="408">
        <v>0</v>
      </c>
      <c r="F51" s="744">
        <v>0</v>
      </c>
      <c r="G51" s="744"/>
      <c r="K51" s="365"/>
      <c r="M51" s="405" t="s">
        <v>449</v>
      </c>
      <c r="N51" s="198" t="str">
        <f ca="1">N31</f>
        <v>Reduzir</v>
      </c>
      <c r="O51" s="406"/>
      <c r="P51" s="407"/>
      <c r="Q51" s="408">
        <f>Geometria!$B$956</f>
        <v>0.0</v>
      </c>
      <c r="R51" s="748">
        <v>0</v>
      </c>
      <c r="S51" s="748"/>
      <c r="W51" s="365"/>
      <c r="Y51" s="405" t="s">
        <v>449</v>
      </c>
      <c r="Z51" s="198" t="str">
        <f ca="1">Z31</f>
        <v>Reduzir</v>
      </c>
      <c r="AA51" s="406"/>
      <c r="AB51" s="407"/>
      <c r="AC51" s="408">
        <f>Geometria!$B$956</f>
        <v>0.0</v>
      </c>
      <c r="AD51" s="748">
        <v>0</v>
      </c>
      <c r="AE51" s="748"/>
      <c r="AI51" s="365"/>
      <c r="AK51" s="405" t="s">
        <v>449</v>
      </c>
      <c r="AL51" s="198" t="str">
        <f ca="1">AL31</f>
        <v>Reduzir</v>
      </c>
      <c r="AM51" s="406"/>
      <c r="AN51" s="407"/>
      <c r="AO51" s="408">
        <f>Geometria!$B$956</f>
        <v>0.0</v>
      </c>
      <c r="AP51" s="748">
        <v>0</v>
      </c>
      <c r="AQ51" s="748"/>
      <c r="AU51" s="365"/>
      <c r="AW51" s="405" t="s">
        <v>449</v>
      </c>
      <c r="AX51" s="198" t="str">
        <f ca="1">AX31</f>
        <v>Reduzir</v>
      </c>
      <c r="AY51" s="406"/>
      <c r="AZ51" s="407"/>
      <c r="BA51" s="408">
        <f>Geometria!$B$956</f>
        <v>0.0</v>
      </c>
      <c r="BB51" s="748">
        <v>0</v>
      </c>
      <c r="BC51" s="748"/>
      <c r="BG51" s="365"/>
      <c r="BJ51" s="61"/>
    </row>
    <row r="52" spans="1:62" x14ac:dyDescent="0.25">
      <c r="A52" s="364"/>
      <c r="K52" s="365"/>
      <c r="M52" s="364"/>
      <c r="W52" s="365"/>
      <c r="Y52" s="364"/>
      <c r="AI52" s="365"/>
      <c r="AK52" s="364"/>
      <c r="AU52" s="365"/>
      <c r="AW52" s="364"/>
      <c r="BG52" s="365"/>
    </row>
    <row r="53" spans="1:62" x14ac:dyDescent="0.25">
      <c r="A53" s="367"/>
      <c r="B53" s="368"/>
      <c r="C53" s="368"/>
      <c r="D53" s="368"/>
      <c r="E53" s="368"/>
      <c r="F53" s="368"/>
      <c r="G53" s="368"/>
      <c r="H53" s="368"/>
      <c r="I53" s="368"/>
      <c r="J53" s="368"/>
      <c r="K53" s="369"/>
      <c r="M53" s="367"/>
      <c r="N53" s="368"/>
      <c r="O53" s="368"/>
      <c r="P53" s="368"/>
      <c r="Q53" s="368"/>
      <c r="R53" s="368"/>
      <c r="S53" s="368"/>
      <c r="T53" s="368"/>
      <c r="U53" s="368"/>
      <c r="V53" s="368"/>
      <c r="W53" s="369"/>
      <c r="Y53" s="367"/>
      <c r="Z53" s="368"/>
      <c r="AA53" s="368"/>
      <c r="AB53" s="368"/>
      <c r="AC53" s="368"/>
      <c r="AD53" s="368"/>
      <c r="AE53" s="368"/>
      <c r="AF53" s="368"/>
      <c r="AG53" s="368"/>
      <c r="AH53" s="368"/>
      <c r="AI53" s="369"/>
      <c r="AK53" s="367"/>
      <c r="AL53" s="368"/>
      <c r="AM53" s="368"/>
      <c r="AN53" s="368"/>
      <c r="AO53" s="368"/>
      <c r="AP53" s="368"/>
      <c r="AQ53" s="368"/>
      <c r="AR53" s="368"/>
      <c r="AS53" s="368"/>
      <c r="AT53" s="368"/>
      <c r="AU53" s="369"/>
      <c r="AW53" s="367"/>
      <c r="AX53" s="368"/>
      <c r="AY53" s="368"/>
      <c r="AZ53" s="368"/>
      <c r="BA53" s="368"/>
      <c r="BB53" s="368"/>
      <c r="BC53" s="368"/>
      <c r="BD53" s="368"/>
      <c r="BE53" s="368"/>
      <c r="BF53" s="368"/>
      <c r="BG53" s="369"/>
    </row>
    <row r="56" spans="1:62" x14ac:dyDescent="0.25">
      <c r="B56" t="s">
        <v>1095</v>
      </c>
      <c r="C56" s="373">
        <f ca="1">Geometria!M198</f>
        <v>5.325</v>
      </c>
      <c r="D56" t="s">
        <v>203</v>
      </c>
      <c r="E56" t="s">
        <v>1096</v>
      </c>
    </row>
    <row r="57" spans="1:62" x14ac:dyDescent="0.25">
      <c r="B57" t="s">
        <v>1097</v>
      </c>
      <c r="C57">
        <f>Geometria!L29/100</f>
        <v>7.85</v>
      </c>
      <c r="D57" t="s">
        <v>32</v>
      </c>
      <c r="E57" t="s">
        <v>1098</v>
      </c>
    </row>
    <row r="58" spans="1:62" x14ac:dyDescent="0.25">
      <c r="B58" t="s">
        <v>1099</v>
      </c>
      <c r="C58">
        <f>Geometria!O1021/100</f>
        <v>0.75</v>
      </c>
      <c r="D58" t="s">
        <v>32</v>
      </c>
      <c r="E58" t="s">
        <v>481</v>
      </c>
    </row>
    <row r="60" spans="1:62" x14ac:dyDescent="0.25">
      <c r="B60" t="s">
        <v>1100</v>
      </c>
    </row>
    <row r="61" spans="1:62" x14ac:dyDescent="0.25">
      <c r="B61" s="693" t="s">
        <v>426</v>
      </c>
      <c r="C61" s="693"/>
      <c r="D61" s="693"/>
      <c r="E61" s="693"/>
      <c r="F61" s="693"/>
      <c r="G61" s="693"/>
      <c r="H61" s="693"/>
      <c r="I61" s="693"/>
    </row>
    <row r="62" spans="1:62" x14ac:dyDescent="0.25">
      <c r="B62" s="197" t="s">
        <v>404</v>
      </c>
      <c r="C62" s="197" t="s">
        <v>405</v>
      </c>
      <c r="D62" s="197" t="s">
        <v>406</v>
      </c>
      <c r="E62" s="197" t="s">
        <v>407</v>
      </c>
      <c r="F62" s="197" t="s">
        <v>408</v>
      </c>
      <c r="G62" s="197" t="s">
        <v>409</v>
      </c>
      <c r="H62" s="197" t="s">
        <v>410</v>
      </c>
      <c r="I62" s="197" t="s">
        <v>411</v>
      </c>
    </row>
    <row r="63" spans="1:62" x14ac:dyDescent="0.25">
      <c r="B63" s="198">
        <f>((((Geometria!$L$29/100)/20)-C63)*-1)</f>
        <v>-0.0</v>
      </c>
      <c r="C63" s="198">
        <f>(Geometria!$L$29/100)/20</f>
        <v>0.39249999999999996</v>
      </c>
      <c r="D63" s="198">
        <f>((Geometria!$L$29/100)/20)+C63</f>
        <v>0.7849999999999999</v>
      </c>
      <c r="E63" s="198">
        <f>((Geometria!$L$29/100)/20)+D63</f>
        <v>1.1774999999999998</v>
      </c>
      <c r="F63" s="198">
        <f>((Geometria!$L$29/100)/20)+E63</f>
        <v>1.5699999999999998</v>
      </c>
      <c r="G63" s="198">
        <f>((Geometria!$L$29/100)/20)+F63</f>
        <v>1.9625</v>
      </c>
      <c r="H63" s="198">
        <f>((Geometria!$L$29/100)/20)+G63</f>
        <v>2.355</v>
      </c>
      <c r="I63" s="198">
        <f>((Geometria!$L$29/100)/20)+H63</f>
        <v>2.7475</v>
      </c>
    </row>
    <row r="64" spans="1:62" x14ac:dyDescent="0.25">
      <c r="B64" s="105">
        <f t="shared" ref="B64:I64" ca="1" si="10">-($C$56*B63^2)/2 + (($C$56*$C$57)/2)*IF(B63&lt;$C$58,0,B63-$C$58) +(($C$56*$C$57)/2)*IF(B63&lt;($C$57-$C$58),0,B63-($C$57-$C$58))</f>
        <v>0.0</v>
      </c>
      <c r="C64" s="60">
        <f t="shared" ca="1" si="10"/>
        <v>-0.41017476562499994</v>
      </c>
      <c r="D64" s="60">
        <f t="shared" ca="1" si="10"/>
        <v>-0.9091771875000015</v>
      </c>
      <c r="E64" s="60">
        <f t="shared" ca="1" si="10"/>
        <v>5.243444296874996</v>
      </c>
      <c r="F64" s="60">
        <f t="shared" ca="1" si="10"/>
        <v>10.575716249999996</v>
      </c>
      <c r="G64" s="60">
        <f t="shared" ca="1" si="10"/>
        <v>15.087638671874997</v>
      </c>
      <c r="H64" s="60">
        <f t="shared" ca="1" si="10"/>
        <v>18.779211562499995</v>
      </c>
      <c r="I64" s="60">
        <f t="shared" ca="1" si="10"/>
        <v>21.650434921874997</v>
      </c>
    </row>
    <row r="65" spans="1:18" x14ac:dyDescent="0.25">
      <c r="B65" s="197" t="s">
        <v>412</v>
      </c>
      <c r="C65" s="197" t="s">
        <v>413</v>
      </c>
      <c r="D65" s="197" t="s">
        <v>414</v>
      </c>
      <c r="E65" s="197" t="s">
        <v>415</v>
      </c>
      <c r="F65" s="197" t="s">
        <v>416</v>
      </c>
      <c r="G65" s="197" t="s">
        <v>417</v>
      </c>
      <c r="H65" s="197" t="s">
        <v>418</v>
      </c>
      <c r="I65" s="199" t="s">
        <v>419</v>
      </c>
    </row>
    <row r="66" spans="1:18" x14ac:dyDescent="0.25">
      <c r="B66" s="198">
        <f>((Geometria!$L$29/100)/20)+I63</f>
        <v>3.14</v>
      </c>
      <c r="C66" s="198">
        <f>((Geometria!$L$29/100)/20)+B66</f>
        <v>3.5325</v>
      </c>
      <c r="D66" s="198">
        <f>((Geometria!$L$29/100)/20)+C66</f>
        <v>3.9250000000000003</v>
      </c>
      <c r="E66" s="198">
        <f>((Geometria!$L$29/100)/20)+D66</f>
        <v>4.3175</v>
      </c>
      <c r="F66" s="198">
        <f>((Geometria!$L$29/100)/20)+E66</f>
        <v>4.71</v>
      </c>
      <c r="G66" s="198">
        <f>((Geometria!$L$29/100)/20)+F66</f>
        <v>5.1025</v>
      </c>
      <c r="H66" s="198">
        <f>((Geometria!$L$29/100)/20)+G66</f>
        <v>5.495</v>
      </c>
      <c r="I66" s="198">
        <f>((Geometria!$L$29/100)/20)+H66</f>
        <v>5.8875</v>
      </c>
    </row>
    <row r="67" spans="1:18" x14ac:dyDescent="0.25">
      <c r="B67" s="60">
        <f t="shared" ref="B67:I67" ca="1" si="11">-($C$56*B66^2)/2 + (($C$56*$C$57)/2)*IF(B66&lt;$C$58,0,B66-$C$58) +(($C$56*$C$57)/2)*IF(B66&lt;($C$57-$C$58),0,B66-($C$57-$C$58))</f>
        <v>23.701308749999992</v>
      </c>
      <c r="C67" s="60">
        <f t="shared" ca="1" si="11"/>
        <v>24.931833046874992</v>
      </c>
      <c r="D67" s="60">
        <f t="shared" ca="1" si="11"/>
        <v>25.342007812499986</v>
      </c>
      <c r="E67" s="60">
        <f t="shared" ca="1" si="11"/>
        <v>24.931833046874985</v>
      </c>
      <c r="F67" s="60">
        <f t="shared" ca="1" si="11"/>
        <v>23.70130874999998</v>
      </c>
      <c r="G67" s="60">
        <f t="shared" ca="1" si="11"/>
        <v>21.65043492187499</v>
      </c>
      <c r="H67" s="60">
        <f t="shared" ca="1" si="11"/>
        <v>18.77921156249998</v>
      </c>
      <c r="I67" s="60">
        <f t="shared" ca="1" si="11"/>
        <v>15.08763867187497</v>
      </c>
    </row>
    <row r="68" spans="1:18" x14ac:dyDescent="0.25">
      <c r="B68" s="197" t="s">
        <v>420</v>
      </c>
      <c r="C68" s="197" t="s">
        <v>421</v>
      </c>
      <c r="D68" s="197" t="s">
        <v>422</v>
      </c>
      <c r="E68" s="197" t="s">
        <v>423</v>
      </c>
      <c r="F68" s="197" t="s">
        <v>424</v>
      </c>
      <c r="G68" s="105"/>
      <c r="H68" s="105"/>
      <c r="I68" s="105"/>
    </row>
    <row r="69" spans="1:18" x14ac:dyDescent="0.25">
      <c r="B69" s="198">
        <f>((Geometria!$L$29/100)/20)+I66</f>
        <v>6.28</v>
      </c>
      <c r="C69" s="198">
        <f>((Geometria!$L$29/100)/20)+B69</f>
        <v>6.6725</v>
      </c>
      <c r="D69" s="198">
        <f>((Geometria!$L$29/100)/20)+C69</f>
        <v>7.065</v>
      </c>
      <c r="E69" s="198">
        <f>((Geometria!$L$29/100)/20)+D69</f>
        <v>7.4575000000000005</v>
      </c>
      <c r="F69" s="198">
        <f>((Geometria!$L$29/100)/20)+E69</f>
        <v>7.8500000000000005</v>
      </c>
      <c r="G69" s="105"/>
      <c r="H69" s="105"/>
      <c r="I69" s="105"/>
    </row>
    <row r="70" spans="1:18" x14ac:dyDescent="0.25">
      <c r="B70" s="60">
        <f ca="1">-($C$56*B69^2)/2 + (($C$56*$C$57)/2)*IF(B69&lt;$C$58,0,B69-$C$58) +(($C$56*$C$57)/2)*IF(B69&lt;($C$57-$C$58),0,B69-($C$57-$C$58))</f>
        <v>10.575716249999985</v>
      </c>
      <c r="C70" s="60">
        <f ca="1">-($C$56*C69^2)/2 + (($C$56*$C$57)/2)*IF(C69&lt;$C$58,0,C69-$C$58) +(($C$56*$C$57)/2)*IF(C69&lt;($C$57-$C$58),0,C69-($C$57-$C$58))</f>
        <v>5.243444296874969</v>
      </c>
      <c r="D70" s="60">
        <f ca="1">-($C$56*D69^2)/2 + (($C$56*$C$57)/2)*IF(D69&lt;$C$58,0,D69-$C$58) +(($C$56*$C$57)/2)*IF(D69&lt;($C$57-$C$58),0,D69-($C$57-$C$58))</f>
        <v>-0.9091771875000347</v>
      </c>
      <c r="E70" s="60">
        <f ca="1">-($C$56*E69^2)/2 + (($C$56*$C$57)/2)*IF(E69&lt;$C$58,0,E69-$C$58) +(($C$56*$C$57)/2)*IF(E69&lt;($C$57-$C$58),0,E69-($C$57-$C$58))</f>
        <v>-0.4101747656250252</v>
      </c>
      <c r="F70" s="60">
        <f ca="1">-($C$56*F69^2)/2 + (($C$56*$C$57)/2)*IF(F69&lt;$C$58,0,F69-$C$58) +(($C$56*$C$57)/2)*IF(F69&lt;($C$57-$C$58),0,F69-($C$57-$C$58))</f>
        <v>0.0</v>
      </c>
      <c r="G70" s="4"/>
      <c r="H70" s="4"/>
      <c r="I70" s="4"/>
    </row>
    <row r="72" spans="1:18" x14ac:dyDescent="0.25">
      <c r="A72" s="756" t="s">
        <v>1100</v>
      </c>
      <c r="B72" s="756"/>
      <c r="C72" s="756"/>
      <c r="D72" s="756"/>
      <c r="E72" s="756"/>
      <c r="F72" s="756"/>
      <c r="G72" s="756"/>
      <c r="H72" s="756"/>
      <c r="I72" s="756"/>
      <c r="J72" s="756"/>
      <c r="K72" s="756"/>
      <c r="L72" s="418"/>
    </row>
    <row r="73" spans="1:18" x14ac:dyDescent="0.25">
      <c r="A73" s="364"/>
      <c r="K73" s="365"/>
    </row>
    <row r="74" spans="1:18" ht="15" customHeight="1" x14ac:dyDescent="0.25">
      <c r="A74" s="364"/>
      <c r="C74" s="750" t="s">
        <v>1062</v>
      </c>
      <c r="D74" s="746" t="s">
        <v>1063</v>
      </c>
      <c r="E74" s="746"/>
      <c r="F74" s="746" t="s">
        <v>1064</v>
      </c>
      <c r="G74" s="746"/>
      <c r="I74" s="747" t="s">
        <v>291</v>
      </c>
      <c r="J74" s="747" t="s">
        <v>295</v>
      </c>
      <c r="K74" s="365"/>
    </row>
    <row r="75" spans="1:18" x14ac:dyDescent="0.25">
      <c r="A75" s="364"/>
      <c r="C75" s="750"/>
      <c r="D75" s="746"/>
      <c r="E75" s="746"/>
      <c r="F75" s="746"/>
      <c r="G75" s="746"/>
      <c r="I75" s="747"/>
      <c r="J75" s="747"/>
      <c r="K75" s="365"/>
      <c r="M75" s="691" t="s">
        <v>478</v>
      </c>
      <c r="N75" s="691"/>
      <c r="O75" s="691"/>
      <c r="P75" s="691"/>
      <c r="Q75" s="691"/>
      <c r="R75" s="39" t="s">
        <v>428</v>
      </c>
    </row>
    <row r="76" spans="1:18" x14ac:dyDescent="0.25">
      <c r="A76" s="4" t="s">
        <v>429</v>
      </c>
      <c r="B76" s="198" t="str">
        <f ca="1">IF(Geometria!$K$437&lt;Geometria!$N$1307/100,"Reduzir","OK")</f>
        <v>Reduzir</v>
      </c>
      <c r="C76" s="396">
        <f t="shared" ref="C76:C95" ca="1" si="12">IF(B76="Reduzir",D76,F76)</f>
        <v>0.0</v>
      </c>
      <c r="D76" s="397">
        <v>0</v>
      </c>
      <c r="E76" s="398">
        <v>0</v>
      </c>
      <c r="F76" s="743">
        <f>Geometria!$C$913</f>
        <v>0.0</v>
      </c>
      <c r="G76" s="743"/>
      <c r="I76">
        <v>0</v>
      </c>
      <c r="J76">
        <v>0</v>
      </c>
      <c r="K76" s="365"/>
      <c r="M76" s="4" t="s">
        <v>429</v>
      </c>
      <c r="N76" s="105">
        <v>0</v>
      </c>
      <c r="O76" s="38" t="s">
        <v>234</v>
      </c>
      <c r="P76" s="138">
        <f t="shared" ref="P76:P96" si="13">N76/1000</f>
        <v>0.0</v>
      </c>
      <c r="Q76" s="38" t="s">
        <v>160</v>
      </c>
      <c r="R76" s="138">
        <f>Geometria!Q913</f>
        <v>3.8519549300342857</v>
      </c>
    </row>
    <row r="77" spans="1:18" x14ac:dyDescent="0.25">
      <c r="A77" s="4" t="s">
        <v>430</v>
      </c>
      <c r="B77" s="198" t="str">
        <f ca="1">IF(Geometria!$L$437&lt;Geometria!$N$1307/100,"Reduzir","OK")</f>
        <v>Reduzir</v>
      </c>
      <c r="C77" s="396">
        <f t="shared" ca="1" si="12"/>
        <v>1795.0895727156653</v>
      </c>
      <c r="D77" s="397">
        <f ca="1">-I77/(Geometria!$L$48/100^2)+J77/(Geometria!$L$52/100^3)-Geometria!$L$898/(Geometria!$L$52/100^3)</f>
        <v>1795.0895727156653</v>
      </c>
      <c r="E77" s="400">
        <f ca="1">(((Geometria!$L$326*(Geometria!$L$897*100))/Geometria!$N$1307))</f>
        <v>48.97918844669016</v>
      </c>
      <c r="F77" s="743">
        <f ca="1">-'Perdas por Seção'!$D$101/(Geometria!$L$48/100^2)+'Perdas por Seção'!$D$102/(Geometria!$L$52/100^3)-$C$64/(Geometria!$L$52/100^3)</f>
        <v>7157.019347651511</v>
      </c>
      <c r="G77" s="743"/>
      <c r="I77" s="373">
        <f ca="1">Geometria!$L$298*E100+Geometria!$L$300*E77</f>
        <v>458.3420897800795</v>
      </c>
      <c r="J77" s="373">
        <f ca="1">Geometria!$L$298*E100*Geometria!$L$299/100-Geometria!$L$300*E77*Geometria!$L$301/100</f>
        <v>85.93914183376492</v>
      </c>
      <c r="K77" s="365"/>
      <c r="M77" s="4" t="s">
        <v>430</v>
      </c>
      <c r="N77" s="200">
        <f t="shared" ref="N77:N95" ca="1" si="14">C77</f>
        <v>1795.0895727156653</v>
      </c>
      <c r="O77" s="38" t="s">
        <v>234</v>
      </c>
      <c r="P77" s="201">
        <f t="shared" ca="1" si="13"/>
        <v>1.7950895727156653</v>
      </c>
      <c r="Q77" s="38" t="s">
        <v>160</v>
      </c>
      <c r="R77" s="138">
        <f t="shared" ref="R77:R96" si="15">R76</f>
        <v>3.8519549300342857</v>
      </c>
    </row>
    <row r="78" spans="1:18" x14ac:dyDescent="0.25">
      <c r="A78" s="4" t="s">
        <v>431</v>
      </c>
      <c r="B78" s="198" t="str">
        <f ca="1">IF(Geometria!$M$437&lt;Geometria!$N$1307/100,"Reduzir","OK")</f>
        <v>Reduzir</v>
      </c>
      <c r="C78" s="396">
        <f t="shared" ca="1" si="12"/>
        <v>4023.1413980354973</v>
      </c>
      <c r="D78" s="397">
        <f ca="1">-I78/(Geometria!$L$48/100^2)+J78/(Geometria!$L$52/100^3)-Geometria!$L$898/(Geometria!$L$52/100^3)</f>
        <v>4023.1413980354973</v>
      </c>
      <c r="E78" s="400">
        <f ca="1">((Geometria!$L$326*(Geometria!$M$897*100))/Geometria!$N$1307)</f>
        <v>97.95837689338032</v>
      </c>
      <c r="F78" s="743">
        <f ca="1">-'Perdas por Seção'!$E$101/(Geometria!$L$48/100^2)+'Perdas por Seção'!$E$102/(Geometria!$L$52/100^3)-$D$64/(Geometria!$L$52/100^3)</f>
        <v>7192.69939208702</v>
      </c>
      <c r="G78" s="743"/>
      <c r="I78" s="373">
        <f ca="1">Geometria!$L$298*E101+Geometria!$L$300*E78</f>
        <v>916.684179560159</v>
      </c>
      <c r="J78" s="373">
        <f ca="1">Geometria!$L$298*E101*Geometria!$L$299/100-Geometria!$L$300*E78*Geometria!$L$301/100</f>
        <v>171.87828366752984</v>
      </c>
      <c r="K78" s="365"/>
      <c r="M78" s="4" t="s">
        <v>431</v>
      </c>
      <c r="N78" s="202">
        <f t="shared" ca="1" si="14"/>
        <v>4023.1413980354973</v>
      </c>
      <c r="O78" s="38" t="s">
        <v>234</v>
      </c>
      <c r="P78" s="203">
        <f t="shared" ca="1" si="13"/>
        <v>4.023141398035498</v>
      </c>
      <c r="Q78" s="38" t="s">
        <v>160</v>
      </c>
      <c r="R78" s="138">
        <f t="shared" si="15"/>
        <v>3.8519549300342857</v>
      </c>
    </row>
    <row r="79" spans="1:18" x14ac:dyDescent="0.25">
      <c r="A79" s="4" t="s">
        <v>432</v>
      </c>
      <c r="B79" s="198" t="str">
        <f ca="1">IF(Geometria!$N$437&lt;Geometria!$N$1307/100,"Reduzir","OK")</f>
        <v>OK</v>
      </c>
      <c r="C79" s="396">
        <f t="shared" ca="1" si="12"/>
        <v>6857.908576515409</v>
      </c>
      <c r="D79" s="397">
        <f ca="1">-I79/(Geometria!$L$48/100^2)+J79/(Geometria!$L$52/100^3)-Geometria!$L$898/(Geometria!$L$52/100^3)</f>
        <v>6251.193223355327</v>
      </c>
      <c r="E79" s="400">
        <f ca="1">((Geometria!$L$326*(Geometria!$N$897*100))/Geometria!$N$1307)</f>
        <v>146.93756534007045</v>
      </c>
      <c r="F79" s="743">
        <f ca="1">-'Perdas por Seção'!$F$101/(Geometria!$L$48/100^2)+'Perdas por Seção'!$F$102/(Geometria!$L$52/100^3)-$E$64/(Geometria!$L$52/100^3)</f>
        <v>6857.908576515409</v>
      </c>
      <c r="G79" s="743"/>
      <c r="I79" s="373">
        <f ca="1">Geometria!$L$298*E102+Geometria!$L$300*E79</f>
        <v>1375.0262693402383</v>
      </c>
      <c r="J79" s="373">
        <f ca="1">Geometria!$L$298*E102*Geometria!$L$299/100-Geometria!$L$300*E79*Geometria!$L$301/100</f>
        <v>257.8174255012947</v>
      </c>
      <c r="K79" s="365"/>
      <c r="M79" s="4" t="s">
        <v>432</v>
      </c>
      <c r="N79" s="202">
        <f t="shared" ca="1" si="14"/>
        <v>6857.908576515409</v>
      </c>
      <c r="O79" s="38" t="s">
        <v>234</v>
      </c>
      <c r="P79" s="203">
        <f t="shared" ca="1" si="13"/>
        <v>6.857908576515409</v>
      </c>
      <c r="Q79" s="38" t="s">
        <v>160</v>
      </c>
      <c r="R79" s="138">
        <f t="shared" si="15"/>
        <v>3.8519549300342857</v>
      </c>
    </row>
    <row r="80" spans="1:18" x14ac:dyDescent="0.25">
      <c r="A80" s="4" t="s">
        <v>433</v>
      </c>
      <c r="B80" s="198" t="str">
        <f ca="1">IF(Geometria!$O$437&lt;Geometria!$N$1307/100,"Reduzir","OK")</f>
        <v>OK</v>
      </c>
      <c r="C80" s="396">
        <f t="shared" ca="1" si="12"/>
        <v>6567.7565363533495</v>
      </c>
      <c r="D80" s="397">
        <f ca="1">-I80/(Geometria!$L$48/100^2)+J80/(Geometria!$L$52/100^3)-Geometria!$L$898/(Geometria!$L$52/100^3)</f>
        <v>8479.245048675162</v>
      </c>
      <c r="E80" s="400">
        <f ca="1">((Geometria!$L$326*(Geometria!$O$897*100))/Geometria!$N$1307)</f>
        <v>195.91675378676064</v>
      </c>
      <c r="F80" s="743">
        <f ca="1">-'Perdas por Seção'!$G$101/(Geometria!$L$48/100^2)+'Perdas por Seção'!$G$102/(Geometria!$L$52/100^3)-$F$64/(Geometria!$L$52/100^3)</f>
        <v>6567.7565363533495</v>
      </c>
      <c r="G80" s="743"/>
      <c r="I80" s="373">
        <f ca="1">Geometria!$L$298*E103+Geometria!$L$300*E80</f>
        <v>1833.368359120318</v>
      </c>
      <c r="J80" s="373">
        <f ca="1">Geometria!$L$298*E103*Geometria!$L$299/100-Geometria!$L$300*E80*Geometria!$L$301/100</f>
        <v>343.7565673350597</v>
      </c>
      <c r="K80" s="365"/>
      <c r="M80" s="4" t="s">
        <v>433</v>
      </c>
      <c r="N80" s="202">
        <f t="shared" ca="1" si="14"/>
        <v>6567.7565363533495</v>
      </c>
      <c r="O80" s="38" t="s">
        <v>234</v>
      </c>
      <c r="P80" s="203">
        <f t="shared" ca="1" si="13"/>
        <v>6.567756536353349</v>
      </c>
      <c r="Q80" s="38" t="s">
        <v>160</v>
      </c>
      <c r="R80" s="138">
        <f t="shared" si="15"/>
        <v>3.8519549300342857</v>
      </c>
    </row>
    <row r="81" spans="1:18" x14ac:dyDescent="0.25">
      <c r="A81" s="4" t="s">
        <v>434</v>
      </c>
      <c r="B81" s="198" t="str">
        <f ca="1">IF(Geometria!$P$437&lt;Geometria!$N$1307/100,"Reduzir","OK")</f>
        <v>OK</v>
      </c>
      <c r="C81" s="396">
        <f t="shared" ca="1" si="12"/>
        <v>6322.243271600835</v>
      </c>
      <c r="D81" s="397">
        <f ca="1">-I81/(Geometria!$L$48/100^2)+J81/(Geometria!$L$52/100^3)-Geometria!$L$898/(Geometria!$L$52/100^3)</f>
        <v>10707.296873994987</v>
      </c>
      <c r="E81" s="400">
        <f ca="1">((Geometria!$L$326*(Geometria!$P$897*100))/Geometria!$N$1307)</f>
        <v>244.89594223345082</v>
      </c>
      <c r="F81" s="743">
        <f ca="1">-'Perdas por Seção'!$H$101/(Geometria!$L$48/100^2)+'Perdas por Seção'!$H$102/(Geometria!$L$52/100^3)-$G$64/(Geometria!$L$52/100^3)</f>
        <v>6322.243271600835</v>
      </c>
      <c r="G81" s="743"/>
      <c r="I81" s="373">
        <f ca="1">Geometria!$L$298*E104+Geometria!$L$300*E81</f>
        <v>2291.7104489003978</v>
      </c>
      <c r="J81" s="373">
        <f ca="1">Geometria!$L$298*E104*Geometria!$L$299/100-Geometria!$L$300*E81*Geometria!$L$301/100</f>
        <v>429.6957091688245</v>
      </c>
      <c r="K81" s="365"/>
      <c r="M81" s="4" t="s">
        <v>434</v>
      </c>
      <c r="N81" s="202">
        <f t="shared" ca="1" si="14"/>
        <v>6322.243271600835</v>
      </c>
      <c r="O81" s="38" t="s">
        <v>234</v>
      </c>
      <c r="P81" s="203">
        <f t="shared" ca="1" si="13"/>
        <v>6.322243271600835</v>
      </c>
      <c r="Q81" s="38" t="s">
        <v>160</v>
      </c>
      <c r="R81" s="138">
        <f t="shared" si="15"/>
        <v>3.8519549300342857</v>
      </c>
    </row>
    <row r="82" spans="1:18" x14ac:dyDescent="0.25">
      <c r="A82" s="4" t="s">
        <v>435</v>
      </c>
      <c r="B82" s="198" t="str">
        <f ca="1">IF(Geometria!$Q$437&lt;Geometria!$N$1307/100,"Reduzir","OK")</f>
        <v>OK</v>
      </c>
      <c r="C82" s="396">
        <f t="shared" ca="1" si="12"/>
        <v>6121.368782257871</v>
      </c>
      <c r="D82" s="397">
        <f ca="1">-I82/(Geometria!$L$48/100^2)+J82/(Geometria!$L$52/100^3)-Geometria!$L$898/(Geometria!$L$52/100^3)</f>
        <v>12935.348699314822</v>
      </c>
      <c r="E82" s="400">
        <f ca="1">((Geometria!$L$326*(Geometria!$Q$897*100))/Geometria!$N$1307)</f>
        <v>293.87513068014107</v>
      </c>
      <c r="F82" s="743">
        <f ca="1">-'Perdas por Seção'!$I$101/(Geometria!$L$48/100^2)+'Perdas por Seção'!$I$102/(Geometria!$L$52/100^3)-$H$64/(Geometria!$L$52/100^3)</f>
        <v>6121.368782257871</v>
      </c>
      <c r="G82" s="743"/>
      <c r="I82" s="373">
        <f ca="1">Geometria!$L$298*E105+Geometria!$L$300*E82</f>
        <v>2750.052538680477</v>
      </c>
      <c r="J82" s="373">
        <f ca="1">Geometria!$L$298*E105*Geometria!$L$299/100-Geometria!$L$300*E82*Geometria!$L$301/100</f>
        <v>515.6348510025895</v>
      </c>
      <c r="K82" s="365"/>
      <c r="M82" s="4" t="s">
        <v>435</v>
      </c>
      <c r="N82" s="202">
        <f t="shared" ca="1" si="14"/>
        <v>6121.368782257871</v>
      </c>
      <c r="O82" s="38" t="s">
        <v>234</v>
      </c>
      <c r="P82" s="203">
        <f t="shared" ca="1" si="13"/>
        <v>6.121368782257871</v>
      </c>
      <c r="Q82" s="38" t="s">
        <v>160</v>
      </c>
      <c r="R82" s="138">
        <f t="shared" si="15"/>
        <v>3.8519549300342857</v>
      </c>
    </row>
    <row r="83" spans="1:18" x14ac:dyDescent="0.25">
      <c r="A83" s="4" t="s">
        <v>436</v>
      </c>
      <c r="B83" s="198" t="str">
        <f ca="1">IF(Geometria!$R$437&lt;Geometria!$N$1307/100,"Reduzir","OK")</f>
        <v>OK</v>
      </c>
      <c r="C83" s="396">
        <f t="shared" ca="1" si="12"/>
        <v>5965.133068324451</v>
      </c>
      <c r="D83" s="397">
        <f ca="1">-I83/(Geometria!$L$48/100^2)+J83/(Geometria!$L$52/100^3)-Geometria!$L$898/(Geometria!$L$52/100^3)</f>
        <v>15163.400524634651</v>
      </c>
      <c r="E83" s="400">
        <f ca="1">((Geometria!$L$326*(Geometria!$R$897*100))/Geometria!$N$1307)</f>
        <v>342.8543191268312</v>
      </c>
      <c r="F83" s="743">
        <f ca="1">-'Perdas por Seção'!$J$101/(Geometria!$L$48/100^2)+'Perdas por Seção'!$J$102/(Geometria!$L$52/100^3)-$I$64/(Geometria!$L$52/100^3)</f>
        <v>5965.133068324451</v>
      </c>
      <c r="G83" s="743"/>
      <c r="I83" s="373">
        <f ca="1">Geometria!$L$298*E106+Geometria!$L$300*E83</f>
        <v>3208.3946284605568</v>
      </c>
      <c r="J83" s="373">
        <f ca="1">Geometria!$L$298*E106*Geometria!$L$299/100-Geometria!$L$300*E83*Geometria!$L$301/100</f>
        <v>601.5739928363544</v>
      </c>
      <c r="K83" s="365"/>
      <c r="M83" s="4" t="s">
        <v>436</v>
      </c>
      <c r="N83" s="202">
        <f t="shared" ca="1" si="14"/>
        <v>5965.133068324451</v>
      </c>
      <c r="O83" s="38" t="s">
        <v>234</v>
      </c>
      <c r="P83" s="203">
        <f t="shared" ca="1" si="13"/>
        <v>5.965133068324452</v>
      </c>
      <c r="Q83" s="38" t="s">
        <v>160</v>
      </c>
      <c r="R83" s="138">
        <f t="shared" si="15"/>
        <v>3.8519549300342857</v>
      </c>
    </row>
    <row r="84" spans="1:18" x14ac:dyDescent="0.25">
      <c r="A84" s="4" t="s">
        <v>437</v>
      </c>
      <c r="B84" s="198" t="str">
        <f ca="1">IF(Geometria!$K$440&lt;Geometria!$N$1307/100,"Reduzir","OK")</f>
        <v>OK</v>
      </c>
      <c r="C84" s="396">
        <f t="shared" ca="1" si="12"/>
        <v>5853.536129800583</v>
      </c>
      <c r="D84" s="397">
        <f ca="1">-I84/(Geometria!$L$48/100^2)+J84/(Geometria!$L$52/100^3)-Geometria!$L$898/(Geometria!$L$52/100^3)</f>
        <v>17391.45234995449</v>
      </c>
      <c r="E84" s="400">
        <f ca="1">((Geometria!$L$326*(Geometria!$K$900*100))/Geometria!$N$1307)</f>
        <v>391.83350757352133</v>
      </c>
      <c r="F84" s="743">
        <f ca="1">-'Perdas por Seção'!$K$101/(Geometria!$L$48/100^2)+'Perdas por Seção'!$K$102/(Geometria!$L$52/100^3)-$B$67/(Geometria!$L$52/100^3)</f>
        <v>5853.536129800583</v>
      </c>
      <c r="G84" s="743"/>
      <c r="I84" s="373">
        <f ca="1">Geometria!$L$298*E107+Geometria!$L$300*E84</f>
        <v>3666.736718240637</v>
      </c>
      <c r="J84" s="373">
        <f ca="1">Geometria!$L$298*E107*Geometria!$L$299/100-Geometria!$L$300*E84*Geometria!$L$301/100</f>
        <v>687.5131346701195</v>
      </c>
      <c r="K84" s="365"/>
      <c r="M84" s="4" t="s">
        <v>437</v>
      </c>
      <c r="N84" s="202">
        <f t="shared" ca="1" si="14"/>
        <v>5853.536129800583</v>
      </c>
      <c r="O84" s="38" t="s">
        <v>234</v>
      </c>
      <c r="P84" s="203">
        <f t="shared" ca="1" si="13"/>
        <v>5.853536129800583</v>
      </c>
      <c r="Q84" s="38" t="s">
        <v>160</v>
      </c>
      <c r="R84" s="138">
        <f t="shared" si="15"/>
        <v>3.8519549300342857</v>
      </c>
    </row>
    <row r="85" spans="1:18" x14ac:dyDescent="0.25">
      <c r="A85" s="4" t="s">
        <v>438</v>
      </c>
      <c r="B85" s="198" t="str">
        <f ca="1">IF(Geometria!$L$440&lt;Geometria!$N$1307/100,"Reduzir","OK")</f>
        <v>OK</v>
      </c>
      <c r="C85" s="396">
        <f t="shared" ca="1" si="12"/>
        <v>5786.577966686258</v>
      </c>
      <c r="D85" s="397">
        <f ca="1">-I85/(Geometria!$L$48/100^2)+J85/(Geometria!$L$52/100^3)-Geometria!$L$898/(Geometria!$L$52/100^3)</f>
        <v>19619.50417527431</v>
      </c>
      <c r="E85" s="400">
        <f ca="1">((Geometria!$L$326*(Geometria!$L$900*100))/Geometria!$N$1307)</f>
        <v>440.81269602021155</v>
      </c>
      <c r="F85" s="743">
        <f ca="1">-'Perdas por Seção'!$L$101/(Geometria!$L$48/100^2)+'Perdas por Seção'!$L$102/(Geometria!$L$52/100^3)-$C$67/(Geometria!$L$52/100^3)</f>
        <v>5786.577966686258</v>
      </c>
      <c r="G85" s="743"/>
      <c r="I85" s="373">
        <f ca="1">Geometria!$L$298*E108+Geometria!$L$300*E85</f>
        <v>4125.078808020716</v>
      </c>
      <c r="J85" s="373">
        <f ca="1">Geometria!$L$298*E108*Geometria!$L$299/100-Geometria!$L$300*E85*Geometria!$L$301/100</f>
        <v>773.4522765038841</v>
      </c>
      <c r="K85" s="365"/>
      <c r="M85" s="4" t="s">
        <v>438</v>
      </c>
      <c r="N85" s="202">
        <f t="shared" ca="1" si="14"/>
        <v>5786.577966686258</v>
      </c>
      <c r="O85" s="38" t="s">
        <v>234</v>
      </c>
      <c r="P85" s="203">
        <f t="shared" ca="1" si="13"/>
        <v>5.7865779666862585</v>
      </c>
      <c r="Q85" s="38" t="s">
        <v>160</v>
      </c>
      <c r="R85" s="138">
        <f t="shared" si="15"/>
        <v>3.8519549300342857</v>
      </c>
    </row>
    <row r="86" spans="1:18" x14ac:dyDescent="0.25">
      <c r="A86" s="4" t="s">
        <v>439</v>
      </c>
      <c r="B86" s="198" t="str">
        <f ca="1">IF(Geometria!$M$440&lt;Geometria!$N$1307/100,"Reduzir","OK")</f>
        <v>OK</v>
      </c>
      <c r="C86" s="396">
        <f t="shared" ca="1" si="12"/>
        <v>5764.2585789814875</v>
      </c>
      <c r="D86" s="397">
        <f ca="1">-I86/(Geometria!$L$48/100^2)+J86/(Geometria!$L$52/100^3)-Geometria!$L$898/(Geometria!$L$52/100^3)</f>
        <v>21847.556000594137</v>
      </c>
      <c r="E86" s="400">
        <f ca="1">((Geometria!$L$326*(Geometria!$M$900*100))/Geometria!$N$1307)</f>
        <v>489.79188446690165</v>
      </c>
      <c r="F86" s="743">
        <f ca="1">-'Perdas por Seção'!$M$101/(Geometria!$L$48/100^2)+'Perdas por Seção'!$M$102/(Geometria!$L$52/100^3)-$D$67/(Geometria!$L$52/100^3)</f>
        <v>5764.2585789814875</v>
      </c>
      <c r="G86" s="743"/>
      <c r="I86" s="373">
        <f ca="1">Geometria!$L$298*E109+Geometria!$L$300*E86</f>
        <v>4583.4208978007955</v>
      </c>
      <c r="J86" s="373">
        <f ca="1">Geometria!$L$298*E109*Geometria!$L$299/100-Geometria!$L$300*E86*Geometria!$L$301/100</f>
        <v>859.391418337649</v>
      </c>
      <c r="K86" s="365"/>
      <c r="M86" s="4" t="s">
        <v>439</v>
      </c>
      <c r="N86" s="202">
        <f t="shared" ca="1" si="14"/>
        <v>5764.2585789814875</v>
      </c>
      <c r="O86" s="38" t="s">
        <v>234</v>
      </c>
      <c r="P86" s="203">
        <f t="shared" ca="1" si="13"/>
        <v>5.7642585789814875</v>
      </c>
      <c r="Q86" s="38" t="s">
        <v>160</v>
      </c>
      <c r="R86" s="138">
        <f t="shared" si="15"/>
        <v>3.8519549300342857</v>
      </c>
    </row>
    <row r="87" spans="1:18" x14ac:dyDescent="0.25">
      <c r="A87" s="4" t="s">
        <v>440</v>
      </c>
      <c r="B87" s="198" t="str">
        <f ca="1">B85</f>
        <v>OK</v>
      </c>
      <c r="C87" s="396">
        <f t="shared" ca="1" si="12"/>
        <v>5786.577966686258</v>
      </c>
      <c r="D87" s="397">
        <f ca="1">-I87/(Geometria!$L$48/100^2)+J87/(Geometria!$L$52/100^3)-Geometria!$L$898/(Geometria!$L$52/100^3)</f>
        <v>19619.50417527431</v>
      </c>
      <c r="E87" s="400">
        <f ca="1">E85</f>
        <v>440.81269602021155</v>
      </c>
      <c r="F87" s="743">
        <f ca="1">-'Perdas por Seção'!$N$101/(Geometria!$L$48/100^2)+'Perdas por Seção'!$N$102/(Geometria!$L$52/100^3)-$E$67/(Geometria!$L$52/100^3)</f>
        <v>5786.577966686258</v>
      </c>
      <c r="G87" s="743"/>
      <c r="I87" s="373">
        <f ca="1">Geometria!$L$298*E110+Geometria!$L$300*E87</f>
        <v>4125.078808020716</v>
      </c>
      <c r="J87" s="373">
        <f ca="1">Geometria!$L$298*E110*Geometria!$L$299/100-Geometria!$L$300*E87*Geometria!$L$301/100</f>
        <v>773.4522765038841</v>
      </c>
      <c r="K87" s="365"/>
      <c r="M87" s="4" t="s">
        <v>440</v>
      </c>
      <c r="N87" s="202">
        <f t="shared" ca="1" si="14"/>
        <v>5786.577966686258</v>
      </c>
      <c r="O87" s="38" t="s">
        <v>234</v>
      </c>
      <c r="P87" s="203">
        <f t="shared" ca="1" si="13"/>
        <v>5.7865779666862585</v>
      </c>
      <c r="Q87" s="38" t="s">
        <v>160</v>
      </c>
      <c r="R87" s="138">
        <f t="shared" si="15"/>
        <v>3.8519549300342857</v>
      </c>
    </row>
    <row r="88" spans="1:18" x14ac:dyDescent="0.25">
      <c r="A88" s="4" t="s">
        <v>441</v>
      </c>
      <c r="B88" s="198" t="str">
        <f ca="1">B84</f>
        <v>OK</v>
      </c>
      <c r="C88" s="396">
        <f t="shared" ca="1" si="12"/>
        <v>5853.536129800583</v>
      </c>
      <c r="D88" s="397">
        <f ca="1">-I88/(Geometria!$L$48/100^2)+J88/(Geometria!$L$52/100^3)-Geometria!$L$898/(Geometria!$L$52/100^3)</f>
        <v>17391.45234995449</v>
      </c>
      <c r="E88" s="400">
        <f ca="1">E84</f>
        <v>391.83350757352133</v>
      </c>
      <c r="F88" s="743">
        <f ca="1">-'Perdas por Seção'!$O$101/(Geometria!$L$48/100^2)+'Perdas por Seção'!$O$102/(Geometria!$L$52/100^3)-$F$67/(Geometria!$L$52/100^3)</f>
        <v>5853.536129800583</v>
      </c>
      <c r="G88" s="743"/>
      <c r="I88" s="373">
        <f ca="1">Geometria!$L$298*E111+Geometria!$L$300*E88</f>
        <v>3666.736718240637</v>
      </c>
      <c r="J88" s="373">
        <f ca="1">Geometria!$L$298*E111*Geometria!$L$299/100-Geometria!$L$300*E88*Geometria!$L$301/100</f>
        <v>687.5131346701195</v>
      </c>
      <c r="K88" s="365"/>
      <c r="M88" s="4" t="s">
        <v>441</v>
      </c>
      <c r="N88" s="202">
        <f t="shared" ca="1" si="14"/>
        <v>5853.536129800583</v>
      </c>
      <c r="O88" s="38" t="s">
        <v>234</v>
      </c>
      <c r="P88" s="203">
        <f t="shared" ca="1" si="13"/>
        <v>5.853536129800583</v>
      </c>
      <c r="Q88" s="38" t="s">
        <v>160</v>
      </c>
      <c r="R88" s="138">
        <f t="shared" si="15"/>
        <v>3.8519549300342857</v>
      </c>
    </row>
    <row r="89" spans="1:18" x14ac:dyDescent="0.25">
      <c r="A89" s="4" t="s">
        <v>442</v>
      </c>
      <c r="B89" s="198" t="str">
        <f ca="1">B83</f>
        <v>OK</v>
      </c>
      <c r="C89" s="396">
        <f t="shared" ca="1" si="12"/>
        <v>5965.133068324452</v>
      </c>
      <c r="D89" s="397">
        <f ca="1">-I89/(Geometria!$L$48/100^2)+J89/(Geometria!$L$52/100^3)-Geometria!$L$898/(Geometria!$L$52/100^3)</f>
        <v>15163.400524634651</v>
      </c>
      <c r="E89" s="400">
        <f ca="1">E83</f>
        <v>342.8543191268312</v>
      </c>
      <c r="F89" s="743">
        <f ca="1">-'Perdas por Seção'!$P$101/(Geometria!$L$48/100^2)+'Perdas por Seção'!$P$102/(Geometria!$L$52/100^3)-$G$67/(Geometria!$L$52/100^3)</f>
        <v>5965.133068324452</v>
      </c>
      <c r="G89" s="743"/>
      <c r="I89" s="373">
        <f ca="1">Geometria!$L$298*E112+Geometria!$L$300*E89</f>
        <v>3208.3946284605568</v>
      </c>
      <c r="J89" s="373">
        <f ca="1">Geometria!$L$298*E112*Geometria!$L$299/100-Geometria!$L$300*E89*Geometria!$L$301/100</f>
        <v>601.5739928363544</v>
      </c>
      <c r="K89" s="365"/>
      <c r="M89" s="4" t="s">
        <v>442</v>
      </c>
      <c r="N89" s="202">
        <f t="shared" ca="1" si="14"/>
        <v>5965.133068324452</v>
      </c>
      <c r="O89" s="38" t="s">
        <v>234</v>
      </c>
      <c r="P89" s="203">
        <f t="shared" ca="1" si="13"/>
        <v>5.965133068324453</v>
      </c>
      <c r="Q89" s="38" t="s">
        <v>160</v>
      </c>
      <c r="R89" s="138">
        <f t="shared" si="15"/>
        <v>3.8519549300342857</v>
      </c>
    </row>
    <row r="90" spans="1:18" x14ac:dyDescent="0.25">
      <c r="A90" s="4" t="s">
        <v>443</v>
      </c>
      <c r="B90" s="198" t="str">
        <f ca="1">B82</f>
        <v>OK</v>
      </c>
      <c r="C90" s="396">
        <f t="shared" ca="1" si="12"/>
        <v>6121.368782257872</v>
      </c>
      <c r="D90" s="397">
        <f ca="1">-I90/(Geometria!$L$48/100^2)+J90/(Geometria!$L$52/100^3)-Geometria!$L$898/(Geometria!$L$52/100^3)</f>
        <v>12935.348699314822</v>
      </c>
      <c r="E90" s="400">
        <f ca="1">E82</f>
        <v>293.87513068014107</v>
      </c>
      <c r="F90" s="743">
        <f ca="1">-'Perdas por Seção'!$Q$101/(Geometria!$L$48/100^2)+'Perdas por Seção'!$Q$102/(Geometria!$L$52/100^3)-$H$67/(Geometria!$L$52/100^3)</f>
        <v>6121.368782257872</v>
      </c>
      <c r="G90" s="743"/>
      <c r="I90" s="373">
        <f ca="1">Geometria!$L$298*E113+Geometria!$L$300*E90</f>
        <v>2750.052538680477</v>
      </c>
      <c r="J90" s="373">
        <f ca="1">Geometria!$L$298*E113*Geometria!$L$299/100-Geometria!$L$300*E90*Geometria!$L$301/100</f>
        <v>515.6348510025895</v>
      </c>
      <c r="K90" s="365"/>
      <c r="M90" s="4" t="s">
        <v>443</v>
      </c>
      <c r="N90" s="202">
        <f t="shared" ca="1" si="14"/>
        <v>6121.368782257872</v>
      </c>
      <c r="O90" s="38" t="s">
        <v>234</v>
      </c>
      <c r="P90" s="203">
        <f t="shared" ca="1" si="13"/>
        <v>6.121368782257872</v>
      </c>
      <c r="Q90" s="38" t="s">
        <v>160</v>
      </c>
      <c r="R90" s="138">
        <f t="shared" si="15"/>
        <v>3.8519549300342857</v>
      </c>
    </row>
    <row r="91" spans="1:18" x14ac:dyDescent="0.25">
      <c r="A91" s="4" t="s">
        <v>444</v>
      </c>
      <c r="B91" s="198" t="str">
        <f ca="1">B81</f>
        <v>OK</v>
      </c>
      <c r="C91" s="396">
        <f t="shared" ca="1" si="12"/>
        <v>6322.243271600837</v>
      </c>
      <c r="D91" s="397">
        <f ca="1">-I91/(Geometria!$L$48/100^2)+J91/(Geometria!$L$52/100^3)-Geometria!$L$898/(Geometria!$L$52/100^3)</f>
        <v>10707.296873994987</v>
      </c>
      <c r="E91" s="400">
        <f ca="1">E81</f>
        <v>244.89594223345082</v>
      </c>
      <c r="F91" s="743">
        <f ca="1">-'Perdas por Seção'!$R$101/(Geometria!$L$48/100^2)+'Perdas por Seção'!$R$102/(Geometria!$L$52/100^3)-$I$67/(Geometria!$L$52/100^3)</f>
        <v>6322.243271600837</v>
      </c>
      <c r="G91" s="743"/>
      <c r="I91" s="373">
        <f ca="1">Geometria!$L$298*E114+Geometria!$L$300*E91</f>
        <v>2291.7104489003978</v>
      </c>
      <c r="J91" s="373">
        <f ca="1">Geometria!$L$298*E114*Geometria!$L$299/100-Geometria!$L$300*E91*Geometria!$L$301/100</f>
        <v>429.6957091688245</v>
      </c>
      <c r="K91" s="365"/>
      <c r="M91" s="4" t="s">
        <v>444</v>
      </c>
      <c r="N91" s="202">
        <f t="shared" ca="1" si="14"/>
        <v>6322.243271600837</v>
      </c>
      <c r="O91" s="38" t="s">
        <v>234</v>
      </c>
      <c r="P91" s="203">
        <f t="shared" ca="1" si="13"/>
        <v>6.322243271600837</v>
      </c>
      <c r="Q91" s="38" t="s">
        <v>160</v>
      </c>
      <c r="R91" s="138">
        <f t="shared" si="15"/>
        <v>3.8519549300342857</v>
      </c>
    </row>
    <row r="92" spans="1:18" x14ac:dyDescent="0.25">
      <c r="A92" s="4" t="s">
        <v>445</v>
      </c>
      <c r="B92" s="198" t="str">
        <f ca="1">B80</f>
        <v>OK</v>
      </c>
      <c r="C92" s="396">
        <f t="shared" ca="1" si="12"/>
        <v>6567.7565363533495</v>
      </c>
      <c r="D92" s="397">
        <f ca="1">-I92/(Geometria!$L$48/100^2)+J92/(Geometria!$L$52/100^3)-Geometria!$L$898/(Geometria!$L$52/100^3)</f>
        <v>8479.245048675162</v>
      </c>
      <c r="E92" s="400">
        <f ca="1">E80</f>
        <v>195.91675378676064</v>
      </c>
      <c r="F92" s="743">
        <f ca="1">-'Perdas por Seção'!$S$101/(Geometria!$L$48/100^2)+'Perdas por Seção'!$S$102/(Geometria!$L$52/100^3)-$B$70/(Geometria!$L$52/100^3)</f>
        <v>6567.7565363533495</v>
      </c>
      <c r="G92" s="743"/>
      <c r="I92" s="373">
        <f ca="1">Geometria!$L$298*E115+Geometria!$L$300*E92</f>
        <v>1833.368359120318</v>
      </c>
      <c r="J92" s="373">
        <f ca="1">Geometria!$L$298*E115*Geometria!$L$299/100-Geometria!$L$300*E92*Geometria!$L$301/100</f>
        <v>343.7565673350597</v>
      </c>
      <c r="K92" s="365"/>
      <c r="M92" s="4" t="s">
        <v>445</v>
      </c>
      <c r="N92" s="202">
        <f t="shared" ca="1" si="14"/>
        <v>6567.7565363533495</v>
      </c>
      <c r="O92" s="38" t="s">
        <v>234</v>
      </c>
      <c r="P92" s="203">
        <f t="shared" ca="1" si="13"/>
        <v>6.567756536353349</v>
      </c>
      <c r="Q92" s="38" t="s">
        <v>160</v>
      </c>
      <c r="R92" s="138">
        <f t="shared" si="15"/>
        <v>3.8519549300342857</v>
      </c>
    </row>
    <row r="93" spans="1:18" x14ac:dyDescent="0.25">
      <c r="A93" s="4" t="s">
        <v>446</v>
      </c>
      <c r="B93" s="198" t="str">
        <f ca="1">B79</f>
        <v>OK</v>
      </c>
      <c r="C93" s="396">
        <f t="shared" ca="1" si="12"/>
        <v>6857.9085765154105</v>
      </c>
      <c r="D93" s="397">
        <f ca="1">-I93/(Geometria!$L$48/100^2)+J93/(Geometria!$L$52/100^3)-Geometria!$L$898/(Geometria!$L$52/100^3)</f>
        <v>6251.193223355327</v>
      </c>
      <c r="E93" s="400">
        <f ca="1">E79</f>
        <v>146.93756534007045</v>
      </c>
      <c r="F93" s="743">
        <f ca="1">-'Perdas por Seção'!$T$101/(Geometria!$L$48/100^2)+'Perdas por Seção'!$T$102/(Geometria!$L$52/100^3)-$C$70/(Geometria!$L$52/100^3)</f>
        <v>6857.9085765154105</v>
      </c>
      <c r="G93" s="743"/>
      <c r="I93" s="373">
        <f ca="1">Geometria!$L$298*E116+Geometria!$L$300*E93</f>
        <v>1375.0262693402383</v>
      </c>
      <c r="J93" s="373">
        <f ca="1">Geometria!$L$298*E116*Geometria!$L$299/100-Geometria!$L$300*E93*Geometria!$L$301/100</f>
        <v>257.8174255012947</v>
      </c>
      <c r="K93" s="365"/>
      <c r="M93" s="4" t="s">
        <v>446</v>
      </c>
      <c r="N93" s="202">
        <f t="shared" ca="1" si="14"/>
        <v>6857.9085765154105</v>
      </c>
      <c r="O93" s="38" t="s">
        <v>234</v>
      </c>
      <c r="P93" s="203">
        <f t="shared" ca="1" si="13"/>
        <v>6.857908576515411</v>
      </c>
      <c r="Q93" s="38" t="s">
        <v>160</v>
      </c>
      <c r="R93" s="138">
        <f t="shared" si="15"/>
        <v>3.8519549300342857</v>
      </c>
    </row>
    <row r="94" spans="1:18" x14ac:dyDescent="0.25">
      <c r="A94" s="4" t="s">
        <v>447</v>
      </c>
      <c r="B94" s="198" t="str">
        <f ca="1">B78</f>
        <v>Reduzir</v>
      </c>
      <c r="C94" s="396">
        <f t="shared" ca="1" si="12"/>
        <v>4023.1413980354973</v>
      </c>
      <c r="D94" s="397">
        <f ca="1">-I94/(Geometria!$L$48/100^2)+J94/(Geometria!$L$52/100^3)-Geometria!$L$898/(Geometria!$L$52/100^3)</f>
        <v>4023.1413980354973</v>
      </c>
      <c r="E94" s="400">
        <f ca="1">E78</f>
        <v>97.95837689338032</v>
      </c>
      <c r="F94" s="743">
        <f ca="1">-'Perdas por Seção'!$U$101/(Geometria!$L$48/100^2)+'Perdas por Seção'!$U$102/(Geometria!$L$52/100^3)-$D$70/(Geometria!$L$52/100^3)</f>
        <v>7192.699392087022</v>
      </c>
      <c r="G94" s="743"/>
      <c r="I94" s="373">
        <f ca="1">Geometria!$L$298*E117+Geometria!$L$300*E94</f>
        <v>916.684179560159</v>
      </c>
      <c r="J94" s="373">
        <f ca="1">Geometria!$L$298*E117*Geometria!$L$299/100-Geometria!$L$300*E94*Geometria!$L$301/100</f>
        <v>171.87828366752984</v>
      </c>
      <c r="K94" s="365"/>
      <c r="M94" s="4" t="s">
        <v>447</v>
      </c>
      <c r="N94" s="202">
        <f t="shared" ca="1" si="14"/>
        <v>4023.1413980354973</v>
      </c>
      <c r="O94" s="38" t="s">
        <v>234</v>
      </c>
      <c r="P94" s="203">
        <f t="shared" ca="1" si="13"/>
        <v>4.023141398035498</v>
      </c>
      <c r="Q94" s="38" t="s">
        <v>160</v>
      </c>
      <c r="R94" s="138">
        <f t="shared" si="15"/>
        <v>3.8519549300342857</v>
      </c>
    </row>
    <row r="95" spans="1:18" x14ac:dyDescent="0.25">
      <c r="A95" s="4" t="s">
        <v>448</v>
      </c>
      <c r="B95" s="198" t="str">
        <f ca="1">B77</f>
        <v>Reduzir</v>
      </c>
      <c r="C95" s="396">
        <f t="shared" ca="1" si="12"/>
        <v>1795.0895727156653</v>
      </c>
      <c r="D95" s="397">
        <f ca="1">-I95/(Geometria!$L$48/100^2)+J95/(Geometria!$L$52/100^3)-Geometria!$L$898/(Geometria!$L$52/100^3)</f>
        <v>1795.0895727156653</v>
      </c>
      <c r="E95" s="400">
        <f ca="1">E77</f>
        <v>48.97918844669016</v>
      </c>
      <c r="F95" s="743">
        <f ca="1">-'Perdas por Seção'!$V$101/(Geometria!$L$48/100^2)+'Perdas por Seção'!$V$102/(Geometria!$L$52/100^3)-$E$70/(Geometria!$L$52/100^3)</f>
        <v>7157.019347651512</v>
      </c>
      <c r="G95" s="743"/>
      <c r="I95" s="373">
        <f ca="1">Geometria!$L$298*E118+Geometria!$L$300*E95</f>
        <v>458.3420897800795</v>
      </c>
      <c r="J95" s="373">
        <f ca="1">Geometria!$L$298*E118*Geometria!$L$299/100-Geometria!$L$300*E95*Geometria!$L$301/100</f>
        <v>85.93914183376492</v>
      </c>
      <c r="K95" s="365"/>
      <c r="M95" s="4" t="s">
        <v>448</v>
      </c>
      <c r="N95" s="204">
        <f t="shared" ca="1" si="14"/>
        <v>1795.0895727156653</v>
      </c>
      <c r="O95" s="38" t="s">
        <v>234</v>
      </c>
      <c r="P95" s="205">
        <f t="shared" ca="1" si="13"/>
        <v>1.7950895727156653</v>
      </c>
      <c r="Q95" s="38" t="s">
        <v>160</v>
      </c>
      <c r="R95" s="138">
        <f t="shared" si="15"/>
        <v>3.8519549300342857</v>
      </c>
    </row>
    <row r="96" spans="1:18" x14ac:dyDescent="0.25">
      <c r="A96" s="32" t="s">
        <v>449</v>
      </c>
      <c r="B96" s="198" t="str">
        <f ca="1">B76</f>
        <v>Reduzir</v>
      </c>
      <c r="C96" s="406"/>
      <c r="D96" s="407"/>
      <c r="E96" s="408">
        <f>Geometria!$B$933</f>
        <v>0.0</v>
      </c>
      <c r="F96" s="743">
        <f>Geometria!$C$933</f>
        <v>0.0</v>
      </c>
      <c r="G96" s="743"/>
      <c r="K96" s="365"/>
      <c r="M96" s="32" t="s">
        <v>449</v>
      </c>
      <c r="N96" s="206">
        <v>0</v>
      </c>
      <c r="O96" s="207" t="s">
        <v>234</v>
      </c>
      <c r="P96" s="208">
        <f t="shared" si="13"/>
        <v>0.0</v>
      </c>
      <c r="Q96" s="207" t="s">
        <v>160</v>
      </c>
      <c r="R96" s="208">
        <f t="shared" si="15"/>
        <v>3.8519549300342857</v>
      </c>
    </row>
    <row r="97" spans="1:18" ht="15" customHeight="1" x14ac:dyDescent="0.25">
      <c r="A97" s="364"/>
      <c r="C97" s="745" t="s">
        <v>1086</v>
      </c>
      <c r="D97" s="746" t="s">
        <v>1087</v>
      </c>
      <c r="E97" s="746"/>
      <c r="F97" s="746" t="s">
        <v>1064</v>
      </c>
      <c r="G97" s="746"/>
      <c r="I97" s="747" t="s">
        <v>291</v>
      </c>
      <c r="J97" s="747" t="s">
        <v>295</v>
      </c>
      <c r="K97" s="365"/>
      <c r="M97" s="4"/>
      <c r="N97" s="4"/>
      <c r="O97" s="4"/>
      <c r="P97" s="222"/>
      <c r="Q97" s="105"/>
      <c r="R97" s="105"/>
    </row>
    <row r="98" spans="1:18" x14ac:dyDescent="0.25">
      <c r="A98" s="364"/>
      <c r="C98" s="745"/>
      <c r="D98" s="746"/>
      <c r="E98" s="746"/>
      <c r="F98" s="746"/>
      <c r="G98" s="746"/>
      <c r="I98" s="747"/>
      <c r="J98" s="747"/>
      <c r="K98" s="365"/>
      <c r="M98" s="691" t="s">
        <v>479</v>
      </c>
      <c r="N98" s="691"/>
      <c r="O98" s="691"/>
      <c r="P98" s="691"/>
      <c r="Q98" s="691"/>
      <c r="R98" s="39" t="s">
        <v>428</v>
      </c>
    </row>
    <row r="99" spans="1:18" x14ac:dyDescent="0.25">
      <c r="A99" s="364"/>
      <c r="B99" s="198" t="str">
        <f ca="1">IF(Geometria!$K$437&lt;Geometria!$N$1308/100,"Reduzir","OK")</f>
        <v>Reduzir</v>
      </c>
      <c r="C99" s="396">
        <f t="shared" ref="C99:C118" ca="1" si="16">IF(B99="Reduzir",D99,F99)</f>
        <v>0.0</v>
      </c>
      <c r="D99" s="397">
        <v>0</v>
      </c>
      <c r="E99" s="398">
        <v>0</v>
      </c>
      <c r="F99" s="743">
        <f>Geometria!$C$936</f>
        <v>0.0</v>
      </c>
      <c r="G99" s="743"/>
      <c r="I99">
        <v>0</v>
      </c>
      <c r="J99">
        <v>0</v>
      </c>
      <c r="K99" s="365"/>
      <c r="M99" s="4" t="s">
        <v>429</v>
      </c>
      <c r="N99" s="105">
        <v>0</v>
      </c>
      <c r="O99" s="38" t="s">
        <v>234</v>
      </c>
      <c r="P99" s="138">
        <f t="shared" ref="P99:P118" si="17">N99/1000</f>
        <v>0.0</v>
      </c>
      <c r="Q99" s="38" t="s">
        <v>160</v>
      </c>
      <c r="R99" s="138">
        <f>Geometria!Q936</f>
        <v>-24.5</v>
      </c>
    </row>
    <row r="100" spans="1:18" x14ac:dyDescent="0.25">
      <c r="A100" s="364"/>
      <c r="B100" s="198" t="str">
        <f ca="1">IF(Geometria!$L$437&lt;Geometria!$N$1308/100,"Reduzir","OK")</f>
        <v>Reduzir</v>
      </c>
      <c r="C100" s="396">
        <f t="shared" ca="1" si="16"/>
        <v>-6887.779459160994</v>
      </c>
      <c r="D100" s="397">
        <f ca="1">-I100/(Geometria!$L$48/100^2)-J100/(Geometria!$L$53/100^3)+Geometria!$L$898/(Geometria!$L$53/100^3)</f>
        <v>-6887.779459160994</v>
      </c>
      <c r="E100" s="400">
        <f ca="1">(((Geometria!$L$324*(Geometria!$L$897*100))/Geometria!$N$1308))</f>
        <v>40.92340087322139</v>
      </c>
      <c r="F100" s="743">
        <f ca="1">-'Perdas por Seção'!$D$101/(Geometria!$L$48/100^2)-'Perdas por Seção'!$D$102/(Geometria!$L$53/100^3)+Geometria!$L$898/(Geometria!$L$53/100^3)</f>
        <v>-23008.085289604962</v>
      </c>
      <c r="G100" s="743"/>
      <c r="I100" s="373">
        <f ca="1">Geometria!$L$298*E100+Geometria!$L$300*E77</f>
        <v>458.3420897800795</v>
      </c>
      <c r="J100" s="373">
        <f ca="1">Geometria!$L$298*E100*Geometria!$L$299/100-Geometria!$L$300*E77*Geometria!$L$301/100</f>
        <v>85.93914183376492</v>
      </c>
      <c r="K100" s="365"/>
      <c r="M100" s="4" t="s">
        <v>430</v>
      </c>
      <c r="N100" s="200">
        <f t="shared" ref="N100:N118" ca="1" si="18">C100</f>
        <v>-6887.779459160994</v>
      </c>
      <c r="O100" s="38" t="s">
        <v>234</v>
      </c>
      <c r="P100" s="201">
        <f t="shared" ca="1" si="17"/>
        <v>-6.887779459160994</v>
      </c>
      <c r="Q100" s="38" t="s">
        <v>160</v>
      </c>
      <c r="R100" s="138">
        <f t="shared" ref="R100:R119" si="19">R99</f>
        <v>-24.5</v>
      </c>
    </row>
    <row r="101" spans="1:18" x14ac:dyDescent="0.25">
      <c r="A101" s="364"/>
      <c r="B101" s="198" t="str">
        <f ca="1">IF(Geometria!$M$437&lt;Geometria!$N$1308/100,"Reduzir","OK")</f>
        <v>Reduzir</v>
      </c>
      <c r="C101" s="396">
        <f t="shared" ca="1" si="16"/>
        <v>-14208.521170926155</v>
      </c>
      <c r="D101" s="397">
        <f ca="1">-I101/(Geometria!$L$48/100^2)-J101/(Geometria!$L$53/100^3)+Geometria!$L$898/(Geometria!$L$53/100^3)</f>
        <v>-14208.521170926155</v>
      </c>
      <c r="E101" s="400">
        <f ca="1">((Geometria!$L$324*(Geometria!$M$897*100))/Geometria!$N$1308)</f>
        <v>81.84680174644278</v>
      </c>
      <c r="F101" s="743">
        <f ca="1">-'Perdas por Seção'!$E$101/(Geometria!$L$48/100^2)-'Perdas por Seção'!$E$102/(Geometria!$L$53/100^3)+Geometria!$M$898/(Geometria!$L$53/100^3)</f>
        <v>-22646.844699000205</v>
      </c>
      <c r="G101" s="743"/>
      <c r="I101" s="373">
        <f ca="1">Geometria!$L$298*E101+Geometria!$L$300*E78</f>
        <v>916.684179560159</v>
      </c>
      <c r="J101" s="373">
        <f ca="1">Geometria!$L$298*E101*Geometria!$L$299/100-Geometria!$L$300*E78*Geometria!$L$301/100</f>
        <v>171.87828366752984</v>
      </c>
      <c r="K101" s="365"/>
      <c r="M101" s="4" t="s">
        <v>431</v>
      </c>
      <c r="N101" s="202">
        <f t="shared" ca="1" si="18"/>
        <v>-14208.521170926155</v>
      </c>
      <c r="O101" s="38" t="s">
        <v>234</v>
      </c>
      <c r="P101" s="203">
        <f t="shared" ca="1" si="17"/>
        <v>-14.208521170926154</v>
      </c>
      <c r="Q101" s="38" t="s">
        <v>160</v>
      </c>
      <c r="R101" s="138">
        <f t="shared" si="19"/>
        <v>-24.5</v>
      </c>
    </row>
    <row r="102" spans="1:18" x14ac:dyDescent="0.25">
      <c r="A102" s="364"/>
      <c r="B102" s="198" t="str">
        <f ca="1">IF(Geometria!$N$437&lt;Geometria!$N$1308/100,"Reduzir","OK")</f>
        <v>Reduzir</v>
      </c>
      <c r="C102" s="396">
        <f t="shared" ca="1" si="16"/>
        <v>-21529.262882691306</v>
      </c>
      <c r="D102" s="397">
        <f ca="1">-I102/(Geometria!$L$48/100^2)-J102/(Geometria!$L$53/100^3)+Geometria!$L$898/(Geometria!$L$53/100^3)</f>
        <v>-21529.262882691306</v>
      </c>
      <c r="E102" s="400">
        <f ca="1">((Geometria!$L$324*(Geometria!$N$897*100))/Geometria!$N$1308)</f>
        <v>122.77020261966413</v>
      </c>
      <c r="F102" s="743">
        <f ca="1">-'Perdas por Seção'!$F$101/(Geometria!$L$48/100^2)-'Perdas por Seção'!$F$102/(Geometria!$L$53/100^3)+Geometria!$N$898/(Geometria!$L$53/100^3)</f>
        <v>-22328.103001407773</v>
      </c>
      <c r="G102" s="743"/>
      <c r="I102" s="373">
        <f ca="1">Geometria!$L$298*E102+Geometria!$L$300*E79</f>
        <v>1375.0262693402383</v>
      </c>
      <c r="J102" s="373">
        <f ca="1">Geometria!$L$298*E102*Geometria!$L$299/100-Geometria!$L$300*E79*Geometria!$L$301/100</f>
        <v>257.8174255012947</v>
      </c>
      <c r="K102" s="365"/>
      <c r="M102" s="4" t="s">
        <v>432</v>
      </c>
      <c r="N102" s="202">
        <f t="shared" ca="1" si="18"/>
        <v>-21529.262882691306</v>
      </c>
      <c r="O102" s="38" t="s">
        <v>234</v>
      </c>
      <c r="P102" s="203">
        <f t="shared" ca="1" si="17"/>
        <v>-21.529262882691306</v>
      </c>
      <c r="Q102" s="38" t="s">
        <v>160</v>
      </c>
      <c r="R102" s="138">
        <f t="shared" si="19"/>
        <v>-24.5</v>
      </c>
    </row>
    <row r="103" spans="1:18" x14ac:dyDescent="0.25">
      <c r="A103" s="364"/>
      <c r="B103" s="198" t="str">
        <f ca="1">IF(Geometria!$O$437&lt;Geometria!$N$1308/100,"Reduzir","OK")</f>
        <v>OK</v>
      </c>
      <c r="C103" s="396">
        <f t="shared" ca="1" si="16"/>
        <v>-22051.860196827667</v>
      </c>
      <c r="D103" s="397">
        <f ca="1">-I103/(Geometria!$L$48/100^2)-J103/(Geometria!$L$53/100^3)+Geometria!$L$898/(Geometria!$L$53/100^3)</f>
        <v>-28850.004594456474</v>
      </c>
      <c r="E103" s="400">
        <f ca="1">((Geometria!$L$324*(Geometria!$O$897*100))/Geometria!$N$1308)</f>
        <v>163.69360349288556</v>
      </c>
      <c r="F103" s="743">
        <f ca="1">-'Perdas por Seção'!$G$101/(Geometria!$L$48/100^2)-'Perdas por Seção'!$G$102/(Geometria!$L$53/100^3)+Geometria!$O$898/(Geometria!$L$53/100^3)</f>
        <v>-22051.860196827667</v>
      </c>
      <c r="G103" s="743"/>
      <c r="I103" s="373">
        <f ca="1">Geometria!$L$298*E103+Geometria!$L$300*E80</f>
        <v>1833.368359120318</v>
      </c>
      <c r="J103" s="373">
        <f ca="1">Geometria!$L$298*E103*Geometria!$L$299/100-Geometria!$L$300*E80*Geometria!$L$301/100</f>
        <v>343.7565673350597</v>
      </c>
      <c r="K103" s="365"/>
      <c r="M103" s="4" t="s">
        <v>433</v>
      </c>
      <c r="N103" s="202">
        <f t="shared" ca="1" si="18"/>
        <v>-22051.860196827667</v>
      </c>
      <c r="O103" s="38" t="s">
        <v>234</v>
      </c>
      <c r="P103" s="203">
        <f t="shared" ca="1" si="17"/>
        <v>-22.05186019682767</v>
      </c>
      <c r="Q103" s="38" t="s">
        <v>160</v>
      </c>
      <c r="R103" s="138">
        <f t="shared" si="19"/>
        <v>-24.5</v>
      </c>
    </row>
    <row r="104" spans="1:18" x14ac:dyDescent="0.25">
      <c r="A104" s="364"/>
      <c r="B104" s="198" t="str">
        <f ca="1">IF(Geometria!$P$437&lt;Geometria!$N$1308/100,"Reduzir","OK")</f>
        <v>OK</v>
      </c>
      <c r="C104" s="396">
        <f t="shared" ca="1" si="16"/>
        <v>-21818.116285259886</v>
      </c>
      <c r="D104" s="397">
        <f ca="1">-I104/(Geometria!$L$48/100^2)-J104/(Geometria!$L$53/100^3)+Geometria!$L$898/(Geometria!$L$53/100^3)</f>
        <v>-36170.746306221634</v>
      </c>
      <c r="E104" s="400">
        <f ca="1">((Geometria!$L$324*(Geometria!$P$897*100))/Geometria!$N$1308)</f>
        <v>204.61700436610695</v>
      </c>
      <c r="F104" s="743">
        <f ca="1">-'Perdas por Seção'!$H$101/(Geometria!$L$48/100^2)-'Perdas por Seção'!$H$102/(Geometria!$L$53/100^3)+Geometria!$P$898/(Geometria!$L$53/100^3)</f>
        <v>-21818.116285259886</v>
      </c>
      <c r="G104" s="743"/>
      <c r="I104" s="373">
        <f ca="1">Geometria!$L$298*E104+Geometria!$L$300*E81</f>
        <v>2291.7104489003978</v>
      </c>
      <c r="J104" s="373">
        <f ca="1">Geometria!$L$298*E104*Geometria!$L$299/100-Geometria!$L$300*E81*Geometria!$L$301/100</f>
        <v>429.6957091688245</v>
      </c>
      <c r="K104" s="365"/>
      <c r="M104" s="4" t="s">
        <v>434</v>
      </c>
      <c r="N104" s="202">
        <f t="shared" ca="1" si="18"/>
        <v>-21818.116285259886</v>
      </c>
      <c r="O104" s="38" t="s">
        <v>234</v>
      </c>
      <c r="P104" s="203">
        <f t="shared" ca="1" si="17"/>
        <v>-21.818116285259887</v>
      </c>
      <c r="Q104" s="38" t="s">
        <v>160</v>
      </c>
      <c r="R104" s="138">
        <f t="shared" si="19"/>
        <v>-24.5</v>
      </c>
    </row>
    <row r="105" spans="1:18" x14ac:dyDescent="0.25">
      <c r="A105" s="364"/>
      <c r="B105" s="198" t="str">
        <f ca="1">IF(Geometria!$Q$437&lt;Geometria!$N$1308/100,"Reduzir","OK")</f>
        <v>OK</v>
      </c>
      <c r="C105" s="396">
        <f t="shared" ca="1" si="16"/>
        <v>-21626.871266704427</v>
      </c>
      <c r="D105" s="397">
        <f ca="1">-I105/(Geometria!$L$48/100^2)-J105/(Geometria!$L$53/100^3)+Geometria!$L$898/(Geometria!$L$53/100^3)</f>
        <v>-43491.48801798679</v>
      </c>
      <c r="E105" s="400">
        <f ca="1">((Geometria!$L$324*(Geometria!$Q$897*100))/Geometria!$N$1308)</f>
        <v>245.54040523932832</v>
      </c>
      <c r="F105" s="743">
        <f ca="1">-'Perdas por Seção'!$I$101/(Geometria!$L$48/100^2)-'Perdas por Seção'!$I$102/(Geometria!$L$53/100^3)+Geometria!$Q$898/(Geometria!$L$53/100^3)</f>
        <v>-21626.871266704427</v>
      </c>
      <c r="G105" s="743"/>
      <c r="I105" s="373">
        <f ca="1">Geometria!$L$298*E105+Geometria!$L$300*E82</f>
        <v>2750.052538680477</v>
      </c>
      <c r="J105" s="373">
        <f ca="1">Geometria!$L$298*E105*Geometria!$L$299/100-Geometria!$L$300*E82*Geometria!$L$301/100</f>
        <v>515.6348510025895</v>
      </c>
      <c r="K105" s="365"/>
      <c r="M105" s="4" t="s">
        <v>435</v>
      </c>
      <c r="N105" s="202">
        <f t="shared" ca="1" si="18"/>
        <v>-21626.871266704427</v>
      </c>
      <c r="O105" s="38" t="s">
        <v>234</v>
      </c>
      <c r="P105" s="203">
        <f t="shared" ca="1" si="17"/>
        <v>-21.626871266704427</v>
      </c>
      <c r="Q105" s="38" t="s">
        <v>160</v>
      </c>
      <c r="R105" s="138">
        <f t="shared" si="19"/>
        <v>-24.5</v>
      </c>
    </row>
    <row r="106" spans="1:18" x14ac:dyDescent="0.25">
      <c r="A106" s="364"/>
      <c r="B106" s="198" t="str">
        <f ca="1">IF(Geometria!$R$437&lt;Geometria!$N$1308/100,"Reduzir","OK")</f>
        <v>OK</v>
      </c>
      <c r="C106" s="396">
        <f t="shared" ca="1" si="16"/>
        <v>-21478.12514116129</v>
      </c>
      <c r="D106" s="397">
        <f ca="1">-I106/(Geometria!$L$48/100^2)-J106/(Geometria!$L$53/100^3)+Geometria!$L$898/(Geometria!$L$53/100^3)</f>
        <v>-50812.229729751954</v>
      </c>
      <c r="E106" s="400">
        <f ca="1">((Geometria!$L$324*(Geometria!$R$897*100))/Geometria!$N$1308)</f>
        <v>286.4638061125497</v>
      </c>
      <c r="F106" s="743">
        <f ca="1">-'Perdas por Seção'!$J$101/(Geometria!$L$48/100^2)-'Perdas por Seção'!$J$102/(Geometria!$L$53/100^3)+Geometria!$R$898/(Geometria!$L$53/100^3)</f>
        <v>-21478.12514116129</v>
      </c>
      <c r="G106" s="743"/>
      <c r="I106" s="373">
        <f ca="1">Geometria!$L$298*E106+Geometria!$L$300*E83</f>
        <v>3208.3946284605568</v>
      </c>
      <c r="J106" s="373">
        <f ca="1">Geometria!$L$298*E106*Geometria!$L$299/100-Geometria!$L$300*E83*Geometria!$L$301/100</f>
        <v>601.5739928363544</v>
      </c>
      <c r="K106" s="365"/>
      <c r="M106" s="4" t="s">
        <v>436</v>
      </c>
      <c r="N106" s="202">
        <f t="shared" ca="1" si="18"/>
        <v>-21478.12514116129</v>
      </c>
      <c r="O106" s="38" t="s">
        <v>234</v>
      </c>
      <c r="P106" s="203">
        <f t="shared" ca="1" si="17"/>
        <v>-21.47812514116129</v>
      </c>
      <c r="Q106" s="38" t="s">
        <v>160</v>
      </c>
      <c r="R106" s="138">
        <f t="shared" si="19"/>
        <v>-24.5</v>
      </c>
    </row>
    <row r="107" spans="1:18" x14ac:dyDescent="0.25">
      <c r="A107" s="364"/>
      <c r="B107" s="198" t="str">
        <f ca="1">IF(Geometria!$K$440&lt;Geometria!$N$1308/100,"Reduzir","OK")</f>
        <v>OK</v>
      </c>
      <c r="C107" s="396">
        <f t="shared" ca="1" si="16"/>
        <v>-21371.877908630486</v>
      </c>
      <c r="D107" s="397">
        <f ca="1">-I107/(Geometria!$L$48/100^2)-J107/(Geometria!$L$53/100^3)+Geometria!$L$898/(Geometria!$L$53/100^3)</f>
        <v>-58132.97144151713</v>
      </c>
      <c r="E107" s="400">
        <f ca="1">((Geometria!$L$324*(Geometria!$K$900*100))/Geometria!$N$1308)</f>
        <v>327.3872069857712</v>
      </c>
      <c r="F107" s="743">
        <f ca="1">-'Perdas por Seção'!$K$101/(Geometria!$L$48/100^2)-'Perdas por Seção'!$K$102/(Geometria!$L$53/100^3)+Geometria!$K$901/(Geometria!$L$53/100^3)</f>
        <v>-21371.877908630486</v>
      </c>
      <c r="G107" s="743"/>
      <c r="I107" s="373">
        <f ca="1">Geometria!$L$298*E107+Geometria!$L$300*E84</f>
        <v>3666.736718240637</v>
      </c>
      <c r="J107" s="373">
        <f ca="1">Geometria!$L$298*E107*Geometria!$L$299/100-Geometria!$L$300*E84*Geometria!$L$301/100</f>
        <v>687.5131346701195</v>
      </c>
      <c r="K107" s="365"/>
      <c r="M107" s="4" t="s">
        <v>437</v>
      </c>
      <c r="N107" s="202">
        <f t="shared" ca="1" si="18"/>
        <v>-21371.877908630486</v>
      </c>
      <c r="O107" s="38" t="s">
        <v>234</v>
      </c>
      <c r="P107" s="203">
        <f t="shared" ca="1" si="17"/>
        <v>-21.371877908630484</v>
      </c>
      <c r="Q107" s="38" t="s">
        <v>160</v>
      </c>
      <c r="R107" s="138">
        <f t="shared" si="19"/>
        <v>-24.5</v>
      </c>
    </row>
    <row r="108" spans="1:18" x14ac:dyDescent="0.25">
      <c r="A108" s="364"/>
      <c r="B108" s="198" t="str">
        <f ca="1">IF(Geometria!$L$440&lt;Geometria!$N$1308/100,"Reduzir","OK")</f>
        <v>OK</v>
      </c>
      <c r="C108" s="396">
        <f t="shared" ca="1" si="16"/>
        <v>-21308.129569111992</v>
      </c>
      <c r="D108" s="397">
        <f ca="1">-I108/(Geometria!$L$48/100^2)-J108/(Geometria!$L$53/100^3)+Geometria!$L$898/(Geometria!$L$53/100^3)</f>
        <v>-65453.71315328227</v>
      </c>
      <c r="E108" s="400">
        <f ca="1">((Geometria!$L$324*(Geometria!$L$900*100))/Geometria!$N$1308)</f>
        <v>368.3106078589925</v>
      </c>
      <c r="F108" s="743">
        <f ca="1">-'Perdas por Seção'!$L$101/(Geometria!$L$48/100^2)-'Perdas por Seção'!$L$102/(Geometria!$L$53/100^3)+Geometria!$L$901/(Geometria!$L$53/100^3)</f>
        <v>-21308.129569111992</v>
      </c>
      <c r="G108" s="743"/>
      <c r="I108" s="373">
        <f ca="1">Geometria!$L$298*E108+Geometria!$L$300*E85</f>
        <v>4125.078808020716</v>
      </c>
      <c r="J108" s="373">
        <f ca="1">Geometria!$L$298*E108*Geometria!$L$299/100-Geometria!$L$300*E85*Geometria!$L$301/100</f>
        <v>773.4522765038841</v>
      </c>
      <c r="K108" s="365"/>
      <c r="M108" s="4" t="s">
        <v>438</v>
      </c>
      <c r="N108" s="202">
        <f t="shared" ca="1" si="18"/>
        <v>-21308.129569111992</v>
      </c>
      <c r="O108" s="38" t="s">
        <v>234</v>
      </c>
      <c r="P108" s="203">
        <f t="shared" ca="1" si="17"/>
        <v>-21.30812956911199</v>
      </c>
      <c r="Q108" s="38" t="s">
        <v>160</v>
      </c>
      <c r="R108" s="138">
        <f t="shared" si="19"/>
        <v>-24.5</v>
      </c>
    </row>
    <row r="109" spans="1:18" x14ac:dyDescent="0.25">
      <c r="A109" s="364"/>
      <c r="B109" s="198" t="str">
        <f ca="1">IF(Geometria!$M$440&lt;Geometria!$N$1308/100,"Reduzir","OK")</f>
        <v>OK</v>
      </c>
      <c r="C109" s="396">
        <f t="shared" ca="1" si="16"/>
        <v>-21286.880122605835</v>
      </c>
      <c r="D109" s="397">
        <f ca="1">-I109/(Geometria!$L$48/100^2)-J109/(Geometria!$L$53/100^3)+Geometria!$L$898/(Geometria!$L$53/100^3)</f>
        <v>-72774.45486504743</v>
      </c>
      <c r="E109" s="400">
        <f ca="1">((Geometria!$L$324*(Geometria!$M$900*100))/Geometria!$N$1308)</f>
        <v>409.2340087322139</v>
      </c>
      <c r="F109" s="743">
        <f ca="1">-'Perdas por Seção'!$M$101/(Geometria!$L$48/100^2)-'Perdas por Seção'!$M$102/(Geometria!$L$53/100^3)+Geometria!$M$901/(Geometria!$L$53/100^3)</f>
        <v>-21286.880122605835</v>
      </c>
      <c r="G109" s="743"/>
      <c r="I109" s="373">
        <f ca="1">Geometria!$L$298*E109+Geometria!$L$300*E86</f>
        <v>4583.4208978007955</v>
      </c>
      <c r="J109" s="373">
        <f ca="1">Geometria!$L$298*E109*Geometria!$L$299/100-Geometria!$L$300*E86*Geometria!$L$301/100</f>
        <v>859.391418337649</v>
      </c>
      <c r="K109" s="365"/>
      <c r="M109" s="4" t="s">
        <v>439</v>
      </c>
      <c r="N109" s="202">
        <f t="shared" ca="1" si="18"/>
        <v>-21286.880122605835</v>
      </c>
      <c r="O109" s="38" t="s">
        <v>234</v>
      </c>
      <c r="P109" s="203">
        <f t="shared" ca="1" si="17"/>
        <v>-21.286880122605837</v>
      </c>
      <c r="Q109" s="38" t="s">
        <v>160</v>
      </c>
      <c r="R109" s="138">
        <f t="shared" si="19"/>
        <v>-24.5</v>
      </c>
    </row>
    <row r="110" spans="1:18" x14ac:dyDescent="0.25">
      <c r="A110" s="364"/>
      <c r="B110" s="198" t="str">
        <f ca="1">B108</f>
        <v>OK</v>
      </c>
      <c r="C110" s="396">
        <f t="shared" ca="1" si="16"/>
        <v>-21308.129569111992</v>
      </c>
      <c r="D110" s="397">
        <f ca="1">-I110/(Geometria!$L$48/100^2)-J110/(Geometria!$L$53/100^3)+Geometria!$L$898/(Geometria!$L$53/100^3)</f>
        <v>-65453.71315328227</v>
      </c>
      <c r="E110" s="400">
        <f ca="1">E108</f>
        <v>368.3106078589925</v>
      </c>
      <c r="F110" s="743">
        <f ca="1">-'Perdas por Seção'!$N$101/(Geometria!$L$48/100^2)-'Perdas por Seção'!$N$102/(Geometria!$L$53/100^3)+Geometria!$N$901/(Geometria!$L$53/100^3)</f>
        <v>-21308.129569111992</v>
      </c>
      <c r="G110" s="743"/>
      <c r="I110" s="373">
        <f ca="1">Geometria!$L$298*E110+Geometria!$L$300*E87</f>
        <v>4125.078808020716</v>
      </c>
      <c r="J110" s="373">
        <f ca="1">Geometria!$L$298*E110*Geometria!$L$299/100-Geometria!$L$300*E87*Geometria!$L$301/100</f>
        <v>773.4522765038841</v>
      </c>
      <c r="K110" s="365"/>
      <c r="M110" s="4" t="s">
        <v>440</v>
      </c>
      <c r="N110" s="202">
        <f t="shared" ca="1" si="18"/>
        <v>-21308.129569111992</v>
      </c>
      <c r="O110" s="38" t="s">
        <v>234</v>
      </c>
      <c r="P110" s="203">
        <f t="shared" ca="1" si="17"/>
        <v>-21.30812956911199</v>
      </c>
      <c r="Q110" s="38" t="s">
        <v>160</v>
      </c>
      <c r="R110" s="138">
        <f t="shared" si="19"/>
        <v>-24.5</v>
      </c>
    </row>
    <row r="111" spans="1:18" x14ac:dyDescent="0.25">
      <c r="A111" s="364"/>
      <c r="B111" s="198" t="str">
        <f ca="1">B107</f>
        <v>OK</v>
      </c>
      <c r="C111" s="396">
        <f t="shared" ca="1" si="16"/>
        <v>-21371.877908630486</v>
      </c>
      <c r="D111" s="397">
        <f ca="1">-I111/(Geometria!$L$48/100^2)-J111/(Geometria!$L$53/100^3)+Geometria!$L$898/(Geometria!$L$53/100^3)</f>
        <v>-58132.97144151713</v>
      </c>
      <c r="E111" s="400">
        <f ca="1">E107</f>
        <v>327.3872069857712</v>
      </c>
      <c r="F111" s="743">
        <f ca="1">-'Perdas por Seção'!$O$101/(Geometria!$L$48/100^2)-'Perdas por Seção'!$O$102/(Geometria!$L$53/100^3)+Geometria!$O$901/(Geometria!$L$53/100^3)</f>
        <v>-21371.877908630486</v>
      </c>
      <c r="G111" s="743"/>
      <c r="I111" s="373">
        <f ca="1">Geometria!$L$298*E111+Geometria!$L$300*E88</f>
        <v>3666.736718240637</v>
      </c>
      <c r="J111" s="373">
        <f ca="1">Geometria!$L$298*E111*Geometria!$L$299/100-Geometria!$L$300*E88*Geometria!$L$301/100</f>
        <v>687.5131346701195</v>
      </c>
      <c r="K111" s="365"/>
      <c r="M111" s="4" t="s">
        <v>441</v>
      </c>
      <c r="N111" s="202">
        <f t="shared" ca="1" si="18"/>
        <v>-21371.877908630486</v>
      </c>
      <c r="O111" s="38" t="s">
        <v>234</v>
      </c>
      <c r="P111" s="203">
        <f t="shared" ca="1" si="17"/>
        <v>-21.371877908630484</v>
      </c>
      <c r="Q111" s="38" t="s">
        <v>160</v>
      </c>
      <c r="R111" s="138">
        <f t="shared" si="19"/>
        <v>-24.5</v>
      </c>
    </row>
    <row r="112" spans="1:18" x14ac:dyDescent="0.25">
      <c r="A112" s="364"/>
      <c r="B112" s="198" t="str">
        <f ca="1">B106</f>
        <v>OK</v>
      </c>
      <c r="C112" s="396">
        <f t="shared" ca="1" si="16"/>
        <v>-21478.125141161294</v>
      </c>
      <c r="D112" s="397">
        <f ca="1">-I112/(Geometria!$L$48/100^2)-J112/(Geometria!$L$53/100^3)+Geometria!$L$898/(Geometria!$L$53/100^3)</f>
        <v>-50812.229729751954</v>
      </c>
      <c r="E112" s="400">
        <f ca="1">E106</f>
        <v>286.4638061125497</v>
      </c>
      <c r="F112" s="743">
        <f ca="1">-'Perdas por Seção'!$P$101/(Geometria!$L$48/100^2)-'Perdas por Seção'!$P$102/(Geometria!$L$53/100^3)+Geometria!$P$901/(Geometria!$L$53/100^3)</f>
        <v>-21478.125141161294</v>
      </c>
      <c r="G112" s="743"/>
      <c r="I112" s="373">
        <f ca="1">Geometria!$L$298*E112+Geometria!$L$300*E89</f>
        <v>3208.3946284605568</v>
      </c>
      <c r="J112" s="373">
        <f ca="1">Geometria!$L$298*E112*Geometria!$L$299/100-Geometria!$L$300*E89*Geometria!$L$301/100</f>
        <v>601.5739928363544</v>
      </c>
      <c r="K112" s="365"/>
      <c r="M112" s="4" t="s">
        <v>442</v>
      </c>
      <c r="N112" s="202">
        <f t="shared" ca="1" si="18"/>
        <v>-21478.125141161294</v>
      </c>
      <c r="O112" s="38" t="s">
        <v>234</v>
      </c>
      <c r="P112" s="203">
        <f t="shared" ca="1" si="17"/>
        <v>-21.478125141161293</v>
      </c>
      <c r="Q112" s="38" t="s">
        <v>160</v>
      </c>
      <c r="R112" s="138">
        <f t="shared" si="19"/>
        <v>-24.5</v>
      </c>
    </row>
    <row r="113" spans="1:18" x14ac:dyDescent="0.25">
      <c r="A113" s="364"/>
      <c r="B113" s="198" t="str">
        <f ca="1">B105</f>
        <v>OK</v>
      </c>
      <c r="C113" s="396">
        <f t="shared" ca="1" si="16"/>
        <v>-21626.87126670443</v>
      </c>
      <c r="D113" s="397">
        <f ca="1">-I113/(Geometria!$L$48/100^2)-J113/(Geometria!$L$53/100^3)+Geometria!$L$898/(Geometria!$L$53/100^3)</f>
        <v>-43491.48801798679</v>
      </c>
      <c r="E113" s="400">
        <f ca="1">E105</f>
        <v>245.54040523932832</v>
      </c>
      <c r="F113" s="743">
        <f ca="1">-'Perdas por Seção'!$Q$101/(Geometria!$L$48/100^2)-'Perdas por Seção'!$Q$102/(Geometria!$L$53/100^3)+Geometria!$Q$901/(Geometria!$L$53/100^3)</f>
        <v>-21626.87126670443</v>
      </c>
      <c r="G113" s="743"/>
      <c r="I113" s="373">
        <f ca="1">Geometria!$L$298*E113+Geometria!$L$300*E90</f>
        <v>2750.052538680477</v>
      </c>
      <c r="J113" s="373">
        <f ca="1">Geometria!$L$298*E113*Geometria!$L$299/100-Geometria!$L$300*E90*Geometria!$L$301/100</f>
        <v>515.6348510025895</v>
      </c>
      <c r="K113" s="365"/>
      <c r="M113" s="4" t="s">
        <v>443</v>
      </c>
      <c r="N113" s="202">
        <f t="shared" ca="1" si="18"/>
        <v>-21626.87126670443</v>
      </c>
      <c r="O113" s="38" t="s">
        <v>234</v>
      </c>
      <c r="P113" s="203">
        <f t="shared" ca="1" si="17"/>
        <v>-21.62687126670443</v>
      </c>
      <c r="Q113" s="38" t="s">
        <v>160</v>
      </c>
      <c r="R113" s="138">
        <f t="shared" si="19"/>
        <v>-24.5</v>
      </c>
    </row>
    <row r="114" spans="1:18" x14ac:dyDescent="0.25">
      <c r="A114" s="364"/>
      <c r="B114" s="198" t="str">
        <f ca="1">B104</f>
        <v>OK</v>
      </c>
      <c r="C114" s="396">
        <f t="shared" ca="1" si="16"/>
        <v>-21818.116285259886</v>
      </c>
      <c r="D114" s="397">
        <f ca="1">-I114/(Geometria!$L$48/100^2)-J114/(Geometria!$L$53/100^3)+Geometria!$L$898/(Geometria!$L$53/100^3)</f>
        <v>-36170.746306221634</v>
      </c>
      <c r="E114" s="400">
        <f ca="1">E104</f>
        <v>204.61700436610695</v>
      </c>
      <c r="F114" s="743">
        <f ca="1">-'Perdas por Seção'!$R$101/(Geometria!$L$48/100^2)-'Perdas por Seção'!$R$102/(Geometria!$L$53/100^3)+Geometria!$R$901/(Geometria!$L$53/100^3)</f>
        <v>-21818.116285259886</v>
      </c>
      <c r="G114" s="743"/>
      <c r="I114" s="373">
        <f ca="1">Geometria!$L$298*E114+Geometria!$L$300*E91</f>
        <v>2291.7104489003978</v>
      </c>
      <c r="J114" s="373">
        <f ca="1">Geometria!$L$298*E114*Geometria!$L$299/100-Geometria!$L$300*E91*Geometria!$L$301/100</f>
        <v>429.6957091688245</v>
      </c>
      <c r="K114" s="365"/>
      <c r="M114" s="4" t="s">
        <v>444</v>
      </c>
      <c r="N114" s="202">
        <f t="shared" ca="1" si="18"/>
        <v>-21818.116285259886</v>
      </c>
      <c r="O114" s="38" t="s">
        <v>234</v>
      </c>
      <c r="P114" s="203">
        <f t="shared" ca="1" si="17"/>
        <v>-21.818116285259887</v>
      </c>
      <c r="Q114" s="38" t="s">
        <v>160</v>
      </c>
      <c r="R114" s="138">
        <f t="shared" si="19"/>
        <v>-24.5</v>
      </c>
    </row>
    <row r="115" spans="1:18" x14ac:dyDescent="0.25">
      <c r="A115" s="364"/>
      <c r="B115" s="198" t="str">
        <f ca="1">B103</f>
        <v>OK</v>
      </c>
      <c r="C115" s="396">
        <f t="shared" ca="1" si="16"/>
        <v>-22051.860196827667</v>
      </c>
      <c r="D115" s="397">
        <f ca="1">-I115/(Geometria!$L$48/100^2)-J115/(Geometria!$L$53/100^3)+Geometria!$L$898/(Geometria!$L$53/100^3)</f>
        <v>-28850.004594456474</v>
      </c>
      <c r="E115" s="400">
        <f ca="1">E103</f>
        <v>163.69360349288556</v>
      </c>
      <c r="F115" s="743">
        <f ca="1">-'Perdas por Seção'!$S$101/(Geometria!$L$48/100^2)-'Perdas por Seção'!$S$102/(Geometria!$L$53/100^3)+Geometria!$K$904/(Geometria!$L$53/100^3)</f>
        <v>-22051.860196827667</v>
      </c>
      <c r="G115" s="743"/>
      <c r="I115" s="373">
        <f ca="1">Geometria!$L$298*E115+Geometria!$L$300*E92</f>
        <v>1833.368359120318</v>
      </c>
      <c r="J115" s="373">
        <f ca="1">Geometria!$L$298*E115*Geometria!$L$299/100-Geometria!$L$300*E92*Geometria!$L$301/100</f>
        <v>343.7565673350597</v>
      </c>
      <c r="K115" s="365"/>
      <c r="M115" s="4" t="s">
        <v>445</v>
      </c>
      <c r="N115" s="202">
        <f t="shared" ca="1" si="18"/>
        <v>-22051.860196827667</v>
      </c>
      <c r="O115" s="38" t="s">
        <v>234</v>
      </c>
      <c r="P115" s="203">
        <f t="shared" ca="1" si="17"/>
        <v>-22.05186019682767</v>
      </c>
      <c r="Q115" s="38" t="s">
        <v>160</v>
      </c>
      <c r="R115" s="138">
        <f t="shared" si="19"/>
        <v>-24.5</v>
      </c>
    </row>
    <row r="116" spans="1:18" x14ac:dyDescent="0.25">
      <c r="A116" s="364"/>
      <c r="B116" s="198" t="str">
        <f ca="1">B102</f>
        <v>Reduzir</v>
      </c>
      <c r="C116" s="396">
        <f t="shared" ca="1" si="16"/>
        <v>-21529.262882691306</v>
      </c>
      <c r="D116" s="397">
        <f ca="1">-I116/(Geometria!$L$48/100^2)-J116/(Geometria!$L$53/100^3)+Geometria!$L$898/(Geometria!$L$53/100^3)</f>
        <v>-21529.262882691306</v>
      </c>
      <c r="E116" s="400">
        <f ca="1">E102</f>
        <v>122.77020261966413</v>
      </c>
      <c r="F116" s="743">
        <f ca="1">-'Perdas por Seção'!$T$101/(Geometria!$L$48/100^2)-'Perdas por Seção'!$T$102/(Geometria!$L$53/100^3)+Geometria!$L$904/(Geometria!$L$53/100^3)</f>
        <v>-22328.103001407773</v>
      </c>
      <c r="G116" s="743"/>
      <c r="I116" s="373">
        <f ca="1">Geometria!$L$298*E116+Geometria!$L$300*E93</f>
        <v>1375.0262693402383</v>
      </c>
      <c r="J116" s="373">
        <f ca="1">Geometria!$L$298*E116*Geometria!$L$299/100-Geometria!$L$300*E93*Geometria!$L$301/100</f>
        <v>257.8174255012947</v>
      </c>
      <c r="K116" s="365"/>
      <c r="M116" s="4" t="s">
        <v>446</v>
      </c>
      <c r="N116" s="202">
        <f t="shared" ca="1" si="18"/>
        <v>-21529.262882691306</v>
      </c>
      <c r="O116" s="38" t="s">
        <v>234</v>
      </c>
      <c r="P116" s="203">
        <f t="shared" ca="1" si="17"/>
        <v>-21.529262882691306</v>
      </c>
      <c r="Q116" s="38" t="s">
        <v>160</v>
      </c>
      <c r="R116" s="138">
        <f t="shared" si="19"/>
        <v>-24.5</v>
      </c>
    </row>
    <row r="117" spans="1:18" x14ac:dyDescent="0.25">
      <c r="A117" s="364"/>
      <c r="B117" s="198" t="str">
        <f ca="1">B101</f>
        <v>Reduzir</v>
      </c>
      <c r="C117" s="396">
        <f t="shared" ca="1" si="16"/>
        <v>-14208.521170926155</v>
      </c>
      <c r="D117" s="397">
        <f ca="1">-I117/(Geometria!$L$48/100^2)-J117/(Geometria!$L$53/100^3)+Geometria!$L$898/(Geometria!$L$53/100^3)</f>
        <v>-14208.521170926155</v>
      </c>
      <c r="E117" s="400">
        <f ca="1">E101</f>
        <v>81.84680174644278</v>
      </c>
      <c r="F117" s="743">
        <f ca="1">-'Perdas por Seção'!$U$101/(Geometria!$L$48/100^2)-'Perdas por Seção'!$U$102/(Geometria!$L$53/100^3)+Geometria!$M$904/(Geometria!$L$53/100^3)</f>
        <v>-22646.84469900021</v>
      </c>
      <c r="G117" s="743"/>
      <c r="I117" s="373">
        <f ca="1">Geometria!$L$298*E117+Geometria!$L$300*E94</f>
        <v>916.684179560159</v>
      </c>
      <c r="J117" s="373">
        <f ca="1">Geometria!$L$298*E117*Geometria!$L$299/100-Geometria!$L$300*E94*Geometria!$L$301/100</f>
        <v>171.87828366752984</v>
      </c>
      <c r="K117" s="365"/>
      <c r="M117" s="4" t="s">
        <v>447</v>
      </c>
      <c r="N117" s="202">
        <f t="shared" ca="1" si="18"/>
        <v>-14208.521170926155</v>
      </c>
      <c r="O117" s="38" t="s">
        <v>234</v>
      </c>
      <c r="P117" s="203">
        <f t="shared" ca="1" si="17"/>
        <v>-14.208521170926154</v>
      </c>
      <c r="Q117" s="38" t="s">
        <v>160</v>
      </c>
      <c r="R117" s="138">
        <f t="shared" si="19"/>
        <v>-24.5</v>
      </c>
    </row>
    <row r="118" spans="1:18" x14ac:dyDescent="0.25">
      <c r="A118" s="364"/>
      <c r="B118" s="198" t="str">
        <f ca="1">B100</f>
        <v>Reduzir</v>
      </c>
      <c r="C118" s="396">
        <f t="shared" ca="1" si="16"/>
        <v>-6887.779459160994</v>
      </c>
      <c r="D118" s="397">
        <f ca="1">-I118/(Geometria!$L$48/100^2)-J118/(Geometria!$L$53/100^3)+Geometria!$L$898/(Geometria!$L$53/100^3)</f>
        <v>-6887.779459160994</v>
      </c>
      <c r="E118" s="400">
        <f ca="1">E100</f>
        <v>40.92340087322139</v>
      </c>
      <c r="F118" s="743">
        <f ca="1">-'Perdas por Seção'!$V$101/(Geometria!$L$48/100^2)-'Perdas por Seção'!$V$102/(Geometria!$L$53/100^3)+Geometria!$L$898/(Geometria!$L$53/100^3)</f>
        <v>-23008.085289604962</v>
      </c>
      <c r="G118" s="743"/>
      <c r="I118" s="373">
        <f ca="1">Geometria!$L$298*E118+Geometria!$L$300*E95</f>
        <v>458.3420897800795</v>
      </c>
      <c r="J118" s="373">
        <f ca="1">Geometria!$L$298*E118*Geometria!$L$299/100-Geometria!$L$300*E95*Geometria!$L$301/100</f>
        <v>85.93914183376492</v>
      </c>
      <c r="K118" s="365"/>
      <c r="M118" s="4" t="s">
        <v>448</v>
      </c>
      <c r="N118" s="204">
        <f t="shared" ca="1" si="18"/>
        <v>-6887.779459160994</v>
      </c>
      <c r="O118" s="38" t="s">
        <v>234</v>
      </c>
      <c r="P118" s="205">
        <f t="shared" ca="1" si="17"/>
        <v>-6.887779459160994</v>
      </c>
      <c r="Q118" s="38" t="s">
        <v>160</v>
      </c>
      <c r="R118" s="138">
        <f t="shared" si="19"/>
        <v>-24.5</v>
      </c>
    </row>
    <row r="119" spans="1:18" x14ac:dyDescent="0.25">
      <c r="A119" s="364"/>
      <c r="B119" s="198" t="str">
        <f ca="1">B99</f>
        <v>Reduzir</v>
      </c>
      <c r="C119" s="406"/>
      <c r="D119" s="407">
        <v>0</v>
      </c>
      <c r="E119" s="408">
        <v>0</v>
      </c>
      <c r="F119" s="744">
        <v>0</v>
      </c>
      <c r="G119" s="744"/>
      <c r="K119" s="365"/>
      <c r="M119" s="32" t="s">
        <v>449</v>
      </c>
      <c r="N119" s="206">
        <v>0</v>
      </c>
      <c r="O119" s="207" t="s">
        <v>234</v>
      </c>
      <c r="P119" s="208">
        <v>0</v>
      </c>
      <c r="Q119" s="207" t="s">
        <v>160</v>
      </c>
      <c r="R119" s="208">
        <f t="shared" si="19"/>
        <v>-24.5</v>
      </c>
    </row>
    <row r="120" spans="1:18" x14ac:dyDescent="0.25">
      <c r="A120" s="364"/>
      <c r="K120" s="365"/>
    </row>
    <row r="121" spans="1:18" x14ac:dyDescent="0.25">
      <c r="A121" s="367"/>
      <c r="B121" s="368"/>
      <c r="C121" s="368"/>
      <c r="D121" s="368"/>
      <c r="E121" s="368"/>
      <c r="F121" s="368"/>
      <c r="G121" s="368"/>
      <c r="H121" s="368"/>
      <c r="I121" s="368"/>
      <c r="J121" s="368"/>
      <c r="K121" s="369"/>
    </row>
  </sheetData>
  <mergeCells count="321">
    <mergeCell ref="A4:K4"/>
    <mergeCell ref="M4:W4"/>
    <mergeCell ref="Y4:AI4"/>
    <mergeCell ref="AK4:AU4"/>
    <mergeCell ref="AW4:BG4"/>
    <mergeCell ref="C6:C7"/>
    <mergeCell ref="D6:E7"/>
    <mergeCell ref="F6:G7"/>
    <mergeCell ref="I6:I7"/>
    <mergeCell ref="J6:J7"/>
    <mergeCell ref="O6:O7"/>
    <mergeCell ref="P6:Q7"/>
    <mergeCell ref="R6:S7"/>
    <mergeCell ref="U6:U7"/>
    <mergeCell ref="V6:V7"/>
    <mergeCell ref="AA6:AA7"/>
    <mergeCell ref="AB6:AC7"/>
    <mergeCell ref="AD6:AE7"/>
    <mergeCell ref="AG6:AG7"/>
    <mergeCell ref="AH6:AH7"/>
    <mergeCell ref="AM6:AM7"/>
    <mergeCell ref="AN6:AO7"/>
    <mergeCell ref="AP6:AQ7"/>
    <mergeCell ref="AS6:AS7"/>
    <mergeCell ref="AT6:AT7"/>
    <mergeCell ref="AY6:AY7"/>
    <mergeCell ref="AZ6:BA7"/>
    <mergeCell ref="BB6:BC7"/>
    <mergeCell ref="BE6:BE7"/>
    <mergeCell ref="BF6:BF7"/>
    <mergeCell ref="F8:G8"/>
    <mergeCell ref="R8:S8"/>
    <mergeCell ref="AD8:AE8"/>
    <mergeCell ref="AP8:AQ8"/>
    <mergeCell ref="BB8:BC8"/>
    <mergeCell ref="F9:G9"/>
    <mergeCell ref="R9:S9"/>
    <mergeCell ref="AD9:AE9"/>
    <mergeCell ref="AP9:AQ9"/>
    <mergeCell ref="BB9:BC9"/>
    <mergeCell ref="F10:G10"/>
    <mergeCell ref="R10:S10"/>
    <mergeCell ref="AD10:AE10"/>
    <mergeCell ref="AP10:AQ10"/>
    <mergeCell ref="BB10:BC10"/>
    <mergeCell ref="F11:G11"/>
    <mergeCell ref="R11:S11"/>
    <mergeCell ref="AD11:AE11"/>
    <mergeCell ref="AP11:AQ11"/>
    <mergeCell ref="BB11:BC11"/>
    <mergeCell ref="F12:G12"/>
    <mergeCell ref="R12:S12"/>
    <mergeCell ref="AD12:AE12"/>
    <mergeCell ref="AP12:AQ12"/>
    <mergeCell ref="BB12:BC12"/>
    <mergeCell ref="F13:G13"/>
    <mergeCell ref="R13:S13"/>
    <mergeCell ref="AD13:AE13"/>
    <mergeCell ref="AP13:AQ13"/>
    <mergeCell ref="BB13:BC13"/>
    <mergeCell ref="F14:G14"/>
    <mergeCell ref="R14:S14"/>
    <mergeCell ref="AD14:AE14"/>
    <mergeCell ref="AP14:AQ14"/>
    <mergeCell ref="BB14:BC14"/>
    <mergeCell ref="F15:G15"/>
    <mergeCell ref="R15:S15"/>
    <mergeCell ref="AD15:AE15"/>
    <mergeCell ref="AP15:AQ15"/>
    <mergeCell ref="BB15:BC15"/>
    <mergeCell ref="F16:G16"/>
    <mergeCell ref="R16:S16"/>
    <mergeCell ref="AD16:AE16"/>
    <mergeCell ref="AP16:AQ16"/>
    <mergeCell ref="BB16:BC16"/>
    <mergeCell ref="F17:G17"/>
    <mergeCell ref="R17:S17"/>
    <mergeCell ref="AD17:AE17"/>
    <mergeCell ref="AP17:AQ17"/>
    <mergeCell ref="BB17:BC17"/>
    <mergeCell ref="F18:G18"/>
    <mergeCell ref="R18:S18"/>
    <mergeCell ref="AD18:AE18"/>
    <mergeCell ref="AP18:AQ18"/>
    <mergeCell ref="BB18:BC18"/>
    <mergeCell ref="F19:G19"/>
    <mergeCell ref="R19:S19"/>
    <mergeCell ref="AD19:AE19"/>
    <mergeCell ref="AP19:AQ19"/>
    <mergeCell ref="BB19:BC19"/>
    <mergeCell ref="F20:G20"/>
    <mergeCell ref="R20:S20"/>
    <mergeCell ref="AD20:AE20"/>
    <mergeCell ref="AP20:AQ20"/>
    <mergeCell ref="BB20:BC20"/>
    <mergeCell ref="F21:G21"/>
    <mergeCell ref="R21:S21"/>
    <mergeCell ref="AD21:AE21"/>
    <mergeCell ref="AP21:AQ21"/>
    <mergeCell ref="BB21:BC21"/>
    <mergeCell ref="F22:G22"/>
    <mergeCell ref="R22:S22"/>
    <mergeCell ref="AD22:AE22"/>
    <mergeCell ref="AP22:AQ22"/>
    <mergeCell ref="BB22:BC22"/>
    <mergeCell ref="F23:G23"/>
    <mergeCell ref="R23:S23"/>
    <mergeCell ref="AD23:AE23"/>
    <mergeCell ref="AP23:AQ23"/>
    <mergeCell ref="BB23:BC23"/>
    <mergeCell ref="F24:G24"/>
    <mergeCell ref="R24:S24"/>
    <mergeCell ref="AD24:AE24"/>
    <mergeCell ref="AP24:AQ24"/>
    <mergeCell ref="BB24:BC24"/>
    <mergeCell ref="F25:G25"/>
    <mergeCell ref="R25:S25"/>
    <mergeCell ref="AD25:AE25"/>
    <mergeCell ref="AP25:AQ25"/>
    <mergeCell ref="BB25:BC25"/>
    <mergeCell ref="F26:G26"/>
    <mergeCell ref="R26:S26"/>
    <mergeCell ref="AD26:AE26"/>
    <mergeCell ref="AP26:AQ26"/>
    <mergeCell ref="BB26:BC26"/>
    <mergeCell ref="F27:G27"/>
    <mergeCell ref="R27:S27"/>
    <mergeCell ref="AD27:AE27"/>
    <mergeCell ref="AP27:AQ27"/>
    <mergeCell ref="BB27:BC27"/>
    <mergeCell ref="F28:G28"/>
    <mergeCell ref="R28:S28"/>
    <mergeCell ref="AD28:AE28"/>
    <mergeCell ref="AP28:AQ28"/>
    <mergeCell ref="BB28:BC28"/>
    <mergeCell ref="C29:C30"/>
    <mergeCell ref="D29:E30"/>
    <mergeCell ref="F29:G30"/>
    <mergeCell ref="I29:I30"/>
    <mergeCell ref="J29:J30"/>
    <mergeCell ref="O29:O30"/>
    <mergeCell ref="P29:Q30"/>
    <mergeCell ref="R29:S30"/>
    <mergeCell ref="U29:U30"/>
    <mergeCell ref="AS29:AS30"/>
    <mergeCell ref="AT29:AT30"/>
    <mergeCell ref="AY29:AY30"/>
    <mergeCell ref="AZ29:BA30"/>
    <mergeCell ref="BB29:BC30"/>
    <mergeCell ref="BE29:BE30"/>
    <mergeCell ref="BF29:BF30"/>
    <mergeCell ref="F31:G31"/>
    <mergeCell ref="R31:S31"/>
    <mergeCell ref="AD31:AE31"/>
    <mergeCell ref="AP31:AQ31"/>
    <mergeCell ref="BB31:BC31"/>
    <mergeCell ref="V29:V30"/>
    <mergeCell ref="AA29:AA30"/>
    <mergeCell ref="AB29:AC30"/>
    <mergeCell ref="AD29:AE30"/>
    <mergeCell ref="AG29:AG30"/>
    <mergeCell ref="AH29:AH30"/>
    <mergeCell ref="AM29:AM30"/>
    <mergeCell ref="AN29:AO30"/>
    <mergeCell ref="AP29:AQ30"/>
    <mergeCell ref="F32:G32"/>
    <mergeCell ref="R32:S32"/>
    <mergeCell ref="AD32:AE32"/>
    <mergeCell ref="AP32:AQ32"/>
    <mergeCell ref="BB32:BC32"/>
    <mergeCell ref="F33:G33"/>
    <mergeCell ref="R33:S33"/>
    <mergeCell ref="AD33:AE33"/>
    <mergeCell ref="AP33:AQ33"/>
    <mergeCell ref="BB33:BC33"/>
    <mergeCell ref="F34:G34"/>
    <mergeCell ref="R34:S34"/>
    <mergeCell ref="AD34:AE34"/>
    <mergeCell ref="AP34:AQ34"/>
    <mergeCell ref="BB34:BC34"/>
    <mergeCell ref="F35:G35"/>
    <mergeCell ref="R35:S35"/>
    <mergeCell ref="AD35:AE35"/>
    <mergeCell ref="AP35:AQ35"/>
    <mergeCell ref="BB35:BC35"/>
    <mergeCell ref="F36:G36"/>
    <mergeCell ref="R36:S36"/>
    <mergeCell ref="AD36:AE36"/>
    <mergeCell ref="AP36:AQ36"/>
    <mergeCell ref="BB36:BC36"/>
    <mergeCell ref="F37:G37"/>
    <mergeCell ref="R37:S37"/>
    <mergeCell ref="AD37:AE37"/>
    <mergeCell ref="AP37:AQ37"/>
    <mergeCell ref="BB37:BC37"/>
    <mergeCell ref="F38:G38"/>
    <mergeCell ref="R38:S38"/>
    <mergeCell ref="AD38:AE38"/>
    <mergeCell ref="AP38:AQ38"/>
    <mergeCell ref="BB38:BC38"/>
    <mergeCell ref="F39:G39"/>
    <mergeCell ref="R39:S39"/>
    <mergeCell ref="AD39:AE39"/>
    <mergeCell ref="AP39:AQ39"/>
    <mergeCell ref="BB39:BC39"/>
    <mergeCell ref="F40:G40"/>
    <mergeCell ref="R40:S40"/>
    <mergeCell ref="AD40:AE40"/>
    <mergeCell ref="AP40:AQ40"/>
    <mergeCell ref="BB40:BC40"/>
    <mergeCell ref="F41:G41"/>
    <mergeCell ref="R41:S41"/>
    <mergeCell ref="AD41:AE41"/>
    <mergeCell ref="AP41:AQ41"/>
    <mergeCell ref="BB41:BC41"/>
    <mergeCell ref="F42:G42"/>
    <mergeCell ref="R42:S42"/>
    <mergeCell ref="AD42:AE42"/>
    <mergeCell ref="AP42:AQ42"/>
    <mergeCell ref="BB42:BC42"/>
    <mergeCell ref="F43:G43"/>
    <mergeCell ref="R43:S43"/>
    <mergeCell ref="AD43:AE43"/>
    <mergeCell ref="AP43:AQ43"/>
    <mergeCell ref="BB43:BC43"/>
    <mergeCell ref="F44:G44"/>
    <mergeCell ref="R44:S44"/>
    <mergeCell ref="AD44:AE44"/>
    <mergeCell ref="AP44:AQ44"/>
    <mergeCell ref="BB44:BC44"/>
    <mergeCell ref="F45:G45"/>
    <mergeCell ref="R45:S45"/>
    <mergeCell ref="AD45:AE45"/>
    <mergeCell ref="AP45:AQ45"/>
    <mergeCell ref="BB45:BC45"/>
    <mergeCell ref="F46:G46"/>
    <mergeCell ref="R46:S46"/>
    <mergeCell ref="AD46:AE46"/>
    <mergeCell ref="AP46:AQ46"/>
    <mergeCell ref="BB46:BC46"/>
    <mergeCell ref="F47:G47"/>
    <mergeCell ref="R47:S47"/>
    <mergeCell ref="AD47:AE47"/>
    <mergeCell ref="AP47:AQ47"/>
    <mergeCell ref="BB47:BC47"/>
    <mergeCell ref="F48:G48"/>
    <mergeCell ref="R48:S48"/>
    <mergeCell ref="AD48:AE48"/>
    <mergeCell ref="AP48:AQ48"/>
    <mergeCell ref="BB48:BC48"/>
    <mergeCell ref="F49:G49"/>
    <mergeCell ref="R49:S49"/>
    <mergeCell ref="AD49:AE49"/>
    <mergeCell ref="AP49:AQ49"/>
    <mergeCell ref="BB49:BC49"/>
    <mergeCell ref="F50:G50"/>
    <mergeCell ref="R50:S50"/>
    <mergeCell ref="AD50:AE50"/>
    <mergeCell ref="AP50:AQ50"/>
    <mergeCell ref="BB50:BC50"/>
    <mergeCell ref="F51:G51"/>
    <mergeCell ref="R51:S51"/>
    <mergeCell ref="AD51:AE51"/>
    <mergeCell ref="AP51:AQ51"/>
    <mergeCell ref="BB51:BC51"/>
    <mergeCell ref="B61:I61"/>
    <mergeCell ref="A72:K72"/>
    <mergeCell ref="C74:C75"/>
    <mergeCell ref="D74:E75"/>
    <mergeCell ref="F74:G75"/>
    <mergeCell ref="I74:I75"/>
    <mergeCell ref="J74:J75"/>
    <mergeCell ref="M75:Q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C97:C98"/>
    <mergeCell ref="D97:E98"/>
    <mergeCell ref="F97:G98"/>
    <mergeCell ref="I97:I98"/>
    <mergeCell ref="J97:J98"/>
    <mergeCell ref="M98:Q98"/>
    <mergeCell ref="F99:G99"/>
    <mergeCell ref="F100:G100"/>
    <mergeCell ref="F101:G101"/>
    <mergeCell ref="F102:G102"/>
    <mergeCell ref="F103:G103"/>
    <mergeCell ref="F104:G104"/>
    <mergeCell ref="F105:G105"/>
    <mergeCell ref="F106:G106"/>
    <mergeCell ref="F107:G107"/>
    <mergeCell ref="F108:G108"/>
    <mergeCell ref="F118:G118"/>
    <mergeCell ref="F119:G119"/>
    <mergeCell ref="F109:G109"/>
    <mergeCell ref="F110:G110"/>
    <mergeCell ref="F111:G111"/>
    <mergeCell ref="F112:G112"/>
    <mergeCell ref="F113:G113"/>
    <mergeCell ref="F114:G114"/>
    <mergeCell ref="F115:G115"/>
    <mergeCell ref="F116:G116"/>
    <mergeCell ref="F117:G117"/>
  </mergeCells>
  <conditionalFormatting sqref="N76:N96 P76:P96">
    <cfRule type="cellIs" dxfId="43" priority="2" operator="lessThan">
      <formula>0</formula>
    </cfRule>
    <cfRule type="cellIs" dxfId="42" priority="3" operator="greaterThan">
      <formula>0</formula>
    </cfRule>
  </conditionalFormatting>
  <conditionalFormatting sqref="N99:N119 P99:P119">
    <cfRule type="cellIs" dxfId="41" priority="4" operator="lessThan">
      <formula>0</formula>
    </cfRule>
    <cfRule type="cellIs" dxfId="40" priority="5" operator="greaterThan">
      <formula>0</formula>
    </cfRule>
  </conditionalFormatting>
  <pageMargins left="0.51180555555555596" right="0.51180555555555596" top="0.78749999999999998" bottom="0.78749999999999998" header="0.511811023622047" footer="0.511811023622047"/>
  <pageSetup paperSize="9" scale="17"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22"/>
  <sheetViews>
    <sheetView showGridLines="0" view="pageBreakPreview" topLeftCell="F1" zoomScaleNormal="100" workbookViewId="0">
      <selection activeCell="I12" sqref="I12"/>
    </sheetView>
  </sheetViews>
  <sheetFormatPr defaultColWidth="8.5703125" defaultRowHeight="15" x14ac:dyDescent="0.25"/>
  <sheetData>
    <row r="3" spans="8:20" x14ac:dyDescent="0.25">
      <c r="I3" t="s">
        <v>1101</v>
      </c>
    </row>
    <row r="4" spans="8:20" x14ac:dyDescent="0.25">
      <c r="I4">
        <v>320</v>
      </c>
      <c r="J4">
        <v>20</v>
      </c>
    </row>
    <row r="5" spans="8:20" x14ac:dyDescent="0.25">
      <c r="I5">
        <v>355</v>
      </c>
      <c r="J5">
        <v>25</v>
      </c>
    </row>
    <row r="6" spans="8:20" x14ac:dyDescent="0.25">
      <c r="I6">
        <v>430</v>
      </c>
      <c r="J6">
        <v>30</v>
      </c>
    </row>
    <row r="9" spans="8:20" x14ac:dyDescent="0.25">
      <c r="H9" s="742" t="s">
        <v>1102</v>
      </c>
      <c r="I9" s="742"/>
      <c r="J9" s="742"/>
      <c r="K9" s="742"/>
      <c r="L9" s="742"/>
      <c r="M9" s="742"/>
      <c r="N9" s="742"/>
      <c r="O9" s="742"/>
      <c r="P9" s="742"/>
      <c r="Q9" s="742"/>
      <c r="R9" s="742"/>
      <c r="S9" s="742"/>
      <c r="T9" s="742"/>
    </row>
    <row r="10" spans="8:20" x14ac:dyDescent="0.25">
      <c r="H10" s="759" t="s">
        <v>1103</v>
      </c>
      <c r="I10" s="759"/>
      <c r="J10" s="4"/>
      <c r="K10" s="4"/>
      <c r="L10" s="4"/>
      <c r="M10" s="4"/>
      <c r="N10" s="4"/>
      <c r="O10" s="4"/>
    </row>
    <row r="11" spans="8:20" x14ac:dyDescent="0.25">
      <c r="H11" s="383" t="s">
        <v>1104</v>
      </c>
      <c r="I11" s="359">
        <f>Geometria!L29</f>
        <v>785.0</v>
      </c>
      <c r="J11" t="s">
        <v>35</v>
      </c>
      <c r="K11" s="38" t="s">
        <v>148</v>
      </c>
      <c r="L11" s="4"/>
      <c r="M11" s="4"/>
      <c r="N11" s="4"/>
      <c r="O11" s="4"/>
    </row>
    <row r="12" spans="8:20" x14ac:dyDescent="0.25">
      <c r="H12" s="419" t="s">
        <v>1105</v>
      </c>
      <c r="I12" s="359">
        <f>Geometria!L26</f>
        <v>30.0</v>
      </c>
      <c r="J12" t="s">
        <v>35</v>
      </c>
      <c r="K12" s="38" t="s">
        <v>136</v>
      </c>
      <c r="L12" s="4"/>
      <c r="M12" s="4"/>
      <c r="N12" s="4"/>
      <c r="O12" s="4"/>
    </row>
    <row r="13" spans="8:20" x14ac:dyDescent="0.25">
      <c r="H13" s="419" t="s">
        <v>1106</v>
      </c>
      <c r="I13" s="258">
        <v>0</v>
      </c>
      <c r="J13" t="s">
        <v>35</v>
      </c>
      <c r="K13" s="38" t="s">
        <v>1107</v>
      </c>
      <c r="L13" s="4"/>
      <c r="M13" s="4"/>
      <c r="N13" s="4"/>
      <c r="O13" s="4"/>
    </row>
    <row r="14" spans="8:20" x14ac:dyDescent="0.25">
      <c r="H14" s="419" t="s">
        <v>1108</v>
      </c>
      <c r="I14" s="258">
        <v>0</v>
      </c>
      <c r="J14" t="s">
        <v>35</v>
      </c>
      <c r="K14" s="38" t="s">
        <v>1109</v>
      </c>
      <c r="L14" s="4"/>
      <c r="M14" s="4"/>
      <c r="N14" s="4"/>
      <c r="O14" s="4"/>
    </row>
    <row r="15" spans="8:20" x14ac:dyDescent="0.25">
      <c r="H15" s="67" t="s">
        <v>1110</v>
      </c>
      <c r="I15" s="359">
        <f>IF(H10="Biapoiado",I11,IF(H10="Momento nas duas extremidades",0.6*I11,0.75*I11))</f>
        <v>785.0</v>
      </c>
      <c r="J15" t="s">
        <v>35</v>
      </c>
      <c r="K15" s="38" t="str">
        <f>K11</f>
        <v>Tamanho da viga.</v>
      </c>
      <c r="L15" s="40"/>
      <c r="M15" s="4"/>
      <c r="N15" s="4"/>
      <c r="O15" s="4"/>
    </row>
    <row r="16" spans="8:20" x14ac:dyDescent="0.25">
      <c r="H16" s="67" t="s">
        <v>1111</v>
      </c>
      <c r="I16" s="258">
        <f>Geometria!L41-2*I13</f>
        <v>1107.5</v>
      </c>
      <c r="J16" t="s">
        <v>35</v>
      </c>
      <c r="K16" s="38" t="s">
        <v>1112</v>
      </c>
      <c r="L16" s="40"/>
      <c r="M16" s="4"/>
      <c r="N16" s="4"/>
      <c r="O16" s="4"/>
    </row>
    <row r="17" spans="8:15" x14ac:dyDescent="0.25">
      <c r="H17" s="67" t="s">
        <v>1113</v>
      </c>
      <c r="I17" s="258">
        <f>Geometria!L41-I14</f>
        <v>1107.5</v>
      </c>
      <c r="J17" t="s">
        <v>35</v>
      </c>
      <c r="K17" s="38" t="s">
        <v>1114</v>
      </c>
      <c r="L17" s="40"/>
      <c r="M17" s="4"/>
      <c r="N17" s="4"/>
      <c r="O17" s="4"/>
    </row>
    <row r="18" spans="8:15" x14ac:dyDescent="0.25">
      <c r="H18" s="67" t="s">
        <v>1115</v>
      </c>
      <c r="I18" s="258">
        <f>IF(0.1*I15&lt;0.5*I16,0.1*I15,0.5*I16)</f>
        <v>78.5</v>
      </c>
      <c r="J18" t="s">
        <v>35</v>
      </c>
      <c r="K18" s="38" t="s">
        <v>1116</v>
      </c>
      <c r="L18" s="40"/>
      <c r="M18" s="4"/>
      <c r="N18" s="4"/>
      <c r="O18" s="4"/>
    </row>
    <row r="19" spans="8:15" x14ac:dyDescent="0.25">
      <c r="H19" s="67" t="s">
        <v>1117</v>
      </c>
      <c r="I19" s="258">
        <f>IF(0.1*I15&lt;I17,0.1*I15,I17)</f>
        <v>78.5</v>
      </c>
      <c r="J19" t="s">
        <v>35</v>
      </c>
      <c r="K19" s="38" t="s">
        <v>1118</v>
      </c>
      <c r="L19" s="40"/>
      <c r="M19" s="4"/>
      <c r="N19" s="4"/>
      <c r="O19" s="4"/>
    </row>
    <row r="20" spans="8:15" x14ac:dyDescent="0.25">
      <c r="H20" s="419" t="s">
        <v>1119</v>
      </c>
      <c r="I20" s="258">
        <f>I12+I18+I19</f>
        <v>187.0</v>
      </c>
      <c r="J20" t="s">
        <v>35</v>
      </c>
      <c r="K20" s="38" t="s">
        <v>1120</v>
      </c>
      <c r="L20" s="40"/>
      <c r="M20" s="4"/>
      <c r="N20" s="4"/>
      <c r="O20" s="4"/>
    </row>
    <row r="21" spans="8:15" x14ac:dyDescent="0.25">
      <c r="H21" s="71"/>
      <c r="I21" s="71"/>
      <c r="J21" s="4"/>
      <c r="K21" s="4"/>
      <c r="L21" s="40"/>
      <c r="M21" s="4"/>
      <c r="N21" s="4"/>
      <c r="O21" s="4"/>
    </row>
    <row r="22" spans="8:15" x14ac:dyDescent="0.25">
      <c r="H22" s="71"/>
      <c r="I22" s="71"/>
      <c r="J22" s="4"/>
      <c r="K22" s="4"/>
      <c r="L22" s="40"/>
      <c r="M22" s="4"/>
      <c r="N22" s="4"/>
      <c r="O22" s="4"/>
    </row>
  </sheetData>
  <mergeCells count="2">
    <mergeCell ref="H9:T9"/>
    <mergeCell ref="H10:I10"/>
  </mergeCells>
  <dataValidations count="1">
    <dataValidation type="list" allowBlank="1" showInputMessage="1" showErrorMessage="1" sqref="H10" xr:uid="{00000000-0002-0000-0600-000000000000}">
      <formula1>"Biapoiado,Momento nas duas extremidades,Momento em uma extremidade"</formula1>
      <formula2>0</formula2>
    </dataValidation>
  </dataValidations>
  <pageMargins left="0.51180555555555596" right="0.51180555555555596" top="0.78749999999999998" bottom="0.78749999999999998" header="0.511811023622047" footer="0.511811023622047"/>
  <pageSetup paperSize="9" scale="71"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1"/>
  <sheetViews>
    <sheetView showGridLines="0" view="pageBreakPreview" zoomScaleNormal="100" workbookViewId="0">
      <selection activeCell="B19" sqref="B19"/>
    </sheetView>
  </sheetViews>
  <sheetFormatPr defaultColWidth="8.5703125" defaultRowHeight="15" x14ac:dyDescent="0.25"/>
  <cols>
    <col min="1" max="1" width="21.7109375" customWidth="1"/>
    <col min="2" max="2" width="17.7109375" customWidth="1"/>
    <col min="3" max="3" width="20.28515625" customWidth="1"/>
    <col min="5" max="5" width="14.42578125" customWidth="1"/>
    <col min="6" max="6" width="16.85546875" customWidth="1"/>
    <col min="7" max="7" width="17.85546875" customWidth="1"/>
  </cols>
  <sheetData>
    <row r="1" spans="1:11" x14ac:dyDescent="0.25">
      <c r="A1" s="1" t="s">
        <v>1121</v>
      </c>
      <c r="B1" s="1" t="s">
        <v>1122</v>
      </c>
      <c r="C1" s="1" t="s">
        <v>1123</v>
      </c>
      <c r="D1" s="1" t="s">
        <v>1124</v>
      </c>
      <c r="E1" s="1" t="s">
        <v>1125</v>
      </c>
      <c r="F1" s="1" t="s">
        <v>1126</v>
      </c>
      <c r="G1" s="1" t="s">
        <v>1127</v>
      </c>
      <c r="K1" t="s">
        <v>1128</v>
      </c>
    </row>
    <row r="2" spans="1:11" x14ac:dyDescent="0.25">
      <c r="A2" s="1" t="s">
        <v>1129</v>
      </c>
      <c r="B2" s="1" t="s">
        <v>1130</v>
      </c>
      <c r="C2" s="1" t="s">
        <v>1131</v>
      </c>
      <c r="D2" s="1">
        <v>0.65</v>
      </c>
      <c r="E2" s="1">
        <v>20</v>
      </c>
      <c r="F2">
        <v>20</v>
      </c>
      <c r="G2" s="1">
        <v>25</v>
      </c>
      <c r="K2" t="s">
        <v>1132</v>
      </c>
    </row>
    <row r="3" spans="1:11" x14ac:dyDescent="0.25">
      <c r="A3" s="1" t="s">
        <v>1133</v>
      </c>
      <c r="B3" s="1" t="s">
        <v>1134</v>
      </c>
      <c r="C3" s="1" t="s">
        <v>1135</v>
      </c>
      <c r="D3" s="1">
        <v>0.6</v>
      </c>
      <c r="E3" s="1">
        <v>25</v>
      </c>
      <c r="F3">
        <v>25</v>
      </c>
      <c r="G3" s="1">
        <v>30</v>
      </c>
    </row>
    <row r="4" spans="1:11" x14ac:dyDescent="0.25">
      <c r="A4" s="1" t="s">
        <v>1136</v>
      </c>
      <c r="B4" s="1" t="s">
        <v>1137</v>
      </c>
      <c r="C4" s="1" t="s">
        <v>1138</v>
      </c>
      <c r="D4" s="1">
        <v>0.55000000000000004</v>
      </c>
      <c r="E4" s="1">
        <v>30</v>
      </c>
      <c r="F4">
        <v>35</v>
      </c>
      <c r="G4" s="1">
        <v>40</v>
      </c>
    </row>
    <row r="5" spans="1:11" x14ac:dyDescent="0.25">
      <c r="A5" s="1" t="s">
        <v>1139</v>
      </c>
      <c r="B5" s="1" t="s">
        <v>1140</v>
      </c>
      <c r="C5" s="1" t="s">
        <v>1141</v>
      </c>
      <c r="D5" s="1">
        <v>0.45</v>
      </c>
      <c r="E5" s="1">
        <v>40</v>
      </c>
      <c r="F5">
        <v>45</v>
      </c>
      <c r="G5" s="1">
        <v>50</v>
      </c>
    </row>
    <row r="7" spans="1:11" x14ac:dyDescent="0.25">
      <c r="A7" s="1" t="s">
        <v>1142</v>
      </c>
      <c r="F7" s="1" t="s">
        <v>1126</v>
      </c>
      <c r="G7" s="1" t="s">
        <v>1127</v>
      </c>
      <c r="I7" s="1" t="s">
        <v>1143</v>
      </c>
    </row>
    <row r="8" spans="1:11" x14ac:dyDescent="0.25">
      <c r="A8" s="1" t="s">
        <v>1144</v>
      </c>
      <c r="E8" t="s">
        <v>1144</v>
      </c>
      <c r="F8">
        <v>15</v>
      </c>
      <c r="G8" s="1">
        <v>20</v>
      </c>
      <c r="I8">
        <v>20</v>
      </c>
    </row>
    <row r="9" spans="1:11" x14ac:dyDescent="0.25">
      <c r="A9" s="1" t="s">
        <v>1145</v>
      </c>
      <c r="E9" t="s">
        <v>1144</v>
      </c>
      <c r="F9">
        <v>20</v>
      </c>
      <c r="G9" s="1">
        <v>25</v>
      </c>
      <c r="I9">
        <v>25</v>
      </c>
    </row>
    <row r="10" spans="1:11" x14ac:dyDescent="0.25">
      <c r="E10" t="s">
        <v>1144</v>
      </c>
      <c r="F10">
        <v>30</v>
      </c>
      <c r="G10" s="1">
        <v>35</v>
      </c>
      <c r="I10">
        <v>30</v>
      </c>
    </row>
    <row r="11" spans="1:11" x14ac:dyDescent="0.25">
      <c r="A11" t="str">
        <f>Geometria!L80</f>
        <v>II</v>
      </c>
      <c r="B11" t="s">
        <v>1146</v>
      </c>
      <c r="E11" t="s">
        <v>1144</v>
      </c>
      <c r="F11">
        <v>40</v>
      </c>
      <c r="G11" s="1">
        <v>45</v>
      </c>
      <c r="I11">
        <v>35</v>
      </c>
    </row>
    <row r="12" spans="1:11" x14ac:dyDescent="0.25">
      <c r="A12" t="str">
        <f>Geometria!L90</f>
        <v>Não</v>
      </c>
      <c r="B12" t="s">
        <v>1147</v>
      </c>
      <c r="E12" t="s">
        <v>1145</v>
      </c>
      <c r="F12">
        <v>20</v>
      </c>
      <c r="G12" s="1">
        <v>25</v>
      </c>
      <c r="I12">
        <v>40</v>
      </c>
    </row>
    <row r="13" spans="1:11" x14ac:dyDescent="0.25">
      <c r="E13" t="s">
        <v>1145</v>
      </c>
      <c r="F13">
        <v>25</v>
      </c>
      <c r="G13" s="1">
        <v>30</v>
      </c>
      <c r="I13">
        <v>45</v>
      </c>
    </row>
    <row r="14" spans="1:11" x14ac:dyDescent="0.25">
      <c r="E14" t="s">
        <v>1145</v>
      </c>
      <c r="F14">
        <v>35</v>
      </c>
      <c r="G14" s="1">
        <v>40</v>
      </c>
      <c r="I14">
        <v>50</v>
      </c>
    </row>
    <row r="15" spans="1:11" x14ac:dyDescent="0.25">
      <c r="E15" t="s">
        <v>1145</v>
      </c>
      <c r="F15">
        <v>45</v>
      </c>
      <c r="G15" s="1">
        <v>50</v>
      </c>
      <c r="I15">
        <v>55</v>
      </c>
    </row>
    <row r="16" spans="1:11" x14ac:dyDescent="0.25">
      <c r="I16">
        <v>60</v>
      </c>
    </row>
    <row r="17" spans="1:9" x14ac:dyDescent="0.25">
      <c r="A17" t="s">
        <v>1148</v>
      </c>
      <c r="B17" t="s">
        <v>1149</v>
      </c>
      <c r="I17">
        <v>65</v>
      </c>
    </row>
    <row r="18" spans="1:9" x14ac:dyDescent="0.25">
      <c r="A18">
        <f>VLOOKUP(A11,A2:G5,7,0)</f>
        <v>30.0</v>
      </c>
      <c r="B18">
        <f>VLOOKUP(A11,A2:G5,6,0)</f>
        <v>25.0</v>
      </c>
      <c r="I18">
        <v>70</v>
      </c>
    </row>
    <row r="19" spans="1:9" x14ac:dyDescent="0.25">
      <c r="I19">
        <v>75</v>
      </c>
    </row>
    <row r="20" spans="1:9" x14ac:dyDescent="0.25">
      <c r="A20" t="s">
        <v>1151</v>
      </c>
      <c r="B20" t="s">
        <v>1152</v>
      </c>
      <c r="I20">
        <v>80</v>
      </c>
    </row>
    <row r="21" spans="1:9" x14ac:dyDescent="0.25">
      <c r="A21">
        <f>IF(A12="Sim",(A18-5),A18)</f>
        <v>30.0</v>
      </c>
      <c r="B21">
        <f>IF(A12="Sim",(B18-5),B18)</f>
        <v>25.0</v>
      </c>
      <c r="I21">
        <v>85</v>
      </c>
    </row>
    <row r="22" spans="1:9" x14ac:dyDescent="0.25">
      <c r="I22">
        <v>90</v>
      </c>
    </row>
    <row r="26" spans="1:9" x14ac:dyDescent="0.25">
      <c r="A26" s="420" t="s">
        <v>60</v>
      </c>
      <c r="B26">
        <f>IF(B27&lt;=50,0.8,((0.8-(B27-50)/400)))</f>
        <v>0.8</v>
      </c>
    </row>
    <row r="27" spans="1:9" x14ac:dyDescent="0.25">
      <c r="A27" t="s">
        <v>1153</v>
      </c>
      <c r="B27">
        <f>Geometria!L82</f>
        <v>50.0</v>
      </c>
    </row>
    <row r="28" spans="1:9" x14ac:dyDescent="0.25">
      <c r="A28" s="420" t="s">
        <v>893</v>
      </c>
      <c r="B28">
        <f>IF(B27&lt;=50,D28,E28)</f>
        <v>0.85</v>
      </c>
      <c r="D28">
        <v>0.85</v>
      </c>
      <c r="E28">
        <f>(1-((B27-50)/200))*0.85</f>
        <v>0.85</v>
      </c>
    </row>
    <row r="29" spans="1:9" x14ac:dyDescent="0.25">
      <c r="A29" s="420" t="s">
        <v>60</v>
      </c>
      <c r="B29">
        <f>IF(B27&lt;=40,D29,E29)</f>
        <v>0.9283177667225558</v>
      </c>
      <c r="D29">
        <f>1</f>
        <v>1.0</v>
      </c>
      <c r="E29">
        <f>(40/B27)^(1/3)</f>
        <v>0.9283177667225558</v>
      </c>
    </row>
    <row r="31" spans="1:9" x14ac:dyDescent="0.25">
      <c r="A31" t="s">
        <v>1154</v>
      </c>
      <c r="B31">
        <f>IF(B27&lt;=50,D31,E31)</f>
        <v>0.45</v>
      </c>
      <c r="D31">
        <f>0.45</f>
        <v>0.45</v>
      </c>
      <c r="E31" s="376">
        <v>0.35</v>
      </c>
    </row>
  </sheetData>
  <pageMargins left="0.51180555555555596" right="0.51180555555555596" top="0.78749999999999998" bottom="0.78749999999999998" header="0.511811023622047" footer="0.511811023622047"/>
  <pageSetup paperSize="9" scale="51" orientation="portrait" horizontalDpi="300" verticalDpi="3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9"/>
  <sheetViews>
    <sheetView showGridLines="0" view="pageBreakPreview" zoomScale="85" zoomScaleNormal="85" zoomScalePageLayoutView="85" workbookViewId="0">
      <selection activeCell="M24" sqref="M24"/>
    </sheetView>
  </sheetViews>
  <sheetFormatPr defaultColWidth="8.5703125" defaultRowHeight="15" x14ac:dyDescent="0.25"/>
  <cols>
    <col min="6" max="6" width="11.7109375" customWidth="1"/>
    <col min="13" max="13" width="15.85546875" customWidth="1"/>
    <col min="17" max="17" width="17.28515625" customWidth="1"/>
    <col min="20" max="20" width="11.7109375" customWidth="1"/>
  </cols>
  <sheetData>
    <row r="1" spans="1:24" ht="15.75" x14ac:dyDescent="0.25">
      <c r="A1" s="421"/>
      <c r="B1" s="421" t="s">
        <v>1155</v>
      </c>
      <c r="C1" s="422"/>
      <c r="D1" s="422"/>
      <c r="E1" s="422"/>
      <c r="F1" s="422"/>
      <c r="G1" s="422"/>
      <c r="H1" s="422"/>
      <c r="I1" s="423"/>
      <c r="J1" s="422"/>
      <c r="K1" s="313"/>
      <c r="L1" s="313"/>
      <c r="M1" s="313"/>
      <c r="N1" s="313"/>
      <c r="O1" s="313"/>
      <c r="P1" s="313"/>
      <c r="Q1" s="313"/>
      <c r="R1" s="313"/>
      <c r="S1" s="313"/>
      <c r="T1" s="313"/>
      <c r="U1" s="313"/>
      <c r="V1" s="313"/>
      <c r="W1" s="313"/>
      <c r="X1" s="313"/>
    </row>
    <row r="2" spans="1:24" x14ac:dyDescent="0.25">
      <c r="A2" s="424" t="s">
        <v>1156</v>
      </c>
      <c r="B2" s="425" t="s">
        <v>35</v>
      </c>
      <c r="C2" s="313"/>
      <c r="D2" s="313"/>
      <c r="E2" s="313"/>
      <c r="F2" s="313"/>
      <c r="G2" s="313"/>
      <c r="H2" s="313"/>
      <c r="I2" s="313"/>
      <c r="J2" s="313"/>
      <c r="K2" s="313"/>
      <c r="L2" s="313"/>
      <c r="M2" s="313"/>
      <c r="N2" s="313"/>
      <c r="O2" s="313"/>
      <c r="P2" s="313"/>
      <c r="Q2" s="313"/>
      <c r="R2" s="313"/>
      <c r="S2" s="313"/>
      <c r="T2" s="313"/>
      <c r="U2" s="313"/>
      <c r="V2" s="313"/>
      <c r="W2" s="313"/>
      <c r="X2" s="313"/>
    </row>
    <row r="3" spans="1:24" x14ac:dyDescent="0.25">
      <c r="A3" s="313"/>
      <c r="B3" s="313"/>
      <c r="C3" s="313" t="str">
        <f>Geometria!M18</f>
        <v>1 - Sim</v>
      </c>
      <c r="D3" s="313"/>
      <c r="E3" s="313"/>
      <c r="F3" s="313"/>
      <c r="G3" s="313"/>
      <c r="H3" s="313"/>
      <c r="I3" s="313"/>
      <c r="J3" s="313"/>
      <c r="K3" s="313"/>
      <c r="L3" s="313"/>
      <c r="M3" s="313"/>
      <c r="N3" s="313"/>
      <c r="O3" s="313"/>
      <c r="P3" s="313"/>
      <c r="Q3" s="313"/>
      <c r="R3" s="313"/>
      <c r="S3" s="313"/>
      <c r="T3" s="313"/>
      <c r="U3" s="313"/>
      <c r="V3" s="313"/>
      <c r="W3" s="313"/>
      <c r="X3" s="313"/>
    </row>
    <row r="4" spans="1:24" ht="23.25" customHeight="1" x14ac:dyDescent="0.25">
      <c r="A4" s="426" t="s">
        <v>1157</v>
      </c>
      <c r="B4" s="427"/>
      <c r="C4" s="428"/>
      <c r="D4" s="313"/>
      <c r="E4" s="740" t="s">
        <v>827</v>
      </c>
      <c r="F4" s="740"/>
      <c r="G4" s="740"/>
      <c r="H4" s="740"/>
      <c r="I4" s="740"/>
      <c r="J4" s="740"/>
      <c r="K4" s="311"/>
      <c r="L4" s="741" t="s">
        <v>828</v>
      </c>
      <c r="M4" s="741"/>
      <c r="N4" s="741"/>
      <c r="O4" s="311"/>
      <c r="P4" s="311"/>
      <c r="Q4" s="312" t="s">
        <v>829</v>
      </c>
      <c r="R4" s="312"/>
      <c r="S4" s="312"/>
      <c r="T4" s="312"/>
      <c r="U4" s="312"/>
      <c r="V4" s="312" t="s">
        <v>830</v>
      </c>
      <c r="W4" s="312">
        <f ca="1">MAX(X)-MIN(X)</f>
        <v>144.8495771481574</v>
      </c>
      <c r="X4" s="313"/>
    </row>
    <row r="5" spans="1:24" x14ac:dyDescent="0.25">
      <c r="A5" s="429"/>
      <c r="B5" s="430" t="s">
        <v>1158</v>
      </c>
      <c r="C5" s="430" t="s">
        <v>1159</v>
      </c>
      <c r="D5" s="313"/>
      <c r="E5" s="315" t="s">
        <v>831</v>
      </c>
      <c r="F5" s="316">
        <f ca="1">IF(Geometria!$M$18="1 - Sim",IF(F11=0,0,IF(F9-F10=0,45,DEGREES(1/2*ATAN(-2*F11/(F9-F10))))),0)</f>
        <v>0.0</v>
      </c>
      <c r="G5" s="317" t="s">
        <v>832</v>
      </c>
      <c r="H5" s="318" t="s">
        <v>833</v>
      </c>
      <c r="I5" s="313">
        <f ca="1">MAX(X)-MIN(X)</f>
        <v>144.8495771481574</v>
      </c>
      <c r="J5" s="319" t="str">
        <f>$B$2</f>
        <v>cm</v>
      </c>
      <c r="K5" s="320" t="s">
        <v>834</v>
      </c>
      <c r="L5" s="321" t="s">
        <v>60</v>
      </c>
      <c r="M5" s="322">
        <f ca="1">I6</f>
        <v>90.0</v>
      </c>
      <c r="N5" s="323" t="str">
        <f>B2</f>
        <v>cm</v>
      </c>
      <c r="O5" s="320"/>
      <c r="P5" s="320"/>
      <c r="Q5" s="324">
        <f t="array" aca="1" ref="Q5" ca="1">SUM((OFFSET(X,1,0)-X)*(Y+OFFSET(Y,1,0))/24*((OFFSET(Y,1,0)+Y)^2+(OFFSET(Y,1,0)-Y)^2))</f>
        <v>10790394.714382514</v>
      </c>
      <c r="R5" s="312" t="str">
        <f>$B$2&amp;"^4"</f>
        <v>cm^4</v>
      </c>
      <c r="S5" s="312" t="s">
        <v>835</v>
      </c>
      <c r="T5" s="325">
        <f ca="1">IF(Geometria!$M$18="1 - Sim",+(F9+F10)/2-SQRT((F9-F10)^2/4+F11^2),0)</f>
        <v>1427453.8534103795</v>
      </c>
      <c r="U5" s="312" t="str">
        <f>$B$2&amp;"^4"</f>
        <v>cm^4</v>
      </c>
      <c r="V5" s="312" t="s">
        <v>836</v>
      </c>
      <c r="W5" s="312">
        <f ca="1">MAX(Y)-MIN(Y)</f>
        <v>90.0</v>
      </c>
      <c r="X5" s="313"/>
    </row>
    <row r="6" spans="1:24" x14ac:dyDescent="0.25">
      <c r="A6" s="431">
        <v>1</v>
      </c>
      <c r="B6" s="432">
        <v>0</v>
      </c>
      <c r="C6" s="432">
        <v>0</v>
      </c>
      <c r="E6" s="318" t="s">
        <v>837</v>
      </c>
      <c r="F6" s="326">
        <f t="array" aca="1" ref="F6" ca="1">SUM((Y-OFFSET(Y,1,0))*(X+OFFSET(X,1,0)))/2</f>
        <v>3105.1953876719</v>
      </c>
      <c r="G6" s="317" t="str">
        <f>$B$2 &amp; "^2"</f>
        <v>cm^2</v>
      </c>
      <c r="H6" s="318" t="s">
        <v>838</v>
      </c>
      <c r="I6" s="313">
        <f ca="1">MAX(Y)-MIN(Y)</f>
        <v>90.0</v>
      </c>
      <c r="J6" s="319" t="str">
        <f>$B$2</f>
        <v>cm</v>
      </c>
      <c r="K6" s="320" t="s">
        <v>839</v>
      </c>
      <c r="L6" s="327" t="s">
        <v>298</v>
      </c>
      <c r="M6" s="328">
        <f ca="1">ABS(F6)</f>
        <v>3105.1953876719</v>
      </c>
      <c r="N6" s="329" t="str">
        <f>CONCATENATE(B2,"²")</f>
        <v>cm²</v>
      </c>
      <c r="O6" s="320"/>
      <c r="P6" s="320"/>
      <c r="Q6" s="324">
        <f t="array" aca="1" ref="Q6" ca="1">-SUM((OFFSET(Y,1,0)-Y)*(X+OFFSET(X,1,0))/24*((OFFSET(X,1,0)+X)^2+(OFFSET(X,1,0)-X)^2))</f>
        <v>1427453.8534103795</v>
      </c>
      <c r="R6" s="312" t="str">
        <f>B2&amp;"^4"</f>
        <v>cm^4</v>
      </c>
      <c r="S6" s="312" t="s">
        <v>840</v>
      </c>
      <c r="T6" s="325">
        <f ca="1">IF(Geometria!$M$18="1 - Sim",+(F9+F10)/2+SQRT((F9-F10)^2/4+F11^2),0)</f>
        <v>2598580.8739038864</v>
      </c>
      <c r="U6" s="312" t="str">
        <f>$B$2&amp;"^4"</f>
        <v>cm^4</v>
      </c>
      <c r="V6" s="312" t="s">
        <v>841</v>
      </c>
      <c r="W6" s="312"/>
      <c r="X6" s="313"/>
    </row>
    <row r="7" spans="1:24" x14ac:dyDescent="0.25">
      <c r="A7" s="431">
        <f t="shared" ref="A7:A40" si="0">1+A6</f>
        <v>2.0</v>
      </c>
      <c r="B7" s="433">
        <f>IF($C$3="1 - Sim",Seções!B29,0)</f>
        <v>0.0</v>
      </c>
      <c r="C7" s="433">
        <f>IF($C$3="1 - Sim",Seções!C29,0)</f>
        <v>0.0</v>
      </c>
      <c r="D7" s="313"/>
      <c r="E7" s="318" t="s">
        <v>842</v>
      </c>
      <c r="F7" s="316">
        <f t="array" aca="1" ref="F7" ca="1">IF(Geometria!$M$18="1 - Sim",SUM((Y-OFFSET(Y,1,0))/8*((X+OFFSET(X,1,0))^2+(OFFSET(X,1,0)-X)^2/3))/$F$6,0)</f>
        <v>0.0</v>
      </c>
      <c r="G7" s="317" t="str">
        <f>B2</f>
        <v>cm</v>
      </c>
      <c r="H7" s="318" t="s">
        <v>843</v>
      </c>
      <c r="I7" s="330">
        <f ca="1">IF(Geometria!$M$18="1 - Sim",F9/ABS(MAX(Y)-$F$8),0)</f>
        <v>67255.28914667235</v>
      </c>
      <c r="J7" s="317" t="str">
        <f>$B$2&amp;"^3"</f>
        <v>cm^3</v>
      </c>
      <c r="K7" s="320" t="s">
        <v>844</v>
      </c>
      <c r="L7" s="331" t="s">
        <v>845</v>
      </c>
      <c r="M7" s="332">
        <f ca="1">IF(Geometria!$M$18="1 - Sim",F8,0)</f>
        <v>51.362431016587806</v>
      </c>
      <c r="N7" s="333" t="str">
        <f>B2</f>
        <v>cm</v>
      </c>
      <c r="O7" s="320"/>
      <c r="P7" s="320"/>
      <c r="Q7" s="324">
        <f t="array" aca="1" ref="Q7" ca="1">SUM(((OFFSET(Y,1,0)-Y)^2*(OFFSET(X,1,0)+X)*(OFFSET(X,1,0)^2+X^2)/8+(OFFSET(Y,1,0)-Y)*(OFFSET(X,1,0)*Y-X*OFFSET(Y,1,0))*(OFFSET(X,1,0)^2+OFFSET(X,1,0)*X+X^2)/3+(OFFSET(X,1,0)*Y-X*OFFSET(Y,1,0))^2*(OFFSET(X,1,0)+X)/4)*IF(OFFSET(X,1,0)=X,0,1/(OFFSET(X,1,0)-X)))</f>
        <v>0.0</v>
      </c>
      <c r="R7" s="312" t="str">
        <f>B2&amp;"^4"</f>
        <v>cm^4</v>
      </c>
      <c r="S7" s="312" t="s">
        <v>846</v>
      </c>
      <c r="T7" s="312"/>
      <c r="U7" s="312"/>
      <c r="V7" s="312" t="s">
        <v>847</v>
      </c>
      <c r="W7" s="312"/>
      <c r="X7" s="313"/>
    </row>
    <row r="8" spans="1:24" x14ac:dyDescent="0.25">
      <c r="A8" s="431">
        <f t="shared" si="0"/>
        <v>3.0</v>
      </c>
      <c r="B8" s="433">
        <f>IF($C$3="1 - Sim",Seções!B30,0)</f>
        <v>-15.0</v>
      </c>
      <c r="C8" s="433">
        <f>IF($C$3="1 - Sim",Seções!C30,0)</f>
        <v>0.0</v>
      </c>
      <c r="D8" s="313"/>
      <c r="E8" s="318" t="s">
        <v>848</v>
      </c>
      <c r="F8" s="316">
        <f t="array" aca="1" ref="F8" ca="1">IF(Geometria!$M$18="1 - Sim",SUM((OFFSET(X,1,0)-X)/8*((Y+OFFSET(Y,1,0))^2+(OFFSET(Y,1,0)-Y)^2/3))/$F$6,0)</f>
        <v>51.362431016587806</v>
      </c>
      <c r="G8" s="317" t="str">
        <f>B2</f>
        <v>cm</v>
      </c>
      <c r="H8" s="318" t="s">
        <v>849</v>
      </c>
      <c r="I8" s="330">
        <f ca="1">IF(Geometria!$M$18="1 - Sim",F9/ABS(MIN(Y)-$F$8),0)</f>
        <v>50593.02728612396</v>
      </c>
      <c r="J8" s="317" t="str">
        <f>$B$2&amp;"^3"</f>
        <v>cm^3</v>
      </c>
      <c r="K8" s="311"/>
      <c r="L8" s="334" t="s">
        <v>850</v>
      </c>
      <c r="M8" s="332">
        <f ca="1">IF(Geometria!$M$18="1 - Sim",I6-M7,0)</f>
        <v>38.637568983412194</v>
      </c>
      <c r="N8" s="333" t="str">
        <f>B2</f>
        <v>cm</v>
      </c>
      <c r="O8" s="311"/>
      <c r="P8" s="311"/>
      <c r="Q8" s="312"/>
      <c r="R8" s="312"/>
      <c r="S8" s="335" t="s">
        <v>8</v>
      </c>
      <c r="T8" s="335" t="s">
        <v>499</v>
      </c>
      <c r="U8" s="312"/>
      <c r="V8" s="335" t="s">
        <v>8</v>
      </c>
      <c r="W8" s="335" t="s">
        <v>499</v>
      </c>
      <c r="X8" s="313"/>
    </row>
    <row r="9" spans="1:24" x14ac:dyDescent="0.25">
      <c r="A9" s="431">
        <f t="shared" si="0"/>
        <v>4.0</v>
      </c>
      <c r="B9" s="433">
        <f>IF($C$3="1 - Sim",Seções!B31,0)</f>
        <v>-15.0</v>
      </c>
      <c r="C9" s="433">
        <f>IF($C$3="1 - Sim",Seções!C31,0)</f>
        <v>40.0</v>
      </c>
      <c r="D9" s="313"/>
      <c r="E9" s="318" t="s">
        <v>851</v>
      </c>
      <c r="F9" s="330">
        <f ca="1">IF(Geometria!$M$18="1 - Sim",Q5-F6*F8^2,0)</f>
        <v>2598580.8739038864</v>
      </c>
      <c r="G9" s="317" t="str">
        <f>$B$2&amp;"^4"</f>
        <v>cm^4</v>
      </c>
      <c r="H9" s="318" t="s">
        <v>852</v>
      </c>
      <c r="I9" s="330">
        <f ca="1">IF(Geometria!$M$18="1 - Sim",F10/ABS(MIN(X)-F7),0)</f>
        <v>19709.465246837797</v>
      </c>
      <c r="J9" s="317" t="str">
        <f>$B$2&amp;"^3"</f>
        <v>cm^3</v>
      </c>
      <c r="K9" s="311"/>
      <c r="L9" s="334" t="s">
        <v>853</v>
      </c>
      <c r="M9" s="332">
        <f ca="1">IF(Geometria!$M$18="1 - Sim",ABS(F9),0)</f>
        <v>2598580.8739038864</v>
      </c>
      <c r="N9" s="336" t="str">
        <f>CONCATENATE(B2,"4")</f>
        <v>cm4</v>
      </c>
      <c r="O9" s="311"/>
      <c r="P9" s="311"/>
      <c r="Q9" s="312"/>
      <c r="R9" s="312"/>
      <c r="S9" s="337">
        <f ca="1">MIN(X)</f>
        <v>-72.4247885740787</v>
      </c>
      <c r="T9" s="338">
        <f ca="1">IF(Geometria!$M$18="1 - Sim",(S9-$F$7)*TAN(RADIANS($F$5))+$F$8,0)</f>
        <v>51.362431016587806</v>
      </c>
      <c r="U9" s="312"/>
      <c r="V9" s="337">
        <f ca="1">IF(W4&gt;=W5,MIN(X),(MAX(X)+MIN(X)-W5)/2)</f>
        <v>-72.4247885740787</v>
      </c>
      <c r="W9" s="337">
        <f ca="1">IF(W4&gt;=W5,(MAX(Y)+MIN(Y)-W4)/2,MIN(Y))</f>
        <v>-27.424788574078704</v>
      </c>
      <c r="X9" s="313"/>
    </row>
    <row r="10" spans="1:24" x14ac:dyDescent="0.25">
      <c r="A10" s="431">
        <f t="shared" si="0"/>
        <v>5.0</v>
      </c>
      <c r="B10" s="433">
        <f>IF($C$3="1 - Sim",Seções!B32,0)</f>
        <v>-15.0</v>
      </c>
      <c r="C10" s="433">
        <f>IF($C$3="1 - Sim",Seções!C32,0)</f>
        <v>45.0</v>
      </c>
      <c r="D10" s="313"/>
      <c r="E10" s="318" t="s">
        <v>854</v>
      </c>
      <c r="F10" s="330">
        <f ca="1">IF(Geometria!$M$18="1 - Sim",Q6-F6*F7^2,0)</f>
        <v>1427453.8534103795</v>
      </c>
      <c r="G10" s="317" t="str">
        <f>$B$2&amp;"^4"</f>
        <v>cm^4</v>
      </c>
      <c r="H10" s="318" t="s">
        <v>855</v>
      </c>
      <c r="I10" s="330">
        <f ca="1">IF(Geometria!$M$18="1 - Sim",F10/ABS(MAX(X)-F7),0)</f>
        <v>19709.465246837797</v>
      </c>
      <c r="J10" s="317" t="str">
        <f>$B$2&amp;"^3"</f>
        <v>cm^3</v>
      </c>
      <c r="K10" s="311"/>
      <c r="L10" s="334" t="s">
        <v>856</v>
      </c>
      <c r="M10" s="332">
        <f ca="1">IF(Geometria!$M$18="1 - Sim",ABS(I8),0)</f>
        <v>50593.02728612396</v>
      </c>
      <c r="N10" s="336" t="str">
        <f>CONCATENATE(B2,"³")</f>
        <v>cm³</v>
      </c>
      <c r="O10" s="311"/>
      <c r="P10" s="311"/>
      <c r="Q10" s="312"/>
      <c r="R10" s="312"/>
      <c r="S10" s="337">
        <f ca="1">MAX(X)</f>
        <v>72.4247885740787</v>
      </c>
      <c r="T10" s="338">
        <f ca="1">IF(Geometria!$M$18="1 - Sim",(S10-$F$7)*TAN(RADIANS($F$5))+$F$8,0)</f>
        <v>51.362431016587806</v>
      </c>
      <c r="U10" s="312"/>
      <c r="V10" s="337">
        <f ca="1">IF(W4&gt;=W5,MAX(X),(MAX(X)+MIN(X)+W5)/2)</f>
        <v>72.4247885740787</v>
      </c>
      <c r="W10" s="337">
        <f ca="1">IF(W4&gt;=W5,(MAX(Y)+MIN(Y)+W4)/2,MAX(Y))</f>
        <v>117.4247885740787</v>
      </c>
      <c r="X10" s="313"/>
    </row>
    <row r="11" spans="1:24" x14ac:dyDescent="0.25">
      <c r="A11" s="431">
        <f t="shared" si="0"/>
        <v>6.0</v>
      </c>
      <c r="B11" s="433">
        <f>IF($C$3="1 - Sim",Seções!B33,0)</f>
        <v>-15.0</v>
      </c>
      <c r="C11" s="433">
        <f>IF($C$3="1 - Sim",Seções!C33,0)</f>
        <v>60.0</v>
      </c>
      <c r="D11" s="313"/>
      <c r="E11" s="339" t="s">
        <v>857</v>
      </c>
      <c r="F11" s="340">
        <f ca="1">IF(Geometria!$M$18="1 - Sim",+Q7-F6*F7*F8,0)</f>
        <v>0.0</v>
      </c>
      <c r="G11" s="341" t="str">
        <f>$B$2&amp;"^4"</f>
        <v>cm^4</v>
      </c>
      <c r="H11" s="342"/>
      <c r="I11" s="343"/>
      <c r="J11" s="341"/>
      <c r="K11" s="311"/>
      <c r="L11" s="344" t="s">
        <v>858</v>
      </c>
      <c r="M11" s="345">
        <f ca="1">IF(Geometria!$M$18="1 - Sim",ABS(I7),0)</f>
        <v>67255.28914667235</v>
      </c>
      <c r="N11" s="346" t="str">
        <f>CONCATENATE(B2,"³")</f>
        <v>cm³</v>
      </c>
      <c r="O11" s="311"/>
      <c r="P11" s="311"/>
      <c r="Q11" s="311"/>
      <c r="R11" s="311"/>
      <c r="S11" s="347"/>
      <c r="T11" s="347"/>
      <c r="U11" s="348"/>
      <c r="V11" s="348"/>
      <c r="W11" s="348"/>
      <c r="X11" s="313"/>
    </row>
    <row r="12" spans="1:24" x14ac:dyDescent="0.25">
      <c r="A12" s="431">
        <f t="shared" si="0"/>
        <v>7.0</v>
      </c>
      <c r="B12" s="433">
        <f>IF($C$3="1 - Sim",Seções!B34,0)</f>
        <v>-15.0</v>
      </c>
      <c r="C12" s="433">
        <f>IF($C$3="1 - Sim",Seções!C34,0)</f>
        <v>60.0</v>
      </c>
      <c r="D12" s="313"/>
      <c r="E12" s="313"/>
      <c r="F12" s="313"/>
      <c r="G12" s="313"/>
      <c r="H12" s="313"/>
      <c r="I12" s="313"/>
      <c r="J12" s="313"/>
      <c r="K12" s="311"/>
      <c r="L12" s="311"/>
      <c r="M12" s="311"/>
      <c r="N12" s="311"/>
      <c r="O12" s="311"/>
      <c r="P12" s="311"/>
      <c r="Q12" s="311"/>
      <c r="R12" s="311"/>
      <c r="S12" s="347">
        <f ca="1">IF(Geometria!$M$18="1 - Sim",(T12-$F$8)*TAN(RADIANS(-$F$5))+$F$7,0)</f>
        <v>0.0</v>
      </c>
      <c r="T12" s="347">
        <f ca="1">MIN(Y)</f>
        <v>0.0</v>
      </c>
      <c r="U12" s="349"/>
      <c r="V12" s="311"/>
      <c r="W12" s="350"/>
      <c r="X12" s="313"/>
    </row>
    <row r="13" spans="1:24" x14ac:dyDescent="0.25">
      <c r="A13" s="431">
        <f t="shared" si="0"/>
        <v>8.0</v>
      </c>
      <c r="B13" s="433">
        <f>IF($C$3="1 - Sim",Seções!B35,0)</f>
        <v>-11.618950038622252</v>
      </c>
      <c r="C13" s="433">
        <f>IF($C$3="1 - Sim",Seções!C35,0)</f>
        <v>60.0</v>
      </c>
      <c r="D13" s="313"/>
      <c r="E13" s="739" t="s">
        <v>859</v>
      </c>
      <c r="F13" s="739"/>
      <c r="G13" s="739"/>
      <c r="H13" s="739"/>
      <c r="I13" s="739"/>
      <c r="J13" s="739"/>
      <c r="K13" s="311"/>
      <c r="L13" s="311"/>
      <c r="M13" s="311"/>
      <c r="N13" s="311"/>
      <c r="O13" s="311"/>
      <c r="P13" s="311"/>
      <c r="Q13" s="351"/>
      <c r="R13" s="311"/>
      <c r="S13" s="347">
        <f ca="1">IF(Geometria!$M$18="1 - Sim",(T13-$F$8)*TAN(RADIANS(-$F$5))+$F$7,0)</f>
        <v>0.0</v>
      </c>
      <c r="T13" s="347">
        <f ca="1">MAX(Y)</f>
        <v>90.0</v>
      </c>
      <c r="U13" s="349"/>
      <c r="V13" s="311"/>
      <c r="W13" s="350"/>
      <c r="X13" s="313"/>
    </row>
    <row r="14" spans="1:24" x14ac:dyDescent="0.25">
      <c r="A14" s="431">
        <f t="shared" si="0"/>
        <v>9.0</v>
      </c>
      <c r="B14" s="433">
        <f>IF($C$3="1 - Sim",Seções!B36,0)</f>
        <v>-11.618950038622252</v>
      </c>
      <c r="C14" s="433">
        <f>IF($C$3="1 - Sim",Seções!C36,0)</f>
        <v>85.0</v>
      </c>
      <c r="D14" s="313"/>
      <c r="E14" s="315" t="s">
        <v>831</v>
      </c>
      <c r="F14" s="316">
        <f ca="1">IF(Geometria!$M$18="1 - Sim",F5,0)</f>
        <v>0.0</v>
      </c>
      <c r="G14" s="317" t="s">
        <v>860</v>
      </c>
      <c r="H14" s="318" t="s">
        <v>861</v>
      </c>
      <c r="I14" s="330">
        <f t="array" aca="1" ref="I14" ca="1">IF(Geometria!$M$18="1 - Sim",ABS(F15/MAX(SQRT((X-$F$7)^2+(Y-$F$8)^2)*SIN(ATAN2(X-$F$7,Y-$F$8)-RADIANS($F$5)))),0)</f>
        <v>67255.28914667234</v>
      </c>
      <c r="J14" s="317" t="str">
        <f>$B$2&amp;"^3"</f>
        <v>cm^3</v>
      </c>
      <c r="K14" s="313"/>
      <c r="L14" s="313"/>
      <c r="M14" s="313"/>
      <c r="N14" s="313"/>
      <c r="O14" s="313"/>
      <c r="P14" s="313"/>
      <c r="Q14" s="352"/>
      <c r="R14" s="353"/>
      <c r="S14" s="316"/>
      <c r="T14" s="316"/>
      <c r="U14" s="313"/>
      <c r="V14" s="313"/>
      <c r="W14" s="354"/>
      <c r="X14" s="313"/>
    </row>
    <row r="15" spans="1:24" x14ac:dyDescent="0.25">
      <c r="A15" s="431">
        <f t="shared" si="0"/>
        <v>10.0</v>
      </c>
      <c r="B15" s="433">
        <f>IF($C$3="1 - Sim",Seções!B37,0)</f>
        <v>-72.4247885740787</v>
      </c>
      <c r="C15" s="433">
        <f>IF($C$3="1 - Sim",Seções!C37,0)</f>
        <v>85.0</v>
      </c>
      <c r="D15" s="313"/>
      <c r="E15" s="318" t="s">
        <v>862</v>
      </c>
      <c r="F15" s="330">
        <f ca="1">IF(Geometria!$M$18="1 - Sim",F9*COS(RADIANS(F14))^2+F10*SIN(RADIANS(F14))^2-F11*SIN(2*RADIANS(F14)),0)</f>
        <v>2598580.8739038864</v>
      </c>
      <c r="G15" s="317" t="str">
        <f>$B$2&amp;"^4"</f>
        <v>cm^4</v>
      </c>
      <c r="H15" s="318" t="s">
        <v>863</v>
      </c>
      <c r="I15" s="330">
        <f t="array" aca="1" ref="I15" ca="1">IF(Geometria!$M$18="1 - Sim",ABS(F15/MIN(SQRT((X-$F$7)^2+(Y-$F$8)^2)*SIN(ATAN2(X-$F$7,Y-$F$8)-RADIANS($F$5)))),0)</f>
        <v>50593.02728612396</v>
      </c>
      <c r="J15" s="317" t="str">
        <f>$B$2&amp;"^3"</f>
        <v>cm^3</v>
      </c>
      <c r="K15" s="313"/>
      <c r="L15" s="313"/>
      <c r="M15" s="313"/>
      <c r="N15" s="313"/>
      <c r="O15" s="313"/>
      <c r="P15" s="313"/>
      <c r="Q15" s="355"/>
      <c r="R15" s="356"/>
      <c r="S15" s="313"/>
      <c r="T15" s="313"/>
      <c r="U15" s="356"/>
      <c r="V15" s="313"/>
      <c r="W15" s="313"/>
      <c r="X15" s="313"/>
    </row>
    <row r="16" spans="1:24" x14ac:dyDescent="0.25">
      <c r="A16" s="431">
        <f t="shared" si="0"/>
        <v>11.0</v>
      </c>
      <c r="B16" s="433">
        <f>IF($C$3="1 - Sim",Seções!B38,0)</f>
        <v>-72.4247885740787</v>
      </c>
      <c r="C16" s="433">
        <f>IF($C$3="1 - Sim",Seções!C38,0)</f>
        <v>90.0</v>
      </c>
      <c r="D16" s="313"/>
      <c r="E16" s="318" t="s">
        <v>864</v>
      </c>
      <c r="F16" s="330">
        <f ca="1">IF(Geometria!$M$18="1 - Sim",F10*COS(RADIANS(F14))^2+F9*SIN(RADIANS(F14))^2+F11*SIN(2*RADIANS(F14)),0)</f>
        <v>1427453.8534103795</v>
      </c>
      <c r="G16" s="317" t="str">
        <f>$B$2&amp;"^4"</f>
        <v>cm^4</v>
      </c>
      <c r="H16" s="318" t="s">
        <v>865</v>
      </c>
      <c r="I16" s="330">
        <f t="array" aca="1" ref="I16" ca="1">IF(Geometria!$M$18="1 - Sim",ABS($F$16/MIN(SQRT((X-$F$7)^2+(Y-$F$8)^2)*COS(ATAN2(X-$F$7,Y-$F$8)-RADIANS($F$5)))),0)</f>
        <v>19709.465246837794</v>
      </c>
      <c r="J16" s="317" t="str">
        <f>$B$2&amp;"^3"</f>
        <v>cm^3</v>
      </c>
      <c r="K16" s="313"/>
      <c r="L16" s="313"/>
      <c r="M16" s="313"/>
      <c r="N16" s="313"/>
      <c r="O16" s="313"/>
      <c r="P16" s="313"/>
      <c r="Q16" s="355"/>
      <c r="R16" s="356"/>
      <c r="S16" s="313"/>
      <c r="T16" s="313"/>
      <c r="U16" s="356"/>
      <c r="V16" s="313"/>
      <c r="W16" s="313"/>
      <c r="X16" s="313"/>
    </row>
    <row r="17" spans="1:24" x14ac:dyDescent="0.25">
      <c r="A17" s="431">
        <f t="shared" si="0"/>
        <v>12.0</v>
      </c>
      <c r="B17" s="433">
        <f>IF($C$3="1 - Sim",Seções!B39,0)</f>
        <v>72.4247885740787</v>
      </c>
      <c r="C17" s="433">
        <f>IF($C$3="1 - Sim",Seções!C39,0)</f>
        <v>90.0</v>
      </c>
      <c r="D17" s="313"/>
      <c r="E17" s="318" t="s">
        <v>866</v>
      </c>
      <c r="F17" s="330">
        <f ca="1">IF(Geometria!$M$18="1 - Sim",+(F9-F10)/2*SIN(RADIANS(F14)*2)+F11*COS(2*RADIANS(F14)),0)</f>
        <v>0.0</v>
      </c>
      <c r="G17" s="317" t="str">
        <f>$B$2&amp;"^4"</f>
        <v>cm^4</v>
      </c>
      <c r="H17" s="318" t="s">
        <v>867</v>
      </c>
      <c r="I17" s="330">
        <f t="array" aca="1" ref="I17" ca="1">IF(Geometria!$M$18="1 - Sim",ABS($F$16/MAX(SQRT((X-$F$7)^2+(Y-$F$8)^2)*COS(ATAN2(X-$F$7,Y-$F$8)-RADIANS($F$5)))),0)</f>
        <v>19709.465246837797</v>
      </c>
      <c r="J17" s="317" t="str">
        <f>$B$2&amp;"^3"</f>
        <v>cm^3</v>
      </c>
      <c r="K17" s="313"/>
      <c r="L17" s="313"/>
      <c r="M17" s="313"/>
      <c r="N17" s="313"/>
      <c r="O17" s="313"/>
      <c r="P17" s="313"/>
      <c r="Q17" s="355"/>
      <c r="R17" s="356"/>
      <c r="S17" s="357"/>
      <c r="T17" s="313"/>
      <c r="U17" s="313"/>
      <c r="V17" s="313"/>
      <c r="W17" s="313"/>
      <c r="X17" s="313"/>
    </row>
    <row r="18" spans="1:24" x14ac:dyDescent="0.25">
      <c r="A18" s="431">
        <f t="shared" si="0"/>
        <v>13.0</v>
      </c>
      <c r="B18" s="433">
        <f>IF($C$3="1 - Sim",Seções!B40,0)</f>
        <v>72.4247885740787</v>
      </c>
      <c r="C18" s="433">
        <f>IF($C$3="1 - Sim",Seções!C40,0)</f>
        <v>85.0</v>
      </c>
      <c r="D18" s="313"/>
      <c r="E18" s="339" t="s">
        <v>868</v>
      </c>
      <c r="F18" s="340">
        <f ca="1">IF(Geometria!$M$18="1 - Sim",+F15+F16,0)</f>
        <v>4026034.727314266</v>
      </c>
      <c r="G18" s="341" t="str">
        <f>$B$2&amp;"^4"</f>
        <v>cm^4</v>
      </c>
      <c r="H18" s="342"/>
      <c r="I18" s="358"/>
      <c r="J18" s="341"/>
      <c r="K18" s="313"/>
      <c r="L18" s="313"/>
      <c r="M18" s="313"/>
      <c r="N18" s="313"/>
      <c r="O18" s="313"/>
      <c r="P18" s="313"/>
      <c r="Q18" s="313"/>
      <c r="R18" s="313"/>
      <c r="S18" s="313"/>
      <c r="T18" s="357"/>
      <c r="U18" s="357"/>
      <c r="V18" s="313"/>
      <c r="W18" s="313"/>
      <c r="X18" s="313"/>
    </row>
    <row r="19" spans="1:24" x14ac:dyDescent="0.25">
      <c r="A19" s="431">
        <f t="shared" si="0"/>
        <v>14.0</v>
      </c>
      <c r="B19" s="433">
        <f>IF($C$3="1 - Sim",Seções!B41,0)</f>
        <v>11.618950038622252</v>
      </c>
      <c r="C19" s="433">
        <f>IF($C$3="1 - Sim",Seções!C41,0)</f>
        <v>85.0</v>
      </c>
      <c r="D19" s="326"/>
      <c r="E19" s="313"/>
      <c r="F19" s="313"/>
      <c r="G19" s="313"/>
      <c r="H19" s="313"/>
      <c r="I19" s="313"/>
      <c r="J19" s="313"/>
      <c r="K19" s="434"/>
      <c r="L19" s="313"/>
      <c r="M19" s="434"/>
      <c r="N19" s="434"/>
      <c r="O19" s="313"/>
      <c r="P19" s="313"/>
      <c r="Q19" s="313"/>
      <c r="R19" s="313"/>
      <c r="S19" s="313"/>
      <c r="T19" s="326"/>
      <c r="U19" s="316"/>
      <c r="V19" s="326"/>
      <c r="W19" s="313"/>
      <c r="X19" s="313"/>
    </row>
    <row r="20" spans="1:24" x14ac:dyDescent="0.25">
      <c r="A20" s="431">
        <f t="shared" si="0"/>
        <v>15.0</v>
      </c>
      <c r="B20" s="433">
        <f>IF($C$3="1 - Sim",Seções!B42,0)</f>
        <v>11.618950038622252</v>
      </c>
      <c r="C20" s="433">
        <f>IF($C$3="1 - Sim",Seções!C42,0)</f>
        <v>60.0</v>
      </c>
      <c r="D20" s="326"/>
      <c r="E20" s="313"/>
      <c r="F20" s="313"/>
      <c r="G20" s="313"/>
      <c r="H20" s="313"/>
      <c r="I20" s="313"/>
      <c r="J20" s="313"/>
      <c r="K20" s="434"/>
      <c r="L20" s="313"/>
      <c r="M20" s="434"/>
      <c r="N20" s="434"/>
      <c r="O20" s="313"/>
      <c r="P20" s="313"/>
      <c r="Q20" s="313"/>
      <c r="R20" s="313"/>
      <c r="S20" s="313"/>
      <c r="T20" s="326"/>
      <c r="U20" s="316"/>
      <c r="V20" s="326"/>
      <c r="W20" s="313"/>
      <c r="X20" s="316"/>
    </row>
    <row r="21" spans="1:24" x14ac:dyDescent="0.25">
      <c r="A21" s="431">
        <f t="shared" si="0"/>
        <v>16.0</v>
      </c>
      <c r="B21" s="433">
        <f>IF($C$3="1 - Sim",Seções!B43,0)</f>
        <v>15.0</v>
      </c>
      <c r="C21" s="433">
        <f>IF($C$3="1 - Sim",Seções!C43,0)</f>
        <v>60.0</v>
      </c>
      <c r="D21" s="326"/>
      <c r="E21" s="313"/>
      <c r="F21" s="313"/>
      <c r="G21" s="313"/>
      <c r="H21" s="313"/>
      <c r="I21" s="313"/>
      <c r="J21" s="313"/>
      <c r="K21" s="434"/>
      <c r="L21" s="313"/>
      <c r="M21" s="434"/>
      <c r="N21" s="434"/>
      <c r="O21" s="313"/>
      <c r="P21" s="313"/>
      <c r="Q21" s="313"/>
      <c r="R21" s="313"/>
      <c r="S21" s="313"/>
      <c r="T21" s="434"/>
      <c r="U21" s="434"/>
      <c r="V21" s="326"/>
      <c r="W21" s="313"/>
      <c r="X21" s="316"/>
    </row>
    <row r="22" spans="1:24" x14ac:dyDescent="0.25">
      <c r="A22" s="431">
        <f t="shared" si="0"/>
        <v>17.0</v>
      </c>
      <c r="B22" s="433">
        <f>IF($C$3="1 - Sim",Seções!B44,0)</f>
        <v>15.0</v>
      </c>
      <c r="C22" s="433">
        <f>IF($C$3="1 - Sim",Seções!C44,0)</f>
        <v>60.0</v>
      </c>
      <c r="D22" s="326"/>
      <c r="E22" s="313"/>
      <c r="F22" s="313"/>
      <c r="G22" s="313"/>
      <c r="H22" s="313"/>
      <c r="I22" s="313"/>
      <c r="J22" s="313"/>
      <c r="K22" s="434"/>
      <c r="L22" s="313"/>
      <c r="M22" s="434"/>
      <c r="N22" s="434"/>
      <c r="O22" s="313"/>
      <c r="P22" s="313"/>
      <c r="Q22" s="313"/>
      <c r="R22" s="313"/>
      <c r="S22" s="313"/>
      <c r="T22" s="434"/>
      <c r="U22" s="434"/>
      <c r="V22" s="326"/>
      <c r="W22" s="313"/>
      <c r="X22" s="316"/>
    </row>
    <row r="23" spans="1:24" x14ac:dyDescent="0.25">
      <c r="A23" s="431">
        <f t="shared" si="0"/>
        <v>18.0</v>
      </c>
      <c r="B23" s="433">
        <f>IF($C$3="1 - Sim",Seções!B45,0)</f>
        <v>15.0</v>
      </c>
      <c r="C23" s="433">
        <f>IF($C$3="1 - Sim",Seções!C45,0)</f>
        <v>45.0</v>
      </c>
      <c r="D23" s="316"/>
      <c r="E23" s="313"/>
      <c r="F23" s="313"/>
      <c r="G23" s="313"/>
      <c r="H23" s="313"/>
      <c r="I23" s="313"/>
      <c r="J23" s="313"/>
      <c r="K23" s="313"/>
      <c r="L23" s="313"/>
      <c r="M23" s="313"/>
      <c r="N23" s="313"/>
      <c r="O23" s="313"/>
      <c r="P23" s="313"/>
      <c r="Q23" s="313"/>
      <c r="R23" s="313"/>
      <c r="S23" s="313"/>
      <c r="T23" s="313"/>
      <c r="U23" s="434"/>
      <c r="V23" s="326"/>
      <c r="W23" s="313"/>
      <c r="X23" s="316"/>
    </row>
    <row r="24" spans="1:24" x14ac:dyDescent="0.25">
      <c r="A24" s="431">
        <f t="shared" si="0"/>
        <v>19.0</v>
      </c>
      <c r="B24" s="433">
        <f>IF($C$3="1 - Sim",Seções!B46,0)</f>
        <v>15.0</v>
      </c>
      <c r="C24" s="433">
        <f>IF($C$3="1 - Sim",Seções!C46,0)</f>
        <v>40.0</v>
      </c>
      <c r="D24" s="313"/>
      <c r="E24" s="313"/>
      <c r="F24" s="313"/>
      <c r="G24" s="313"/>
      <c r="H24" s="313"/>
      <c r="I24" s="313"/>
      <c r="J24" s="313"/>
      <c r="K24" s="313"/>
      <c r="L24" s="313"/>
      <c r="M24" s="313"/>
      <c r="N24" s="313"/>
      <c r="O24" s="313"/>
      <c r="P24" s="313"/>
      <c r="Q24" s="313"/>
      <c r="R24" s="313"/>
      <c r="S24" s="313"/>
      <c r="T24" s="313"/>
      <c r="U24" s="434"/>
      <c r="V24" s="313"/>
      <c r="W24" s="313"/>
      <c r="X24" s="313"/>
    </row>
    <row r="25" spans="1:24" x14ac:dyDescent="0.25">
      <c r="A25" s="431">
        <f t="shared" si="0"/>
        <v>20.0</v>
      </c>
      <c r="B25" s="433">
        <f>IF($C$3="1 - Sim",Seções!B47,0)</f>
        <v>15.0</v>
      </c>
      <c r="C25" s="433">
        <f>IF($C$3="1 - Sim",Seções!C47,0)</f>
        <v>0.0</v>
      </c>
      <c r="D25" s="313"/>
      <c r="E25" s="313"/>
      <c r="F25" s="313"/>
      <c r="G25" s="313"/>
      <c r="H25" s="313"/>
      <c r="I25" s="313"/>
      <c r="J25" s="313"/>
      <c r="K25" s="313"/>
      <c r="L25" s="313"/>
      <c r="M25" s="313"/>
      <c r="N25" s="313"/>
      <c r="O25" s="313"/>
      <c r="P25" s="313"/>
      <c r="Q25" s="313"/>
      <c r="R25" s="313"/>
      <c r="S25" s="313"/>
      <c r="T25" s="313"/>
      <c r="U25" s="434"/>
      <c r="V25" s="313"/>
      <c r="W25" s="313"/>
      <c r="X25" s="313"/>
    </row>
    <row r="26" spans="1:24" x14ac:dyDescent="0.25">
      <c r="A26" s="431">
        <f t="shared" si="0"/>
        <v>21.0</v>
      </c>
      <c r="B26" s="433">
        <f>IF($C$3="1 - Sim",Seções!B48,0)</f>
        <v>0.0</v>
      </c>
      <c r="C26" s="433">
        <f>IF($C$3="1 - Sim",Seções!C48,0)</f>
        <v>0.0</v>
      </c>
      <c r="D26" s="313"/>
      <c r="E26" s="313"/>
      <c r="F26" s="313"/>
      <c r="G26" s="313"/>
      <c r="H26" s="313"/>
      <c r="I26" s="313"/>
      <c r="J26" s="313"/>
      <c r="K26" s="313"/>
      <c r="L26" s="313"/>
      <c r="M26" s="313"/>
      <c r="N26" s="313"/>
      <c r="O26" s="313"/>
      <c r="P26" s="313"/>
      <c r="Q26" s="435"/>
      <c r="R26" s="435"/>
      <c r="S26" s="435"/>
      <c r="T26" s="313"/>
      <c r="U26" s="434"/>
      <c r="V26" s="313"/>
      <c r="W26" s="313"/>
      <c r="X26" s="313"/>
    </row>
    <row r="27" spans="1:24" x14ac:dyDescent="0.25">
      <c r="A27" s="431">
        <f t="shared" si="0"/>
        <v>22.0</v>
      </c>
      <c r="B27" s="433"/>
      <c r="C27" s="433"/>
      <c r="D27" s="313"/>
      <c r="E27" s="313"/>
      <c r="F27" s="313"/>
      <c r="G27" s="313"/>
      <c r="H27" s="313"/>
      <c r="I27" s="313"/>
      <c r="J27" s="313"/>
      <c r="K27" s="313"/>
      <c r="L27" s="313"/>
      <c r="M27" s="313"/>
      <c r="N27" s="313"/>
      <c r="O27" s="313"/>
      <c r="P27" s="313"/>
      <c r="Q27" s="435"/>
      <c r="R27" s="435"/>
      <c r="S27" s="435"/>
      <c r="T27" s="313"/>
      <c r="U27" s="434"/>
      <c r="V27" s="313"/>
      <c r="W27" s="313"/>
      <c r="X27" s="313"/>
    </row>
    <row r="28" spans="1:24" x14ac:dyDescent="0.25">
      <c r="A28" s="431">
        <f t="shared" si="0"/>
        <v>23.0</v>
      </c>
      <c r="B28" s="433"/>
      <c r="C28" s="433"/>
      <c r="D28" s="313"/>
      <c r="E28" s="313"/>
      <c r="F28" s="313"/>
      <c r="G28" s="313"/>
      <c r="H28" s="313"/>
      <c r="I28" s="313"/>
      <c r="J28" s="313"/>
      <c r="K28" s="313"/>
      <c r="L28" s="313"/>
      <c r="M28" s="313"/>
      <c r="N28" s="313"/>
      <c r="O28" s="313"/>
      <c r="P28" s="313"/>
      <c r="Q28" s="435"/>
      <c r="R28" s="435"/>
      <c r="S28" s="435"/>
      <c r="T28" s="313"/>
      <c r="U28" s="434"/>
      <c r="V28" s="313"/>
      <c r="W28" s="313"/>
      <c r="X28" s="313"/>
    </row>
    <row r="29" spans="1:24" x14ac:dyDescent="0.25">
      <c r="A29" s="431">
        <f t="shared" si="0"/>
        <v>24.0</v>
      </c>
      <c r="B29" s="433"/>
      <c r="C29" s="433"/>
      <c r="D29" s="313"/>
      <c r="E29" s="313"/>
      <c r="F29" s="313"/>
      <c r="G29" s="313"/>
      <c r="H29" s="313"/>
      <c r="I29" s="313"/>
      <c r="J29" s="313"/>
      <c r="K29" s="313"/>
      <c r="L29" s="313"/>
      <c r="M29" s="313"/>
      <c r="N29" s="313"/>
      <c r="O29" s="313"/>
      <c r="P29" s="313"/>
      <c r="Q29" s="435"/>
      <c r="R29" s="435"/>
      <c r="S29" s="435"/>
      <c r="T29" s="313"/>
      <c r="U29" s="434"/>
      <c r="V29" s="313"/>
      <c r="W29" s="313"/>
      <c r="X29" s="313"/>
    </row>
    <row r="30" spans="1:24" x14ac:dyDescent="0.25">
      <c r="A30" s="431">
        <f t="shared" si="0"/>
        <v>25.0</v>
      </c>
      <c r="B30" s="433"/>
      <c r="C30" s="433"/>
      <c r="D30" s="313"/>
      <c r="E30" s="313"/>
      <c r="F30" s="313"/>
      <c r="G30" s="313"/>
      <c r="H30" s="313"/>
      <c r="I30" s="313"/>
      <c r="J30" s="313"/>
      <c r="K30" s="313"/>
      <c r="L30" s="313"/>
      <c r="M30" s="313"/>
      <c r="N30" s="313"/>
      <c r="O30" s="313"/>
      <c r="P30" s="313"/>
      <c r="Q30" s="313"/>
      <c r="R30" s="313"/>
      <c r="S30" s="313"/>
      <c r="T30" s="313"/>
      <c r="U30" s="434"/>
      <c r="V30" s="313"/>
      <c r="W30" s="313"/>
      <c r="X30" s="313"/>
    </row>
    <row r="31" spans="1:24" x14ac:dyDescent="0.25">
      <c r="A31" s="431">
        <f t="shared" si="0"/>
        <v>26.0</v>
      </c>
      <c r="B31" s="433"/>
      <c r="C31" s="433"/>
      <c r="D31" s="313"/>
      <c r="E31" s="313"/>
      <c r="F31" s="313"/>
      <c r="G31" s="313"/>
      <c r="H31" s="313"/>
      <c r="I31" s="313"/>
      <c r="J31" s="313"/>
      <c r="K31" s="313"/>
      <c r="L31" s="313"/>
      <c r="M31" s="313"/>
      <c r="N31" s="313"/>
      <c r="O31" s="313"/>
      <c r="P31" s="313"/>
      <c r="Q31" s="313"/>
      <c r="R31" s="313"/>
      <c r="S31" s="313"/>
      <c r="T31" s="313"/>
      <c r="U31" s="434"/>
      <c r="V31" s="313"/>
      <c r="W31" s="313"/>
      <c r="X31" s="313"/>
    </row>
    <row r="32" spans="1:24" x14ac:dyDescent="0.25">
      <c r="A32" s="431">
        <f t="shared" si="0"/>
        <v>27.0</v>
      </c>
      <c r="B32" s="433"/>
      <c r="C32" s="433"/>
      <c r="D32" s="313"/>
      <c r="E32" s="313"/>
      <c r="F32" s="313"/>
      <c r="G32" s="313"/>
      <c r="H32" s="313"/>
      <c r="I32" s="313"/>
      <c r="J32" s="313"/>
      <c r="K32" s="313"/>
      <c r="L32" s="313"/>
      <c r="M32" s="313"/>
      <c r="N32" s="313"/>
      <c r="O32" s="313"/>
      <c r="P32" s="313"/>
      <c r="Q32" s="313"/>
      <c r="R32" s="313"/>
      <c r="S32" s="313"/>
      <c r="T32" s="313"/>
      <c r="U32" s="313"/>
      <c r="V32" s="313"/>
      <c r="W32" s="313"/>
      <c r="X32" s="313"/>
    </row>
    <row r="33" spans="1:24" x14ac:dyDescent="0.25">
      <c r="A33" s="431">
        <f t="shared" si="0"/>
        <v>28.0</v>
      </c>
      <c r="B33" s="433"/>
      <c r="C33" s="433"/>
      <c r="D33" s="313"/>
      <c r="E33" s="313"/>
      <c r="F33" s="313"/>
      <c r="G33" s="313"/>
      <c r="H33" s="313"/>
      <c r="I33" s="313"/>
      <c r="J33" s="313"/>
      <c r="K33" s="313"/>
      <c r="L33" s="313"/>
      <c r="M33" s="313"/>
      <c r="N33" s="313"/>
      <c r="O33" s="313"/>
      <c r="P33" s="313"/>
      <c r="Q33" s="313"/>
      <c r="R33" s="313"/>
      <c r="S33" s="313"/>
      <c r="T33" s="313"/>
      <c r="U33" s="313"/>
      <c r="V33" s="313"/>
      <c r="W33" s="313"/>
      <c r="X33" s="313"/>
    </row>
    <row r="34" spans="1:24" x14ac:dyDescent="0.25">
      <c r="A34" s="431">
        <f t="shared" si="0"/>
        <v>29.0</v>
      </c>
      <c r="B34" s="433"/>
      <c r="C34" s="433"/>
      <c r="D34" s="313"/>
      <c r="E34" s="313"/>
      <c r="F34" s="313"/>
      <c r="G34" s="313"/>
      <c r="H34" s="313"/>
      <c r="I34" s="313"/>
      <c r="J34" s="313"/>
      <c r="K34" s="313"/>
      <c r="L34" s="313"/>
      <c r="M34" s="313"/>
      <c r="N34" s="313"/>
      <c r="O34" s="313"/>
      <c r="P34" s="313"/>
      <c r="Q34" s="313"/>
      <c r="R34" s="313"/>
      <c r="S34" s="313"/>
      <c r="T34" s="313"/>
      <c r="U34" s="313"/>
      <c r="V34" s="313"/>
      <c r="W34" s="313"/>
      <c r="X34" s="313"/>
    </row>
    <row r="35" spans="1:24" x14ac:dyDescent="0.25">
      <c r="A35" s="431">
        <f t="shared" si="0"/>
        <v>30.0</v>
      </c>
      <c r="B35" s="433"/>
      <c r="C35" s="433"/>
      <c r="D35" s="313"/>
      <c r="E35" s="313"/>
      <c r="F35" s="313"/>
      <c r="G35" s="313"/>
      <c r="H35" s="313"/>
      <c r="I35" s="313"/>
      <c r="J35" s="313"/>
      <c r="K35" s="313"/>
      <c r="L35" s="313"/>
      <c r="M35" s="313"/>
      <c r="N35" s="313"/>
      <c r="O35" s="313"/>
      <c r="P35" s="313"/>
      <c r="Q35" s="313"/>
      <c r="R35" s="313"/>
      <c r="S35" s="313"/>
      <c r="T35" s="313"/>
      <c r="U35" s="313"/>
      <c r="V35" s="313"/>
      <c r="W35" s="313"/>
      <c r="X35" s="313"/>
    </row>
    <row r="36" spans="1:24" x14ac:dyDescent="0.25">
      <c r="A36" s="431">
        <f t="shared" si="0"/>
        <v>31.0</v>
      </c>
      <c r="B36" s="433"/>
      <c r="C36" s="433"/>
      <c r="D36" s="313"/>
      <c r="E36" s="313"/>
      <c r="F36" s="313"/>
      <c r="G36" s="313"/>
      <c r="H36" s="313"/>
      <c r="I36" s="313"/>
      <c r="J36" s="313"/>
      <c r="K36" s="313"/>
      <c r="L36" s="313"/>
      <c r="M36" s="313"/>
      <c r="N36" s="313"/>
      <c r="O36" s="313"/>
      <c r="P36" s="313"/>
      <c r="Q36" s="313"/>
      <c r="R36" s="313"/>
      <c r="S36" s="313"/>
      <c r="T36" s="313"/>
      <c r="U36" s="313"/>
      <c r="V36" s="313"/>
      <c r="W36" s="313"/>
      <c r="X36" s="313"/>
    </row>
    <row r="37" spans="1:24" x14ac:dyDescent="0.25">
      <c r="A37" s="431">
        <f t="shared" si="0"/>
        <v>32.0</v>
      </c>
      <c r="B37" s="433"/>
      <c r="C37" s="433"/>
      <c r="D37" s="313"/>
      <c r="E37" s="313"/>
      <c r="F37" s="313"/>
      <c r="G37" s="313"/>
      <c r="H37" s="313"/>
      <c r="I37" s="313"/>
      <c r="J37" s="313"/>
      <c r="K37" s="313"/>
      <c r="L37" s="313"/>
      <c r="M37" s="313"/>
      <c r="N37" s="313"/>
      <c r="O37" s="313"/>
      <c r="P37" s="313"/>
      <c r="Q37" s="313"/>
      <c r="R37" s="313"/>
      <c r="S37" s="313"/>
      <c r="T37" s="313"/>
      <c r="U37" s="313"/>
      <c r="V37" s="313"/>
      <c r="W37" s="313"/>
      <c r="X37" s="313"/>
    </row>
    <row r="38" spans="1:24" x14ac:dyDescent="0.25">
      <c r="A38" s="431">
        <f t="shared" si="0"/>
        <v>33.0</v>
      </c>
      <c r="B38" s="433"/>
      <c r="C38" s="433"/>
      <c r="D38" s="313"/>
      <c r="E38" s="313"/>
      <c r="F38" s="313"/>
      <c r="G38" s="313"/>
      <c r="H38" s="313"/>
      <c r="I38" s="313"/>
      <c r="J38" s="313"/>
      <c r="K38" s="313"/>
      <c r="L38" s="313"/>
      <c r="M38" s="313"/>
      <c r="N38" s="313"/>
      <c r="O38" s="313"/>
      <c r="P38" s="313"/>
      <c r="Q38" s="313"/>
      <c r="R38" s="313"/>
      <c r="S38" s="313"/>
      <c r="T38" s="313"/>
      <c r="U38" s="313"/>
      <c r="V38" s="313"/>
      <c r="W38" s="313"/>
      <c r="X38" s="313"/>
    </row>
    <row r="39" spans="1:24" x14ac:dyDescent="0.25">
      <c r="A39" s="431">
        <f t="shared" si="0"/>
        <v>34.0</v>
      </c>
      <c r="B39" s="433"/>
      <c r="C39" s="433"/>
      <c r="D39" s="313"/>
      <c r="E39" s="313"/>
      <c r="F39" s="313"/>
      <c r="G39" s="313"/>
      <c r="H39" s="313"/>
      <c r="I39" s="313"/>
      <c r="J39" s="313"/>
      <c r="K39" s="313"/>
      <c r="L39" s="313"/>
      <c r="M39" s="313"/>
      <c r="N39" s="313"/>
      <c r="O39" s="313"/>
      <c r="P39" s="313"/>
      <c r="Q39" s="313"/>
      <c r="R39" s="313"/>
      <c r="S39" s="313"/>
      <c r="T39" s="313"/>
      <c r="U39" s="313"/>
      <c r="V39" s="313"/>
      <c r="W39" s="313"/>
      <c r="X39" s="313"/>
    </row>
    <row r="40" spans="1:24" x14ac:dyDescent="0.25">
      <c r="A40" s="431">
        <f t="shared" si="0"/>
        <v>35.0</v>
      </c>
      <c r="B40" s="433"/>
      <c r="C40" s="433"/>
      <c r="D40" s="313"/>
      <c r="E40" s="313"/>
      <c r="F40" s="313"/>
      <c r="G40" s="313"/>
      <c r="H40" s="313"/>
      <c r="I40" s="313"/>
      <c r="J40" s="313"/>
      <c r="K40" s="313"/>
      <c r="L40" s="313"/>
      <c r="M40" s="313"/>
      <c r="N40" s="313"/>
      <c r="O40" s="313"/>
      <c r="P40" s="313"/>
      <c r="Q40" s="313"/>
      <c r="R40" s="313"/>
      <c r="S40" s="313"/>
      <c r="T40" s="313"/>
      <c r="U40" s="313"/>
      <c r="V40" s="313"/>
      <c r="W40" s="313"/>
      <c r="X40" s="313"/>
    </row>
    <row r="41" spans="1:24" x14ac:dyDescent="0.25">
      <c r="A41" s="431">
        <v>36</v>
      </c>
      <c r="B41" s="433"/>
      <c r="C41" s="433"/>
      <c r="D41" s="313"/>
      <c r="E41" s="313"/>
      <c r="F41" s="313"/>
      <c r="G41" s="313"/>
      <c r="H41" s="313"/>
      <c r="I41" s="313"/>
      <c r="J41" s="313"/>
      <c r="K41" s="313"/>
      <c r="L41" s="313"/>
      <c r="M41" s="313"/>
      <c r="N41" s="313"/>
      <c r="O41" s="313"/>
      <c r="P41" s="313"/>
      <c r="Q41" s="313"/>
      <c r="R41" s="313"/>
      <c r="S41" s="313"/>
      <c r="T41" s="313"/>
      <c r="U41" s="313"/>
      <c r="V41" s="313"/>
      <c r="W41" s="313"/>
      <c r="X41" s="313"/>
    </row>
    <row r="42" spans="1:24" x14ac:dyDescent="0.25">
      <c r="A42" s="431">
        <f t="shared" ref="A42:A79" si="1">1+A41</f>
        <v>37.0</v>
      </c>
      <c r="B42" s="433"/>
      <c r="C42" s="433"/>
      <c r="D42" s="313"/>
      <c r="E42" s="313"/>
      <c r="F42" s="313"/>
      <c r="G42" s="313"/>
      <c r="H42" s="313"/>
      <c r="I42" s="313"/>
      <c r="J42" s="313"/>
      <c r="K42" s="313"/>
      <c r="L42" s="313"/>
      <c r="M42" s="313"/>
      <c r="N42" s="313"/>
      <c r="O42" s="313"/>
      <c r="P42" s="313"/>
      <c r="Q42" s="313"/>
      <c r="R42" s="313"/>
      <c r="S42" s="313"/>
      <c r="T42" s="313"/>
      <c r="U42" s="313"/>
      <c r="V42" s="313"/>
      <c r="W42" s="313"/>
      <c r="X42" s="313"/>
    </row>
    <row r="43" spans="1:24" x14ac:dyDescent="0.25">
      <c r="A43" s="431">
        <f t="shared" si="1"/>
        <v>38.0</v>
      </c>
      <c r="B43" s="433"/>
      <c r="C43" s="433"/>
      <c r="D43" s="313"/>
      <c r="E43" s="313"/>
      <c r="F43" s="313"/>
      <c r="G43" s="313"/>
      <c r="H43" s="313"/>
      <c r="I43" s="313"/>
      <c r="J43" s="313"/>
      <c r="K43" s="313"/>
      <c r="L43" s="313"/>
      <c r="M43" s="313"/>
      <c r="N43" s="313"/>
      <c r="O43" s="313"/>
      <c r="P43" s="313"/>
      <c r="Q43" s="313"/>
      <c r="R43" s="313"/>
      <c r="S43" s="313"/>
      <c r="T43" s="313"/>
      <c r="U43" s="313"/>
      <c r="V43" s="313"/>
      <c r="W43" s="313"/>
      <c r="X43" s="313"/>
    </row>
    <row r="44" spans="1:24" x14ac:dyDescent="0.25">
      <c r="A44" s="431">
        <f t="shared" si="1"/>
        <v>39.0</v>
      </c>
      <c r="B44" s="433"/>
      <c r="C44" s="433"/>
      <c r="D44" s="313"/>
      <c r="E44" s="313"/>
      <c r="F44" s="313"/>
      <c r="G44" s="313"/>
      <c r="H44" s="313"/>
      <c r="I44" s="313"/>
      <c r="J44" s="313"/>
      <c r="K44" s="313"/>
      <c r="L44" s="313"/>
      <c r="M44" s="313"/>
      <c r="N44" s="313"/>
      <c r="O44" s="313"/>
      <c r="P44" s="313"/>
      <c r="Q44" s="313"/>
      <c r="R44" s="313"/>
      <c r="S44" s="313"/>
      <c r="T44" s="313"/>
      <c r="U44" s="313"/>
      <c r="V44" s="313"/>
      <c r="W44" s="313"/>
      <c r="X44" s="313"/>
    </row>
    <row r="45" spans="1:24" x14ac:dyDescent="0.25">
      <c r="A45" s="431">
        <f t="shared" si="1"/>
        <v>40.0</v>
      </c>
      <c r="B45" s="433"/>
      <c r="C45" s="433"/>
      <c r="D45" s="313"/>
      <c r="E45" s="313"/>
      <c r="F45" s="313"/>
      <c r="G45" s="313"/>
      <c r="H45" s="313"/>
      <c r="I45" s="313"/>
      <c r="J45" s="313"/>
      <c r="K45" s="313"/>
      <c r="L45" s="313"/>
      <c r="M45" s="313"/>
      <c r="N45" s="313"/>
      <c r="O45" s="313"/>
      <c r="P45" s="313"/>
      <c r="Q45" s="313"/>
      <c r="R45" s="313"/>
      <c r="S45" s="313"/>
      <c r="T45" s="313"/>
      <c r="U45" s="313"/>
      <c r="V45" s="313"/>
      <c r="W45" s="313"/>
      <c r="X45" s="313"/>
    </row>
    <row r="46" spans="1:24" x14ac:dyDescent="0.25">
      <c r="A46" s="431">
        <f t="shared" si="1"/>
        <v>41.0</v>
      </c>
      <c r="B46" s="433"/>
      <c r="C46" s="433"/>
      <c r="D46" s="313"/>
      <c r="E46" s="313"/>
      <c r="F46" s="313"/>
      <c r="G46" s="313"/>
      <c r="H46" s="313"/>
      <c r="I46" s="313"/>
      <c r="J46" s="313"/>
      <c r="K46" s="313"/>
      <c r="L46" s="313"/>
      <c r="M46" s="313"/>
      <c r="N46" s="313"/>
      <c r="O46" s="313"/>
      <c r="P46" s="313"/>
      <c r="Q46" s="313"/>
      <c r="R46" s="313"/>
      <c r="S46" s="313"/>
      <c r="T46" s="313"/>
      <c r="U46" s="313"/>
      <c r="V46" s="313"/>
      <c r="W46" s="313"/>
      <c r="X46" s="313"/>
    </row>
    <row r="47" spans="1:24" x14ac:dyDescent="0.25">
      <c r="A47" s="431">
        <f t="shared" si="1"/>
        <v>42.0</v>
      </c>
      <c r="B47" s="433"/>
      <c r="C47" s="433"/>
      <c r="D47" s="313"/>
      <c r="E47" s="313"/>
      <c r="F47" s="313"/>
      <c r="G47" s="313"/>
      <c r="H47" s="313"/>
      <c r="I47" s="313"/>
      <c r="J47" s="313"/>
      <c r="K47" s="313"/>
      <c r="L47" s="313"/>
      <c r="M47" s="313"/>
      <c r="N47" s="313"/>
      <c r="O47" s="313"/>
      <c r="P47" s="313"/>
      <c r="Q47" s="313"/>
      <c r="R47" s="313"/>
      <c r="S47" s="313"/>
      <c r="T47" s="313"/>
      <c r="U47" s="313"/>
      <c r="V47" s="313"/>
      <c r="W47" s="313"/>
      <c r="X47" s="313"/>
    </row>
    <row r="48" spans="1:24" x14ac:dyDescent="0.25">
      <c r="A48" s="431">
        <f t="shared" si="1"/>
        <v>43.0</v>
      </c>
      <c r="B48" s="433"/>
      <c r="C48" s="433"/>
      <c r="D48" s="313"/>
      <c r="E48" s="313"/>
      <c r="F48" s="313"/>
      <c r="G48" s="313"/>
      <c r="H48" s="313"/>
      <c r="I48" s="313"/>
      <c r="J48" s="313"/>
      <c r="K48" s="313"/>
      <c r="L48" s="313"/>
      <c r="M48" s="313"/>
      <c r="N48" s="313"/>
      <c r="O48" s="313"/>
      <c r="P48" s="313"/>
      <c r="Q48" s="313"/>
      <c r="R48" s="313"/>
      <c r="S48" s="313"/>
      <c r="T48" s="313"/>
      <c r="U48" s="313"/>
      <c r="V48" s="313"/>
      <c r="W48" s="313"/>
      <c r="X48" s="313"/>
    </row>
    <row r="49" spans="1:24" x14ac:dyDescent="0.25">
      <c r="A49" s="431">
        <f t="shared" si="1"/>
        <v>44.0</v>
      </c>
      <c r="B49" s="433"/>
      <c r="C49" s="433"/>
      <c r="D49" s="313"/>
      <c r="E49" s="313"/>
      <c r="F49" s="313"/>
      <c r="G49" s="313"/>
      <c r="H49" s="313"/>
      <c r="I49" s="313"/>
      <c r="J49" s="313"/>
      <c r="K49" s="313"/>
      <c r="L49" s="313"/>
      <c r="M49" s="313"/>
      <c r="N49" s="313"/>
      <c r="O49" s="313"/>
      <c r="P49" s="313"/>
      <c r="Q49" s="313"/>
      <c r="R49" s="313"/>
      <c r="S49" s="313"/>
      <c r="T49" s="313"/>
      <c r="U49" s="313"/>
      <c r="V49" s="313"/>
      <c r="W49" s="313"/>
      <c r="X49" s="313"/>
    </row>
    <row r="50" spans="1:24" x14ac:dyDescent="0.25">
      <c r="A50" s="431">
        <f t="shared" si="1"/>
        <v>45.0</v>
      </c>
      <c r="B50" s="433"/>
      <c r="C50" s="433"/>
      <c r="D50" s="313"/>
      <c r="E50" s="313"/>
      <c r="F50" s="313"/>
      <c r="G50" s="313"/>
      <c r="H50" s="313"/>
      <c r="I50" s="313"/>
      <c r="J50" s="313"/>
      <c r="K50" s="313"/>
      <c r="L50" s="313"/>
      <c r="M50" s="313"/>
      <c r="N50" s="313"/>
      <c r="O50" s="313"/>
      <c r="P50" s="313"/>
      <c r="Q50" s="313"/>
      <c r="R50" s="313"/>
      <c r="S50" s="313"/>
      <c r="T50" s="313"/>
      <c r="U50" s="313"/>
      <c r="V50" s="313"/>
      <c r="W50" s="313"/>
      <c r="X50" s="313"/>
    </row>
    <row r="51" spans="1:24" x14ac:dyDescent="0.25">
      <c r="A51" s="431">
        <f t="shared" si="1"/>
        <v>46.0</v>
      </c>
      <c r="B51" s="433"/>
      <c r="C51" s="433"/>
      <c r="D51" s="313"/>
      <c r="E51" s="313"/>
      <c r="F51" s="313"/>
      <c r="G51" s="313"/>
      <c r="H51" s="313"/>
      <c r="I51" s="313"/>
      <c r="J51" s="313"/>
      <c r="K51" s="313"/>
      <c r="L51" s="313"/>
      <c r="M51" s="313"/>
      <c r="N51" s="313"/>
      <c r="O51" s="313"/>
      <c r="P51" s="313"/>
      <c r="Q51" s="313"/>
      <c r="R51" s="313"/>
      <c r="S51" s="313"/>
      <c r="T51" s="313"/>
      <c r="U51" s="313"/>
      <c r="V51" s="313"/>
      <c r="W51" s="313"/>
      <c r="X51" s="313"/>
    </row>
    <row r="52" spans="1:24" x14ac:dyDescent="0.25">
      <c r="A52" s="431">
        <f t="shared" si="1"/>
        <v>47.0</v>
      </c>
      <c r="B52" s="433"/>
      <c r="C52" s="433"/>
      <c r="D52" s="313"/>
      <c r="E52" s="313"/>
      <c r="F52" s="313"/>
      <c r="G52" s="313"/>
      <c r="H52" s="313"/>
      <c r="I52" s="313"/>
      <c r="J52" s="313"/>
      <c r="K52" s="313"/>
      <c r="L52" s="313"/>
      <c r="M52" s="313"/>
      <c r="N52" s="313"/>
      <c r="O52" s="313"/>
      <c r="P52" s="313"/>
      <c r="Q52" s="313"/>
      <c r="R52" s="313"/>
      <c r="S52" s="313"/>
      <c r="T52" s="313"/>
      <c r="U52" s="313"/>
      <c r="V52" s="313"/>
      <c r="W52" s="313"/>
      <c r="X52" s="313"/>
    </row>
    <row r="53" spans="1:24" x14ac:dyDescent="0.25">
      <c r="A53" s="431">
        <f t="shared" si="1"/>
        <v>48.0</v>
      </c>
      <c r="B53" s="433"/>
      <c r="C53" s="433"/>
      <c r="D53" s="313"/>
      <c r="E53" s="313"/>
      <c r="F53" s="313"/>
      <c r="G53" s="313"/>
      <c r="H53" s="313"/>
      <c r="I53" s="313"/>
      <c r="J53" s="313"/>
      <c r="K53" s="313"/>
      <c r="L53" s="313"/>
      <c r="M53" s="313"/>
      <c r="N53" s="313"/>
      <c r="O53" s="313"/>
      <c r="P53" s="313"/>
      <c r="Q53" s="313"/>
      <c r="R53" s="313"/>
      <c r="S53" s="313"/>
      <c r="T53" s="313"/>
      <c r="U53" s="313"/>
      <c r="V53" s="313"/>
      <c r="W53" s="313"/>
      <c r="X53" s="313"/>
    </row>
    <row r="54" spans="1:24" x14ac:dyDescent="0.25">
      <c r="A54" s="431">
        <f t="shared" si="1"/>
        <v>49.0</v>
      </c>
      <c r="B54" s="433"/>
      <c r="C54" s="433"/>
      <c r="D54" s="313"/>
      <c r="E54" s="313"/>
      <c r="F54" s="313"/>
      <c r="G54" s="313"/>
      <c r="H54" s="313"/>
      <c r="I54" s="313"/>
      <c r="J54" s="313"/>
      <c r="K54" s="313"/>
      <c r="L54" s="313"/>
      <c r="M54" s="313"/>
      <c r="N54" s="313"/>
      <c r="O54" s="313"/>
      <c r="P54" s="313"/>
      <c r="Q54" s="313"/>
      <c r="R54" s="313"/>
      <c r="S54" s="313"/>
      <c r="T54" s="313"/>
      <c r="U54" s="313"/>
      <c r="V54" s="313"/>
      <c r="W54" s="313"/>
      <c r="X54" s="313"/>
    </row>
    <row r="55" spans="1:24" x14ac:dyDescent="0.25">
      <c r="A55" s="431">
        <f t="shared" si="1"/>
        <v>50.0</v>
      </c>
      <c r="B55" s="433"/>
      <c r="C55" s="433"/>
      <c r="D55" s="313"/>
      <c r="E55" s="313"/>
      <c r="F55" s="313"/>
      <c r="G55" s="313"/>
      <c r="H55" s="313"/>
      <c r="I55" s="313"/>
      <c r="J55" s="313"/>
      <c r="K55" s="313"/>
      <c r="L55" s="313"/>
      <c r="M55" s="313"/>
      <c r="N55" s="313"/>
      <c r="O55" s="313"/>
      <c r="P55" s="313"/>
      <c r="Q55" s="313"/>
      <c r="R55" s="313"/>
      <c r="S55" s="313"/>
      <c r="T55" s="313"/>
      <c r="U55" s="313"/>
      <c r="V55" s="313"/>
      <c r="W55" s="313"/>
      <c r="X55" s="313"/>
    </row>
    <row r="56" spans="1:24" x14ac:dyDescent="0.25">
      <c r="A56" s="431">
        <f t="shared" si="1"/>
        <v>51.0</v>
      </c>
      <c r="B56" s="433"/>
      <c r="C56" s="433"/>
      <c r="D56" s="313"/>
      <c r="E56" s="313"/>
      <c r="F56" s="313"/>
      <c r="G56" s="313"/>
      <c r="H56" s="313"/>
      <c r="I56" s="313"/>
      <c r="J56" s="313"/>
      <c r="K56" s="313"/>
      <c r="L56" s="313"/>
      <c r="M56" s="313"/>
      <c r="N56" s="313"/>
      <c r="O56" s="313"/>
      <c r="P56" s="313"/>
      <c r="Q56" s="313"/>
      <c r="R56" s="313"/>
      <c r="S56" s="313"/>
      <c r="T56" s="313"/>
      <c r="U56" s="313"/>
      <c r="V56" s="313"/>
      <c r="W56" s="313"/>
      <c r="X56" s="313"/>
    </row>
    <row r="57" spans="1:24" x14ac:dyDescent="0.25">
      <c r="A57" s="431">
        <f t="shared" si="1"/>
        <v>52.0</v>
      </c>
      <c r="B57" s="433"/>
      <c r="C57" s="433"/>
      <c r="D57" s="313"/>
      <c r="E57" s="313"/>
      <c r="F57" s="313"/>
      <c r="G57" s="313"/>
      <c r="H57" s="313"/>
      <c r="I57" s="313"/>
      <c r="J57" s="313"/>
      <c r="K57" s="313"/>
      <c r="L57" s="313"/>
      <c r="M57" s="313"/>
      <c r="N57" s="313"/>
      <c r="O57" s="313"/>
      <c r="P57" s="313"/>
      <c r="Q57" s="313"/>
      <c r="R57" s="313"/>
      <c r="S57" s="313"/>
      <c r="T57" s="313"/>
      <c r="U57" s="313"/>
      <c r="V57" s="313"/>
      <c r="W57" s="313"/>
      <c r="X57" s="313"/>
    </row>
    <row r="58" spans="1:24" x14ac:dyDescent="0.25">
      <c r="A58" s="431">
        <f t="shared" si="1"/>
        <v>53.0</v>
      </c>
      <c r="B58" s="433"/>
      <c r="C58" s="433"/>
      <c r="D58" s="313"/>
      <c r="E58" s="313"/>
      <c r="F58" s="313"/>
      <c r="G58" s="313"/>
      <c r="H58" s="313"/>
      <c r="I58" s="313"/>
      <c r="J58" s="313"/>
      <c r="K58" s="313"/>
      <c r="L58" s="313"/>
      <c r="M58" s="313"/>
      <c r="N58" s="313"/>
      <c r="O58" s="313"/>
      <c r="P58" s="313"/>
      <c r="Q58" s="313"/>
      <c r="R58" s="313"/>
      <c r="S58" s="313"/>
      <c r="T58" s="313"/>
      <c r="U58" s="313"/>
      <c r="V58" s="313"/>
      <c r="W58" s="313"/>
      <c r="X58" s="313"/>
    </row>
    <row r="59" spans="1:24" x14ac:dyDescent="0.25">
      <c r="A59" s="431">
        <f t="shared" si="1"/>
        <v>54.0</v>
      </c>
      <c r="B59" s="433"/>
      <c r="C59" s="433"/>
      <c r="D59" s="313"/>
      <c r="E59" s="313"/>
      <c r="F59" s="313"/>
      <c r="G59" s="313"/>
      <c r="H59" s="313"/>
      <c r="I59" s="313"/>
      <c r="J59" s="313"/>
      <c r="K59" s="313"/>
      <c r="L59" s="313"/>
      <c r="M59" s="313"/>
      <c r="N59" s="313"/>
      <c r="O59" s="313"/>
      <c r="P59" s="313"/>
      <c r="Q59" s="313"/>
      <c r="R59" s="313"/>
      <c r="S59" s="313"/>
      <c r="T59" s="313"/>
      <c r="U59" s="313"/>
      <c r="V59" s="313"/>
      <c r="W59" s="313"/>
      <c r="X59" s="313"/>
    </row>
    <row r="60" spans="1:24" x14ac:dyDescent="0.25">
      <c r="A60" s="431">
        <f t="shared" si="1"/>
        <v>55.0</v>
      </c>
      <c r="B60" s="433"/>
      <c r="C60" s="433"/>
      <c r="D60" s="313"/>
      <c r="E60" s="313"/>
      <c r="F60" s="313"/>
      <c r="G60" s="313"/>
      <c r="H60" s="313"/>
      <c r="I60" s="313"/>
      <c r="J60" s="313"/>
      <c r="K60" s="313"/>
      <c r="L60" s="313"/>
      <c r="M60" s="313"/>
      <c r="N60" s="313"/>
      <c r="O60" s="313"/>
      <c r="P60" s="313"/>
      <c r="Q60" s="313"/>
      <c r="R60" s="313"/>
      <c r="S60" s="313"/>
      <c r="T60" s="313"/>
      <c r="U60" s="313"/>
      <c r="V60" s="313"/>
      <c r="W60" s="313"/>
      <c r="X60" s="313"/>
    </row>
    <row r="61" spans="1:24" x14ac:dyDescent="0.25">
      <c r="A61" s="431">
        <f t="shared" si="1"/>
        <v>56.0</v>
      </c>
      <c r="B61" s="433"/>
      <c r="C61" s="433"/>
      <c r="D61" s="313"/>
      <c r="E61" s="313"/>
      <c r="F61" s="313"/>
      <c r="G61" s="313"/>
      <c r="H61" s="313"/>
      <c r="I61" s="313"/>
      <c r="J61" s="313"/>
      <c r="K61" s="313"/>
      <c r="L61" s="313"/>
      <c r="M61" s="313"/>
      <c r="N61" s="313"/>
      <c r="O61" s="313"/>
      <c r="P61" s="313"/>
      <c r="Q61" s="313"/>
      <c r="R61" s="313"/>
      <c r="S61" s="313"/>
      <c r="T61" s="313"/>
      <c r="U61" s="313"/>
      <c r="V61" s="313"/>
      <c r="W61" s="313"/>
      <c r="X61" s="313"/>
    </row>
    <row r="62" spans="1:24" x14ac:dyDescent="0.25">
      <c r="A62" s="431">
        <f t="shared" si="1"/>
        <v>57.0</v>
      </c>
      <c r="B62" s="433"/>
      <c r="C62" s="433"/>
      <c r="D62" s="313"/>
      <c r="E62" s="313"/>
      <c r="F62" s="313"/>
      <c r="G62" s="313"/>
      <c r="H62" s="313"/>
      <c r="I62" s="313"/>
      <c r="J62" s="313"/>
      <c r="K62" s="313"/>
      <c r="L62" s="313"/>
      <c r="M62" s="313"/>
      <c r="N62" s="313"/>
      <c r="O62" s="313"/>
      <c r="P62" s="313"/>
      <c r="Q62" s="313"/>
      <c r="R62" s="313"/>
      <c r="S62" s="313"/>
      <c r="T62" s="313"/>
      <c r="U62" s="313"/>
      <c r="V62" s="313"/>
      <c r="W62" s="313"/>
      <c r="X62" s="313"/>
    </row>
    <row r="63" spans="1:24" x14ac:dyDescent="0.25">
      <c r="A63" s="431">
        <f t="shared" si="1"/>
        <v>58.0</v>
      </c>
      <c r="B63" s="433"/>
      <c r="C63" s="433"/>
      <c r="D63" s="313"/>
      <c r="E63" s="313"/>
      <c r="F63" s="313"/>
      <c r="G63" s="313"/>
      <c r="H63" s="313"/>
      <c r="I63" s="313"/>
      <c r="J63" s="313"/>
      <c r="K63" s="313"/>
      <c r="L63" s="313"/>
      <c r="M63" s="313"/>
      <c r="N63" s="313"/>
      <c r="O63" s="313"/>
      <c r="P63" s="313"/>
      <c r="Q63" s="313"/>
      <c r="R63" s="313"/>
      <c r="S63" s="313"/>
      <c r="T63" s="313"/>
      <c r="U63" s="313"/>
      <c r="V63" s="313"/>
      <c r="W63" s="313"/>
      <c r="X63" s="313"/>
    </row>
    <row r="64" spans="1:24" x14ac:dyDescent="0.25">
      <c r="A64" s="431">
        <f t="shared" si="1"/>
        <v>59.0</v>
      </c>
      <c r="B64" s="433"/>
      <c r="C64" s="433"/>
      <c r="D64" s="313"/>
      <c r="E64" s="313"/>
      <c r="F64" s="313"/>
      <c r="G64" s="313"/>
      <c r="H64" s="313"/>
      <c r="I64" s="313"/>
      <c r="J64" s="313"/>
      <c r="K64" s="313"/>
      <c r="L64" s="313"/>
      <c r="M64" s="313"/>
      <c r="N64" s="313"/>
      <c r="O64" s="313"/>
      <c r="P64" s="313"/>
      <c r="Q64" s="313"/>
      <c r="R64" s="313"/>
      <c r="S64" s="313"/>
      <c r="T64" s="313"/>
      <c r="U64" s="313"/>
      <c r="V64" s="313"/>
      <c r="W64" s="313"/>
      <c r="X64" s="313"/>
    </row>
    <row r="65" spans="1:24" x14ac:dyDescent="0.25">
      <c r="A65" s="431">
        <f t="shared" si="1"/>
        <v>60.0</v>
      </c>
      <c r="B65" s="433"/>
      <c r="C65" s="433"/>
      <c r="D65" s="313"/>
      <c r="E65" s="313"/>
      <c r="F65" s="313"/>
      <c r="G65" s="313"/>
      <c r="H65" s="313"/>
      <c r="I65" s="313"/>
      <c r="J65" s="313"/>
      <c r="K65" s="313"/>
      <c r="L65" s="313"/>
      <c r="M65" s="313"/>
      <c r="N65" s="313"/>
      <c r="O65" s="313"/>
      <c r="P65" s="313"/>
      <c r="Q65" s="313"/>
      <c r="R65" s="313"/>
      <c r="S65" s="313"/>
      <c r="T65" s="313"/>
      <c r="U65" s="313"/>
      <c r="V65" s="313"/>
      <c r="W65" s="313"/>
      <c r="X65" s="313"/>
    </row>
    <row r="66" spans="1:24" x14ac:dyDescent="0.25">
      <c r="A66" s="431">
        <f t="shared" si="1"/>
        <v>61.0</v>
      </c>
      <c r="B66" s="433"/>
      <c r="C66" s="433"/>
      <c r="D66" s="313"/>
      <c r="E66" s="313"/>
      <c r="F66" s="313"/>
      <c r="G66" s="313"/>
      <c r="H66" s="313"/>
      <c r="I66" s="313"/>
      <c r="J66" s="313"/>
      <c r="K66" s="313"/>
      <c r="L66" s="313"/>
      <c r="M66" s="313"/>
      <c r="N66" s="313"/>
      <c r="O66" s="313"/>
      <c r="P66" s="313"/>
      <c r="Q66" s="313"/>
      <c r="R66" s="313"/>
      <c r="S66" s="313"/>
      <c r="T66" s="313"/>
      <c r="U66" s="313"/>
      <c r="V66" s="313"/>
      <c r="W66" s="313"/>
      <c r="X66" s="313"/>
    </row>
    <row r="67" spans="1:24" x14ac:dyDescent="0.25">
      <c r="A67" s="431">
        <f t="shared" si="1"/>
        <v>62.0</v>
      </c>
      <c r="B67" s="433"/>
      <c r="C67" s="433"/>
      <c r="D67" s="313"/>
      <c r="E67" s="313"/>
      <c r="F67" s="313"/>
      <c r="G67" s="313"/>
      <c r="H67" s="313"/>
      <c r="I67" s="313"/>
      <c r="J67" s="313"/>
      <c r="K67" s="313"/>
      <c r="L67" s="313"/>
      <c r="M67" s="313"/>
      <c r="N67" s="313"/>
      <c r="O67" s="313"/>
      <c r="P67" s="313"/>
      <c r="Q67" s="313"/>
      <c r="R67" s="313"/>
      <c r="S67" s="313"/>
      <c r="T67" s="313"/>
      <c r="U67" s="313"/>
      <c r="V67" s="313"/>
      <c r="W67" s="313"/>
      <c r="X67" s="313"/>
    </row>
    <row r="68" spans="1:24" x14ac:dyDescent="0.25">
      <c r="A68" s="431">
        <f t="shared" si="1"/>
        <v>63.0</v>
      </c>
      <c r="B68" s="433"/>
      <c r="C68" s="433"/>
      <c r="D68" s="313"/>
      <c r="E68" s="313"/>
      <c r="F68" s="313"/>
      <c r="G68" s="313"/>
      <c r="H68" s="313"/>
      <c r="I68" s="313"/>
      <c r="J68" s="313"/>
      <c r="K68" s="313"/>
      <c r="L68" s="313"/>
      <c r="M68" s="313"/>
      <c r="N68" s="313"/>
      <c r="O68" s="313"/>
      <c r="P68" s="313"/>
      <c r="Q68" s="313"/>
      <c r="R68" s="313"/>
      <c r="S68" s="313"/>
      <c r="T68" s="313"/>
      <c r="U68" s="313"/>
      <c r="V68" s="313"/>
      <c r="W68" s="313"/>
      <c r="X68" s="313"/>
    </row>
    <row r="69" spans="1:24" x14ac:dyDescent="0.25">
      <c r="A69" s="431">
        <f t="shared" si="1"/>
        <v>64.0</v>
      </c>
      <c r="B69" s="433"/>
      <c r="C69" s="433"/>
      <c r="D69" s="313"/>
      <c r="E69" s="313"/>
      <c r="F69" s="313"/>
      <c r="G69" s="313"/>
      <c r="H69" s="313"/>
      <c r="I69" s="313"/>
      <c r="J69" s="313"/>
      <c r="K69" s="313"/>
      <c r="L69" s="313"/>
      <c r="M69" s="313"/>
      <c r="N69" s="313"/>
      <c r="O69" s="313"/>
      <c r="P69" s="313"/>
      <c r="Q69" s="313"/>
      <c r="R69" s="313"/>
      <c r="S69" s="313"/>
      <c r="T69" s="313"/>
      <c r="U69" s="313"/>
      <c r="V69" s="313"/>
      <c r="W69" s="313"/>
      <c r="X69" s="313"/>
    </row>
    <row r="70" spans="1:24" x14ac:dyDescent="0.25">
      <c r="A70" s="431">
        <f t="shared" si="1"/>
        <v>65.0</v>
      </c>
      <c r="B70" s="433"/>
      <c r="C70" s="433"/>
      <c r="D70" s="313"/>
      <c r="E70" s="313"/>
      <c r="F70" s="313"/>
      <c r="G70" s="313"/>
      <c r="H70" s="313"/>
      <c r="I70" s="313"/>
      <c r="J70" s="313"/>
      <c r="K70" s="313"/>
      <c r="L70" s="313"/>
      <c r="M70" s="313"/>
      <c r="N70" s="313"/>
      <c r="O70" s="313"/>
      <c r="P70" s="313"/>
      <c r="Q70" s="313"/>
      <c r="R70" s="313"/>
      <c r="S70" s="313"/>
      <c r="T70" s="313"/>
      <c r="U70" s="313"/>
      <c r="V70" s="313"/>
      <c r="W70" s="313"/>
      <c r="X70" s="313"/>
    </row>
    <row r="71" spans="1:24" x14ac:dyDescent="0.25">
      <c r="A71" s="431">
        <f t="shared" si="1"/>
        <v>66.0</v>
      </c>
      <c r="B71" s="433"/>
      <c r="C71" s="433"/>
      <c r="D71" s="313"/>
      <c r="E71" s="313"/>
      <c r="F71" s="313"/>
      <c r="G71" s="313"/>
      <c r="H71" s="313"/>
      <c r="I71" s="313"/>
      <c r="J71" s="313"/>
      <c r="K71" s="313"/>
      <c r="L71" s="313"/>
      <c r="M71" s="313"/>
      <c r="N71" s="313"/>
      <c r="O71" s="313"/>
      <c r="P71" s="313"/>
      <c r="Q71" s="313"/>
      <c r="R71" s="313"/>
      <c r="S71" s="313"/>
      <c r="T71" s="313"/>
      <c r="U71" s="313"/>
      <c r="V71" s="313"/>
      <c r="W71" s="313"/>
      <c r="X71" s="313"/>
    </row>
    <row r="72" spans="1:24" x14ac:dyDescent="0.25">
      <c r="A72" s="431">
        <f t="shared" si="1"/>
        <v>67.0</v>
      </c>
      <c r="B72" s="433"/>
      <c r="C72" s="433"/>
      <c r="D72" s="313"/>
      <c r="E72" s="313"/>
      <c r="F72" s="313"/>
      <c r="G72" s="313"/>
      <c r="H72" s="313"/>
      <c r="I72" s="313"/>
      <c r="J72" s="313"/>
      <c r="K72" s="313"/>
      <c r="L72" s="313"/>
      <c r="M72" s="313"/>
      <c r="N72" s="313"/>
      <c r="O72" s="313"/>
      <c r="P72" s="313"/>
      <c r="Q72" s="313"/>
      <c r="R72" s="313"/>
      <c r="S72" s="313"/>
      <c r="T72" s="313"/>
      <c r="U72" s="313"/>
      <c r="V72" s="313"/>
      <c r="W72" s="313"/>
      <c r="X72" s="313"/>
    </row>
    <row r="73" spans="1:24" x14ac:dyDescent="0.25">
      <c r="A73" s="431">
        <f t="shared" si="1"/>
        <v>68.0</v>
      </c>
      <c r="B73" s="433"/>
      <c r="C73" s="433"/>
      <c r="D73" s="313"/>
      <c r="E73" s="313"/>
      <c r="F73" s="313"/>
      <c r="G73" s="313"/>
      <c r="H73" s="313"/>
      <c r="I73" s="313"/>
      <c r="J73" s="313"/>
      <c r="K73" s="313"/>
      <c r="L73" s="313"/>
      <c r="M73" s="313"/>
      <c r="N73" s="313"/>
      <c r="O73" s="313"/>
      <c r="P73" s="313"/>
      <c r="Q73" s="313"/>
      <c r="R73" s="313"/>
      <c r="S73" s="313"/>
      <c r="T73" s="313"/>
      <c r="U73" s="313"/>
      <c r="V73" s="313"/>
      <c r="W73" s="313"/>
      <c r="X73" s="313"/>
    </row>
    <row r="74" spans="1:24" x14ac:dyDescent="0.25">
      <c r="A74" s="431">
        <f t="shared" si="1"/>
        <v>69.0</v>
      </c>
      <c r="B74" s="433"/>
      <c r="C74" s="433"/>
      <c r="D74" s="313"/>
      <c r="E74" s="313"/>
      <c r="F74" s="313"/>
      <c r="G74" s="313"/>
      <c r="H74" s="313"/>
      <c r="I74" s="313"/>
      <c r="J74" s="313"/>
      <c r="K74" s="313"/>
      <c r="L74" s="313"/>
      <c r="M74" s="313"/>
      <c r="N74" s="313"/>
      <c r="O74" s="313"/>
      <c r="P74" s="313"/>
      <c r="Q74" s="313"/>
      <c r="R74" s="313"/>
      <c r="S74" s="313"/>
      <c r="T74" s="313"/>
      <c r="U74" s="313"/>
      <c r="V74" s="313"/>
      <c r="W74" s="313"/>
      <c r="X74" s="313"/>
    </row>
    <row r="75" spans="1:24" x14ac:dyDescent="0.25">
      <c r="A75" s="431">
        <f t="shared" si="1"/>
        <v>70.0</v>
      </c>
      <c r="B75" s="433"/>
      <c r="C75" s="433"/>
      <c r="D75" s="313"/>
      <c r="E75" s="313"/>
      <c r="F75" s="313"/>
      <c r="G75" s="313"/>
      <c r="H75" s="313"/>
      <c r="I75" s="313"/>
      <c r="J75" s="313"/>
      <c r="K75" s="313"/>
      <c r="L75" s="313"/>
      <c r="M75" s="313"/>
      <c r="N75" s="313"/>
      <c r="O75" s="313"/>
      <c r="P75" s="313"/>
      <c r="Q75" s="313"/>
      <c r="R75" s="313"/>
      <c r="S75" s="313"/>
      <c r="T75" s="313"/>
      <c r="U75" s="313"/>
      <c r="V75" s="313"/>
      <c r="W75" s="313"/>
      <c r="X75" s="313"/>
    </row>
    <row r="76" spans="1:24" x14ac:dyDescent="0.25">
      <c r="A76" s="431">
        <f t="shared" si="1"/>
        <v>71.0</v>
      </c>
      <c r="B76" s="433"/>
      <c r="C76" s="433"/>
      <c r="D76" s="313"/>
      <c r="E76" s="313"/>
      <c r="F76" s="313"/>
      <c r="G76" s="313"/>
      <c r="H76" s="313"/>
      <c r="I76" s="313"/>
      <c r="J76" s="313"/>
      <c r="K76" s="313"/>
      <c r="L76" s="313"/>
      <c r="M76" s="313"/>
      <c r="N76" s="313"/>
      <c r="O76" s="313"/>
      <c r="P76" s="313"/>
      <c r="Q76" s="313"/>
      <c r="R76" s="313"/>
      <c r="S76" s="313"/>
      <c r="T76" s="313"/>
      <c r="U76" s="313"/>
      <c r="V76" s="313"/>
      <c r="W76" s="313"/>
      <c r="X76" s="313"/>
    </row>
    <row r="77" spans="1:24" x14ac:dyDescent="0.25">
      <c r="A77" s="431">
        <f t="shared" si="1"/>
        <v>72.0</v>
      </c>
      <c r="B77" s="433"/>
      <c r="C77" s="433"/>
      <c r="D77" s="313"/>
      <c r="E77" s="313"/>
      <c r="F77" s="313"/>
      <c r="G77" s="313"/>
      <c r="H77" s="313"/>
      <c r="I77" s="313"/>
      <c r="J77" s="313"/>
      <c r="K77" s="313"/>
      <c r="L77" s="313"/>
      <c r="M77" s="313"/>
      <c r="N77" s="313"/>
      <c r="O77" s="313"/>
      <c r="P77" s="313"/>
      <c r="Q77" s="313"/>
      <c r="R77" s="313"/>
      <c r="S77" s="313"/>
      <c r="T77" s="313"/>
      <c r="U77" s="313"/>
      <c r="V77" s="313"/>
      <c r="W77" s="313"/>
      <c r="X77" s="313"/>
    </row>
    <row r="78" spans="1:24" x14ac:dyDescent="0.25">
      <c r="A78" s="431">
        <f t="shared" si="1"/>
        <v>73.0</v>
      </c>
      <c r="B78" s="433"/>
      <c r="C78" s="433"/>
      <c r="D78" s="313"/>
      <c r="E78" s="313"/>
      <c r="F78" s="313"/>
      <c r="G78" s="313"/>
      <c r="H78" s="313"/>
      <c r="I78" s="313"/>
      <c r="J78" s="313"/>
      <c r="K78" s="313"/>
      <c r="L78" s="313"/>
      <c r="M78" s="313"/>
      <c r="N78" s="313"/>
      <c r="O78" s="313"/>
      <c r="P78" s="313"/>
      <c r="Q78" s="313"/>
      <c r="R78" s="313"/>
      <c r="S78" s="313"/>
      <c r="T78" s="313"/>
      <c r="U78" s="313"/>
      <c r="V78" s="313"/>
      <c r="W78" s="313"/>
      <c r="X78" s="313"/>
    </row>
    <row r="79" spans="1:24" x14ac:dyDescent="0.25">
      <c r="A79" s="431">
        <f t="shared" si="1"/>
        <v>74.0</v>
      </c>
      <c r="B79" s="433"/>
      <c r="C79" s="433"/>
      <c r="D79" s="313"/>
      <c r="E79" s="313"/>
      <c r="F79" s="313"/>
      <c r="G79" s="313"/>
      <c r="H79" s="313"/>
      <c r="I79" s="313"/>
      <c r="J79" s="313"/>
      <c r="K79" s="313"/>
      <c r="L79" s="313"/>
      <c r="M79" s="313"/>
      <c r="N79" s="313"/>
      <c r="O79" s="313"/>
      <c r="P79" s="313"/>
      <c r="Q79" s="313"/>
      <c r="R79" s="313"/>
      <c r="S79" s="313"/>
      <c r="T79" s="313"/>
      <c r="U79" s="313"/>
      <c r="V79" s="313"/>
      <c r="W79" s="313"/>
      <c r="X79" s="313"/>
    </row>
  </sheetData>
  <mergeCells count="3">
    <mergeCell ref="E4:J4"/>
    <mergeCell ref="L4:N4"/>
    <mergeCell ref="E13:J13"/>
  </mergeCells>
  <dataValidations count="2">
    <dataValidation type="whole" operator="equal" allowBlank="1" showInputMessage="1" showErrorMessage="1" sqref="B6:C6" xr:uid="{00000000-0002-0000-0800-000000000000}">
      <formula1>0</formula1>
      <formula2>0</formula2>
    </dataValidation>
    <dataValidation type="list" allowBlank="1" showInputMessage="1" showErrorMessage="1" sqref="B2" xr:uid="{00000000-0002-0000-0800-000001000000}">
      <formula1>"m,cm,mm,ft,in"</formula1>
      <formula2>0</formula2>
    </dataValidation>
  </dataValidations>
  <pageMargins left="0.51180555555555596" right="0.51180555555555596" top="0.78749999999999998" bottom="0.78749999999999998" header="0.511811023622047" footer="0.511811023622047"/>
  <pageSetup paperSize="9" scale="42" orientation="portrait" horizontalDpi="300" verticalDpi="3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152"/>
  <sheetViews>
    <sheetView showGridLines="0" view="pageBreakPreview" zoomScale="70" zoomScaleNormal="85" zoomScalePageLayoutView="70" workbookViewId="0">
      <selection activeCell="D123" sqref="D123"/>
    </sheetView>
  </sheetViews>
  <sheetFormatPr defaultColWidth="9.140625" defaultRowHeight="15" x14ac:dyDescent="0.25"/>
  <cols>
    <col min="1" max="1" width="17.140625" style="4" customWidth="1"/>
    <col min="2" max="2" width="10.85546875" style="4" customWidth="1"/>
    <col min="3" max="3" width="11.28515625" style="4" customWidth="1"/>
    <col min="4" max="4" width="17.85546875" style="4" customWidth="1"/>
    <col min="5" max="5" width="15.5703125" style="4" customWidth="1"/>
    <col min="6" max="6" width="17.28515625" style="4" customWidth="1"/>
    <col min="7" max="7" width="18.5703125" style="4" customWidth="1"/>
    <col min="8" max="8" width="15.28515625" style="4" customWidth="1"/>
    <col min="9" max="9" width="12.85546875" style="4" customWidth="1"/>
    <col min="10" max="10" width="23.140625" style="4" customWidth="1"/>
    <col min="11" max="11" width="14" style="4" customWidth="1"/>
    <col min="12" max="12" width="18.42578125" style="4" customWidth="1"/>
    <col min="13" max="13" width="10.28515625" style="4" customWidth="1"/>
    <col min="14" max="14" width="12.42578125" style="4" customWidth="1"/>
    <col min="15" max="17" width="9.140625" style="4"/>
    <col min="18" max="18" width="47.42578125" style="4" customWidth="1"/>
    <col min="19" max="19" width="14.5703125" style="4" customWidth="1"/>
    <col min="20" max="20" width="13.140625" style="4" customWidth="1"/>
    <col min="21" max="16384" width="9.140625" style="4"/>
  </cols>
  <sheetData>
    <row r="2" spans="1:34" ht="14.25" customHeight="1" x14ac:dyDescent="0.25">
      <c r="A2" s="40"/>
      <c r="B2" s="40"/>
      <c r="C2" s="40"/>
      <c r="E2" s="1"/>
      <c r="F2" s="1"/>
      <c r="J2" s="47"/>
      <c r="K2" s="47"/>
      <c r="L2" s="47"/>
      <c r="AE2" s="762"/>
      <c r="AF2" s="763"/>
      <c r="AG2" s="763"/>
      <c r="AH2" s="763"/>
    </row>
    <row r="3" spans="1:34" ht="14.25" customHeight="1" x14ac:dyDescent="0.25">
      <c r="C3" s="40"/>
      <c r="E3" s="1"/>
      <c r="F3" s="1"/>
      <c r="J3" s="47"/>
      <c r="AE3" s="762"/>
      <c r="AF3" s="763"/>
      <c r="AG3" s="763"/>
      <c r="AH3" s="763"/>
    </row>
    <row r="4" spans="1:34" ht="14.25" customHeight="1" x14ac:dyDescent="0.25">
      <c r="C4" s="40"/>
      <c r="E4" s="1"/>
      <c r="F4" s="1"/>
      <c r="J4" s="47"/>
      <c r="AE4" s="717" t="s">
        <v>49</v>
      </c>
      <c r="AF4" s="717">
        <v>0.8</v>
      </c>
      <c r="AG4" s="717">
        <v>0.7</v>
      </c>
      <c r="AH4" s="717">
        <v>0.6</v>
      </c>
    </row>
    <row r="5" spans="1:34" ht="14.25" customHeight="1" x14ac:dyDescent="0.25">
      <c r="C5" s="40"/>
      <c r="E5" s="1"/>
      <c r="F5" s="1"/>
      <c r="J5" s="47"/>
      <c r="AE5" s="717"/>
      <c r="AF5" s="717"/>
      <c r="AG5" s="717"/>
      <c r="AH5" s="717"/>
    </row>
    <row r="6" spans="1:34" ht="15" customHeight="1" x14ac:dyDescent="0.25">
      <c r="B6" s="681" t="s">
        <v>1160</v>
      </c>
      <c r="C6" s="681"/>
      <c r="E6" s="1"/>
      <c r="F6" s="1"/>
      <c r="J6" s="47"/>
      <c r="AE6" s="715" t="s">
        <v>54</v>
      </c>
      <c r="AF6" s="715"/>
      <c r="AG6" s="715"/>
      <c r="AH6" s="715"/>
    </row>
    <row r="7" spans="1:34" ht="15" customHeight="1" x14ac:dyDescent="0.25">
      <c r="B7" s="25" t="s">
        <v>8</v>
      </c>
      <c r="C7" s="436" t="s">
        <v>499</v>
      </c>
      <c r="E7" s="1"/>
      <c r="F7" s="1"/>
      <c r="J7" s="47"/>
      <c r="AE7" s="717" t="s">
        <v>57</v>
      </c>
      <c r="AF7" s="721">
        <v>0.6</v>
      </c>
      <c r="AG7" s="721">
        <v>0.3</v>
      </c>
      <c r="AH7" s="721">
        <v>0</v>
      </c>
    </row>
    <row r="8" spans="1:34" x14ac:dyDescent="0.25">
      <c r="B8" s="437">
        <v>0</v>
      </c>
      <c r="C8" s="437">
        <v>0</v>
      </c>
      <c r="E8" s="1"/>
      <c r="F8" s="1"/>
      <c r="J8" s="47"/>
      <c r="AE8" s="717"/>
      <c r="AF8" s="721"/>
      <c r="AG8" s="721"/>
      <c r="AH8" s="721"/>
    </row>
    <row r="9" spans="1:34" ht="15" customHeight="1" x14ac:dyDescent="0.25">
      <c r="B9" s="437">
        <f>Geometria!L26/-2</f>
        <v>-15.0</v>
      </c>
      <c r="C9" s="437">
        <v>0</v>
      </c>
      <c r="E9" s="1"/>
      <c r="F9" s="1"/>
      <c r="J9" s="47"/>
      <c r="AE9" s="715" t="s">
        <v>62</v>
      </c>
      <c r="AF9" s="715"/>
      <c r="AG9" s="715"/>
      <c r="AH9" s="715"/>
    </row>
    <row r="10" spans="1:34" ht="15" customHeight="1" x14ac:dyDescent="0.25">
      <c r="B10" s="437">
        <f>Geometria!L26/-2</f>
        <v>-15.0</v>
      </c>
      <c r="C10" s="438">
        <f>Geometria!W19-(Geometria!L38-Geometria!L37)</f>
        <v>40.0</v>
      </c>
      <c r="E10" s="27"/>
      <c r="F10" s="27"/>
      <c r="J10" s="47"/>
      <c r="AE10" s="716" t="s">
        <v>65</v>
      </c>
      <c r="AF10" s="717">
        <v>0.6</v>
      </c>
      <c r="AG10" s="717">
        <v>0.5</v>
      </c>
      <c r="AH10" s="717">
        <v>0.3</v>
      </c>
    </row>
    <row r="11" spans="1:34" ht="15" customHeight="1" x14ac:dyDescent="0.25">
      <c r="B11" s="437">
        <f>Geometria!V18+Geometria!M36*-1</f>
        <v>-15.0</v>
      </c>
      <c r="C11" s="439">
        <f>Geometria!L27-Geometria!L37</f>
        <v>45.0</v>
      </c>
      <c r="E11" s="27"/>
      <c r="F11" s="27"/>
      <c r="J11" s="47"/>
      <c r="AE11" s="716"/>
      <c r="AF11" s="717"/>
      <c r="AG11" s="717"/>
      <c r="AH11" s="717"/>
    </row>
    <row r="12" spans="1:34" x14ac:dyDescent="0.25">
      <c r="B12" s="440">
        <f>Geometria!V19</f>
        <v>-15.0</v>
      </c>
      <c r="C12" s="438">
        <f>Geometria!L27</f>
        <v>60.0</v>
      </c>
      <c r="E12" s="27"/>
      <c r="F12" s="441"/>
      <c r="J12" s="47"/>
    </row>
    <row r="13" spans="1:34" x14ac:dyDescent="0.25">
      <c r="A13" s="40"/>
      <c r="B13" s="437">
        <f>Geometria!V20*-1</f>
        <v>15.0</v>
      </c>
      <c r="C13" s="438">
        <f>Geometria!W20</f>
        <v>60.0</v>
      </c>
      <c r="E13" s="27"/>
      <c r="F13" s="442"/>
      <c r="J13" s="49"/>
    </row>
    <row r="14" spans="1:34" x14ac:dyDescent="0.25">
      <c r="A14" s="40"/>
      <c r="B14" s="437">
        <f>Geometria!V19*-1</f>
        <v>15.0</v>
      </c>
      <c r="C14" s="439">
        <f>Geometria!W19</f>
        <v>45.0</v>
      </c>
      <c r="E14" s="27"/>
      <c r="F14" s="198"/>
      <c r="J14" s="49"/>
    </row>
    <row r="15" spans="1:34" x14ac:dyDescent="0.25">
      <c r="A15" s="40"/>
      <c r="B15" s="437">
        <f>Geometria!V18*-1</f>
        <v>15.0</v>
      </c>
      <c r="C15" s="439">
        <f>Geometria!W18</f>
        <v>40.0</v>
      </c>
      <c r="E15" s="27"/>
      <c r="F15" s="198"/>
    </row>
    <row r="16" spans="1:34" x14ac:dyDescent="0.25">
      <c r="A16" s="40"/>
      <c r="B16" s="437">
        <f>Geometria!V17*-1</f>
        <v>15.0</v>
      </c>
      <c r="C16" s="437">
        <v>0</v>
      </c>
      <c r="E16" s="27"/>
      <c r="F16" s="443"/>
    </row>
    <row r="17" spans="1:20" x14ac:dyDescent="0.25">
      <c r="A17" s="40"/>
      <c r="B17" s="437">
        <v>0</v>
      </c>
      <c r="C17" s="437">
        <v>0</v>
      </c>
      <c r="E17" s="27"/>
      <c r="F17" s="443"/>
    </row>
    <row r="18" spans="1:20" x14ac:dyDescent="0.25">
      <c r="A18" s="40"/>
      <c r="B18" s="54"/>
      <c r="C18" s="40"/>
      <c r="E18" s="27"/>
      <c r="F18" s="237"/>
    </row>
    <row r="19" spans="1:20" x14ac:dyDescent="0.25">
      <c r="A19" s="40"/>
      <c r="B19" s="54"/>
      <c r="C19" s="40"/>
      <c r="E19" s="27"/>
      <c r="F19" s="237"/>
    </row>
    <row r="20" spans="1:20" x14ac:dyDescent="0.25">
      <c r="A20" s="40"/>
      <c r="B20" s="54"/>
      <c r="C20" s="40"/>
      <c r="E20" s="27"/>
      <c r="F20" s="444"/>
    </row>
    <row r="21" spans="1:20" x14ac:dyDescent="0.25">
      <c r="A21" s="40"/>
      <c r="B21" s="54"/>
      <c r="C21" s="40"/>
      <c r="E21" s="27"/>
      <c r="F21" s="27"/>
    </row>
    <row r="23" x14ac:dyDescent="0.25">
      <c r="A23" s="40"/>
      <c r="W23" t="inlineStr">
        <is>
          <t>Aba R/A (desenho)</t>
        </is>
      </c>
      <c r="Y23" t="inlineStr">
        <is>
          <t>Estribo aba R/A</t>
        </is>
      </c>
      <c r="AA23" t="inlineStr">
        <is>
          <t>Barras aba R/A</t>
        </is>
      </c>
    </row>
    <row r="24" x14ac:dyDescent="0.25">
      <c r="H24" s="270"/>
      <c r="K24" s="25" t="s">
        <v>8</v>
      </c>
      <c r="L24" s="25" t="s">
        <v>499</v>
      </c>
      <c r="S24" s="25" t="s">
        <v>8</v>
      </c>
      <c r="T24" s="25" t="s">
        <v>499</v>
      </c>
      <c r="W24" t="inlineStr">
        <is>
          <t>x</t>
        </is>
      </c>
      <c r="X24" t="inlineStr">
        <is>
          <t>y</t>
        </is>
      </c>
      <c r="Y24" t="inlineStr">
        <is>
          <t>x</t>
        </is>
      </c>
      <c r="Z24" t="inlineStr">
        <is>
          <t>y</t>
        </is>
      </c>
      <c r="AA24" t="inlineStr">
        <is>
          <t>x</t>
        </is>
      </c>
      <c r="AB24" t="inlineStr">
        <is>
          <t>y</t>
        </is>
      </c>
    </row>
    <row r="25" x14ac:dyDescent="0.25">
      <c r="K25" s="314">
        <v>0</v>
      </c>
      <c r="L25" s="314">
        <v>0</v>
      </c>
      <c r="S25" s="314">
        <v>0</v>
      </c>
      <c r="T25" s="314">
        <v>0</v>
      </c>
      <c r="W25">
        <f>IF(AND(Geometria!$M$19="1 - Retângular",Geometria!$M$20="3 - R/A"),-Geometria!$L$26/2,NA())</f>
        <v>-15.0</v>
      </c>
      <c r="X25">
        <f>IF(AND(Geometria!$M$19="1 - Retângular",Geometria!$M$20="3 - R/A"),Geometria!$L$27,NA())</f>
        <v>60.0</v>
      </c>
      <c r="Y25">
        <f>IF(AND(Geometria!$M$19="1 - Retângular",Geometria!$M$20="3 - R/A"),-Geometria!$L$26/2+Geometria!$R$76,NA())</f>
        <v>-12.0</v>
      </c>
      <c r="Z25">
        <f>IF(AND(Geometria!$M$19="1 - Retângular",Geometria!$M$20="3 - R/A"),Geometria!$R$76,NA())</f>
        <v>3.0</v>
      </c>
      <c r="AA25">
        <f>IF(AND(AND(Geometria!$M$19="1 - Retângular",Geometria!$M$20="3 - R/A"),Taxas!$H$70&gt;=1),-Geometria!$L$26/2+Geometria!$L$39/2,NA())</f>
        <v>-10.0</v>
      </c>
      <c r="AB25">
        <f>IF(AND(AND(Geometria!$M$19="1 - Retângular",Geometria!$M$20="3 - R/A"),Taxas!$H$70&gt;=1),Geometria!$L$27+(Geometria!$L$42+Geometria!$M$46)-Geometria!$R$76-Taxas!$I$70/20-0*(Taxas!$I$70/10+2),NA())</f>
        <v>89.5</v>
      </c>
    </row>
    <row r="26" x14ac:dyDescent="0.25">
      <c r="K26" s="314">
        <f>Geometria!L62/-2</f>
        <v>-20.0</v>
      </c>
      <c r="L26" s="314">
        <v>0</v>
      </c>
      <c r="S26" s="314">
        <f>Geometria!L62/-2</f>
        <v>-20.0</v>
      </c>
      <c r="T26" s="314">
        <v>0</v>
      </c>
      <c r="W26">
        <f>IF(AND(Geometria!$M$19="1 - Retângular",Geometria!$M$20="3 - R/A"),-Geometria!$L$26/2,NA())</f>
        <v>-15.0</v>
      </c>
      <c r="X26">
        <f>IF(AND(Geometria!$M$19="1 - Retângular",Geometria!$M$20="3 - R/A"),Geometria!$L$27+(Geometria!$L$42+Geometria!$M$46),NA())</f>
        <v>93.0</v>
      </c>
      <c r="Y26">
        <f>IF(AND(Geometria!$M$19="1 - Retângular",Geometria!$M$20="3 - R/A"),-Geometria!$L$26/2+Geometria!$R$76,NA())</f>
        <v>-12.0</v>
      </c>
      <c r="Z26">
        <f>IF(AND(Geometria!$M$19="1 - Retângular",Geometria!$M$20="3 - R/A"),Geometria!$L$27+(Geometria!$L$42+Geometria!$M$46)-Geometria!$R$76,NA())</f>
        <v>90.0</v>
      </c>
      <c r="AA26" t="e">
        <f>IF(AND(AND(Geometria!$M$19="1 - Retângular",Geometria!$M$20="3 - R/A"),Taxas!$H$70&gt;=2),-Geometria!$L$26/2+Geometria!$L$39/2,NA())</f>
        <v>#N/A</v>
      </c>
      <c r="AB26" t="e">
        <f>IF(AND(AND(Geometria!$M$19="1 - Retângular",Geometria!$M$20="3 - R/A"),Taxas!$H$70&gt;=2),Geometria!$L$27+(Geometria!$L$42+Geometria!$M$46)-Geometria!$R$76-Taxas!$I$70/20-1*(Taxas!$I$70/10+2),NA())</f>
        <v>#N/A</v>
      </c>
    </row>
    <row r="27" x14ac:dyDescent="0.25">
      <c r="B27" s="760" t="s">
        <v>53</v>
      </c>
      <c r="C27" s="760"/>
      <c r="K27" s="314">
        <f>K26</f>
        <v>-20.0</v>
      </c>
      <c r="L27" s="314">
        <f>Geometria!L67</f>
        <v>15.0</v>
      </c>
      <c r="S27" s="314">
        <f>S26</f>
        <v>-20.0</v>
      </c>
      <c r="T27" s="314">
        <f>Geometria!L67</f>
        <v>15.0</v>
      </c>
      <c r="W27">
        <f>IF(AND(Geometria!$M$19="1 - Retângular",Geometria!$M$20="3 - R/A"),-Geometria!$L$26/2+Geometria!$L$39,NA())</f>
        <v>-5.0</v>
      </c>
      <c r="X27">
        <f>IF(AND(Geometria!$M$19="1 - Retângular",Geometria!$M$20="3 - R/A"),Geometria!$L$27+(Geometria!$L$42+Geometria!$M$46),NA())</f>
        <v>93.0</v>
      </c>
      <c r="Y27">
        <f>IF(AND(Geometria!$M$19="1 - Retângular",Geometria!$M$20="3 - R/A"),-Geometria!$L$26/2+Geometria!$L$39-Geometria!$R$76,NA())</f>
        <v>-8.0</v>
      </c>
      <c r="Z27">
        <f>IF(AND(Geometria!$M$19="1 - Retângular",Geometria!$M$20="3 - R/A"),Geometria!$L$27+(Geometria!$L$42+Geometria!$M$46)-Geometria!$R$76,NA())</f>
        <v>90.0</v>
      </c>
    </row>
    <row r="28" x14ac:dyDescent="0.25">
      <c r="B28" s="446" t="s">
        <v>8</v>
      </c>
      <c r="C28" s="25" t="s">
        <v>499</v>
      </c>
      <c r="D28" s="61"/>
      <c r="G28" s="61"/>
      <c r="H28" s="61"/>
      <c r="I28" s="61"/>
      <c r="J28" s="61"/>
      <c r="K28" s="314">
        <f>Geometria!L61/-2</f>
        <v>-6.0</v>
      </c>
      <c r="L28" s="314">
        <f>Geometria!L66+Geometria!L67</f>
        <v>20.0</v>
      </c>
      <c r="S28" s="314">
        <f>Geometria!L61/-2</f>
        <v>-6.0</v>
      </c>
      <c r="T28" s="314">
        <f>Geometria!L66+Geometria!L67</f>
        <v>20.0</v>
      </c>
      <c r="W28">
        <f>IF(AND(Geometria!$M$19="1 - Retângular",Geometria!$M$20="3 - R/A"),-Geometria!$L$26/2+Geometria!$L$39,NA())</f>
        <v>-5.0</v>
      </c>
      <c r="X28">
        <f>IF(AND(Geometria!$M$19="1 - Retângular",Geometria!$M$20="3 - R/A"),Geometria!$L$27,NA())</f>
        <v>60.0</v>
      </c>
      <c r="Y28">
        <f>IF(AND(Geometria!$M$19="1 - Retângular",Geometria!$M$20="3 - R/A"),-Geometria!$L$26/2+Geometria!$L$39-Geometria!$R$76,NA())</f>
        <v>-8.0</v>
      </c>
      <c r="Z28">
        <f>IF(AND(Geometria!$M$19="1 - Retângular",Geometria!$M$20="3 - R/A"),Geometria!$R$76,NA())</f>
        <v>3.0</v>
      </c>
    </row>
    <row r="29" x14ac:dyDescent="0.25">
      <c r="B29" s="439">
        <v>0</v>
      </c>
      <c r="C29" s="437">
        <v>0</v>
      </c>
      <c r="K29" s="314">
        <f>K28</f>
        <v>-6.0</v>
      </c>
      <c r="L29" s="314">
        <f>L28+Geometria!L65</f>
        <v>50.0</v>
      </c>
      <c r="S29" s="314">
        <f>S28</f>
        <v>-6.0</v>
      </c>
      <c r="T29" s="314">
        <f>L28+Geometria!L65</f>
        <v>50.0</v>
      </c>
      <c r="Y29">
        <f>IF(AND(Geometria!$M$19="1 - Retângular",Geometria!$M$20="3 - R/A"),-Geometria!$L$26/2+Geometria!$R$76,NA())</f>
        <v>-12.0</v>
      </c>
      <c r="Z29">
        <f>IF(AND(Geometria!$M$19="1 - Retângular",Geometria!$M$20="3 - R/A"),Geometria!$R$76,NA())</f>
        <v>3.0</v>
      </c>
    </row>
    <row r="30" spans="1:20" x14ac:dyDescent="0.25">
      <c r="B30" s="447">
        <f>Geometria!L26/-2</f>
        <v>-15.0</v>
      </c>
      <c r="C30" s="447">
        <v>0</v>
      </c>
      <c r="D30" s="61"/>
      <c r="E30" s="61"/>
      <c r="F30" s="61"/>
      <c r="K30" s="314">
        <f>Geometria!L60/-2</f>
        <v>-15.0</v>
      </c>
      <c r="L30" s="314">
        <f>L29+Geometria!L64</f>
        <v>55.0</v>
      </c>
      <c r="S30" s="314">
        <f>Geometria!L60/-2</f>
        <v>-15.0</v>
      </c>
      <c r="T30" s="314">
        <f>L29+Geometria!L64</f>
        <v>55.0</v>
      </c>
    </row>
    <row r="31" spans="1:20" x14ac:dyDescent="0.25">
      <c r="B31" s="439">
        <f>Geometria!V40</f>
        <v>-15.0</v>
      </c>
      <c r="C31" s="438">
        <f>Geometria!L27-Geometria!L38</f>
        <v>40.0</v>
      </c>
      <c r="K31" s="314">
        <f>K30</f>
        <v>-15.0</v>
      </c>
      <c r="L31" s="314">
        <f>L30+Geometria!L63</f>
        <v>75.0</v>
      </c>
      <c r="S31" s="314">
        <f>S30</f>
        <v>-15.0</v>
      </c>
      <c r="T31" s="314">
        <f>L30+Geometria!L63</f>
        <v>75.0</v>
      </c>
    </row>
    <row r="32" spans="1:20" x14ac:dyDescent="0.25">
      <c r="B32" s="437">
        <f>Geometria!V41+Geometria!M36*-1</f>
        <v>-15.0</v>
      </c>
      <c r="C32" s="439">
        <f>Geometria!W41+Geometria!L38-Geometria!L37</f>
        <v>45.0</v>
      </c>
      <c r="D32" s="61"/>
      <c r="E32" s="61"/>
      <c r="F32" s="61"/>
      <c r="K32" s="314">
        <v>0</v>
      </c>
      <c r="L32" s="314">
        <f>L31</f>
        <v>75.0</v>
      </c>
      <c r="S32" s="314">
        <v>0</v>
      </c>
      <c r="T32" s="314">
        <f>T31</f>
        <v>75.0</v>
      </c>
    </row>
    <row r="33" spans="1:20" x14ac:dyDescent="0.25">
      <c r="B33" s="439">
        <f>Geometria!V42</f>
        <v>-15.0</v>
      </c>
      <c r="C33" s="438">
        <f>Geometria!L27</f>
        <v>60.0</v>
      </c>
      <c r="K33" s="314">
        <f>Geometria!L60/2</f>
        <v>15.0</v>
      </c>
      <c r="L33" s="314">
        <f>L32</f>
        <v>75.0</v>
      </c>
      <c r="S33" s="314">
        <f>Geometria!L60/2</f>
        <v>15.0</v>
      </c>
      <c r="T33" s="314">
        <f>T32</f>
        <v>75.0</v>
      </c>
    </row>
    <row r="34" spans="1:20" x14ac:dyDescent="0.25">
      <c r="B34" s="447">
        <f>Geometria!V43-Geometria!M36*-1</f>
        <v>-15.0</v>
      </c>
      <c r="C34" s="438">
        <f>Geometria!W43</f>
        <v>60.0</v>
      </c>
      <c r="D34" s="61"/>
      <c r="E34" s="61"/>
      <c r="F34" s="61"/>
      <c r="K34" s="314">
        <f>K33</f>
        <v>15.0</v>
      </c>
      <c r="L34" s="314">
        <f>L30</f>
        <v>55.0</v>
      </c>
      <c r="S34" s="314">
        <f>S33</f>
        <v>15.0</v>
      </c>
      <c r="T34" s="314">
        <f>T30</f>
        <v>55.0</v>
      </c>
    </row>
    <row r="35" spans="1:20" x14ac:dyDescent="0.25">
      <c r="B35" s="437">
        <f>Geometria!M44/-2</f>
        <v>-11.618950038622252</v>
      </c>
      <c r="C35" s="438">
        <f>Geometria!W44</f>
        <v>60.0</v>
      </c>
      <c r="K35" s="314">
        <f>Geometria!L61/2</f>
        <v>6.0</v>
      </c>
      <c r="L35" s="314">
        <f>L29</f>
        <v>50.0</v>
      </c>
      <c r="S35" s="314">
        <f>Geometria!L61/2</f>
        <v>6.0</v>
      </c>
      <c r="T35" s="314">
        <f>T29</f>
        <v>50.0</v>
      </c>
    </row>
    <row r="36" spans="1:20" x14ac:dyDescent="0.25">
      <c r="B36" s="439">
        <f>Geometria!V45</f>
        <v>-11.618950038622252</v>
      </c>
      <c r="C36" s="439">
        <f>Geometria!W45+Geometria!L42</f>
        <v>85.0</v>
      </c>
      <c r="D36" s="61"/>
      <c r="E36" s="61"/>
      <c r="F36" s="61"/>
      <c r="K36" s="314">
        <f>K35</f>
        <v>6.0</v>
      </c>
      <c r="L36" s="314">
        <f>L28</f>
        <v>20.0</v>
      </c>
      <c r="S36" s="314">
        <f>S35</f>
        <v>6.0</v>
      </c>
      <c r="T36" s="314">
        <f>T28</f>
        <v>20.0</v>
      </c>
    </row>
    <row r="37" spans="1:20" x14ac:dyDescent="0.25">
      <c r="B37" s="437">
        <f>Geometria!M43/-2</f>
        <v>-72.4247885740787</v>
      </c>
      <c r="C37" s="439">
        <f>Geometria!W46</f>
        <v>85.0</v>
      </c>
      <c r="K37" s="314">
        <f>Geometria!L62/2</f>
        <v>20.0</v>
      </c>
      <c r="L37" s="314">
        <f>L27</f>
        <v>15.0</v>
      </c>
      <c r="S37" s="314">
        <f>Geometria!L62/2</f>
        <v>20.0</v>
      </c>
      <c r="T37" s="314">
        <f>T27</f>
        <v>15.0</v>
      </c>
    </row>
    <row r="38" spans="1:20" ht="15" customHeight="1" x14ac:dyDescent="0.25">
      <c r="B38" s="439">
        <f>Geometria!V47</f>
        <v>-72.4247885740787</v>
      </c>
      <c r="C38" s="439">
        <f>Geometria!W47+Geometria!L45</f>
        <v>90.0</v>
      </c>
      <c r="D38" s="61"/>
      <c r="E38" s="61"/>
      <c r="F38" s="61"/>
      <c r="K38" s="314">
        <f>K37</f>
        <v>20.0</v>
      </c>
      <c r="L38" s="375">
        <v>0</v>
      </c>
      <c r="S38" s="314">
        <f>S37</f>
        <v>20.0</v>
      </c>
      <c r="T38" s="375">
        <v>0</v>
      </c>
    </row>
    <row r="39" spans="1:20" x14ac:dyDescent="0.25">
      <c r="B39" s="437">
        <f>Geometria!M43/2</f>
        <v>72.4247885740787</v>
      </c>
      <c r="C39" s="439">
        <f>Geometria!W48</f>
        <v>90.0</v>
      </c>
      <c r="K39" s="314">
        <v>0</v>
      </c>
      <c r="L39" s="314">
        <v>0</v>
      </c>
      <c r="S39" s="314">
        <v>0</v>
      </c>
      <c r="T39" s="314">
        <v>0</v>
      </c>
    </row>
    <row r="40" spans="1:20" x14ac:dyDescent="0.25">
      <c r="B40" s="437">
        <f>Geometria!V47*-1</f>
        <v>72.4247885740787</v>
      </c>
      <c r="C40" s="439">
        <f>Geometria!W47</f>
        <v>85.0</v>
      </c>
    </row>
    <row r="41" spans="1:20" x14ac:dyDescent="0.25">
      <c r="B41" s="437">
        <f>Geometria!V46*-1</f>
        <v>11.618950038622252</v>
      </c>
      <c r="C41" s="439">
        <f>Geometria!W46</f>
        <v>85.0</v>
      </c>
    </row>
    <row r="42" spans="1:20" x14ac:dyDescent="0.25">
      <c r="B42" s="437">
        <f>Geometria!V45*-1</f>
        <v>11.618950038622252</v>
      </c>
      <c r="C42" s="438">
        <f>Geometria!W45</f>
        <v>60.0</v>
      </c>
    </row>
    <row r="43" spans="1:20" x14ac:dyDescent="0.25">
      <c r="B43" s="437">
        <f>Geometria!V44*-1</f>
        <v>15.0</v>
      </c>
      <c r="C43" s="438">
        <f>Geometria!W52</f>
        <v>60.0</v>
      </c>
    </row>
    <row r="44" spans="1:20" x14ac:dyDescent="0.25">
      <c r="A44" s="40"/>
      <c r="B44" s="437">
        <f>Geometria!V43*-1</f>
        <v>15.0</v>
      </c>
      <c r="C44" s="438">
        <f>Geometria!W53</f>
        <v>60.0</v>
      </c>
    </row>
    <row r="45" spans="1:20" x14ac:dyDescent="0.25">
      <c r="A45" s="40"/>
      <c r="B45" s="439">
        <f>Geometria!V54</f>
        <v>15.0</v>
      </c>
      <c r="C45" s="439">
        <f>Geometria!W42</f>
        <v>45.0</v>
      </c>
    </row>
    <row r="46" spans="1:20" x14ac:dyDescent="0.25">
      <c r="A46" s="40"/>
      <c r="B46" s="437">
        <f>Geometria!V41*-1</f>
        <v>15.0</v>
      </c>
      <c r="C46" s="438">
        <f>Geometria!W41</f>
        <v>40.0</v>
      </c>
    </row>
    <row r="47" spans="1:20" x14ac:dyDescent="0.25">
      <c r="B47" s="439">
        <f>Geometria!V56</f>
        <v>15.0</v>
      </c>
      <c r="C47" s="447">
        <f>C30</f>
        <v>0.0</v>
      </c>
    </row>
    <row r="48" spans="1:20" x14ac:dyDescent="0.25">
      <c r="B48" s="439">
        <f>B29</f>
        <v>0.0</v>
      </c>
      <c r="C48" s="437">
        <f>C29</f>
        <v>0.0</v>
      </c>
    </row>
    <row r="51" spans="2:9" x14ac:dyDescent="0.25">
      <c r="C51" s="448"/>
    </row>
    <row r="52" spans="2:9" x14ac:dyDescent="0.25">
      <c r="B52" s="760" t="s">
        <v>1161</v>
      </c>
      <c r="C52" s="760"/>
    </row>
    <row r="53" spans="2:9" x14ac:dyDescent="0.25">
      <c r="B53" s="446" t="s">
        <v>8</v>
      </c>
      <c r="C53" s="25" t="s">
        <v>499</v>
      </c>
    </row>
    <row r="54" spans="2:9" x14ac:dyDescent="0.25">
      <c r="B54" s="439">
        <v>0</v>
      </c>
      <c r="C54" s="437">
        <v>0</v>
      </c>
      <c r="E54" s="448"/>
    </row>
    <row r="55" spans="2:9" x14ac:dyDescent="0.25">
      <c r="B55" s="439">
        <v>-30</v>
      </c>
      <c r="C55" s="437">
        <v>0</v>
      </c>
    </row>
    <row r="56" spans="2:9" x14ac:dyDescent="0.25">
      <c r="B56" s="447">
        <f>B55</f>
        <v>-30.0</v>
      </c>
      <c r="C56" s="447">
        <v>80</v>
      </c>
    </row>
    <row r="57" spans="2:9" x14ac:dyDescent="0.25">
      <c r="B57" s="439">
        <f>B56+13</f>
        <v>-17.0</v>
      </c>
      <c r="C57" s="438">
        <f>C56</f>
        <v>80.0</v>
      </c>
    </row>
    <row r="58" spans="2:9" x14ac:dyDescent="0.25">
      <c r="B58" s="439">
        <f>B57+1</f>
        <v>-16.0</v>
      </c>
      <c r="C58" s="439">
        <v>20</v>
      </c>
    </row>
    <row r="59" spans="2:9" x14ac:dyDescent="0.25">
      <c r="B59" s="437">
        <f>B58*-1</f>
        <v>16.0</v>
      </c>
      <c r="C59" s="438">
        <f>C58</f>
        <v>20.0</v>
      </c>
    </row>
    <row r="60" spans="2:9" x14ac:dyDescent="0.25">
      <c r="B60" s="447">
        <f>B57*-1</f>
        <v>17.0</v>
      </c>
      <c r="C60" s="438">
        <v>60</v>
      </c>
      <c r="I60" s="448"/>
    </row>
    <row r="61" spans="2:9" x14ac:dyDescent="0.25">
      <c r="B61" s="437">
        <f>B56*-1</f>
        <v>30.0</v>
      </c>
      <c r="C61" s="438">
        <f>C60</f>
        <v>60.0</v>
      </c>
    </row>
    <row r="62" spans="2:9" x14ac:dyDescent="0.25">
      <c r="B62" s="437">
        <f>B61</f>
        <v>30.0</v>
      </c>
      <c r="C62" s="439">
        <v>0</v>
      </c>
    </row>
    <row r="63" spans="2:9" x14ac:dyDescent="0.25">
      <c r="B63" s="437">
        <v>0</v>
      </c>
      <c r="C63" s="439">
        <v>0</v>
      </c>
    </row>
    <row r="64" spans="2:9" x14ac:dyDescent="0.25">
      <c r="B64" s="437"/>
      <c r="C64" s="439"/>
    </row>
    <row r="65" spans="2:20" x14ac:dyDescent="0.25">
      <c r="B65" s="437"/>
      <c r="C65" s="439"/>
    </row>
    <row r="66" spans="2:20" x14ac:dyDescent="0.25">
      <c r="B66" s="437"/>
      <c r="C66" s="439"/>
    </row>
    <row r="67" spans="2:20" x14ac:dyDescent="0.25">
      <c r="B67" s="437"/>
      <c r="C67" s="438"/>
    </row>
    <row r="68" spans="2:20" x14ac:dyDescent="0.25">
      <c r="B68" s="437"/>
      <c r="C68" s="438"/>
      <c r="S68" s="761" t="s">
        <v>1162</v>
      </c>
      <c r="T68" s="761"/>
    </row>
    <row r="69" spans="2:20" x14ac:dyDescent="0.25">
      <c r="B69" s="437"/>
      <c r="C69" s="438"/>
      <c r="S69" s="25" t="s">
        <v>8</v>
      </c>
      <c r="T69" s="25" t="s">
        <v>499</v>
      </c>
    </row>
    <row r="70" spans="2:20" x14ac:dyDescent="0.25">
      <c r="B70" s="437"/>
      <c r="C70" s="439"/>
      <c r="S70" s="314">
        <v>0</v>
      </c>
      <c r="T70" s="314">
        <v>0</v>
      </c>
    </row>
    <row r="71" spans="2:20" x14ac:dyDescent="0.25">
      <c r="B71" s="437"/>
      <c r="C71" s="438"/>
      <c r="S71" s="314">
        <f>Geometria!L62/-2</f>
        <v>-20.0</v>
      </c>
      <c r="T71" s="314">
        <v>0</v>
      </c>
    </row>
    <row r="72" spans="2:20" x14ac:dyDescent="0.25">
      <c r="B72" s="437"/>
      <c r="C72" s="447"/>
      <c r="S72" s="314">
        <f>S71</f>
        <v>-20.0</v>
      </c>
      <c r="T72" s="314">
        <f>Geometria!L67</f>
        <v>15.0</v>
      </c>
    </row>
    <row r="73" spans="2:20" x14ac:dyDescent="0.25">
      <c r="B73" s="439"/>
      <c r="C73" s="437"/>
      <c r="S73" s="314">
        <f>Geometria!L61/-2</f>
        <v>-6.0</v>
      </c>
      <c r="T73" s="314">
        <f>Geometria!L66+Geometria!L67</f>
        <v>20.0</v>
      </c>
    </row>
    <row r="74" spans="2:20" x14ac:dyDescent="0.25">
      <c r="S74" s="314">
        <f>S73</f>
        <v>-6.0</v>
      </c>
      <c r="T74" s="314">
        <f>L28+Geometria!L65</f>
        <v>50.0</v>
      </c>
    </row>
    <row r="75" spans="2:20" x14ac:dyDescent="0.25">
      <c r="S75" s="314">
        <f>Geometria!L60/-2</f>
        <v>-15.0</v>
      </c>
      <c r="T75" s="314">
        <f>L29+Geometria!L64</f>
        <v>55.0</v>
      </c>
    </row>
    <row r="76" spans="2:20" x14ac:dyDescent="0.25">
      <c r="S76" s="314">
        <f>S75</f>
        <v>-15.0</v>
      </c>
      <c r="T76" s="314">
        <f>L30+Geometria!L63</f>
        <v>75.0</v>
      </c>
    </row>
    <row r="77" spans="2:20" x14ac:dyDescent="0.25">
      <c r="B77" s="760" t="s">
        <v>1163</v>
      </c>
      <c r="C77" s="760"/>
      <c r="K77" s="761" t="s">
        <v>1164</v>
      </c>
      <c r="L77" s="761"/>
      <c r="S77" s="445">
        <f>Geometria!M44/-2</f>
        <v>-11.618950038622252</v>
      </c>
      <c r="T77" s="25">
        <f>T76</f>
        <v>75.0</v>
      </c>
    </row>
    <row r="78" spans="2:20" x14ac:dyDescent="0.25">
      <c r="B78" s="446" t="s">
        <v>8</v>
      </c>
      <c r="C78" s="25" t="s">
        <v>499</v>
      </c>
      <c r="K78" s="760" t="s">
        <v>1163</v>
      </c>
      <c r="L78" s="760"/>
      <c r="S78" s="445">
        <f>S77</f>
        <v>-11.618950038622252</v>
      </c>
      <c r="T78" s="25">
        <f>T77+Geometria!L42</f>
        <v>100.0</v>
      </c>
    </row>
    <row r="79" spans="2:20" x14ac:dyDescent="0.25">
      <c r="B79" s="437">
        <v>0</v>
      </c>
      <c r="C79" s="439">
        <v>0</v>
      </c>
      <c r="E79" s="448"/>
      <c r="K79" s="446" t="s">
        <v>8</v>
      </c>
      <c r="L79" s="25" t="s">
        <v>499</v>
      </c>
      <c r="S79" s="445">
        <f>Geometria!M43/-2</f>
        <v>-72.4247885740787</v>
      </c>
      <c r="T79" s="25">
        <f>T78</f>
        <v>100.0</v>
      </c>
    </row>
    <row r="80" spans="2:20" x14ac:dyDescent="0.25">
      <c r="B80" s="439">
        <v>-6</v>
      </c>
      <c r="C80" s="437">
        <v>0</v>
      </c>
      <c r="K80" s="437">
        <v>0</v>
      </c>
      <c r="L80" s="439">
        <v>0</v>
      </c>
      <c r="S80" s="445">
        <f>S79</f>
        <v>-72.4247885740787</v>
      </c>
      <c r="T80" s="25">
        <f>T79+Geometria!L45</f>
        <v>105.0</v>
      </c>
    </row>
    <row r="81" spans="2:20" x14ac:dyDescent="0.25">
      <c r="B81" s="439">
        <v>-8</v>
      </c>
      <c r="C81" s="437">
        <v>43</v>
      </c>
      <c r="K81" s="439">
        <v>-6</v>
      </c>
      <c r="L81" s="437">
        <v>0</v>
      </c>
      <c r="S81" s="445">
        <f>S80*-1</f>
        <v>72.4247885740787</v>
      </c>
      <c r="T81" s="25">
        <f>T80</f>
        <v>105.0</v>
      </c>
    </row>
    <row r="82" spans="2:20" x14ac:dyDescent="0.25">
      <c r="B82" s="447">
        <v>-64.75</v>
      </c>
      <c r="C82" s="447">
        <v>43</v>
      </c>
      <c r="K82" s="439">
        <v>-8</v>
      </c>
      <c r="L82" s="437">
        <v>43</v>
      </c>
      <c r="S82" s="445">
        <f>S81</f>
        <v>72.4247885740787</v>
      </c>
      <c r="T82" s="25">
        <f>T79</f>
        <v>100.0</v>
      </c>
    </row>
    <row r="83" spans="2:20" x14ac:dyDescent="0.25">
      <c r="B83" s="439">
        <f>B82</f>
        <v>-64.75</v>
      </c>
      <c r="C83" s="438">
        <v>48</v>
      </c>
      <c r="K83" s="447">
        <v>-64.75</v>
      </c>
      <c r="L83" s="447">
        <v>43</v>
      </c>
      <c r="S83" s="445">
        <f>S78*-1</f>
        <v>11.618950038622252</v>
      </c>
      <c r="T83" s="25">
        <f>T82</f>
        <v>100.0</v>
      </c>
    </row>
    <row r="84" spans="2:20" x14ac:dyDescent="0.25">
      <c r="B84" s="439">
        <v>60</v>
      </c>
      <c r="C84" s="439">
        <f>C83</f>
        <v>48.0</v>
      </c>
      <c r="K84" s="439">
        <f>K83</f>
        <v>-64.75</v>
      </c>
      <c r="L84" s="438">
        <v>48</v>
      </c>
      <c r="S84" s="445">
        <f>S83</f>
        <v>11.618950038622252</v>
      </c>
      <c r="T84" s="25">
        <f>T77</f>
        <v>75.0</v>
      </c>
    </row>
    <row r="85" spans="2:20" x14ac:dyDescent="0.25">
      <c r="B85" s="439">
        <f>B84</f>
        <v>60.0</v>
      </c>
      <c r="C85" s="438">
        <f>C82</f>
        <v>43.0</v>
      </c>
      <c r="I85" s="448"/>
      <c r="J85" s="43"/>
      <c r="K85" s="445">
        <f>K86</f>
        <v>-48.315467243937526</v>
      </c>
      <c r="L85" s="449">
        <f>L84</f>
        <v>48.0</v>
      </c>
      <c r="S85" s="375">
        <f>S84</f>
        <v>11.618950038622252</v>
      </c>
      <c r="T85" s="314">
        <f>T76</f>
        <v>75.0</v>
      </c>
    </row>
    <row r="86" spans="2:20" x14ac:dyDescent="0.25">
      <c r="B86" s="447">
        <f>B81*-1</f>
        <v>8.0</v>
      </c>
      <c r="C86" s="438">
        <f>C85</f>
        <v>43.0</v>
      </c>
      <c r="J86" s="55"/>
      <c r="K86" s="439">
        <f>((K89+ABS(K84))*Geometria!L93)/-2</f>
        <v>-48.315467243937526</v>
      </c>
      <c r="L86" s="438">
        <f>L84+Geometria!L45</f>
        <v>53.0</v>
      </c>
      <c r="S86" s="314">
        <f>Geometria!L60/2</f>
        <v>15.0</v>
      </c>
      <c r="T86" s="314">
        <f>T85</f>
        <v>75.0</v>
      </c>
    </row>
    <row r="87" spans="2:20" x14ac:dyDescent="0.25">
      <c r="B87" s="437">
        <f>B80*-1</f>
        <v>6.0</v>
      </c>
      <c r="C87" s="438">
        <v>0</v>
      </c>
      <c r="K87" s="439">
        <f>((K89+ABS(K84))*Geometria!L93)/2</f>
        <v>48.315467243937526</v>
      </c>
      <c r="L87" s="438">
        <f>L86</f>
        <v>53.0</v>
      </c>
      <c r="S87" s="314">
        <f>S86</f>
        <v>15.0</v>
      </c>
      <c r="T87" s="314">
        <f>T75</f>
        <v>55.0</v>
      </c>
    </row>
    <row r="88" spans="2:20" x14ac:dyDescent="0.25">
      <c r="B88" s="437">
        <v>0</v>
      </c>
      <c r="C88" s="439">
        <v>0</v>
      </c>
      <c r="K88" s="445">
        <f>K87</f>
        <v>48.315467243937526</v>
      </c>
      <c r="L88" s="445">
        <f>L89</f>
        <v>48.0</v>
      </c>
      <c r="S88" s="314">
        <f>Geometria!L61/2</f>
        <v>6.0</v>
      </c>
      <c r="T88" s="314">
        <f>T74</f>
        <v>50.0</v>
      </c>
    </row>
    <row r="89" spans="2:20" x14ac:dyDescent="0.25">
      <c r="B89" s="437"/>
      <c r="C89" s="439"/>
      <c r="K89" s="439">
        <v>60</v>
      </c>
      <c r="L89" s="439">
        <f>L84</f>
        <v>48.0</v>
      </c>
      <c r="S89" s="314">
        <f>S88</f>
        <v>6.0</v>
      </c>
      <c r="T89" s="314">
        <f>T73</f>
        <v>20.0</v>
      </c>
    </row>
    <row r="90" spans="2:20" x14ac:dyDescent="0.25">
      <c r="B90" s="437"/>
      <c r="C90" s="439"/>
      <c r="K90" s="439">
        <f>K89</f>
        <v>60.0</v>
      </c>
      <c r="L90" s="438">
        <f>L83</f>
        <v>43.0</v>
      </c>
      <c r="S90" s="314">
        <f>Geometria!L62/2</f>
        <v>20.0</v>
      </c>
      <c r="T90" s="314">
        <f>T72</f>
        <v>15.0</v>
      </c>
    </row>
    <row r="91" spans="2:20" x14ac:dyDescent="0.25">
      <c r="B91" s="437"/>
      <c r="C91" s="439"/>
      <c r="K91" s="447">
        <f>K82*-1</f>
        <v>8.0</v>
      </c>
      <c r="L91" s="438">
        <f>L90</f>
        <v>43.0</v>
      </c>
      <c r="S91" s="314">
        <f>S90</f>
        <v>20.0</v>
      </c>
      <c r="T91" s="375">
        <v>0</v>
      </c>
    </row>
    <row r="92" spans="2:20" x14ac:dyDescent="0.25">
      <c r="B92" s="437"/>
      <c r="C92" s="438"/>
      <c r="K92" s="437">
        <f>K81*-1</f>
        <v>6.0</v>
      </c>
      <c r="L92" s="438">
        <v>0</v>
      </c>
      <c r="S92" s="314">
        <v>0</v>
      </c>
      <c r="T92" s="314">
        <v>0</v>
      </c>
    </row>
    <row r="93" spans="2:20" x14ac:dyDescent="0.25">
      <c r="B93" s="437"/>
      <c r="C93" s="438"/>
      <c r="K93" s="437">
        <v>0</v>
      </c>
      <c r="L93" s="439">
        <v>0</v>
      </c>
    </row>
    <row r="94" spans="2:20" x14ac:dyDescent="0.25">
      <c r="B94" s="437"/>
      <c r="C94" s="438"/>
      <c r="K94" s="437"/>
      <c r="L94" s="438"/>
    </row>
    <row r="95" spans="2:20" x14ac:dyDescent="0.25">
      <c r="B95" s="437"/>
      <c r="C95" s="439"/>
      <c r="K95" s="437"/>
      <c r="L95" s="438"/>
    </row>
    <row r="96" spans="2:20" x14ac:dyDescent="0.25">
      <c r="B96" s="437"/>
      <c r="C96" s="438"/>
      <c r="K96" s="437"/>
      <c r="L96" s="439"/>
    </row>
    <row r="97" spans="2:12" x14ac:dyDescent="0.25">
      <c r="B97" s="437"/>
      <c r="C97" s="447"/>
      <c r="K97" s="437"/>
      <c r="L97" s="438"/>
    </row>
    <row r="98" spans="2:12" x14ac:dyDescent="0.25">
      <c r="K98" s="437"/>
      <c r="L98" s="447"/>
    </row>
    <row r="103" spans="2:12" x14ac:dyDescent="0.25">
      <c r="B103" s="760" t="s">
        <v>1165</v>
      </c>
      <c r="C103" s="760"/>
      <c r="K103" s="761" t="s">
        <v>1164</v>
      </c>
      <c r="L103" s="761"/>
    </row>
    <row r="104" spans="2:12" x14ac:dyDescent="0.25">
      <c r="B104" s="446" t="s">
        <v>8</v>
      </c>
      <c r="C104" s="25" t="s">
        <v>499</v>
      </c>
      <c r="K104" s="760" t="s">
        <v>1165</v>
      </c>
      <c r="L104" s="760"/>
    </row>
    <row r="105" spans="2:12" x14ac:dyDescent="0.25">
      <c r="B105" s="437">
        <v>0</v>
      </c>
      <c r="C105" s="439">
        <v>0</v>
      </c>
      <c r="E105" s="448"/>
      <c r="K105" s="446" t="s">
        <v>8</v>
      </c>
      <c r="L105" s="25" t="s">
        <v>499</v>
      </c>
    </row>
    <row r="106" spans="2:12" x14ac:dyDescent="0.25">
      <c r="B106" s="439">
        <v>-7</v>
      </c>
      <c r="C106" s="437">
        <v>0</v>
      </c>
      <c r="K106" s="437">
        <v>0</v>
      </c>
      <c r="L106" s="439">
        <v>0</v>
      </c>
    </row>
    <row r="107" spans="2:12" x14ac:dyDescent="0.25">
      <c r="B107" s="439">
        <v>-9</v>
      </c>
      <c r="C107" s="437">
        <v>57</v>
      </c>
      <c r="K107" s="439">
        <v>-7</v>
      </c>
      <c r="L107" s="437">
        <v>0</v>
      </c>
    </row>
    <row r="108" spans="2:12" x14ac:dyDescent="0.25">
      <c r="B108" s="447">
        <v>-62.25</v>
      </c>
      <c r="C108" s="447">
        <f>C107</f>
        <v>57.0</v>
      </c>
      <c r="K108" s="439">
        <v>-9</v>
      </c>
      <c r="L108" s="437">
        <v>57</v>
      </c>
    </row>
    <row r="109" spans="2:12" x14ac:dyDescent="0.25">
      <c r="B109" s="439">
        <f>B108</f>
        <v>-62.25</v>
      </c>
      <c r="C109" s="438">
        <v>64</v>
      </c>
      <c r="K109" s="447">
        <v>-62.25</v>
      </c>
      <c r="L109" s="447">
        <f>L108</f>
        <v>57.0</v>
      </c>
    </row>
    <row r="110" spans="2:12" x14ac:dyDescent="0.25">
      <c r="B110" s="439">
        <v>62.5</v>
      </c>
      <c r="C110" s="439">
        <f>C109</f>
        <v>64.0</v>
      </c>
      <c r="K110" s="439">
        <f>K109</f>
        <v>-62.25</v>
      </c>
      <c r="L110" s="438">
        <v>64</v>
      </c>
    </row>
    <row r="111" spans="2:12" x14ac:dyDescent="0.25">
      <c r="B111" s="439">
        <f>B110</f>
        <v>62.5</v>
      </c>
      <c r="C111" s="438">
        <f>C108</f>
        <v>57.0</v>
      </c>
      <c r="I111" s="448"/>
      <c r="K111" s="445">
        <f>((K116+ABS(K110))*Geometria!L93)/-2</f>
        <v>-48.315467243937526</v>
      </c>
      <c r="L111" s="445">
        <f>L110</f>
        <v>64.0</v>
      </c>
    </row>
    <row r="112" spans="2:12" x14ac:dyDescent="0.25">
      <c r="B112" s="447">
        <f>B107*-1</f>
        <v>9.0</v>
      </c>
      <c r="C112" s="438">
        <f>C111</f>
        <v>57.0</v>
      </c>
      <c r="K112" s="445">
        <f>K111</f>
        <v>-48.315467243937526</v>
      </c>
      <c r="L112" s="445">
        <f>L111+Geometria!L45</f>
        <v>69.0</v>
      </c>
    </row>
    <row r="113" spans="2:12" x14ac:dyDescent="0.25">
      <c r="B113" s="437">
        <f>B106*-1</f>
        <v>7.0</v>
      </c>
      <c r="C113" s="438">
        <v>0</v>
      </c>
      <c r="K113" s="445">
        <f>K112*-1</f>
        <v>48.315467243937526</v>
      </c>
      <c r="L113" s="445">
        <f>L112</f>
        <v>69.0</v>
      </c>
    </row>
    <row r="114" spans="2:12" x14ac:dyDescent="0.25">
      <c r="B114" s="437">
        <v>0</v>
      </c>
      <c r="C114" s="439">
        <v>0</v>
      </c>
      <c r="K114" s="445">
        <f>K113</f>
        <v>48.315467243937526</v>
      </c>
      <c r="L114" s="445">
        <f>L115</f>
        <v>64.0</v>
      </c>
    </row>
    <row r="115" spans="2:12" x14ac:dyDescent="0.25">
      <c r="B115" s="437"/>
      <c r="C115" s="439"/>
      <c r="K115" s="439">
        <v>62.5</v>
      </c>
      <c r="L115" s="439">
        <f>L110</f>
        <v>64.0</v>
      </c>
    </row>
    <row r="116" spans="2:12" x14ac:dyDescent="0.25">
      <c r="B116" s="437"/>
      <c r="C116" s="439"/>
      <c r="K116" s="439">
        <f>K115</f>
        <v>62.5</v>
      </c>
      <c r="L116" s="438">
        <f>L109</f>
        <v>57.0</v>
      </c>
    </row>
    <row r="117" spans="2:12" x14ac:dyDescent="0.25">
      <c r="B117" s="437"/>
      <c r="C117" s="439"/>
      <c r="K117" s="447">
        <f>K108*-1</f>
        <v>9.0</v>
      </c>
      <c r="L117" s="438">
        <f>L116</f>
        <v>57.0</v>
      </c>
    </row>
    <row r="118" spans="2:12" x14ac:dyDescent="0.25">
      <c r="B118" s="437"/>
      <c r="C118" s="438"/>
      <c r="K118" s="437">
        <f>K107*-1</f>
        <v>7.0</v>
      </c>
      <c r="L118" s="438">
        <v>0</v>
      </c>
    </row>
    <row r="119" spans="2:12" x14ac:dyDescent="0.25">
      <c r="B119" s="437"/>
      <c r="C119" s="438"/>
      <c r="K119" s="437">
        <v>0</v>
      </c>
      <c r="L119" s="439">
        <v>0</v>
      </c>
    </row>
    <row r="120" spans="2:12" x14ac:dyDescent="0.25">
      <c r="B120" s="437"/>
      <c r="C120" s="438"/>
      <c r="K120" s="437"/>
      <c r="L120" s="438"/>
    </row>
    <row r="121" spans="2:12" x14ac:dyDescent="0.25">
      <c r="B121" s="437"/>
      <c r="C121" s="439"/>
      <c r="K121" s="437"/>
      <c r="L121" s="438"/>
    </row>
    <row r="122" spans="2:12" x14ac:dyDescent="0.25">
      <c r="B122" s="437"/>
      <c r="C122" s="438"/>
      <c r="K122" s="437"/>
      <c r="L122" s="439"/>
    </row>
    <row r="123" spans="2:12" x14ac:dyDescent="0.25">
      <c r="B123" s="437"/>
      <c r="C123" s="447"/>
      <c r="K123" s="437"/>
      <c r="L123" s="438"/>
    </row>
    <row r="124" spans="2:12" x14ac:dyDescent="0.25">
      <c r="K124" s="437"/>
      <c r="L124" s="447"/>
    </row>
    <row r="131" spans="2:12" x14ac:dyDescent="0.25">
      <c r="B131" s="760" t="s">
        <v>1166</v>
      </c>
      <c r="C131" s="760"/>
      <c r="K131" s="761" t="s">
        <v>1164</v>
      </c>
      <c r="L131" s="761"/>
    </row>
    <row r="132" spans="2:12" x14ac:dyDescent="0.25">
      <c r="B132" s="446" t="s">
        <v>8</v>
      </c>
      <c r="C132" s="25" t="s">
        <v>499</v>
      </c>
      <c r="K132" s="760" t="s">
        <v>1166</v>
      </c>
      <c r="L132" s="760"/>
    </row>
    <row r="133" spans="2:12" x14ac:dyDescent="0.25">
      <c r="B133" s="437">
        <v>0</v>
      </c>
      <c r="C133" s="439">
        <v>0</v>
      </c>
      <c r="E133" s="448"/>
      <c r="K133" s="446" t="s">
        <v>8</v>
      </c>
      <c r="L133" s="25" t="s">
        <v>499</v>
      </c>
    </row>
    <row r="134" spans="2:12" x14ac:dyDescent="0.25">
      <c r="B134" s="439">
        <v>-7</v>
      </c>
      <c r="C134" s="437">
        <v>0</v>
      </c>
      <c r="K134" s="437">
        <v>0</v>
      </c>
      <c r="L134" s="439">
        <v>0</v>
      </c>
    </row>
    <row r="135" spans="2:12" x14ac:dyDescent="0.25">
      <c r="B135" s="439">
        <v>-9</v>
      </c>
      <c r="C135" s="437">
        <v>73</v>
      </c>
      <c r="K135" s="439">
        <v>-7</v>
      </c>
      <c r="L135" s="437">
        <v>0</v>
      </c>
    </row>
    <row r="136" spans="2:12" x14ac:dyDescent="0.25">
      <c r="B136" s="447">
        <v>-62.25</v>
      </c>
      <c r="C136" s="447">
        <f>C135</f>
        <v>73.0</v>
      </c>
      <c r="K136" s="439">
        <v>-9</v>
      </c>
      <c r="L136" s="437">
        <v>73</v>
      </c>
    </row>
    <row r="137" spans="2:12" x14ac:dyDescent="0.25">
      <c r="B137" s="439">
        <f>B136</f>
        <v>-62.25</v>
      </c>
      <c r="C137" s="438">
        <v>80</v>
      </c>
      <c r="K137" s="447">
        <v>-62.25</v>
      </c>
      <c r="L137" s="447">
        <f>L136</f>
        <v>73.0</v>
      </c>
    </row>
    <row r="138" spans="2:12" x14ac:dyDescent="0.25">
      <c r="B138" s="439">
        <v>62.5</v>
      </c>
      <c r="C138" s="439">
        <f>C137</f>
        <v>80.0</v>
      </c>
      <c r="K138" s="439">
        <f>K137</f>
        <v>-62.25</v>
      </c>
      <c r="L138" s="438">
        <v>80</v>
      </c>
    </row>
    <row r="139" spans="2:12" x14ac:dyDescent="0.25">
      <c r="B139" s="439">
        <f>B138</f>
        <v>62.5</v>
      </c>
      <c r="C139" s="438">
        <f>C136</f>
        <v>73.0</v>
      </c>
      <c r="I139" s="448"/>
      <c r="K139" s="445">
        <f>((K144+ABS(K138))*Geometria!L93)/-2</f>
        <v>-48.315467243937526</v>
      </c>
      <c r="L139" s="445">
        <f>L138</f>
        <v>80.0</v>
      </c>
    </row>
    <row r="140" spans="2:12" x14ac:dyDescent="0.25">
      <c r="B140" s="447">
        <f>B135*-1</f>
        <v>9.0</v>
      </c>
      <c r="C140" s="438">
        <f>C139</f>
        <v>73.0</v>
      </c>
      <c r="K140" s="445">
        <f>K139</f>
        <v>-48.315467243937526</v>
      </c>
      <c r="L140" s="445">
        <f>L139+Geometria!L45</f>
        <v>85.0</v>
      </c>
    </row>
    <row r="141" spans="2:12" x14ac:dyDescent="0.25">
      <c r="B141" s="437">
        <f>B134*-1</f>
        <v>7.0</v>
      </c>
      <c r="C141" s="438">
        <v>0</v>
      </c>
      <c r="K141" s="445">
        <f>K140*-1</f>
        <v>48.315467243937526</v>
      </c>
      <c r="L141" s="445">
        <f>L140</f>
        <v>85.0</v>
      </c>
    </row>
    <row r="142" spans="2:12" x14ac:dyDescent="0.25">
      <c r="B142" s="437">
        <v>0</v>
      </c>
      <c r="C142" s="439">
        <v>0</v>
      </c>
      <c r="K142" s="445">
        <f>K141</f>
        <v>48.315467243937526</v>
      </c>
      <c r="L142" s="445">
        <f>L143</f>
        <v>80.0</v>
      </c>
    </row>
    <row r="143" spans="2:12" x14ac:dyDescent="0.25">
      <c r="B143" s="437"/>
      <c r="C143" s="439"/>
      <c r="K143" s="439">
        <v>62.5</v>
      </c>
      <c r="L143" s="439">
        <f>L138</f>
        <v>80.0</v>
      </c>
    </row>
    <row r="144" spans="2:12" x14ac:dyDescent="0.25">
      <c r="B144" s="437"/>
      <c r="C144" s="439"/>
      <c r="K144" s="439">
        <f>K143</f>
        <v>62.5</v>
      </c>
      <c r="L144" s="438">
        <f>L137</f>
        <v>73.0</v>
      </c>
    </row>
    <row r="145" spans="2:12" x14ac:dyDescent="0.25">
      <c r="B145" s="437"/>
      <c r="C145" s="439"/>
      <c r="K145" s="447">
        <f>K136*-1</f>
        <v>9.0</v>
      </c>
      <c r="L145" s="438">
        <f>L144</f>
        <v>73.0</v>
      </c>
    </row>
    <row r="146" spans="2:12" x14ac:dyDescent="0.25">
      <c r="B146" s="437"/>
      <c r="C146" s="438"/>
      <c r="K146" s="437">
        <f>K135*-1</f>
        <v>7.0</v>
      </c>
      <c r="L146" s="438">
        <v>0</v>
      </c>
    </row>
    <row r="147" spans="2:12" x14ac:dyDescent="0.25">
      <c r="B147" s="437"/>
      <c r="C147" s="438"/>
      <c r="K147" s="437">
        <v>0</v>
      </c>
      <c r="L147" s="439">
        <v>0</v>
      </c>
    </row>
    <row r="148" spans="2:12" x14ac:dyDescent="0.25">
      <c r="B148" s="437"/>
      <c r="C148" s="438"/>
      <c r="K148" s="437"/>
      <c r="L148" s="439"/>
    </row>
    <row r="149" spans="2:12" x14ac:dyDescent="0.25">
      <c r="B149" s="437"/>
      <c r="C149" s="439"/>
      <c r="K149" s="437"/>
      <c r="L149" s="438"/>
    </row>
    <row r="150" spans="2:12" x14ac:dyDescent="0.25">
      <c r="B150" s="437"/>
      <c r="C150" s="438"/>
      <c r="K150" s="437"/>
      <c r="L150" s="439"/>
    </row>
    <row r="151" spans="2:12" x14ac:dyDescent="0.25">
      <c r="B151" s="437"/>
      <c r="C151" s="447"/>
      <c r="K151" s="437"/>
      <c r="L151" s="438"/>
    </row>
    <row r="152" spans="2:12" x14ac:dyDescent="0.25">
      <c r="K152" s="437"/>
      <c r="L152" s="447"/>
    </row>
  </sheetData>
  <mergeCells count="31">
    <mergeCell ref="AE2:AE3"/>
    <mergeCell ref="AF2:AF3"/>
    <mergeCell ref="AG2:AG3"/>
    <mergeCell ref="AH2:AH3"/>
    <mergeCell ref="AE4:AE5"/>
    <mergeCell ref="AF4:AF5"/>
    <mergeCell ref="AG4:AG5"/>
    <mergeCell ref="AH4:AH5"/>
    <mergeCell ref="B6:C6"/>
    <mergeCell ref="AE6:AH6"/>
    <mergeCell ref="AE7:AE8"/>
    <mergeCell ref="AF7:AF8"/>
    <mergeCell ref="AG7:AG8"/>
    <mergeCell ref="AH7:AH8"/>
    <mergeCell ref="AE9:AH9"/>
    <mergeCell ref="AE10:AE11"/>
    <mergeCell ref="AF10:AF11"/>
    <mergeCell ref="AG10:AG11"/>
    <mergeCell ref="AH10:AH11"/>
    <mergeCell ref="B27:C27"/>
    <mergeCell ref="B52:C52"/>
    <mergeCell ref="S68:T68"/>
    <mergeCell ref="B77:C77"/>
    <mergeCell ref="K77:L77"/>
    <mergeCell ref="K132:L132"/>
    <mergeCell ref="K78:L78"/>
    <mergeCell ref="B103:C103"/>
    <mergeCell ref="K103:L103"/>
    <mergeCell ref="K104:L104"/>
    <mergeCell ref="B131:C131"/>
    <mergeCell ref="K131:L131"/>
  </mergeCells>
  <pageMargins left="0.51180555555555596" right="0.51180555555555596" top="0.78749999999999998" bottom="0.78749999999999998" header="0.511811023622047" footer="0.511811023622047"/>
  <pageSetup paperSize="9" scale="26"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101"/>
  <sheetViews>
    <sheetView showGridLines="0" view="pageBreakPreview" zoomScale="85" zoomScaleNormal="85" zoomScalePageLayoutView="85" workbookViewId="0">
      <selection activeCell="B7" sqref="B7"/>
    </sheetView>
  </sheetViews>
  <sheetFormatPr defaultColWidth="8.5703125" defaultRowHeight="15" x14ac:dyDescent="0.25"/>
  <cols>
    <col min="6" max="6" width="11.7109375" customWidth="1"/>
    <col min="13" max="13" width="15.85546875" customWidth="1"/>
    <col min="17" max="17" width="17.28515625" customWidth="1"/>
  </cols>
  <sheetData>
    <row r="1" spans="1:24" ht="15.75" x14ac:dyDescent="0.25">
      <c r="A1" s="421"/>
      <c r="B1" s="421" t="s">
        <v>1155</v>
      </c>
      <c r="C1" s="422"/>
      <c r="D1" s="422"/>
      <c r="E1" s="422"/>
      <c r="F1" s="422"/>
      <c r="G1" s="422"/>
      <c r="H1" s="422"/>
      <c r="I1" s="423"/>
      <c r="J1" s="422"/>
      <c r="K1" s="313"/>
      <c r="L1" s="313"/>
      <c r="M1" s="313"/>
      <c r="N1" s="313"/>
      <c r="O1" s="313"/>
      <c r="P1" s="313"/>
      <c r="Q1" s="313"/>
      <c r="R1" s="313"/>
      <c r="S1" s="313"/>
      <c r="T1" s="313"/>
      <c r="U1" s="313"/>
      <c r="V1" s="313"/>
      <c r="W1" s="313"/>
      <c r="X1" s="313"/>
    </row>
    <row r="2" spans="1:24" x14ac:dyDescent="0.25">
      <c r="A2" s="424" t="s">
        <v>1156</v>
      </c>
      <c r="B2" s="425" t="s">
        <v>35</v>
      </c>
      <c r="C2" s="313"/>
      <c r="D2" s="313"/>
      <c r="F2" s="313"/>
      <c r="G2" s="313"/>
      <c r="H2" s="313"/>
      <c r="I2" s="313"/>
      <c r="J2" s="313"/>
      <c r="K2" s="313"/>
      <c r="L2" s="313"/>
      <c r="M2" s="313"/>
      <c r="N2" s="313"/>
      <c r="O2" s="313"/>
      <c r="P2" s="313"/>
      <c r="Q2" s="313"/>
      <c r="R2" s="313"/>
      <c r="S2" s="313"/>
      <c r="T2" s="313"/>
      <c r="U2" s="313"/>
      <c r="V2" s="313"/>
      <c r="W2" s="313"/>
      <c r="X2" s="313"/>
    </row>
    <row r="3" spans="1:24" x14ac:dyDescent="0.25">
      <c r="A3" s="313"/>
      <c r="B3" s="313"/>
      <c r="C3" s="313" t="str">
        <f>Geometria!$M$19</f>
        <v>1 - Retângular</v>
      </c>
      <c r="D3" s="313"/>
      <c r="E3" s="313"/>
      <c r="F3" s="313"/>
      <c r="G3" s="313"/>
      <c r="H3" s="313"/>
      <c r="I3" s="313"/>
      <c r="J3" s="313"/>
      <c r="K3" s="313"/>
      <c r="L3" s="313"/>
      <c r="M3" s="313"/>
      <c r="N3" s="313"/>
      <c r="O3" s="313"/>
      <c r="P3" s="313"/>
      <c r="Q3" s="313"/>
      <c r="R3" s="313"/>
      <c r="S3" s="313"/>
      <c r="T3" s="313"/>
      <c r="U3" s="313"/>
      <c r="V3" s="313"/>
      <c r="W3" s="313"/>
      <c r="X3" s="313"/>
    </row>
    <row r="4" spans="1:24" ht="23.25" customHeight="1" x14ac:dyDescent="0.25">
      <c r="A4" s="426" t="s">
        <v>1157</v>
      </c>
      <c r="B4" s="427"/>
      <c r="C4" s="428"/>
      <c r="D4" s="313"/>
      <c r="E4" s="740" t="s">
        <v>827</v>
      </c>
      <c r="F4" s="740"/>
      <c r="G4" s="740"/>
      <c r="H4" s="740"/>
      <c r="I4" s="740"/>
      <c r="J4" s="740"/>
      <c r="K4" s="311"/>
      <c r="L4" s="741" t="s">
        <v>828</v>
      </c>
      <c r="M4" s="741"/>
      <c r="N4" s="741"/>
      <c r="O4" s="311"/>
      <c r="P4" s="311"/>
      <c r="Q4" s="312" t="s">
        <v>829</v>
      </c>
      <c r="R4" s="312"/>
      <c r="S4" s="312"/>
      <c r="T4" s="312"/>
      <c r="U4" s="312"/>
      <c r="V4" s="312" t="s">
        <v>830</v>
      </c>
      <c r="W4" s="312">
        <f ca="1">MAX(X)-MIN(X)</f>
        <v>30.0</v>
      </c>
      <c r="X4" s="313"/>
    </row>
    <row r="5" spans="1:24" x14ac:dyDescent="0.25">
      <c r="A5" s="429"/>
      <c r="B5" s="430" t="s">
        <v>1158</v>
      </c>
      <c r="C5" s="430" t="s">
        <v>1159</v>
      </c>
      <c r="D5" s="313"/>
      <c r="E5" s="315" t="s">
        <v>831</v>
      </c>
      <c r="F5" s="316">
        <f ca="1">IF(F11=0,0,IF(F9-F10=0,45,DEGREES(1/2*ATAN(-2*F11/(F9-F10)))))</f>
        <v>0.0</v>
      </c>
      <c r="G5" s="317" t="s">
        <v>832</v>
      </c>
      <c r="H5" s="318" t="s">
        <v>833</v>
      </c>
      <c r="I5" s="313">
        <f ca="1">MAX(X)-MIN(X)</f>
        <v>30.0</v>
      </c>
      <c r="J5" s="319" t="str">
        <f>$B$2</f>
        <v>cm</v>
      </c>
      <c r="K5" s="320" t="s">
        <v>834</v>
      </c>
      <c r="L5" s="321" t="s">
        <v>60</v>
      </c>
      <c r="M5" s="322">
        <f ca="1">I6</f>
        <v>60.0</v>
      </c>
      <c r="N5" s="323" t="str">
        <f>B2</f>
        <v>cm</v>
      </c>
      <c r="O5" s="320"/>
      <c r="P5" s="320"/>
      <c r="Q5" s="324">
        <f t="array" aca="1" ref="Q5" ca="1">SUM((OFFSET(X,1,0)-X)*(Y+OFFSET(Y,1,0))/24*((OFFSET(Y,1,0)+Y)^2+(OFFSET(Y,1,0)-Y)^2))</f>
        <v>2160000.0</v>
      </c>
      <c r="R5" s="312" t="str">
        <f>$B$2&amp;"^4"</f>
        <v>cm^4</v>
      </c>
      <c r="S5" s="312" t="s">
        <v>835</v>
      </c>
      <c r="T5" s="325">
        <f ca="1">+(F9+F10)/2-SQRT((F9-F10)^2/4+F11^2)</f>
        <v>135000.0</v>
      </c>
      <c r="U5" s="312" t="str">
        <f>$B$2&amp;"^4"</f>
        <v>cm^4</v>
      </c>
      <c r="V5" s="312" t="s">
        <v>836</v>
      </c>
      <c r="W5" s="312">
        <f ca="1">MAX(Y)-MIN(Y)</f>
        <v>60.0</v>
      </c>
      <c r="X5" s="313"/>
    </row>
    <row r="6" spans="1:24" x14ac:dyDescent="0.25">
      <c r="A6" s="431">
        <v>1</v>
      </c>
      <c r="B6" s="432">
        <v>0</v>
      </c>
      <c r="C6" s="432">
        <v>0</v>
      </c>
      <c r="D6" s="313"/>
      <c r="E6" s="318" t="s">
        <v>837</v>
      </c>
      <c r="F6" s="326">
        <f t="array" aca="1" ref="F6" ca="1">SUM((Y-OFFSET(Y,1,0))*(X+OFFSET(X,1,0)))/2</f>
        <v>1800.0</v>
      </c>
      <c r="G6" s="317" t="str">
        <f>$B$2 &amp; "^2"</f>
        <v>cm^2</v>
      </c>
      <c r="H6" s="318" t="s">
        <v>838</v>
      </c>
      <c r="I6" s="313">
        <f ca="1">MAX(Y)-MIN(Y)</f>
        <v>60.0</v>
      </c>
      <c r="J6" s="319" t="str">
        <f>$B$2</f>
        <v>cm</v>
      </c>
      <c r="K6" s="320" t="s">
        <v>839</v>
      </c>
      <c r="L6" s="327" t="s">
        <v>298</v>
      </c>
      <c r="M6" s="328">
        <f ca="1">ABS(F6)</f>
        <v>1800.0</v>
      </c>
      <c r="N6" s="329" t="str">
        <f>CONCATENATE(B2,"²")</f>
        <v>cm²</v>
      </c>
      <c r="O6" s="320"/>
      <c r="P6" s="320"/>
      <c r="Q6" s="324">
        <f t="array" aca="1" ref="Q6" ca="1">-SUM((OFFSET(Y,1,0)-Y)*(X+OFFSET(X,1,0))/24*((OFFSET(X,1,0)+X)^2+(OFFSET(X,1,0)-X)^2))</f>
        <v>135000.0</v>
      </c>
      <c r="R6" s="312" t="str">
        <f>B2&amp;"^4"</f>
        <v>cm^4</v>
      </c>
      <c r="S6" s="312" t="s">
        <v>840</v>
      </c>
      <c r="T6" s="325">
        <f ca="1">+(F9+F10)/2+SQRT((F9-F10)^2/4+F11^2)</f>
        <v>540000.0</v>
      </c>
      <c r="U6" s="312" t="str">
        <f>$B$2&amp;"^4"</f>
        <v>cm^4</v>
      </c>
      <c r="V6" s="312" t="s">
        <v>841</v>
      </c>
      <c r="W6" s="312"/>
      <c r="X6" s="313"/>
    </row>
    <row r="7" spans="1:24" x14ac:dyDescent="0.25">
      <c r="A7" s="431">
        <f t="shared" ref="A7:A40" si="0">1+A6</f>
        <v>2.0</v>
      </c>
      <c r="B7" s="433">
        <f>IF($C$3="1 - Retângular",Seções!B8,Seções!K25)</f>
        <v>0.0</v>
      </c>
      <c r="C7" s="433">
        <f>IF($C$3="1 - Retângular",Seções!C8,Seções!L25)</f>
        <v>0.0</v>
      </c>
      <c r="D7" s="313"/>
      <c r="E7" s="318" t="s">
        <v>842</v>
      </c>
      <c r="F7" s="316">
        <f t="array" aca="1" ref="F7" ca="1">SUM((Y-OFFSET(Y,1,0))/8*((X+OFFSET(X,1,0))^2+(OFFSET(X,1,0)-X)^2/3))/$F$6</f>
        <v>0.0</v>
      </c>
      <c r="G7" s="317" t="str">
        <f>B2</f>
        <v>cm</v>
      </c>
      <c r="H7" s="318" t="s">
        <v>843</v>
      </c>
      <c r="I7" s="330">
        <f ca="1">F9/ABS(MAX(Y)-$F$8)</f>
        <v>18000.0</v>
      </c>
      <c r="J7" s="317" t="str">
        <f>$B$2&amp;"^3"</f>
        <v>cm^3</v>
      </c>
      <c r="K7" s="320" t="s">
        <v>844</v>
      </c>
      <c r="L7" s="331" t="s">
        <v>845</v>
      </c>
      <c r="M7" s="332">
        <f ca="1">F8</f>
        <v>30.0</v>
      </c>
      <c r="N7" s="333" t="str">
        <f>B2</f>
        <v>cm</v>
      </c>
      <c r="O7" s="320"/>
      <c r="P7" s="320"/>
      <c r="Q7" s="324">
        <f t="array" aca="1" ref="Q7" ca="1">SUM(((OFFSET(Y,1,0)-Y)^2*(OFFSET(X,1,0)+X)*(OFFSET(X,1,0)^2+X^2)/8+(OFFSET(Y,1,0)-Y)*(OFFSET(X,1,0)*Y-X*OFFSET(Y,1,0))*(OFFSET(X,1,0)^2+OFFSET(X,1,0)*X+X^2)/3+(OFFSET(X,1,0)*Y-X*OFFSET(Y,1,0))^2*(OFFSET(X,1,0)+X)/4)*IF(OFFSET(X,1,0)=X,0,1/(OFFSET(X,1,0)-X)))</f>
        <v>0.0</v>
      </c>
      <c r="R7" s="312" t="str">
        <f>B2&amp;"^4"</f>
        <v>cm^4</v>
      </c>
      <c r="S7" s="312" t="s">
        <v>846</v>
      </c>
      <c r="T7" s="312"/>
      <c r="U7" s="312"/>
      <c r="V7" s="312" t="s">
        <v>847</v>
      </c>
      <c r="W7" s="312"/>
      <c r="X7" s="313"/>
    </row>
    <row r="8" spans="1:24" x14ac:dyDescent="0.25">
      <c r="A8" s="431">
        <f t="shared" si="0"/>
        <v>3.0</v>
      </c>
      <c r="B8" s="433">
        <f>IF($C$3="1 - Retângular",Seções!B9,Seções!K26)</f>
        <v>-15.0</v>
      </c>
      <c r="C8" s="433">
        <f>IF($C$3="1 - Retângular",Seções!C9,Seções!L26)</f>
        <v>0.0</v>
      </c>
      <c r="D8" s="313"/>
      <c r="E8" s="318" t="s">
        <v>848</v>
      </c>
      <c r="F8" s="316">
        <f t="array" aca="1" ref="F8" ca="1">SUM((OFFSET(X,1,0)-X)/8*((Y+OFFSET(Y,1,0))^2+(OFFSET(Y,1,0)-Y)^2/3))/$F$6</f>
        <v>30.0</v>
      </c>
      <c r="G8" s="317" t="str">
        <f>B2</f>
        <v>cm</v>
      </c>
      <c r="H8" s="318" t="s">
        <v>849</v>
      </c>
      <c r="I8" s="330">
        <f ca="1">F9/ABS(MIN(Y)-$F$8)</f>
        <v>18000.0</v>
      </c>
      <c r="J8" s="317" t="str">
        <f>$B$2&amp;"^3"</f>
        <v>cm^3</v>
      </c>
      <c r="K8" s="311"/>
      <c r="L8" s="334" t="s">
        <v>850</v>
      </c>
      <c r="M8" s="332">
        <f ca="1">I6-M7</f>
        <v>30.0</v>
      </c>
      <c r="N8" s="333" t="str">
        <f>B2</f>
        <v>cm</v>
      </c>
      <c r="O8" s="311"/>
      <c r="P8" s="311"/>
      <c r="Q8" s="312"/>
      <c r="R8" s="312"/>
      <c r="S8" s="335" t="s">
        <v>8</v>
      </c>
      <c r="T8" s="335" t="s">
        <v>499</v>
      </c>
      <c r="U8" s="312"/>
      <c r="V8" s="335" t="s">
        <v>8</v>
      </c>
      <c r="W8" s="335" t="s">
        <v>499</v>
      </c>
      <c r="X8" s="313"/>
    </row>
    <row r="9" spans="1:24" x14ac:dyDescent="0.25">
      <c r="A9" s="431">
        <f t="shared" si="0"/>
        <v>4.0</v>
      </c>
      <c r="B9" s="433">
        <f>IF($C$3="1 - Retângular",Seções!B10,Seções!K27)</f>
        <v>-15.0</v>
      </c>
      <c r="C9" s="433">
        <f>IF($C$3="1 - Retângular",Seções!C10,Seções!L27)</f>
        <v>40.0</v>
      </c>
      <c r="D9" s="313"/>
      <c r="E9" s="318" t="s">
        <v>851</v>
      </c>
      <c r="F9" s="330">
        <f ca="1">Q5-F6*F8^2</f>
        <v>540000.0</v>
      </c>
      <c r="G9" s="317" t="str">
        <f>$B$2&amp;"^4"</f>
        <v>cm^4</v>
      </c>
      <c r="H9" s="318" t="s">
        <v>852</v>
      </c>
      <c r="I9" s="330">
        <f ca="1">F10/ABS(MIN(X)-F7)</f>
        <v>9000.0</v>
      </c>
      <c r="J9" s="317" t="str">
        <f>$B$2&amp;"^3"</f>
        <v>cm^3</v>
      </c>
      <c r="K9" s="311"/>
      <c r="L9" s="334" t="s">
        <v>853</v>
      </c>
      <c r="M9" s="332">
        <f ca="1">ABS(F9)</f>
        <v>540000.0</v>
      </c>
      <c r="N9" s="336" t="str">
        <f>CONCATENATE(B2,"4")</f>
        <v>cm4</v>
      </c>
      <c r="O9" s="311"/>
      <c r="P9" s="311"/>
      <c r="Q9" s="312"/>
      <c r="R9" s="312"/>
      <c r="S9" s="337">
        <f ca="1">MIN(X)</f>
        <v>-15.0</v>
      </c>
      <c r="T9" s="338">
        <f ca="1">(S9-$F$7)*TAN(RADIANS($F$5))+$F$8</f>
        <v>30.0</v>
      </c>
      <c r="U9" s="312"/>
      <c r="V9" s="337">
        <f ca="1">IF(W4&gt;=W5,MIN(X),(MAX(X)+MIN(X)-W5)/2)</f>
        <v>-30.0</v>
      </c>
      <c r="W9" s="337">
        <f ca="1">IF(W4&gt;=W5,(MAX(Y)+MIN(Y)-W4)/2,MIN(Y))</f>
        <v>0.0</v>
      </c>
      <c r="X9" s="313"/>
    </row>
    <row r="10" spans="1:24" x14ac:dyDescent="0.25">
      <c r="A10" s="431">
        <f t="shared" si="0"/>
        <v>5.0</v>
      </c>
      <c r="B10" s="433">
        <f>IF($C$3="1 - Retângular",Seções!B11,Seções!K28)</f>
        <v>-15.0</v>
      </c>
      <c r="C10" s="433">
        <f>IF($C$3="1 - Retângular",Seções!C11,Seções!L28)</f>
        <v>45.0</v>
      </c>
      <c r="D10" s="313"/>
      <c r="E10" s="318" t="s">
        <v>854</v>
      </c>
      <c r="F10" s="330">
        <f ca="1">Q6-F6*F7^2</f>
        <v>135000.0</v>
      </c>
      <c r="G10" s="317" t="str">
        <f>$B$2&amp;"^4"</f>
        <v>cm^4</v>
      </c>
      <c r="H10" s="318" t="s">
        <v>855</v>
      </c>
      <c r="I10" s="330">
        <f ca="1">F10/ABS(MAX(X)-F7)</f>
        <v>9000.0</v>
      </c>
      <c r="J10" s="317" t="str">
        <f>$B$2&amp;"^3"</f>
        <v>cm^3</v>
      </c>
      <c r="K10" s="311"/>
      <c r="L10" s="334" t="s">
        <v>856</v>
      </c>
      <c r="M10" s="332">
        <f ca="1">ABS(I8)</f>
        <v>18000.0</v>
      </c>
      <c r="N10" s="336" t="str">
        <f>CONCATENATE(B2,"³")</f>
        <v>cm³</v>
      </c>
      <c r="O10" s="311"/>
      <c r="P10" s="311"/>
      <c r="Q10" s="312"/>
      <c r="R10" s="312"/>
      <c r="S10" s="337">
        <f ca="1">MAX(X)</f>
        <v>15.0</v>
      </c>
      <c r="T10" s="338">
        <f ca="1">(S10-$F$7)*TAN(RADIANS($F$5))+$F$8</f>
        <v>30.0</v>
      </c>
      <c r="U10" s="312"/>
      <c r="V10" s="337">
        <f ca="1">IF(W4&gt;=W5,MAX(X),(MAX(X)+MIN(X)+W5)/2)</f>
        <v>30.0</v>
      </c>
      <c r="W10" s="337">
        <f ca="1">IF(W4&gt;=W5,(MAX(Y)+MIN(Y)+W4)/2,MAX(Y))</f>
        <v>60.0</v>
      </c>
      <c r="X10" s="313"/>
    </row>
    <row r="11" spans="1:24" x14ac:dyDescent="0.25">
      <c r="A11" s="431">
        <f t="shared" si="0"/>
        <v>6.0</v>
      </c>
      <c r="B11" s="433">
        <f>IF($C$3="1 - Retângular",Seções!B12,Seções!K29)</f>
        <v>-15.0</v>
      </c>
      <c r="C11" s="433">
        <f>IF($C$3="1 - Retângular",Seções!C12,Seções!L29)</f>
        <v>60.0</v>
      </c>
      <c r="D11" s="313"/>
      <c r="E11" s="339" t="s">
        <v>857</v>
      </c>
      <c r="F11" s="340">
        <f ca="1">+Q7-F6*F7*F8</f>
        <v>0.0</v>
      </c>
      <c r="G11" s="341" t="str">
        <f>$B$2&amp;"^4"</f>
        <v>cm^4</v>
      </c>
      <c r="H11" s="342"/>
      <c r="I11" s="343"/>
      <c r="J11" s="341"/>
      <c r="K11" s="311"/>
      <c r="L11" s="344" t="s">
        <v>858</v>
      </c>
      <c r="M11" s="345">
        <f ca="1">ABS(I7)</f>
        <v>18000.0</v>
      </c>
      <c r="N11" s="346" t="str">
        <f>CONCATENATE(B2,"³")</f>
        <v>cm³</v>
      </c>
      <c r="O11" s="311"/>
      <c r="P11" s="311"/>
      <c r="Q11" s="311"/>
      <c r="R11" s="311"/>
      <c r="S11" s="347"/>
      <c r="T11" s="347"/>
      <c r="U11" s="348"/>
      <c r="V11" s="348"/>
      <c r="W11" s="348"/>
      <c r="X11" s="313"/>
    </row>
    <row r="12" spans="1:24" x14ac:dyDescent="0.25">
      <c r="A12" s="431">
        <f t="shared" si="0"/>
        <v>7.0</v>
      </c>
      <c r="B12" s="433">
        <f>IF($C$3="1 - Retângular",Seções!B13,Seções!K30)</f>
        <v>15.0</v>
      </c>
      <c r="C12" s="433">
        <f>IF($C$3="1 - Retângular",Seções!C13,Seções!L30)</f>
        <v>60.0</v>
      </c>
      <c r="D12" s="313"/>
      <c r="E12" s="313"/>
      <c r="F12" s="313"/>
      <c r="G12" s="313"/>
      <c r="H12" s="313"/>
      <c r="I12" s="313"/>
      <c r="J12" s="313"/>
      <c r="K12" s="311"/>
      <c r="L12" s="311"/>
      <c r="M12" s="311"/>
      <c r="N12" s="311"/>
      <c r="O12" s="311"/>
      <c r="P12" s="311"/>
      <c r="Q12" s="311"/>
      <c r="R12" s="311"/>
      <c r="S12" s="347">
        <f ca="1">(T12-$F$8)*TAN(RADIANS(-$F$5))+$F$7</f>
        <v>0.0</v>
      </c>
      <c r="T12" s="347">
        <f ca="1">MIN(Y)</f>
        <v>0.0</v>
      </c>
      <c r="U12" s="349"/>
      <c r="V12" s="311"/>
      <c r="W12" s="350"/>
      <c r="X12" s="313"/>
    </row>
    <row r="13" spans="1:24" x14ac:dyDescent="0.25">
      <c r="A13" s="431">
        <f t="shared" si="0"/>
        <v>8.0</v>
      </c>
      <c r="B13" s="433">
        <f>IF($C$3="1 - Retângular",Seções!B14,Seções!K31)</f>
        <v>15.0</v>
      </c>
      <c r="C13" s="433">
        <f>IF($C$3="1 - Retângular",Seções!C14,Seções!L31)</f>
        <v>45.0</v>
      </c>
      <c r="D13" s="313"/>
      <c r="E13" s="739" t="s">
        <v>859</v>
      </c>
      <c r="F13" s="739"/>
      <c r="G13" s="739"/>
      <c r="H13" s="739"/>
      <c r="I13" s="739"/>
      <c r="J13" s="739"/>
      <c r="K13" s="311"/>
      <c r="L13" s="311"/>
      <c r="M13" s="311"/>
      <c r="N13" s="311"/>
      <c r="O13" s="311"/>
      <c r="P13" s="311"/>
      <c r="Q13" s="351"/>
      <c r="R13" s="311"/>
      <c r="S13" s="347">
        <f ca="1">(T13-$F$8)*TAN(RADIANS(-$F$5))+$F$7</f>
        <v>0.0</v>
      </c>
      <c r="T13" s="347">
        <f ca="1">MAX(Y)</f>
        <v>60.0</v>
      </c>
      <c r="U13" s="349"/>
      <c r="V13" s="311"/>
      <c r="W13" s="350"/>
      <c r="X13" s="313"/>
    </row>
    <row r="14" spans="1:24" x14ac:dyDescent="0.25">
      <c r="A14" s="431">
        <f t="shared" si="0"/>
        <v>9.0</v>
      </c>
      <c r="B14" s="433">
        <f>IF($C$3="1 - Retângular",Seções!B15,Seções!K32)</f>
        <v>15.0</v>
      </c>
      <c r="C14" s="433">
        <f>IF($C$3="1 - Retângular",Seções!C15,Seções!L32)</f>
        <v>40.0</v>
      </c>
      <c r="D14" s="313"/>
      <c r="E14" s="315" t="s">
        <v>831</v>
      </c>
      <c r="F14" s="316">
        <f ca="1">F5</f>
        <v>0.0</v>
      </c>
      <c r="G14" s="317" t="s">
        <v>860</v>
      </c>
      <c r="H14" s="318" t="s">
        <v>861</v>
      </c>
      <c r="I14" s="330">
        <f t="array" aca="1" ref="I14" ca="1">ABS(F15/MAX(SQRT((X-$F$7)^2+(Y-$F$8)^2)*SIN(ATAN2(X-$F$7,Y-$F$8)-RADIANS($F$5))))</f>
        <v>18000.000000000004</v>
      </c>
      <c r="J14" s="317" t="str">
        <f>$B$2&amp;"^3"</f>
        <v>cm^3</v>
      </c>
      <c r="K14" s="313"/>
      <c r="L14" s="313"/>
      <c r="M14" s="313"/>
      <c r="N14" s="313"/>
      <c r="O14" s="313"/>
      <c r="P14" s="313"/>
      <c r="Q14" s="352"/>
      <c r="R14" s="353"/>
      <c r="S14" s="316"/>
      <c r="T14" s="316"/>
      <c r="U14" s="313"/>
      <c r="V14" s="313"/>
      <c r="W14" s="354"/>
      <c r="X14" s="313"/>
    </row>
    <row r="15" spans="1:24" x14ac:dyDescent="0.25">
      <c r="A15" s="431">
        <f t="shared" si="0"/>
        <v>10.0</v>
      </c>
      <c r="B15" s="433">
        <f>IF($C$3="1 - Retângular",Seções!B16,Seções!K33)</f>
        <v>15.0</v>
      </c>
      <c r="C15" s="433">
        <f>IF($C$3="1 - Retângular",Seções!C16,Seções!L33)</f>
        <v>0.0</v>
      </c>
      <c r="D15" s="313"/>
      <c r="E15" s="318" t="s">
        <v>862</v>
      </c>
      <c r="F15" s="330">
        <f ca="1">F9*COS(RADIANS(F14))^2+F10*SIN(RADIANS(F14))^2-F11*SIN(2*RADIANS(F14))</f>
        <v>540000.0</v>
      </c>
      <c r="G15" s="317" t="str">
        <f>$B$2&amp;"^4"</f>
        <v>cm^4</v>
      </c>
      <c r="H15" s="318" t="s">
        <v>863</v>
      </c>
      <c r="I15" s="330">
        <f t="array" aca="1" ref="I15" ca="1">ABS(F15/MIN(SQRT((X-$F$7)^2+(Y-$F$8)^2)*SIN(ATAN2(X-$F$7,Y-$F$8)-RADIANS($F$5))))</f>
        <v>18000.0</v>
      </c>
      <c r="J15" s="317" t="str">
        <f>$B$2&amp;"^3"</f>
        <v>cm^3</v>
      </c>
      <c r="K15" s="313"/>
      <c r="L15" s="313"/>
      <c r="M15" s="313"/>
      <c r="N15" s="313"/>
      <c r="O15" s="313"/>
      <c r="P15" s="313"/>
      <c r="Q15" s="355"/>
      <c r="R15" s="356"/>
      <c r="S15" s="313"/>
      <c r="T15" s="313"/>
      <c r="U15" s="356"/>
      <c r="V15" s="313"/>
      <c r="W15" s="313"/>
      <c r="X15" s="313"/>
    </row>
    <row r="16" spans="1:24" x14ac:dyDescent="0.25">
      <c r="A16" s="431">
        <f t="shared" si="0"/>
        <v>11.0</v>
      </c>
      <c r="B16" s="433">
        <f>IF($C$3="1 - Retângular",Seções!B17,Seções!K34)</f>
        <v>0.0</v>
      </c>
      <c r="C16" s="433">
        <f>IF($C$3="1 - Retângular",Seções!C17,Seções!L34)</f>
        <v>0.0</v>
      </c>
      <c r="D16" s="313"/>
      <c r="E16" s="318" t="s">
        <v>864</v>
      </c>
      <c r="F16" s="330">
        <f ca="1">F10*COS(RADIANS(F14))^2+F9*SIN(RADIANS(F14))^2+F11*SIN(2*RADIANS(F14))</f>
        <v>135000.0</v>
      </c>
      <c r="G16" s="317" t="str">
        <f>$B$2&amp;"^4"</f>
        <v>cm^4</v>
      </c>
      <c r="H16" s="318" t="s">
        <v>865</v>
      </c>
      <c r="I16" s="330">
        <f t="array" aca="1" ref="I16" ca="1">ABS($F$16/MIN(SQRT((X-$F$7)^2+(Y-$F$8)^2)*COS(ATAN2(X-$F$7,Y-$F$8)-RADIANS($F$5))))</f>
        <v>9000.0</v>
      </c>
      <c r="J16" s="317" t="str">
        <f>$B$2&amp;"^3"</f>
        <v>cm^3</v>
      </c>
      <c r="K16" s="313"/>
      <c r="L16" s="313"/>
      <c r="M16" s="313"/>
      <c r="N16" s="313">
        <f ca="1">0.85*5/1.4*F6</f>
        <v>5464.285714285715</v>
      </c>
      <c r="O16" s="313"/>
      <c r="P16" s="313"/>
      <c r="Q16" s="355"/>
      <c r="R16" s="356"/>
      <c r="S16" s="313"/>
      <c r="T16" s="313"/>
      <c r="U16" s="356"/>
      <c r="V16" s="313"/>
      <c r="W16" s="313"/>
      <c r="X16" s="313"/>
    </row>
    <row r="17" spans="1:24" x14ac:dyDescent="0.25">
      <c r="A17" s="431">
        <f t="shared" si="0"/>
        <v>12.0</v>
      </c>
      <c r="B17" s="433">
        <f>IF($C$3="1 - Retângular",Seções!B18,Seções!K35)</f>
        <v>0.0</v>
      </c>
      <c r="C17" s="433">
        <f>IF($C$3="1 - Retângular",Seções!C18,Seções!L35)</f>
        <v>0.0</v>
      </c>
      <c r="D17" s="313"/>
      <c r="E17" s="318" t="s">
        <v>866</v>
      </c>
      <c r="F17" s="330">
        <f ca="1">+(F9-F10)/2*SIN(RADIANS(F14)*2)+F11*COS(2*RADIANS(F14))</f>
        <v>0.0</v>
      </c>
      <c r="G17" s="317" t="str">
        <f>$B$2&amp;"^4"</f>
        <v>cm^4</v>
      </c>
      <c r="H17" s="318" t="s">
        <v>867</v>
      </c>
      <c r="I17" s="330">
        <f t="array" aca="1" ref="I17" ca="1">ABS($F$16/MAX(SQRT((X-$F$7)^2+(Y-$F$8)^2)*COS(ATAN2(X-$F$7,Y-$F$8)-RADIANS($F$5))))</f>
        <v>8999.999999999998</v>
      </c>
      <c r="J17" s="317" t="str">
        <f>$B$2&amp;"^3"</f>
        <v>cm^3</v>
      </c>
      <c r="K17" s="313"/>
      <c r="L17" s="313"/>
      <c r="M17" s="313"/>
      <c r="N17" s="313"/>
      <c r="O17" s="313"/>
      <c r="P17" s="313"/>
      <c r="Q17" s="355"/>
      <c r="R17" s="356"/>
      <c r="S17" s="357"/>
      <c r="T17" s="313"/>
      <c r="U17" s="313"/>
      <c r="V17" s="313"/>
      <c r="W17" s="313"/>
      <c r="X17" s="313"/>
    </row>
    <row r="18" spans="1:24" x14ac:dyDescent="0.25">
      <c r="A18" s="431">
        <f t="shared" si="0"/>
        <v>13.0</v>
      </c>
      <c r="B18" s="433">
        <f>IF($C$3="1 - Retângular",Seções!B19,Seções!K36)</f>
        <v>0.0</v>
      </c>
      <c r="C18" s="433">
        <f>IF($C$3="1 - Retângular",Seções!C19,Seções!L36)</f>
        <v>0.0</v>
      </c>
      <c r="D18" s="313"/>
      <c r="E18" s="339" t="s">
        <v>868</v>
      </c>
      <c r="F18" s="340">
        <f ca="1">+F15+F16</f>
        <v>675000.0</v>
      </c>
      <c r="G18" s="341" t="str">
        <f>$B$2&amp;"^4"</f>
        <v>cm^4</v>
      </c>
      <c r="H18" s="342"/>
      <c r="I18" s="358"/>
      <c r="J18" s="341"/>
      <c r="K18" s="313"/>
      <c r="L18" s="313">
        <f>IF($C$3="Retângular",Seções!B8,Seções!K25)</f>
        <v>0.0</v>
      </c>
      <c r="M18" s="313"/>
      <c r="N18" s="313"/>
      <c r="O18" s="313"/>
      <c r="P18" s="313"/>
      <c r="Q18" s="313"/>
      <c r="R18" s="313"/>
      <c r="S18" s="313"/>
      <c r="T18" s="357"/>
      <c r="U18" s="357"/>
      <c r="V18" s="313"/>
      <c r="W18" s="313"/>
      <c r="X18" s="313"/>
    </row>
    <row r="19" spans="1:24" x14ac:dyDescent="0.25">
      <c r="A19" s="431">
        <f t="shared" si="0"/>
        <v>14.0</v>
      </c>
      <c r="B19" s="433">
        <f>IF($C$3="1 - Retângular",Seções!B20,Seções!K37)</f>
        <v>0.0</v>
      </c>
      <c r="C19" s="433">
        <f>IF($C$3="1 - Retângular",Seções!C20,Seções!L37)</f>
        <v>0.0</v>
      </c>
      <c r="D19" s="326"/>
      <c r="E19" s="313"/>
      <c r="F19" s="313"/>
      <c r="G19" s="313"/>
      <c r="H19" s="313"/>
      <c r="I19" s="313"/>
      <c r="J19" s="313"/>
      <c r="K19" s="434"/>
      <c r="L19" s="434"/>
      <c r="M19" s="434"/>
      <c r="N19" s="434"/>
      <c r="O19" s="313"/>
      <c r="P19" s="313"/>
      <c r="Q19" s="313"/>
      <c r="R19" s="313"/>
      <c r="S19" s="313"/>
      <c r="T19" s="326"/>
      <c r="U19" s="316"/>
      <c r="V19" s="326"/>
      <c r="W19" s="313"/>
      <c r="X19" s="313"/>
    </row>
    <row r="20" spans="1:24" x14ac:dyDescent="0.25">
      <c r="A20" s="431">
        <f t="shared" si="0"/>
        <v>15.0</v>
      </c>
      <c r="B20" s="433">
        <f>IF($C$3="1 - Retângular",Seções!B21,Seções!K38)</f>
        <v>0.0</v>
      </c>
      <c r="C20" s="433">
        <f>IF($C$3="1 - Retângular",Seções!C21,Seções!L38)</f>
        <v>0.0</v>
      </c>
      <c r="D20" s="326"/>
      <c r="E20" s="313"/>
      <c r="F20" s="313"/>
      <c r="G20" s="313"/>
      <c r="H20" s="313"/>
      <c r="I20" s="313"/>
      <c r="J20" s="313"/>
      <c r="K20" s="434"/>
      <c r="L20" s="434"/>
      <c r="M20" s="434"/>
      <c r="N20" s="434"/>
      <c r="O20" s="313"/>
      <c r="P20" s="313"/>
      <c r="Q20" s="313"/>
      <c r="R20" s="313"/>
      <c r="S20" s="313"/>
      <c r="T20" s="326"/>
      <c r="U20" s="316"/>
      <c r="V20" s="326"/>
      <c r="W20" s="313"/>
      <c r="X20" s="316"/>
    </row>
    <row r="21" spans="1:24" x14ac:dyDescent="0.25">
      <c r="A21" s="431">
        <f t="shared" si="0"/>
        <v>16.0</v>
      </c>
      <c r="B21" s="433">
        <f>IF($C$3="1 - Retângular",Seções!B22,Seções!K39)</f>
        <v>0.0</v>
      </c>
      <c r="C21" s="433">
        <f>IF($C$3="1 - Retângular",Seções!C22,Seções!L39)</f>
        <v>0.0</v>
      </c>
      <c r="D21" s="326"/>
      <c r="E21" s="313"/>
      <c r="F21" s="313"/>
      <c r="G21" s="313"/>
      <c r="H21" s="313"/>
      <c r="I21" s="313"/>
      <c r="J21" s="313"/>
      <c r="K21" s="434"/>
      <c r="L21" s="434"/>
      <c r="M21" s="434"/>
      <c r="N21" s="434"/>
      <c r="O21" s="313"/>
      <c r="P21" s="313"/>
      <c r="Q21" s="313"/>
      <c r="R21" s="313"/>
      <c r="S21" s="313"/>
      <c r="T21" s="434"/>
      <c r="U21" s="434"/>
      <c r="V21" s="326"/>
      <c r="W21" s="313"/>
      <c r="X21" s="316"/>
    </row>
    <row r="22" spans="1:24" x14ac:dyDescent="0.25">
      <c r="A22" s="431">
        <f t="shared" si="0"/>
        <v>17.0</v>
      </c>
      <c r="B22" s="433">
        <f>IF($C$3="1 - Retângular",Seções!B23,Seções!K40)</f>
        <v>0.0</v>
      </c>
      <c r="C22" s="433">
        <f>IF($C$3="1 - Retângular",Seções!C23,Seções!L40)</f>
        <v>0.0</v>
      </c>
      <c r="D22" s="326"/>
      <c r="E22" s="313"/>
      <c r="F22" s="313"/>
      <c r="G22" s="313"/>
      <c r="H22" s="313"/>
      <c r="I22" s="313"/>
      <c r="J22" s="313"/>
      <c r="K22" s="434"/>
      <c r="L22" s="434"/>
      <c r="M22" s="434"/>
      <c r="N22" s="434"/>
      <c r="O22" s="313"/>
      <c r="P22" s="313"/>
      <c r="Q22" s="313"/>
      <c r="R22" s="313"/>
      <c r="S22" s="313"/>
      <c r="T22" s="434"/>
      <c r="U22" s="434"/>
      <c r="V22" s="326"/>
      <c r="W22" s="313"/>
      <c r="X22" s="316"/>
    </row>
    <row r="23" spans="1:24" x14ac:dyDescent="0.25">
      <c r="A23" s="431">
        <f t="shared" si="0"/>
        <v>18.0</v>
      </c>
      <c r="B23" s="433">
        <f>IF($C$3="1 - Retângular",Seções!B24,Seções!K41)</f>
        <v>0.0</v>
      </c>
      <c r="C23" s="433">
        <f>IF($C$3="1 - Retângular",Seções!C24,Seções!L41)</f>
        <v>0.0</v>
      </c>
      <c r="D23" s="316"/>
      <c r="E23" s="313"/>
      <c r="F23" s="313"/>
      <c r="G23" s="313"/>
      <c r="H23" s="313"/>
      <c r="I23" s="313"/>
      <c r="J23" s="313"/>
      <c r="K23" s="313"/>
      <c r="L23" s="313"/>
      <c r="M23" s="313"/>
      <c r="N23" s="313"/>
      <c r="O23" s="313"/>
      <c r="P23" s="313"/>
      <c r="Q23" s="313"/>
      <c r="R23" s="313"/>
      <c r="S23" s="313"/>
      <c r="T23" s="313"/>
      <c r="U23" s="434"/>
      <c r="V23" s="326"/>
      <c r="W23" s="313"/>
      <c r="X23" s="316"/>
    </row>
    <row r="24" spans="1:24" x14ac:dyDescent="0.25">
      <c r="A24" s="431">
        <f t="shared" si="0"/>
        <v>19.0</v>
      </c>
      <c r="B24" s="433"/>
      <c r="C24" s="433"/>
      <c r="D24" s="313"/>
      <c r="E24" s="313"/>
      <c r="F24" s="313"/>
      <c r="G24" s="313"/>
      <c r="H24" s="313"/>
      <c r="I24" s="313"/>
      <c r="J24" s="313"/>
      <c r="K24" s="313"/>
      <c r="L24" s="313"/>
      <c r="M24" s="313"/>
      <c r="N24" s="313"/>
      <c r="O24" s="313"/>
      <c r="P24" s="313"/>
      <c r="Q24" s="313"/>
      <c r="R24" s="313"/>
      <c r="S24" s="313"/>
      <c r="T24" s="313"/>
      <c r="U24" s="434"/>
      <c r="V24" s="313"/>
      <c r="W24" s="313"/>
      <c r="X24" s="313"/>
    </row>
    <row r="25" spans="1:24" x14ac:dyDescent="0.25">
      <c r="A25" s="431">
        <f t="shared" si="0"/>
        <v>20.0</v>
      </c>
      <c r="B25" s="433"/>
      <c r="C25" s="433"/>
      <c r="D25" s="313"/>
      <c r="E25" s="313"/>
      <c r="F25" s="313"/>
      <c r="G25" s="313"/>
      <c r="H25" s="313"/>
      <c r="I25" s="313"/>
      <c r="J25" s="313"/>
      <c r="K25" s="313"/>
      <c r="L25" s="313"/>
      <c r="M25" s="313"/>
      <c r="N25" s="313"/>
      <c r="O25" s="313"/>
      <c r="P25" s="313"/>
      <c r="Q25" s="313"/>
      <c r="R25" s="313"/>
      <c r="S25" s="313"/>
      <c r="T25" s="313"/>
      <c r="U25" s="434"/>
      <c r="V25" s="313"/>
      <c r="W25" s="313"/>
      <c r="X25" s="313"/>
    </row>
    <row r="26" spans="1:24" x14ac:dyDescent="0.25">
      <c r="A26" s="431">
        <f t="shared" si="0"/>
        <v>21.0</v>
      </c>
      <c r="B26" s="433"/>
      <c r="C26" s="433"/>
      <c r="D26" s="313"/>
      <c r="E26" s="313"/>
      <c r="F26" s="313"/>
      <c r="G26" s="313"/>
      <c r="H26" s="313"/>
      <c r="I26" s="313"/>
      <c r="J26" s="313"/>
      <c r="K26" s="313"/>
      <c r="L26" s="313"/>
      <c r="M26" s="313"/>
      <c r="N26" s="313"/>
      <c r="O26" s="313"/>
      <c r="P26" s="313"/>
      <c r="Q26" s="435"/>
      <c r="R26" s="435"/>
      <c r="S26" s="435"/>
      <c r="T26" s="313"/>
      <c r="U26" s="434"/>
      <c r="V26" s="313"/>
      <c r="W26" s="313"/>
      <c r="X26" s="313"/>
    </row>
    <row r="27" spans="1:24" x14ac:dyDescent="0.25">
      <c r="A27" s="431">
        <f t="shared" si="0"/>
        <v>22.0</v>
      </c>
      <c r="B27" s="433"/>
      <c r="C27" s="433"/>
      <c r="D27" s="313"/>
      <c r="E27" s="313"/>
      <c r="F27" s="313"/>
      <c r="G27" s="313"/>
      <c r="H27" s="313"/>
      <c r="I27" s="313"/>
      <c r="J27" s="313"/>
      <c r="K27" s="313"/>
      <c r="L27" s="313"/>
      <c r="N27" s="313"/>
      <c r="O27" s="313"/>
      <c r="P27" s="313"/>
      <c r="Q27" s="435"/>
      <c r="R27" s="435"/>
      <c r="S27" s="435"/>
      <c r="T27" s="313"/>
      <c r="U27" s="434"/>
      <c r="V27" s="313"/>
      <c r="W27" s="313"/>
      <c r="X27" s="313"/>
    </row>
    <row r="28" spans="1:24" x14ac:dyDescent="0.25">
      <c r="A28" s="431">
        <f t="shared" si="0"/>
        <v>23.0</v>
      </c>
      <c r="B28" s="433"/>
      <c r="C28" s="433"/>
      <c r="D28" s="313"/>
      <c r="E28" s="313"/>
      <c r="F28" s="313"/>
      <c r="G28" s="313"/>
      <c r="H28" s="313"/>
      <c r="I28" s="313"/>
      <c r="J28" s="313"/>
      <c r="K28" s="313"/>
      <c r="L28" s="313"/>
      <c r="M28" s="313"/>
      <c r="N28" s="313"/>
      <c r="O28" s="313"/>
      <c r="P28" s="313"/>
      <c r="Q28" s="435"/>
      <c r="R28" s="435"/>
      <c r="S28" s="435"/>
      <c r="T28" s="313"/>
      <c r="U28" s="434"/>
      <c r="V28" s="313"/>
      <c r="W28" s="313"/>
      <c r="X28" s="313"/>
    </row>
    <row r="29" spans="1:24" x14ac:dyDescent="0.25">
      <c r="A29" s="431">
        <f t="shared" si="0"/>
        <v>24.0</v>
      </c>
      <c r="B29" s="433"/>
      <c r="C29" s="433"/>
      <c r="D29" s="313"/>
      <c r="E29" s="313"/>
      <c r="F29" s="313"/>
      <c r="G29" s="313"/>
      <c r="H29" s="313"/>
      <c r="I29" s="313"/>
      <c r="J29" s="313"/>
      <c r="K29" s="313"/>
      <c r="L29" s="313"/>
      <c r="M29" s="313"/>
      <c r="N29" s="313"/>
      <c r="O29" s="313"/>
      <c r="P29" s="313"/>
      <c r="Q29" s="435"/>
      <c r="R29" s="435"/>
      <c r="S29" s="435"/>
      <c r="T29" s="313"/>
      <c r="U29" s="434"/>
      <c r="V29" s="313"/>
      <c r="W29" s="313"/>
      <c r="X29" s="313"/>
    </row>
    <row r="30" spans="1:24" x14ac:dyDescent="0.25">
      <c r="A30" s="431">
        <f t="shared" si="0"/>
        <v>25.0</v>
      </c>
      <c r="B30" s="433"/>
      <c r="C30" s="433"/>
      <c r="D30" s="313"/>
      <c r="E30" s="313"/>
      <c r="F30" s="313"/>
      <c r="G30" s="313"/>
      <c r="H30" s="313"/>
      <c r="I30" s="313"/>
      <c r="J30" s="313"/>
      <c r="K30" s="313"/>
      <c r="L30" s="313"/>
      <c r="M30" s="313"/>
      <c r="N30" s="313"/>
      <c r="O30" s="313"/>
      <c r="P30" s="313"/>
      <c r="Q30" s="313"/>
      <c r="R30" s="313"/>
      <c r="S30" s="313"/>
      <c r="T30" s="313"/>
      <c r="U30" s="434"/>
      <c r="V30" s="313"/>
      <c r="W30" s="313"/>
      <c r="X30" s="313"/>
    </row>
    <row r="31" spans="1:24" x14ac:dyDescent="0.25">
      <c r="A31" s="431">
        <f t="shared" si="0"/>
        <v>26.0</v>
      </c>
      <c r="B31" s="433"/>
      <c r="C31" s="433"/>
      <c r="D31" s="313"/>
      <c r="E31" s="313"/>
      <c r="F31" s="313"/>
      <c r="G31" s="313"/>
      <c r="H31" s="313"/>
      <c r="I31" s="313"/>
      <c r="J31" s="313"/>
      <c r="K31" s="313"/>
      <c r="L31" s="313"/>
      <c r="M31" s="313"/>
      <c r="N31" s="313"/>
      <c r="O31" s="313"/>
      <c r="P31" s="313"/>
      <c r="Q31" s="313"/>
      <c r="R31" s="313"/>
      <c r="S31" s="313"/>
      <c r="T31" s="313"/>
      <c r="U31" s="434"/>
      <c r="V31" s="313"/>
      <c r="W31" s="313"/>
      <c r="X31" s="313"/>
    </row>
    <row r="32" spans="1:24" x14ac:dyDescent="0.25">
      <c r="A32" s="431">
        <f t="shared" si="0"/>
        <v>27.0</v>
      </c>
      <c r="B32" s="433"/>
      <c r="C32" s="433"/>
      <c r="D32" s="313"/>
      <c r="E32" s="313"/>
      <c r="F32" s="313"/>
      <c r="G32" s="313"/>
      <c r="H32" s="313"/>
      <c r="I32" s="313"/>
      <c r="J32" s="313"/>
      <c r="K32" s="313"/>
      <c r="L32" s="313"/>
      <c r="M32" s="313"/>
      <c r="N32" s="313"/>
      <c r="O32" s="313"/>
      <c r="P32" s="313"/>
      <c r="Q32" s="313"/>
      <c r="R32" s="313"/>
      <c r="S32" s="313"/>
      <c r="T32" s="313"/>
      <c r="U32" s="313"/>
      <c r="V32" s="313"/>
      <c r="W32" s="313"/>
      <c r="X32" s="313"/>
    </row>
    <row r="33" spans="1:24" x14ac:dyDescent="0.25">
      <c r="A33" s="431">
        <f t="shared" si="0"/>
        <v>28.0</v>
      </c>
      <c r="B33" s="433"/>
      <c r="C33" s="433"/>
      <c r="D33" s="313"/>
      <c r="E33" s="313"/>
      <c r="F33" s="313"/>
      <c r="G33" s="313"/>
      <c r="H33" s="313"/>
      <c r="I33" s="313"/>
      <c r="J33" s="313"/>
      <c r="K33" s="313"/>
      <c r="L33" s="313"/>
      <c r="M33" s="313"/>
      <c r="N33" s="313"/>
      <c r="O33" s="313"/>
      <c r="P33" s="313"/>
      <c r="Q33" s="313"/>
      <c r="R33" s="313"/>
      <c r="S33" s="313"/>
      <c r="T33" s="313"/>
      <c r="U33" s="313"/>
      <c r="V33" s="313"/>
      <c r="W33" s="313"/>
      <c r="X33" s="313"/>
    </row>
    <row r="34" spans="1:24" x14ac:dyDescent="0.25">
      <c r="A34" s="431">
        <f t="shared" si="0"/>
        <v>29.0</v>
      </c>
      <c r="B34" s="433"/>
      <c r="C34" s="433"/>
      <c r="D34" s="313"/>
      <c r="E34" s="313"/>
      <c r="F34" s="313"/>
      <c r="G34" s="313"/>
      <c r="H34" s="313"/>
      <c r="I34" s="313"/>
      <c r="J34" s="313"/>
      <c r="K34" s="313"/>
      <c r="L34" s="313"/>
      <c r="M34" s="313"/>
      <c r="N34" s="313"/>
      <c r="O34" s="313"/>
      <c r="P34" s="313"/>
      <c r="Q34" s="313"/>
      <c r="R34" s="313"/>
      <c r="S34" s="313"/>
      <c r="T34" s="313"/>
      <c r="U34" s="313"/>
      <c r="V34" s="313"/>
      <c r="W34" s="313"/>
      <c r="X34" s="313"/>
    </row>
    <row r="35" spans="1:24" x14ac:dyDescent="0.25">
      <c r="A35" s="431">
        <f t="shared" si="0"/>
        <v>30.0</v>
      </c>
      <c r="B35" s="433"/>
      <c r="C35" s="433"/>
      <c r="D35" s="313"/>
      <c r="E35" s="313"/>
      <c r="F35" s="313"/>
      <c r="G35" s="313"/>
      <c r="H35" s="313"/>
      <c r="I35" s="313"/>
      <c r="J35" s="313"/>
      <c r="K35" s="313"/>
      <c r="L35" s="313"/>
      <c r="M35" s="313"/>
      <c r="N35" s="313"/>
      <c r="O35" s="313"/>
      <c r="P35" s="313"/>
      <c r="Q35" s="313"/>
      <c r="R35" s="313"/>
      <c r="S35" s="313"/>
      <c r="T35" s="313"/>
      <c r="U35" s="313"/>
      <c r="V35" s="313"/>
      <c r="W35" s="313"/>
      <c r="X35" s="313"/>
    </row>
    <row r="36" spans="1:24" x14ac:dyDescent="0.25">
      <c r="A36" s="431">
        <f t="shared" si="0"/>
        <v>31.0</v>
      </c>
      <c r="B36" s="433"/>
      <c r="C36" s="433"/>
      <c r="D36" s="313"/>
      <c r="E36" s="313"/>
      <c r="F36" s="313"/>
      <c r="G36" s="313"/>
      <c r="H36" s="313"/>
      <c r="I36" s="313"/>
      <c r="J36" s="313"/>
      <c r="K36" s="313"/>
      <c r="L36" s="313"/>
      <c r="M36" s="313"/>
      <c r="N36" s="313"/>
      <c r="O36" s="313"/>
      <c r="P36" s="313"/>
      <c r="Q36" s="313"/>
      <c r="R36" s="313"/>
      <c r="S36" s="313"/>
      <c r="T36" s="313"/>
      <c r="U36" s="313"/>
      <c r="V36" s="313"/>
      <c r="W36" s="313"/>
      <c r="X36" s="313"/>
    </row>
    <row r="37" spans="1:24" x14ac:dyDescent="0.25">
      <c r="A37" s="431">
        <f t="shared" si="0"/>
        <v>32.0</v>
      </c>
      <c r="B37" s="433"/>
      <c r="C37" s="433"/>
      <c r="D37" s="313"/>
      <c r="E37" s="313"/>
      <c r="F37" s="313"/>
      <c r="G37" s="313"/>
      <c r="H37" s="313"/>
      <c r="I37" s="313"/>
      <c r="J37" s="313"/>
      <c r="K37" s="313"/>
      <c r="L37" s="313"/>
      <c r="M37" s="313"/>
      <c r="N37" s="313"/>
      <c r="O37" s="313"/>
      <c r="P37" s="313"/>
      <c r="Q37" s="313"/>
      <c r="R37" s="313"/>
      <c r="S37" s="313"/>
      <c r="T37" s="313"/>
      <c r="U37" s="313"/>
      <c r="V37" s="313"/>
      <c r="W37" s="313"/>
      <c r="X37" s="313"/>
    </row>
    <row r="38" spans="1:24" x14ac:dyDescent="0.25">
      <c r="A38" s="431">
        <f t="shared" si="0"/>
        <v>33.0</v>
      </c>
      <c r="B38" s="433"/>
      <c r="C38" s="433"/>
      <c r="D38" s="313"/>
      <c r="E38" s="313"/>
      <c r="F38" s="313"/>
      <c r="G38" s="313"/>
      <c r="H38" s="313"/>
      <c r="I38" s="313"/>
      <c r="J38" s="313"/>
      <c r="K38" s="313"/>
      <c r="L38" s="313"/>
      <c r="M38" s="313"/>
      <c r="N38" s="313"/>
      <c r="O38" s="313"/>
      <c r="P38" s="313"/>
      <c r="Q38" s="313"/>
      <c r="R38" s="313"/>
      <c r="S38" s="313"/>
      <c r="T38" s="313"/>
      <c r="U38" s="313"/>
      <c r="V38" s="313"/>
      <c r="W38" s="313"/>
      <c r="X38" s="313"/>
    </row>
    <row r="39" spans="1:24" x14ac:dyDescent="0.25">
      <c r="A39" s="431">
        <f t="shared" si="0"/>
        <v>34.0</v>
      </c>
      <c r="B39" s="433"/>
      <c r="C39" s="433"/>
      <c r="D39" s="313"/>
      <c r="E39" s="313"/>
      <c r="F39" s="313"/>
      <c r="G39" s="313"/>
      <c r="H39" s="313"/>
      <c r="I39" s="313"/>
      <c r="J39" s="313"/>
      <c r="K39" s="313"/>
      <c r="L39" s="313"/>
      <c r="M39" s="313"/>
      <c r="N39" s="313"/>
      <c r="O39" s="313"/>
      <c r="P39" s="313"/>
      <c r="Q39" s="313"/>
      <c r="R39" s="313"/>
      <c r="S39" s="313"/>
      <c r="T39" s="313"/>
      <c r="U39" s="313"/>
      <c r="V39" s="313"/>
      <c r="W39" s="313"/>
      <c r="X39" s="313"/>
    </row>
    <row r="40" spans="1:24" x14ac:dyDescent="0.25">
      <c r="A40" s="431">
        <f t="shared" si="0"/>
        <v>35.0</v>
      </c>
      <c r="B40" s="433"/>
      <c r="C40" s="433"/>
      <c r="D40" s="313"/>
      <c r="E40" s="313"/>
      <c r="F40" s="313"/>
      <c r="G40" s="313"/>
      <c r="H40" s="313"/>
      <c r="I40" s="313"/>
      <c r="J40" s="313"/>
      <c r="K40" s="313"/>
      <c r="L40" s="313"/>
      <c r="M40" s="313"/>
      <c r="N40" s="313"/>
      <c r="O40" s="313"/>
      <c r="P40" s="313"/>
      <c r="Q40" s="313"/>
      <c r="R40" s="313"/>
      <c r="S40" s="313"/>
      <c r="T40" s="313"/>
      <c r="U40" s="313"/>
      <c r="V40" s="313"/>
      <c r="W40" s="313"/>
      <c r="X40" s="313"/>
    </row>
    <row r="41" spans="1:24" x14ac:dyDescent="0.25">
      <c r="A41" s="431">
        <v>36</v>
      </c>
      <c r="B41" s="433"/>
      <c r="C41" s="433"/>
      <c r="D41" s="313"/>
      <c r="E41" s="313"/>
      <c r="F41" s="313"/>
      <c r="G41" s="313"/>
      <c r="H41" s="313"/>
      <c r="I41" s="313"/>
      <c r="J41" s="313"/>
      <c r="K41" s="313"/>
      <c r="L41" s="313"/>
      <c r="M41" s="313"/>
      <c r="N41" s="313"/>
      <c r="O41" s="313"/>
      <c r="P41" s="313"/>
      <c r="Q41" s="313"/>
      <c r="R41" s="313"/>
      <c r="S41" s="313"/>
      <c r="T41" s="313"/>
      <c r="U41" s="313"/>
      <c r="V41" s="313"/>
      <c r="W41" s="313"/>
      <c r="X41" s="313"/>
    </row>
    <row r="42" spans="1:24" x14ac:dyDescent="0.25">
      <c r="A42" s="431">
        <f t="shared" ref="A42:A79" si="1">1+A41</f>
        <v>37.0</v>
      </c>
      <c r="B42" s="433"/>
      <c r="C42" s="433"/>
      <c r="D42" s="313"/>
      <c r="E42" s="313"/>
      <c r="F42" s="313"/>
      <c r="G42" s="313"/>
      <c r="H42" s="313"/>
      <c r="I42" s="313"/>
      <c r="J42" s="313"/>
      <c r="K42" s="313"/>
      <c r="L42" s="313"/>
      <c r="M42" s="313"/>
      <c r="N42" s="313"/>
      <c r="O42" s="313"/>
      <c r="P42" s="313"/>
      <c r="Q42" s="313"/>
      <c r="R42" s="313"/>
      <c r="S42" s="313"/>
      <c r="T42" s="313"/>
      <c r="U42" s="313"/>
      <c r="V42" s="313"/>
      <c r="W42" s="313"/>
      <c r="X42" s="313"/>
    </row>
    <row r="43" spans="1:24" x14ac:dyDescent="0.25">
      <c r="A43" s="431">
        <f t="shared" si="1"/>
        <v>38.0</v>
      </c>
      <c r="B43" s="433"/>
      <c r="C43" s="433"/>
      <c r="D43" s="313"/>
      <c r="E43" s="313"/>
      <c r="F43" s="313"/>
      <c r="G43" s="313"/>
      <c r="H43" s="313"/>
      <c r="I43" s="313"/>
      <c r="J43" s="313"/>
      <c r="K43" s="313"/>
      <c r="L43" s="313"/>
      <c r="M43" s="313"/>
      <c r="N43" s="313"/>
      <c r="O43" s="313"/>
      <c r="P43" s="313"/>
      <c r="Q43" s="313"/>
      <c r="R43" s="313"/>
      <c r="S43" s="313"/>
      <c r="T43" s="313"/>
      <c r="U43" s="313"/>
      <c r="V43" s="313"/>
      <c r="W43" s="313"/>
      <c r="X43" s="313"/>
    </row>
    <row r="44" spans="1:24" x14ac:dyDescent="0.25">
      <c r="A44" s="431">
        <f t="shared" si="1"/>
        <v>39.0</v>
      </c>
      <c r="B44" s="433"/>
      <c r="C44" s="433"/>
      <c r="D44" s="313"/>
      <c r="E44" s="313"/>
      <c r="F44" s="313"/>
      <c r="G44" s="313"/>
      <c r="H44" s="313"/>
      <c r="I44" s="313"/>
      <c r="J44" s="313"/>
      <c r="K44" s="313"/>
      <c r="L44" s="313"/>
      <c r="M44" s="313"/>
      <c r="N44" s="313"/>
      <c r="O44" s="313"/>
      <c r="P44" s="313"/>
      <c r="Q44" s="313"/>
      <c r="R44" s="313"/>
      <c r="S44" s="313"/>
      <c r="T44" s="313"/>
      <c r="U44" s="313"/>
      <c r="V44" s="313"/>
      <c r="W44" s="313"/>
      <c r="X44" s="313"/>
    </row>
    <row r="45" spans="1:24" x14ac:dyDescent="0.25">
      <c r="A45" s="431">
        <f t="shared" si="1"/>
        <v>40.0</v>
      </c>
      <c r="B45" s="433"/>
      <c r="C45" s="433"/>
      <c r="D45" s="313"/>
      <c r="E45" s="313"/>
      <c r="F45" s="313"/>
      <c r="G45" s="313"/>
      <c r="H45" s="313"/>
      <c r="I45" s="313"/>
      <c r="J45" s="313"/>
      <c r="K45" s="313"/>
      <c r="L45" s="313"/>
      <c r="M45" s="313"/>
      <c r="N45" s="313"/>
      <c r="O45" s="313"/>
      <c r="P45" s="313"/>
      <c r="Q45" s="313"/>
      <c r="R45" s="313"/>
      <c r="S45" s="313"/>
      <c r="T45" s="313"/>
      <c r="U45" s="313"/>
      <c r="V45" s="313"/>
      <c r="W45" s="313"/>
      <c r="X45" s="313"/>
    </row>
    <row r="46" spans="1:24" x14ac:dyDescent="0.25">
      <c r="A46" s="431">
        <f t="shared" si="1"/>
        <v>41.0</v>
      </c>
      <c r="B46" s="433"/>
      <c r="C46" s="433"/>
      <c r="D46" s="313"/>
      <c r="E46" s="313"/>
      <c r="F46" s="313"/>
      <c r="G46" s="313"/>
      <c r="H46" s="313"/>
      <c r="I46" s="313"/>
      <c r="J46" s="313"/>
      <c r="K46" s="313"/>
      <c r="L46" s="313"/>
      <c r="M46" s="313"/>
      <c r="N46" s="313"/>
      <c r="O46" s="313"/>
      <c r="P46" s="313"/>
      <c r="Q46" s="313"/>
      <c r="R46" s="313"/>
      <c r="S46" s="313"/>
      <c r="T46" s="313"/>
      <c r="U46" s="313"/>
      <c r="V46" s="313"/>
      <c r="W46" s="313"/>
      <c r="X46" s="313"/>
    </row>
    <row r="47" spans="1:24" x14ac:dyDescent="0.25">
      <c r="A47" s="431">
        <f t="shared" si="1"/>
        <v>42.0</v>
      </c>
      <c r="B47" s="433"/>
      <c r="C47" s="433"/>
      <c r="D47" s="313"/>
      <c r="E47" s="313"/>
      <c r="F47" s="313"/>
      <c r="G47" s="313"/>
      <c r="H47" s="313"/>
      <c r="I47" s="313"/>
      <c r="J47" s="313"/>
      <c r="K47" s="313"/>
      <c r="L47" s="313"/>
      <c r="M47" s="313"/>
      <c r="N47" s="313"/>
      <c r="O47" s="313"/>
      <c r="P47" s="313"/>
      <c r="Q47" s="313"/>
      <c r="R47" s="313"/>
      <c r="S47" s="313"/>
      <c r="T47" s="313"/>
      <c r="U47" s="313"/>
      <c r="V47" s="313"/>
      <c r="W47" s="313"/>
      <c r="X47" s="313"/>
    </row>
    <row r="48" spans="1:24" x14ac:dyDescent="0.25">
      <c r="A48" s="431">
        <f t="shared" si="1"/>
        <v>43.0</v>
      </c>
      <c r="B48" s="433"/>
      <c r="C48" s="433"/>
      <c r="D48" s="313"/>
      <c r="E48" s="313"/>
      <c r="F48" s="313"/>
      <c r="G48" s="313"/>
      <c r="H48" s="313"/>
      <c r="I48" s="313"/>
      <c r="J48" s="313"/>
      <c r="K48" s="313"/>
      <c r="L48" s="313"/>
      <c r="M48" s="313"/>
      <c r="N48" s="313"/>
      <c r="O48" s="313"/>
      <c r="P48" s="313"/>
      <c r="Q48" s="313"/>
      <c r="R48" s="313"/>
      <c r="S48" s="313"/>
      <c r="T48" s="313"/>
      <c r="U48" s="313"/>
      <c r="V48" s="313"/>
      <c r="W48" s="313"/>
      <c r="X48" s="313"/>
    </row>
    <row r="49" spans="1:24" x14ac:dyDescent="0.25">
      <c r="A49" s="431">
        <f t="shared" si="1"/>
        <v>44.0</v>
      </c>
      <c r="B49" s="433"/>
      <c r="C49" s="433"/>
      <c r="D49" s="313"/>
      <c r="E49" s="313"/>
      <c r="F49" s="313"/>
      <c r="G49" s="313"/>
      <c r="H49" s="313"/>
      <c r="I49" s="313"/>
      <c r="J49" s="313"/>
      <c r="K49" s="313"/>
      <c r="L49" s="313"/>
      <c r="M49" s="313"/>
      <c r="N49" s="313"/>
      <c r="O49" s="313"/>
      <c r="P49" s="313"/>
      <c r="Q49" s="313"/>
      <c r="R49" s="313"/>
      <c r="S49" s="313"/>
      <c r="T49" s="313"/>
      <c r="U49" s="313"/>
      <c r="V49" s="313"/>
      <c r="W49" s="313"/>
      <c r="X49" s="313"/>
    </row>
    <row r="50" spans="1:24" x14ac:dyDescent="0.25">
      <c r="A50" s="431">
        <f t="shared" si="1"/>
        <v>45.0</v>
      </c>
      <c r="B50" s="433"/>
      <c r="C50" s="433"/>
      <c r="D50" s="313"/>
      <c r="E50" s="313"/>
      <c r="F50" s="313"/>
      <c r="G50" s="313"/>
      <c r="H50" s="313"/>
      <c r="I50" s="313"/>
      <c r="J50" s="434"/>
      <c r="K50" s="313"/>
      <c r="L50" s="313"/>
      <c r="M50" s="313"/>
      <c r="N50" s="313"/>
      <c r="O50" s="313"/>
      <c r="P50" s="313"/>
      <c r="Q50" s="313"/>
      <c r="R50" s="313"/>
      <c r="S50" s="313"/>
      <c r="T50" s="313"/>
      <c r="U50" s="313"/>
      <c r="V50" s="313"/>
      <c r="W50" s="313"/>
      <c r="X50" s="313"/>
    </row>
    <row r="51" spans="1:24" x14ac:dyDescent="0.25">
      <c r="A51" s="431">
        <f t="shared" si="1"/>
        <v>46.0</v>
      </c>
      <c r="B51" s="433"/>
      <c r="C51" s="433"/>
      <c r="D51" s="313"/>
      <c r="E51" s="313"/>
      <c r="F51" s="313"/>
      <c r="G51" s="313"/>
      <c r="H51" s="313"/>
      <c r="I51" s="313"/>
      <c r="J51" s="434"/>
      <c r="K51" s="313"/>
      <c r="L51" s="313"/>
      <c r="M51" s="313"/>
      <c r="N51" s="313"/>
      <c r="O51" s="313"/>
      <c r="P51" s="313"/>
      <c r="Q51" s="313"/>
      <c r="R51" s="313"/>
      <c r="S51" s="313"/>
      <c r="T51" s="313"/>
      <c r="U51" s="313"/>
      <c r="V51" s="313"/>
      <c r="W51" s="313"/>
      <c r="X51" s="313"/>
    </row>
    <row r="52" spans="1:24" x14ac:dyDescent="0.25">
      <c r="A52" s="431">
        <f t="shared" si="1"/>
        <v>47.0</v>
      </c>
      <c r="B52" s="433"/>
      <c r="C52" s="433"/>
      <c r="D52" s="313"/>
      <c r="E52" s="313"/>
      <c r="F52" s="313"/>
      <c r="G52" s="313"/>
      <c r="H52" s="313"/>
      <c r="I52" s="313"/>
      <c r="J52" s="313"/>
      <c r="K52" s="313"/>
      <c r="L52" s="313"/>
      <c r="M52" s="313"/>
      <c r="N52" s="313"/>
      <c r="O52" s="313"/>
      <c r="P52" s="313"/>
      <c r="Q52" s="313"/>
      <c r="R52" s="313"/>
      <c r="S52" s="313"/>
      <c r="T52" s="313"/>
      <c r="U52" s="313"/>
      <c r="V52" s="313"/>
      <c r="W52" s="313"/>
      <c r="X52" s="313"/>
    </row>
    <row r="53" spans="1:24" x14ac:dyDescent="0.25">
      <c r="A53" s="431">
        <f t="shared" si="1"/>
        <v>48.0</v>
      </c>
      <c r="B53" s="433"/>
      <c r="C53" s="433"/>
      <c r="D53" s="313"/>
      <c r="E53" s="313"/>
      <c r="F53" s="313"/>
      <c r="G53" s="313"/>
      <c r="H53" s="313"/>
      <c r="I53" s="313"/>
      <c r="J53" s="313"/>
      <c r="K53" s="313"/>
      <c r="L53" s="313"/>
      <c r="M53" s="313"/>
      <c r="N53" s="313"/>
      <c r="O53" s="313"/>
      <c r="P53" s="313"/>
      <c r="Q53" s="313"/>
      <c r="R53" s="313"/>
      <c r="S53" s="313"/>
      <c r="T53" s="313"/>
      <c r="U53" s="313"/>
      <c r="V53" s="313"/>
      <c r="W53" s="313"/>
      <c r="X53" s="313"/>
    </row>
    <row r="54" spans="1:24" x14ac:dyDescent="0.25">
      <c r="A54" s="431">
        <f t="shared" si="1"/>
        <v>49.0</v>
      </c>
      <c r="B54" s="433"/>
      <c r="C54" s="433"/>
      <c r="D54" s="313"/>
      <c r="E54" s="313"/>
      <c r="F54" s="313"/>
      <c r="G54" s="313"/>
      <c r="H54" s="313"/>
      <c r="I54" s="313"/>
      <c r="J54" s="313"/>
      <c r="K54" s="313"/>
      <c r="L54" s="313"/>
      <c r="M54" s="313"/>
      <c r="N54" s="313"/>
      <c r="O54" s="313"/>
      <c r="P54" s="313"/>
      <c r="Q54" s="313"/>
      <c r="R54" s="313"/>
      <c r="S54" s="313"/>
      <c r="T54" s="313"/>
      <c r="U54" s="313"/>
      <c r="V54" s="313"/>
      <c r="W54" s="313"/>
      <c r="X54" s="313"/>
    </row>
    <row r="55" spans="1:24" x14ac:dyDescent="0.25">
      <c r="A55" s="431">
        <f t="shared" si="1"/>
        <v>50.0</v>
      </c>
      <c r="B55" s="433"/>
      <c r="C55" s="433"/>
      <c r="D55" s="313"/>
      <c r="E55" s="313"/>
      <c r="F55" s="313"/>
      <c r="G55" s="313"/>
      <c r="H55" s="313"/>
      <c r="I55" s="313"/>
      <c r="J55" s="313"/>
      <c r="K55" s="313"/>
      <c r="L55" s="313"/>
      <c r="M55" s="313"/>
      <c r="N55" s="313"/>
      <c r="O55" s="313"/>
      <c r="P55" s="313"/>
      <c r="Q55" s="313"/>
      <c r="R55" s="313"/>
      <c r="S55" s="313"/>
      <c r="T55" s="313"/>
      <c r="U55" s="313"/>
      <c r="V55" s="313"/>
      <c r="W55" s="313"/>
      <c r="X55" s="313"/>
    </row>
    <row r="56" spans="1:24" x14ac:dyDescent="0.25">
      <c r="A56" s="431">
        <f t="shared" si="1"/>
        <v>51.0</v>
      </c>
      <c r="B56" s="433"/>
      <c r="C56" s="433"/>
      <c r="D56" s="313"/>
      <c r="E56" s="313"/>
      <c r="F56" s="313"/>
      <c r="G56" s="313"/>
      <c r="H56" s="313"/>
      <c r="I56" s="313"/>
      <c r="J56" s="313"/>
      <c r="K56" s="313"/>
      <c r="L56" s="313"/>
      <c r="M56" s="313"/>
      <c r="N56" s="313"/>
      <c r="O56" s="313"/>
      <c r="P56" s="313"/>
      <c r="Q56" s="313"/>
      <c r="R56" s="313"/>
      <c r="S56" s="313"/>
      <c r="T56" s="313"/>
      <c r="U56" s="313"/>
      <c r="V56" s="313"/>
      <c r="W56" s="313"/>
      <c r="X56" s="313"/>
    </row>
    <row r="57" spans="1:24" x14ac:dyDescent="0.25">
      <c r="A57" s="431">
        <f t="shared" si="1"/>
        <v>52.0</v>
      </c>
      <c r="B57" s="433"/>
      <c r="C57" s="433"/>
      <c r="D57" s="313"/>
      <c r="E57" s="313"/>
      <c r="F57" s="313"/>
      <c r="G57" s="313"/>
      <c r="H57" s="313"/>
      <c r="I57" s="313"/>
      <c r="J57" s="313"/>
      <c r="K57" s="313"/>
      <c r="L57" s="313"/>
      <c r="M57" s="313"/>
      <c r="N57" s="313"/>
      <c r="O57" s="313"/>
      <c r="P57" s="313"/>
      <c r="Q57" s="313"/>
      <c r="R57" s="313"/>
      <c r="S57" s="313"/>
      <c r="T57" s="313"/>
      <c r="U57" s="313"/>
      <c r="V57" s="313"/>
      <c r="W57" s="313"/>
      <c r="X57" s="313"/>
    </row>
    <row r="58" spans="1:24" x14ac:dyDescent="0.25">
      <c r="A58" s="431">
        <f t="shared" si="1"/>
        <v>53.0</v>
      </c>
      <c r="B58" s="433"/>
      <c r="C58" s="433"/>
      <c r="D58" s="313"/>
      <c r="E58" s="313"/>
      <c r="F58" s="313"/>
      <c r="G58" s="313"/>
      <c r="H58" s="313"/>
      <c r="I58" s="313"/>
      <c r="J58" s="313"/>
      <c r="K58" s="313"/>
      <c r="L58" s="313"/>
      <c r="M58" s="313"/>
      <c r="N58" s="313"/>
      <c r="O58" s="313"/>
      <c r="P58" s="313"/>
      <c r="Q58" s="313"/>
      <c r="R58" s="313"/>
      <c r="S58" s="313"/>
      <c r="T58" s="313"/>
      <c r="U58" s="313"/>
      <c r="V58" s="313"/>
      <c r="W58" s="313"/>
      <c r="X58" s="313"/>
    </row>
    <row r="59" spans="1:24" x14ac:dyDescent="0.25">
      <c r="A59" s="431">
        <f t="shared" si="1"/>
        <v>54.0</v>
      </c>
      <c r="B59" s="433"/>
      <c r="C59" s="433"/>
      <c r="D59" s="313"/>
      <c r="E59" s="313"/>
      <c r="F59" s="313"/>
      <c r="G59" s="313"/>
      <c r="H59" s="313"/>
      <c r="I59" s="313"/>
      <c r="J59" s="313"/>
      <c r="K59" s="313"/>
      <c r="L59" s="313"/>
      <c r="M59" s="313"/>
      <c r="N59" s="313"/>
      <c r="O59" s="313"/>
      <c r="P59" s="313"/>
      <c r="Q59" s="313"/>
      <c r="R59" s="313"/>
      <c r="S59" s="313"/>
      <c r="T59" s="313"/>
      <c r="U59" s="313"/>
      <c r="V59" s="313"/>
      <c r="W59" s="313"/>
      <c r="X59" s="313"/>
    </row>
    <row r="60" spans="1:24" x14ac:dyDescent="0.25">
      <c r="A60" s="431">
        <f t="shared" si="1"/>
        <v>55.0</v>
      </c>
      <c r="B60" s="433"/>
      <c r="C60" s="433"/>
      <c r="D60" s="313"/>
      <c r="E60" s="313"/>
      <c r="F60" s="313"/>
      <c r="G60" s="313"/>
      <c r="H60" s="313"/>
      <c r="I60" s="313"/>
      <c r="J60" s="313"/>
      <c r="K60" s="313"/>
      <c r="L60" s="313"/>
      <c r="M60" s="313"/>
      <c r="N60" s="313"/>
      <c r="O60" s="313"/>
      <c r="P60" s="313"/>
      <c r="Q60" s="313"/>
      <c r="R60" s="313"/>
      <c r="S60" s="313"/>
      <c r="T60" s="313"/>
      <c r="U60" s="313"/>
      <c r="V60" s="313"/>
      <c r="W60" s="313"/>
      <c r="X60" s="313"/>
    </row>
    <row r="61" spans="1:24" x14ac:dyDescent="0.25">
      <c r="A61" s="431">
        <f t="shared" si="1"/>
        <v>56.0</v>
      </c>
      <c r="B61" s="433"/>
      <c r="C61" s="433"/>
      <c r="D61" s="313"/>
      <c r="E61" s="313"/>
      <c r="F61" s="313"/>
      <c r="G61" s="313"/>
      <c r="H61" s="313"/>
      <c r="I61" s="313"/>
      <c r="J61" s="313"/>
      <c r="K61" s="313"/>
      <c r="L61" s="313"/>
      <c r="M61" s="313"/>
      <c r="N61" s="313"/>
      <c r="O61" s="313"/>
      <c r="P61" s="313"/>
      <c r="Q61" s="313"/>
      <c r="R61" s="313"/>
      <c r="S61" s="313"/>
      <c r="T61" s="313"/>
      <c r="U61" s="313"/>
      <c r="V61" s="313"/>
      <c r="W61" s="313"/>
      <c r="X61" s="313"/>
    </row>
    <row r="62" spans="1:24" x14ac:dyDescent="0.25">
      <c r="A62" s="431">
        <f t="shared" si="1"/>
        <v>57.0</v>
      </c>
      <c r="B62" s="433"/>
      <c r="C62" s="433"/>
      <c r="D62" s="313"/>
      <c r="E62" s="313"/>
      <c r="F62" s="313"/>
      <c r="G62" s="313"/>
      <c r="H62" s="313"/>
      <c r="I62" s="313"/>
      <c r="J62" s="313"/>
      <c r="K62" s="313"/>
      <c r="L62" s="313"/>
      <c r="M62" s="313"/>
      <c r="N62" s="313"/>
      <c r="O62" s="313"/>
      <c r="P62" s="313"/>
      <c r="Q62" s="313"/>
      <c r="R62" s="313"/>
      <c r="S62" s="313"/>
      <c r="T62" s="313"/>
      <c r="U62" s="313"/>
      <c r="V62" s="313"/>
      <c r="W62" s="313"/>
      <c r="X62" s="313"/>
    </row>
    <row r="63" spans="1:24" x14ac:dyDescent="0.25">
      <c r="A63" s="431">
        <f t="shared" si="1"/>
        <v>58.0</v>
      </c>
      <c r="B63" s="433"/>
      <c r="C63" s="433"/>
      <c r="D63" s="313"/>
      <c r="E63" s="313"/>
      <c r="F63" s="313"/>
      <c r="G63" s="313"/>
      <c r="H63" s="313"/>
      <c r="I63" s="313"/>
      <c r="J63" s="313"/>
      <c r="K63" s="313"/>
      <c r="L63" s="313"/>
      <c r="M63" s="313"/>
      <c r="N63" s="313"/>
      <c r="O63" s="313"/>
      <c r="P63" s="313"/>
      <c r="Q63" s="313"/>
      <c r="R63" s="313"/>
      <c r="S63" s="313"/>
      <c r="T63" s="313"/>
      <c r="U63" s="313"/>
      <c r="V63" s="313"/>
      <c r="W63" s="313"/>
      <c r="X63" s="313"/>
    </row>
    <row r="64" spans="1:24" x14ac:dyDescent="0.25">
      <c r="A64" s="431">
        <f t="shared" si="1"/>
        <v>59.0</v>
      </c>
      <c r="B64" s="433"/>
      <c r="C64" s="433"/>
      <c r="D64" s="313"/>
      <c r="E64" s="313"/>
      <c r="F64" s="313"/>
      <c r="G64" s="313"/>
      <c r="H64" s="313"/>
      <c r="I64" s="313"/>
      <c r="J64" s="313"/>
      <c r="K64" s="313"/>
      <c r="L64" s="313"/>
      <c r="M64" s="313"/>
      <c r="N64" s="313"/>
      <c r="O64" s="313"/>
      <c r="P64" s="313"/>
      <c r="Q64" s="313"/>
      <c r="R64" s="313"/>
      <c r="S64" s="313"/>
      <c r="T64" s="313"/>
      <c r="U64" s="313"/>
      <c r="V64" s="313"/>
      <c r="W64" s="313"/>
      <c r="X64" s="313"/>
    </row>
    <row r="65" spans="1:24" x14ac:dyDescent="0.25">
      <c r="A65" s="431">
        <f t="shared" si="1"/>
        <v>60.0</v>
      </c>
      <c r="B65" s="433"/>
      <c r="C65" s="433"/>
      <c r="D65" s="313"/>
      <c r="E65" s="313"/>
      <c r="F65" s="313"/>
      <c r="G65" s="313"/>
      <c r="H65" s="313"/>
      <c r="I65" s="313"/>
      <c r="J65" s="313"/>
      <c r="K65" s="313"/>
      <c r="L65" s="313"/>
      <c r="M65" s="313"/>
      <c r="N65" s="313"/>
      <c r="O65" s="313"/>
      <c r="P65" s="313"/>
      <c r="Q65" s="313"/>
      <c r="R65" s="313"/>
      <c r="S65" s="313"/>
      <c r="T65" s="313"/>
      <c r="U65" s="313"/>
      <c r="V65" s="313"/>
      <c r="W65" s="313"/>
      <c r="X65" s="313"/>
    </row>
    <row r="66" spans="1:24" x14ac:dyDescent="0.25">
      <c r="A66" s="431">
        <f t="shared" si="1"/>
        <v>61.0</v>
      </c>
      <c r="B66" s="433"/>
      <c r="C66" s="433"/>
      <c r="D66" s="313"/>
      <c r="E66" s="313"/>
      <c r="F66" s="313"/>
      <c r="G66" s="313"/>
      <c r="H66" s="313"/>
      <c r="I66" s="313"/>
      <c r="J66" s="313"/>
      <c r="K66" s="313"/>
      <c r="L66" s="313"/>
      <c r="M66" s="313"/>
      <c r="N66" s="313"/>
      <c r="O66" s="313"/>
      <c r="P66" s="313"/>
      <c r="Q66" s="313"/>
      <c r="R66" s="313"/>
      <c r="S66" s="313"/>
      <c r="T66" s="313"/>
      <c r="U66" s="313"/>
      <c r="V66" s="313"/>
      <c r="W66" s="313"/>
      <c r="X66" s="313"/>
    </row>
    <row r="67" spans="1:24" x14ac:dyDescent="0.25">
      <c r="A67" s="431">
        <f t="shared" si="1"/>
        <v>62.0</v>
      </c>
      <c r="B67" s="433"/>
      <c r="C67" s="433"/>
      <c r="D67" s="313"/>
      <c r="E67" s="313"/>
      <c r="F67" s="313"/>
      <c r="G67" s="313"/>
      <c r="H67" s="313"/>
      <c r="I67" s="313"/>
      <c r="J67" s="313"/>
      <c r="K67" s="313"/>
      <c r="L67" s="313"/>
      <c r="M67" s="313"/>
      <c r="N67" s="313"/>
      <c r="O67" s="313"/>
      <c r="P67" s="313"/>
      <c r="Q67" s="313"/>
      <c r="R67" s="313"/>
      <c r="S67" s="313"/>
      <c r="T67" s="313"/>
      <c r="U67" s="313"/>
      <c r="V67" s="313"/>
      <c r="W67" s="313"/>
      <c r="X67" s="313"/>
    </row>
    <row r="68" spans="1:24" x14ac:dyDescent="0.25">
      <c r="A68" s="431">
        <f t="shared" si="1"/>
        <v>63.0</v>
      </c>
      <c r="B68" s="433"/>
      <c r="C68" s="433"/>
      <c r="D68" s="313"/>
      <c r="E68" s="313"/>
      <c r="F68" s="313"/>
      <c r="G68" s="313"/>
      <c r="H68" s="313"/>
      <c r="I68" s="313"/>
      <c r="J68" s="313"/>
      <c r="K68" s="313"/>
      <c r="L68" s="313"/>
      <c r="M68" s="313"/>
      <c r="N68" s="313"/>
      <c r="O68" s="313"/>
      <c r="P68" s="313"/>
      <c r="Q68" s="313"/>
      <c r="R68" s="313"/>
      <c r="S68" s="313"/>
      <c r="T68" s="313"/>
      <c r="U68" s="313"/>
      <c r="V68" s="313"/>
      <c r="W68" s="313"/>
      <c r="X68" s="313"/>
    </row>
    <row r="69" spans="1:24" x14ac:dyDescent="0.25">
      <c r="A69" s="431">
        <f t="shared" si="1"/>
        <v>64.0</v>
      </c>
      <c r="B69" s="433"/>
      <c r="C69" s="433"/>
      <c r="D69" s="313"/>
      <c r="E69" s="313"/>
      <c r="F69" s="313"/>
      <c r="G69" s="313"/>
      <c r="H69" s="313"/>
      <c r="I69" s="313"/>
      <c r="J69" s="313"/>
      <c r="K69" s="313"/>
      <c r="L69" s="313"/>
      <c r="M69" s="313"/>
      <c r="N69" s="313"/>
      <c r="O69" s="313"/>
      <c r="P69" s="313"/>
      <c r="Q69" s="313"/>
      <c r="R69" s="313"/>
      <c r="S69" s="313"/>
      <c r="T69" s="313"/>
      <c r="U69" s="313"/>
      <c r="V69" s="313"/>
      <c r="W69" s="313"/>
      <c r="X69" s="313"/>
    </row>
    <row r="70" spans="1:24" x14ac:dyDescent="0.25">
      <c r="A70" s="431">
        <f t="shared" si="1"/>
        <v>65.0</v>
      </c>
      <c r="B70" s="433"/>
      <c r="C70" s="433"/>
      <c r="D70" s="313"/>
      <c r="E70" s="313"/>
      <c r="F70" s="313"/>
      <c r="G70" s="313"/>
      <c r="H70" s="313"/>
      <c r="I70" s="313"/>
      <c r="J70" s="313"/>
      <c r="K70" s="313"/>
      <c r="L70" s="313"/>
      <c r="M70" s="313"/>
      <c r="N70" s="313"/>
      <c r="O70" s="313"/>
      <c r="P70" s="313"/>
      <c r="Q70" s="313"/>
      <c r="R70" s="313"/>
      <c r="S70" s="313"/>
      <c r="T70" s="313"/>
      <c r="U70" s="313"/>
      <c r="V70" s="313"/>
      <c r="W70" s="313"/>
      <c r="X70" s="313"/>
    </row>
    <row r="71" spans="1:24" x14ac:dyDescent="0.25">
      <c r="A71" s="431">
        <f t="shared" si="1"/>
        <v>66.0</v>
      </c>
      <c r="B71" s="433"/>
      <c r="C71" s="433"/>
      <c r="D71" s="313"/>
      <c r="E71" s="313"/>
      <c r="F71" s="313"/>
      <c r="G71" s="313"/>
      <c r="H71" s="313"/>
      <c r="I71" s="313"/>
      <c r="J71" s="313"/>
      <c r="K71" s="313"/>
      <c r="L71" s="313"/>
      <c r="M71" s="313"/>
      <c r="N71" s="313"/>
      <c r="O71" s="313"/>
      <c r="P71" s="313"/>
      <c r="Q71" s="313"/>
      <c r="R71" s="313"/>
      <c r="S71" s="313"/>
      <c r="T71" s="313"/>
      <c r="U71" s="313"/>
      <c r="V71" s="313"/>
      <c r="W71" s="313"/>
      <c r="X71" s="313"/>
    </row>
    <row r="72" spans="1:24" x14ac:dyDescent="0.25">
      <c r="A72" s="431">
        <f t="shared" si="1"/>
        <v>67.0</v>
      </c>
      <c r="B72" s="433"/>
      <c r="C72" s="433"/>
      <c r="D72" s="313"/>
      <c r="E72" s="313"/>
      <c r="F72" s="313"/>
      <c r="G72" s="313"/>
      <c r="H72" s="313"/>
      <c r="I72" s="313"/>
      <c r="J72" s="313"/>
      <c r="K72" s="313"/>
      <c r="L72" s="313"/>
      <c r="M72" s="313"/>
      <c r="N72" s="313"/>
      <c r="O72" s="313"/>
      <c r="P72" s="313"/>
      <c r="Q72" s="313"/>
      <c r="R72" s="313"/>
      <c r="S72" s="313"/>
      <c r="T72" s="313"/>
      <c r="U72" s="313"/>
      <c r="V72" s="313"/>
      <c r="W72" s="313"/>
      <c r="X72" s="313"/>
    </row>
    <row r="73" spans="1:24" x14ac:dyDescent="0.25">
      <c r="A73" s="431">
        <f t="shared" si="1"/>
        <v>68.0</v>
      </c>
      <c r="B73" s="433"/>
      <c r="C73" s="433"/>
      <c r="D73" s="313"/>
      <c r="E73" s="313"/>
      <c r="F73" s="313"/>
      <c r="G73" s="313"/>
      <c r="H73" s="313"/>
      <c r="I73" s="313"/>
      <c r="J73" s="313"/>
      <c r="K73" s="313"/>
      <c r="L73" s="313"/>
      <c r="M73" s="313"/>
      <c r="N73" s="313"/>
      <c r="O73" s="313"/>
      <c r="P73" s="313"/>
      <c r="Q73" s="313"/>
      <c r="R73" s="313"/>
      <c r="S73" s="313"/>
      <c r="T73" s="313"/>
      <c r="U73" s="313"/>
      <c r="V73" s="313"/>
      <c r="W73" s="313"/>
      <c r="X73" s="313"/>
    </row>
    <row r="74" spans="1:24" x14ac:dyDescent="0.25">
      <c r="A74" s="431">
        <f t="shared" si="1"/>
        <v>69.0</v>
      </c>
      <c r="B74" s="433"/>
      <c r="C74" s="433"/>
      <c r="D74" s="313"/>
      <c r="E74" s="313"/>
      <c r="F74" s="313"/>
      <c r="G74" s="313"/>
      <c r="H74" s="313"/>
      <c r="I74" s="313"/>
      <c r="J74" s="313"/>
      <c r="K74" s="313"/>
      <c r="L74" s="313"/>
      <c r="M74" s="313"/>
      <c r="N74" s="313"/>
      <c r="O74" s="313"/>
      <c r="P74" s="313"/>
      <c r="Q74" s="313"/>
      <c r="R74" s="313"/>
      <c r="S74" s="313"/>
      <c r="T74" s="313"/>
      <c r="U74" s="313"/>
      <c r="V74" s="313"/>
      <c r="W74" s="313"/>
      <c r="X74" s="313"/>
    </row>
    <row r="75" spans="1:24" x14ac:dyDescent="0.25">
      <c r="A75" s="431">
        <f t="shared" si="1"/>
        <v>70.0</v>
      </c>
      <c r="B75" s="433"/>
      <c r="C75" s="433"/>
      <c r="D75" s="313"/>
      <c r="E75" s="313"/>
      <c r="F75" s="313"/>
      <c r="G75" s="313"/>
      <c r="H75" s="313"/>
      <c r="I75" s="313"/>
      <c r="J75" s="313"/>
      <c r="K75" s="313"/>
      <c r="L75" s="313"/>
      <c r="M75" s="313"/>
      <c r="N75" s="313"/>
      <c r="O75" s="313"/>
      <c r="P75" s="313"/>
      <c r="Q75" s="313"/>
      <c r="R75" s="313"/>
      <c r="S75" s="313"/>
      <c r="T75" s="313"/>
      <c r="U75" s="313"/>
      <c r="V75" s="313"/>
      <c r="W75" s="313"/>
      <c r="X75" s="313"/>
    </row>
    <row r="76" spans="1:24" x14ac:dyDescent="0.25">
      <c r="A76" s="431">
        <f t="shared" si="1"/>
        <v>71.0</v>
      </c>
      <c r="B76" s="433"/>
      <c r="C76" s="433"/>
      <c r="D76" s="313"/>
      <c r="E76" s="313"/>
      <c r="F76" s="313"/>
      <c r="G76" s="313"/>
      <c r="H76" s="313"/>
      <c r="I76" s="313"/>
      <c r="J76" s="313"/>
      <c r="K76" s="313"/>
      <c r="L76" s="313"/>
      <c r="M76" s="313"/>
      <c r="N76" s="313"/>
      <c r="O76" s="313"/>
      <c r="P76" s="313"/>
      <c r="Q76" s="313"/>
      <c r="R76" s="313"/>
      <c r="S76" s="313"/>
      <c r="T76" s="313"/>
      <c r="U76" s="313"/>
      <c r="V76" s="313"/>
      <c r="W76" s="313"/>
      <c r="X76" s="313"/>
    </row>
    <row r="77" spans="1:24" x14ac:dyDescent="0.25">
      <c r="A77" s="431">
        <f t="shared" si="1"/>
        <v>72.0</v>
      </c>
      <c r="B77" s="433"/>
      <c r="C77" s="433"/>
      <c r="D77" s="313"/>
      <c r="E77" s="313"/>
      <c r="F77" s="313"/>
      <c r="G77" s="313"/>
      <c r="H77" s="313"/>
      <c r="I77" s="313"/>
      <c r="J77" s="313"/>
      <c r="K77" s="313"/>
      <c r="L77" s="313"/>
      <c r="M77" s="313"/>
      <c r="N77" s="313"/>
      <c r="O77" s="313"/>
      <c r="P77" s="313"/>
      <c r="Q77" s="313"/>
      <c r="R77" s="313"/>
      <c r="S77" s="313"/>
      <c r="T77" s="313"/>
      <c r="U77" s="313"/>
      <c r="V77" s="313"/>
      <c r="W77" s="313"/>
      <c r="X77" s="313"/>
    </row>
    <row r="78" spans="1:24" x14ac:dyDescent="0.25">
      <c r="A78" s="431">
        <f t="shared" si="1"/>
        <v>73.0</v>
      </c>
      <c r="B78" s="433"/>
      <c r="C78" s="433"/>
      <c r="D78" s="313"/>
      <c r="E78" s="313"/>
      <c r="F78" s="313"/>
      <c r="G78" s="313"/>
      <c r="H78" s="313"/>
      <c r="I78" s="313"/>
      <c r="J78" s="313"/>
      <c r="K78" s="313"/>
      <c r="L78" s="313"/>
      <c r="M78" s="313"/>
      <c r="N78" s="313"/>
      <c r="O78" s="313"/>
      <c r="P78" s="313"/>
      <c r="Q78" s="313"/>
      <c r="R78" s="313"/>
      <c r="S78" s="313"/>
      <c r="T78" s="313"/>
      <c r="U78" s="313"/>
      <c r="V78" s="313"/>
      <c r="W78" s="313"/>
      <c r="X78" s="313"/>
    </row>
    <row r="79" spans="1:24" x14ac:dyDescent="0.25">
      <c r="A79" s="431">
        <f t="shared" si="1"/>
        <v>74.0</v>
      </c>
      <c r="B79" s="433"/>
      <c r="C79" s="433"/>
      <c r="D79" s="313"/>
      <c r="E79" s="313"/>
      <c r="F79" s="313"/>
      <c r="G79" s="313"/>
      <c r="H79" s="313"/>
      <c r="I79" s="313"/>
      <c r="J79" s="313"/>
      <c r="K79" s="313"/>
      <c r="L79" s="313"/>
      <c r="M79" s="313"/>
      <c r="N79" s="313"/>
      <c r="O79" s="313"/>
      <c r="P79" s="313"/>
      <c r="Q79" s="313"/>
      <c r="R79" s="313"/>
      <c r="S79" s="313"/>
      <c r="T79" s="313"/>
      <c r="U79" s="313"/>
      <c r="V79" s="313"/>
      <c r="W79" s="313"/>
      <c r="X79" s="313"/>
    </row>
    <row r="80" spans="1:24" x14ac:dyDescent="0.25">
      <c r="Q80" s="313"/>
    </row>
    <row r="81" spans="17:17" x14ac:dyDescent="0.25">
      <c r="Q81" s="313"/>
    </row>
    <row r="82" spans="17:17" x14ac:dyDescent="0.25">
      <c r="Q82" s="313"/>
    </row>
    <row r="83" spans="17:17" x14ac:dyDescent="0.25">
      <c r="Q83" s="313"/>
    </row>
    <row r="84" spans="17:17" x14ac:dyDescent="0.25">
      <c r="Q84" s="313"/>
    </row>
    <row r="85" spans="17:17" x14ac:dyDescent="0.25">
      <c r="Q85" s="313"/>
    </row>
    <row r="86" spans="17:17" x14ac:dyDescent="0.25">
      <c r="Q86" s="313"/>
    </row>
    <row r="87" spans="17:17" x14ac:dyDescent="0.25">
      <c r="Q87" s="313"/>
    </row>
    <row r="88" spans="17:17" x14ac:dyDescent="0.25">
      <c r="Q88" s="313"/>
    </row>
    <row r="89" spans="17:17" x14ac:dyDescent="0.25">
      <c r="Q89" s="313"/>
    </row>
    <row r="90" spans="17:17" x14ac:dyDescent="0.25">
      <c r="Q90" s="313"/>
    </row>
    <row r="91" spans="17:17" x14ac:dyDescent="0.25">
      <c r="Q91" s="313"/>
    </row>
    <row r="92" spans="17:17" x14ac:dyDescent="0.25">
      <c r="Q92" s="313"/>
    </row>
    <row r="93" spans="17:17" x14ac:dyDescent="0.25">
      <c r="Q93" s="313"/>
    </row>
    <row r="94" spans="17:17" x14ac:dyDescent="0.25">
      <c r="Q94" s="313"/>
    </row>
    <row r="95" spans="17:17" x14ac:dyDescent="0.25">
      <c r="Q95" s="313"/>
    </row>
    <row r="96" spans="17:17" x14ac:dyDescent="0.25">
      <c r="Q96" s="313"/>
    </row>
    <row r="97" spans="17:17" x14ac:dyDescent="0.25">
      <c r="Q97" s="313"/>
    </row>
    <row r="98" spans="17:17" x14ac:dyDescent="0.25">
      <c r="Q98" s="313"/>
    </row>
    <row r="99" spans="17:17" x14ac:dyDescent="0.25">
      <c r="Q99" s="313"/>
    </row>
    <row r="100" spans="17:17" x14ac:dyDescent="0.25">
      <c r="Q100" s="313"/>
    </row>
    <row r="101" spans="17:17" x14ac:dyDescent="0.25">
      <c r="Q101" s="313"/>
    </row>
  </sheetData>
  <mergeCells count="3">
    <mergeCell ref="E4:J4"/>
    <mergeCell ref="L4:N4"/>
    <mergeCell ref="E13:J13"/>
  </mergeCells>
  <dataValidations count="2">
    <dataValidation type="whole" operator="equal" allowBlank="1" showInputMessage="1" showErrorMessage="1" sqref="B6:C6" xr:uid="{00000000-0002-0000-0A00-000000000000}">
      <formula1>0</formula1>
      <formula2>0</formula2>
    </dataValidation>
    <dataValidation type="list" allowBlank="1" showInputMessage="1" showErrorMessage="1" sqref="B2" xr:uid="{00000000-0002-0000-0A00-000001000000}">
      <formula1>"m,cm,mm,ft,in"</formula1>
      <formula2>0</formula2>
    </dataValidation>
  </dataValidations>
  <pageMargins left="0.51180555555555596" right="0.51180555555555596" top="0.78749999999999998" bottom="0.78749999999999998" header="0.511811023622047" footer="0.511811023622047"/>
  <pageSetup paperSize="9" scale="42" orientation="portrait" horizontalDpi="300" verticalDpi="300"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pageSetUpPr fitToPage="1"/>
  </sheetPr>
  <dimension ref="A1:AW100"/>
  <sheetViews>
    <sheetView showGridLines="0" view="pageBreakPreview" zoomScale="70" zoomScaleNormal="85" zoomScaleSheetLayoutView="70" workbookViewId="0">
      <selection activeCell="U44" sqref="U44"/>
    </sheetView>
  </sheetViews>
  <sheetFormatPr defaultColWidth="8.5703125" defaultRowHeight="15" x14ac:dyDescent="0.25"/>
  <cols>
    <col min="1" max="1" width="1.0" customWidth="1"/>
    <col min="2" max="49" width="4.43" customWidth="1"/>
    <col min="50" max="50" width="1.0" customWidth="1"/>
  </cols>
  <sheetData>
    <row r="1" ht="16" customHeight="1">
      <c r="B1" s="959" t="inlineStr">
        <is>
          <t>DETALHAMENTO DE ARMAÇÃO – VIGA PRÉ-FABRICADA PROTENDIDA</t>
        </is>
      </c>
      <c r="C1" s="891"/>
      <c r="D1" s="891"/>
      <c r="E1" s="891"/>
      <c r="F1" s="891"/>
      <c r="G1" s="891"/>
      <c r="H1" s="891"/>
      <c r="I1" s="891"/>
      <c r="J1" s="891"/>
      <c r="K1" s="891"/>
      <c r="L1" s="891"/>
      <c r="M1" s="891"/>
      <c r="N1" s="891"/>
      <c r="O1" s="891"/>
      <c r="P1" s="891"/>
      <c r="Q1" s="891"/>
      <c r="R1" s="891"/>
      <c r="S1" s="891"/>
      <c r="T1" s="891"/>
      <c r="U1" s="891"/>
      <c r="V1" s="891"/>
      <c r="W1" s="891"/>
      <c r="X1" s="891"/>
      <c r="Y1" s="891"/>
      <c r="Z1" s="891"/>
      <c r="AA1" s="891"/>
      <c r="AB1" s="891"/>
      <c r="AC1" s="891"/>
      <c r="AD1" s="891"/>
      <c r="AE1" s="891"/>
      <c r="AF1" s="891"/>
      <c r="AG1" s="879" t="str">
        <f>"PEÇA: "&amp;UPPER($U$45)&amp;"   –   FOLHA 01/02"</f>
        <v>PEÇA: VIGA 10M   –   FOLHA 01/02</v>
      </c>
      <c r="AH1" s="879"/>
      <c r="AI1" s="879"/>
      <c r="AJ1" s="879"/>
      <c r="AK1" s="879"/>
      <c r="AL1" s="879"/>
      <c r="AM1" s="879"/>
      <c r="AN1" s="879"/>
      <c r="AO1" s="879"/>
      <c r="AP1" s="879"/>
      <c r="AQ1" s="879"/>
      <c r="AR1" s="879"/>
      <c r="AS1" s="879"/>
      <c r="AT1" s="879"/>
      <c r="AU1" s="879"/>
      <c r="AV1" s="879"/>
      <c r="AW1" s="949"/>
    </row>
    <row r="2" ht="16" customHeight="1">
      <c r="B2" s="904"/>
      <c r="C2" s="890"/>
      <c r="D2" s="890"/>
      <c r="E2" s="890"/>
      <c r="F2" s="890"/>
      <c r="G2" s="890"/>
      <c r="H2" s="890"/>
      <c r="I2" s="890"/>
      <c r="J2" s="890"/>
      <c r="K2" s="890"/>
      <c r="L2" s="890"/>
      <c r="M2" s="890"/>
      <c r="N2" s="890"/>
      <c r="O2" s="890"/>
      <c r="P2" s="890"/>
      <c r="Q2" s="890"/>
      <c r="R2" s="890"/>
      <c r="S2" s="890"/>
      <c r="T2" s="890"/>
      <c r="U2" s="890"/>
      <c r="V2" s="890"/>
      <c r="W2" s="890"/>
      <c r="X2" s="890"/>
      <c r="Y2" s="890"/>
      <c r="Z2" s="890"/>
      <c r="AA2" s="890"/>
      <c r="AB2" s="890"/>
      <c r="AC2" s="890"/>
      <c r="AD2" s="890"/>
      <c r="AE2" s="890"/>
      <c r="AF2" s="890"/>
      <c r="AG2" s="892"/>
      <c r="AH2" s="892"/>
      <c r="AI2" s="892"/>
      <c r="AJ2" s="892"/>
      <c r="AK2" s="892"/>
      <c r="AL2" s="892"/>
      <c r="AM2" s="892"/>
      <c r="AN2" s="892"/>
      <c r="AO2" s="892"/>
      <c r="AP2" s="892"/>
      <c r="AQ2" s="892"/>
      <c r="AR2" s="892"/>
      <c r="AS2" s="892"/>
      <c r="AT2" s="892"/>
      <c r="AU2" s="892"/>
      <c r="AV2" s="892"/>
      <c r="AW2" s="944"/>
    </row>
    <row r="3" ht="15" customHeight="1">
      <c r="B3" s="957" t="str">
        <f>"VISTA LONGITUDINAL (ELEVAÇÃO) – escala real, cotas em cm   |   estribos: "&amp;'Cisalhamento e Apoios'!$J$10</f>
        <v>VISTA LONGITUDINAL (ELEVAÇÃO) – escala real, cotas em cm   |   estribos: T1: 24 Ø10 c/8.5   |   T2: 16 Ø10 c/11   |   T3: 62 Ø8 c/7.5   |   Peso estribos: 179 kg</v>
      </c>
      <c r="C3" s="870"/>
      <c r="D3" s="870"/>
      <c r="E3" s="870"/>
      <c r="F3" s="870"/>
      <c r="G3" s="870"/>
      <c r="H3" s="870"/>
      <c r="I3" s="870"/>
      <c r="J3" s="870"/>
      <c r="K3" s="870"/>
      <c r="L3" s="870"/>
      <c r="M3" s="870"/>
      <c r="N3" s="870"/>
      <c r="O3" s="870"/>
      <c r="P3" s="870"/>
      <c r="Q3" s="870"/>
      <c r="R3" s="870"/>
      <c r="S3" s="870"/>
      <c r="T3" s="870"/>
      <c r="U3" s="870"/>
      <c r="V3" s="870"/>
      <c r="W3" s="870"/>
      <c r="X3" s="870"/>
      <c r="Y3" s="870"/>
      <c r="Z3" s="870"/>
      <c r="AA3" s="870"/>
      <c r="AB3" s="870"/>
      <c r="AC3" s="870"/>
      <c r="AD3" s="870"/>
      <c r="AE3" s="870"/>
      <c r="AF3" s="870"/>
      <c r="AG3" s="870"/>
      <c r="AH3" s="870"/>
      <c r="AI3" s="870"/>
      <c r="AJ3" s="870"/>
      <c r="AK3" s="870"/>
      <c r="AL3" s="870"/>
      <c r="AM3" s="870"/>
      <c r="AN3" s="870"/>
      <c r="AO3" s="870"/>
      <c r="AP3" s="870"/>
      <c r="AQ3" s="870"/>
      <c r="AR3" s="870"/>
      <c r="AS3" s="870"/>
      <c r="AT3" s="870"/>
      <c r="AU3" s="870"/>
      <c r="AV3" s="870"/>
      <c r="AW3" s="935"/>
    </row>
    <row r="4" ht="15" customHeight="1">
      <c r="B4" s="906"/>
      <c r="AW4" s="913"/>
    </row>
    <row r="5" ht="15" customHeight="1">
      <c r="B5" s="906"/>
      <c r="AW5" s="913"/>
    </row>
    <row r="6" ht="15" customHeight="1">
      <c r="B6" s="906"/>
      <c r="AW6" s="913"/>
    </row>
    <row r="7" ht="15" customHeight="1">
      <c r="B7" s="906"/>
      <c r="AW7" s="913"/>
    </row>
    <row r="8" ht="15" customHeight="1">
      <c r="B8" s="906"/>
      <c r="AW8" s="913"/>
    </row>
    <row r="9" ht="15" customHeight="1">
      <c r="B9" s="906"/>
      <c r="AW9" s="913"/>
    </row>
    <row r="10" ht="15" customHeight="1">
      <c r="B10" s="906"/>
      <c r="AW10" s="913"/>
    </row>
    <row r="11" ht="15" customHeight="1">
      <c r="B11" s="906"/>
      <c r="AW11" s="913"/>
    </row>
    <row r="12" ht="15" customHeight="1">
      <c r="B12" s="906"/>
      <c r="AW12" s="913"/>
    </row>
    <row r="13" ht="15" customHeight="1">
      <c r="B13" s="906"/>
      <c r="AW13" s="913"/>
    </row>
    <row r="14" ht="15" customHeight="1">
      <c r="B14" s="906"/>
      <c r="AW14" s="913"/>
    </row>
    <row r="15" ht="15" customHeight="1">
      <c r="B15" s="906"/>
      <c r="AW15" s="913"/>
    </row>
    <row r="16" ht="15" customHeight="1">
      <c r="B16" s="906"/>
      <c r="AW16" s="913"/>
    </row>
    <row r="17" ht="15" customHeight="1">
      <c r="B17" s="906"/>
      <c r="AW17" s="913"/>
    </row>
    <row r="18" ht="15" customHeight="1">
      <c r="B18" s="906"/>
      <c r="AW18" s="913"/>
    </row>
    <row r="19" ht="15" customHeight="1">
      <c r="B19" s="906"/>
      <c r="AW19" s="913"/>
    </row>
    <row r="20" ht="15" customHeight="1">
      <c r="B20" s="961" t="str">
        <f>"ISOLAMENTO DAS CORDOALHAS (bainha plástica medida a partir de cada extremidade):  "&amp;IF((Geometria!$K$1403+Geometria!$K$1405+Geometria!$K$1407+Geometria!$K$1409+Geometria!$K$1418+Geometria!$K$1420+Geometria!$K$1422+Geometria!$K$1424+Geometria!$Q$1403+Geometria!$Q$1405+Geometria!$Q$1407+Geometria!$Q$1409+Geometria!$Q$1418+Geometria!$Q$1420+Geometria!$Q$1422+Geometria!$Q$1424)=0,"não há isolamento.",IF(OR(Geometria!$K$1409&gt;0,Geometria!$Q$1409&gt;0),"1ª camada: isolar "&amp;IF(Geometria!$K$1409&gt;0,Geometria!$K$1409&amp;" cord. "&amp;Geometria!$L$1409&amp;" cm à esquerda","nada à esquerda")&amp;" e "&amp;IF(Geometria!$Q$1409&gt;0,Geometria!$Q$1409&amp;" cord. "&amp;Geometria!$R$1409&amp;" cm à direita","nada à direita")&amp;";  ","")&amp;IF(OR(Geometria!$K$1407&gt;0,Geometria!$Q$1407&gt;0),"2ª camada: isolar "&amp;IF(Geometria!$K$1407&gt;0,Geometria!$K$1407&amp;" cord. "&amp;Geometria!$L$1407&amp;" cm à esquerda","nada à esquerda")&amp;" e "&amp;IF(Geometria!$Q$1407&gt;0,Geometria!$Q$1407&amp;" cord. "&amp;Geometria!$R$1407&amp;" cm à direita","nada à direita")&amp;";  ","")&amp;IF(OR(Geometria!$K$1405&gt;0,Geometria!$Q$1405&gt;0),"3ª camada: isolar "&amp;IF(Geometria!$K$1405&gt;0,Geometria!$K$1405&amp;" cord. "&amp;Geometria!$L$1405&amp;" cm à esquerda","nada à esquerda")&amp;" e "&amp;IF(Geometria!$Q$1405&gt;0,Geometria!$Q$1405&amp;" cord. "&amp;Geometria!$R$1405&amp;" cm à direita","nada à direita")&amp;";  ","")&amp;IF(OR(Geometria!$K$1403&gt;0,Geometria!$Q$1403&gt;0),"4ª camada: isolar "&amp;IF(Geometria!$K$1403&gt;0,Geometria!$K$1403&amp;" cord. "&amp;Geometria!$L$1403&amp;" cm à esquerda","nada à esquerda")&amp;" e "&amp;IF(Geometria!$Q$1403&gt;0,Geometria!$Q$1403&amp;" cord. "&amp;Geometria!$R$1403&amp;" cm à direita","nada à direita")&amp;";  ","")&amp;IF(OR(Geometria!$K$1424&gt;0,Geometria!$Q$1424&gt;0),"sup. 1ª camada: isolar "&amp;IF(Geometria!$K$1424&gt;0,Geometria!$K$1424&amp;" cord. "&amp;Geometria!$L$1424&amp;" cm à esquerda","nada à esquerda")&amp;" e "&amp;IF(Geometria!$Q$1424&gt;0,Geometria!$Q$1424&amp;" cord. "&amp;Geometria!$R$1424&amp;" cm à direita","nada à direita")&amp;";  ","")&amp;IF(OR(Geometria!$K$1422&gt;0,Geometria!$Q$1422&gt;0),"sup. 2ª camada: isolar "&amp;IF(Geometria!$K$1422&gt;0,Geometria!$K$1422&amp;" cord. "&amp;Geometria!$L$1422&amp;" cm à esquerda","nada à esquerda")&amp;" e "&amp;IF(Geometria!$Q$1422&gt;0,Geometria!$Q$1422&amp;" cord. "&amp;Geometria!$R$1422&amp;" cm à direita","nada à direita")&amp;";  ","")&amp;IF(OR(Geometria!$K$1420&gt;0,Geometria!$Q$1420&gt;0),"sup. 3ª camada: isolar "&amp;IF(Geometria!$K$1420&gt;0,Geometria!$K$1420&amp;" cord. "&amp;Geometria!$L$1420&amp;" cm à esquerda","nada à esquerda")&amp;" e "&amp;IF(Geometria!$Q$1420&gt;0,Geometria!$Q$1420&amp;" cord. "&amp;Geometria!$R$1420&amp;" cm à direita","nada à direita")&amp;";  ","")&amp;IF(OR(Geometria!$K$1418&gt;0,Geometria!$Q$1418&gt;0),"sup. 4ª camada: isolar "&amp;IF(Geometria!$K$1418&gt;0,Geometria!$K$1418&amp;" cord. "&amp;Geometria!$L$1418&amp;" cm à esquerda","nada à esquerda")&amp;" e "&amp;IF(Geometria!$Q$1418&gt;0,Geometria!$Q$1418&amp;" cord. "&amp;Geometria!$R$1418&amp;" cm à direita","nada à direita")&amp;";  ",""))</f>
        <v xml:space="preserve">ISOLAMENTO DAS CORDOALHAS (bainha plástica medida a partir de cada extremidade):  3ª camada: isolar 4 cord. 160 cm à esquerda e 4 cord. 160 cm à direita;  </v>
      </c>
      <c r="C20" s="888"/>
      <c r="D20" s="888"/>
      <c r="E20" s="888"/>
      <c r="F20" s="888"/>
      <c r="G20" s="888"/>
      <c r="H20" s="888"/>
      <c r="I20" s="888"/>
      <c r="J20" s="888"/>
      <c r="K20" s="888"/>
      <c r="L20" s="888"/>
      <c r="M20" s="888"/>
      <c r="N20" s="888"/>
      <c r="O20" s="888"/>
      <c r="P20" s="888"/>
      <c r="Q20" s="888"/>
      <c r="R20" s="888"/>
      <c r="S20" s="888"/>
      <c r="T20" s="888"/>
      <c r="U20" s="888"/>
      <c r="V20" s="888"/>
      <c r="W20" s="888"/>
      <c r="X20" s="888"/>
      <c r="Y20" s="888"/>
      <c r="Z20" s="888"/>
      <c r="AA20" s="888"/>
      <c r="AB20" s="888"/>
      <c r="AC20" s="888"/>
      <c r="AD20" s="888"/>
      <c r="AE20" s="888"/>
      <c r="AF20" s="888"/>
      <c r="AG20" s="888"/>
      <c r="AH20" s="888"/>
      <c r="AI20" s="888"/>
      <c r="AJ20" s="888"/>
      <c r="AK20" s="888"/>
      <c r="AL20" s="888"/>
      <c r="AM20" s="888"/>
      <c r="AN20" s="888"/>
      <c r="AO20" s="888"/>
      <c r="AP20" s="888"/>
      <c r="AQ20" s="888"/>
      <c r="AR20" s="888"/>
      <c r="AS20" s="888"/>
      <c r="AT20" s="888"/>
      <c r="AU20" s="888"/>
      <c r="AV20" s="888"/>
      <c r="AW20" s="955"/>
    </row>
    <row r="21" ht="15" customHeight="1">
      <c r="B21" s="957" t="inlineStr">
        <is>
          <t>DETALHE 1 – EXTREMIDADE / APOIO (escala real)</t>
        </is>
      </c>
      <c r="C21" s="870"/>
      <c r="D21" s="870"/>
      <c r="E21" s="870"/>
      <c r="F21" s="870"/>
      <c r="G21" s="870"/>
      <c r="H21" s="870"/>
      <c r="I21" s="870"/>
      <c r="J21" s="870"/>
      <c r="K21" s="870"/>
      <c r="L21" s="870"/>
      <c r="M21" s="870"/>
      <c r="N21" s="870"/>
      <c r="O21" s="870"/>
      <c r="P21" s="870"/>
      <c r="Q21" s="870"/>
      <c r="R21" s="870"/>
      <c r="S21" s="870"/>
      <c r="T21" s="870"/>
      <c r="U21" s="870"/>
      <c r="V21" s="870"/>
      <c r="W21" s="870"/>
      <c r="X21" s="870"/>
      <c r="Y21" s="870"/>
      <c r="Z21" s="870" t="inlineStr">
        <is>
          <t>SEÇÃO A-A (meio do vão)</t>
        </is>
      </c>
      <c r="AA21" s="870"/>
      <c r="AB21" s="870"/>
      <c r="AC21" s="870"/>
      <c r="AD21" s="870"/>
      <c r="AE21" s="870"/>
      <c r="AF21" s="870"/>
      <c r="AG21" s="870"/>
      <c r="AH21" s="870"/>
      <c r="AI21" s="870"/>
      <c r="AJ21" s="870"/>
      <c r="AK21" s="870"/>
      <c r="AM21" s="937" t="inlineStr">
        <is>
          <t>QUADRO DE FERROS (1 peça)</t>
        </is>
      </c>
      <c r="AN21" s="880"/>
      <c r="AO21" s="880"/>
      <c r="AP21" s="880"/>
      <c r="AQ21" s="880"/>
      <c r="AR21" s="880"/>
      <c r="AS21" s="880"/>
      <c r="AT21" s="880"/>
      <c r="AU21" s="880"/>
      <c r="AV21" s="880"/>
      <c r="AW21" s="932"/>
    </row>
    <row r="22" ht="15" customHeight="1">
      <c r="B22" s="906"/>
      <c r="AM22" s="964" t="inlineStr">
        <is>
          <t>POS</t>
        </is>
      </c>
      <c r="AN22" s="887" t="inlineStr">
        <is>
          <t>Ø</t>
        </is>
      </c>
      <c r="AO22" s="887" t="inlineStr">
        <is>
          <t>QT</t>
        </is>
      </c>
      <c r="AP22" s="887" t="inlineStr">
        <is>
          <t>UNIT (cm)</t>
        </is>
      </c>
      <c r="AQ22" s="887"/>
      <c r="AR22" s="887" t="inlineStr">
        <is>
          <t>TOTAL (m)</t>
        </is>
      </c>
      <c r="AS22" s="887"/>
      <c r="AT22" s="887" t="inlineStr">
        <is>
          <t>PESO (kg)</t>
        </is>
      </c>
      <c r="AU22" s="887"/>
      <c r="AV22" s="887" t="inlineStr">
        <is>
          <t>DESCR.</t>
        </is>
      </c>
      <c r="AW22" s="945"/>
    </row>
    <row r="23" ht="15" customHeight="1">
      <c r="B23" s="906"/>
      <c r="AM23" s="872" t="str">
        <f>IF(AO23&gt;0,"N"&amp;COUNTIF($AO$23:AO23,"&gt;0"),"–")</f>
        <v>N1</v>
      </c>
      <c r="AN23" s="899">
        <f>IF(AO23&gt;0,Taxas!$I$50,"–")</f>
        <v>16.0</v>
      </c>
      <c r="AO23" s="876">
        <f>ROUND(Taxas!$H$50,0)</f>
        <v>3.0</v>
      </c>
      <c r="AP23" s="884">
        <f>IF(AO23&gt;0,ROUND(Taxas!$J$50*100,0),"–")</f>
        <v>809.0</v>
      </c>
      <c r="AQ23" s="884"/>
      <c r="AR23" s="917">
        <f>IF(AO23&gt;0,AO23*AP23/100,0)</f>
        <v>24.27</v>
      </c>
      <c r="AS23" s="917"/>
      <c r="AT23" s="866">
        <f>IF(AO23&gt;0,AR23*VLOOKUP(AN23,Taxas!$V$22:$Y$30,4),0)</f>
        <v>38.28679872000001</v>
      </c>
      <c r="AU23" s="866"/>
      <c r="AV23" s="900" t="inlineStr">
        <is>
          <t>As' sup.</t>
        </is>
      </c>
      <c r="AW23" s="894"/>
    </row>
    <row r="24" ht="15" customHeight="1">
      <c r="B24" s="906"/>
      <c r="AM24" s="872" t="str">
        <f>IF(AO24&gt;0,"N"&amp;COUNTIF($AO$23:AO24,"&gt;0"),"–")</f>
        <v>N2</v>
      </c>
      <c r="AN24" s="899">
        <f>IF(AO24&gt;0,Taxas!$I$57,"–")</f>
        <v>16.0</v>
      </c>
      <c r="AO24" s="876">
        <f>ROUND(Taxas!$H$57,0)</f>
        <v>12.0</v>
      </c>
      <c r="AP24" s="884">
        <f>IF(AO24&gt;0,ROUND(Taxas!$J$57*100,0),"–")</f>
        <v>809.0</v>
      </c>
      <c r="AQ24" s="884"/>
      <c r="AR24" s="917">
        <f>IF(AO24&gt;0,AO24*AP24/100,0)</f>
        <v>97.08</v>
      </c>
      <c r="AS24" s="917"/>
      <c r="AT24" s="866">
        <f>IF(AO24&gt;0,AR24*VLOOKUP(AN24,Taxas!$V$22:$Y$30,4),0)</f>
        <v>153.14719488000003</v>
      </c>
      <c r="AU24" s="866"/>
      <c r="AV24" s="900" t="inlineStr">
        <is>
          <t>As inf.</t>
        </is>
      </c>
      <c r="AW24" s="894"/>
    </row>
    <row r="25" ht="15" customHeight="1">
      <c r="B25" s="906"/>
      <c r="AM25" s="872" t="str">
        <f>IF(AO25&gt;0,"N"&amp;COUNTIF($AO$23:AO25,"&gt;0"),"–")</f>
        <v>–</v>
      </c>
      <c r="AN25" s="899" t="str">
        <f>IF(AO25&gt;0,Taxas!$I$64,"–")</f>
        <v>–</v>
      </c>
      <c r="AO25" s="876">
        <f>ROUND(Taxas!$H$64,0)</f>
        <v>0.0</v>
      </c>
      <c r="AP25" s="884" t="str">
        <f>IF(AO25&gt;0,ROUND(Taxas!$J$64*100,0),"–")</f>
        <v>–</v>
      </c>
      <c r="AQ25" s="884"/>
      <c r="AR25" s="917">
        <f>IF(AO25&gt;0,AO25*AP25/100,0)</f>
        <v>0.0</v>
      </c>
      <c r="AS25" s="917"/>
      <c r="AT25" s="866">
        <f>IF(AO25&gt;0,AR25*VLOOKUP(AN25,Taxas!$V$22:$Y$30,4),0)</f>
        <v>0.0</v>
      </c>
      <c r="AU25" s="866"/>
      <c r="AV25" s="900" t="inlineStr">
        <is>
          <t>Aba T</t>
        </is>
      </c>
      <c r="AW25" s="894"/>
    </row>
    <row r="26" ht="15" customHeight="1">
      <c r="B26" s="906"/>
      <c r="AM26" s="872" t="str">
        <f>IF(AO26&gt;0,"N"&amp;COUNTIF($AO$23:AO26,"&gt;0"),"–")</f>
        <v>N3</v>
      </c>
      <c r="AN26" s="899">
        <f>IF(AO26&gt;0,Taxas!$I$70,"–")</f>
        <v>10.0</v>
      </c>
      <c r="AO26" s="876">
        <f>ROUND(Taxas!$H$70,0)</f>
        <v>1.0</v>
      </c>
      <c r="AP26" s="884">
        <f>IF(AO26&gt;0,ROUND(Taxas!$J$70*100,0),"–")</f>
        <v>809.0</v>
      </c>
      <c r="AQ26" s="884"/>
      <c r="AR26" s="917">
        <f>IF(AO26&gt;0,AO26*AP26/100,0)</f>
        <v>8.09</v>
      </c>
      <c r="AS26" s="917"/>
      <c r="AT26" s="866">
        <f>IF(AO26&gt;0,AR26*VLOOKUP(AN26,Taxas!$V$22:$Y$30,4),0)</f>
        <v>4.9852602500000005</v>
      </c>
      <c r="AU26" s="866"/>
      <c r="AV26" s="900" t="inlineStr">
        <is>
          <t>Aba R/A</t>
        </is>
      </c>
      <c r="AW26" s="894"/>
    </row>
    <row r="27" ht="15" customHeight="1">
      <c r="B27" s="906"/>
      <c r="AM27" s="872" t="str">
        <f>IF(AO27&gt;0,"N"&amp;COUNTIF($AO$23:AO27,"&gt;0"),"–")</f>
        <v>N4</v>
      </c>
      <c r="AN27" s="899">
        <f>IF(AO27&gt;0,Taxas!$H$41,"–")</f>
        <v>10.0</v>
      </c>
      <c r="AO27" s="876">
        <f>ROUND(2*Taxas!$H$40,0)</f>
        <v>8.0</v>
      </c>
      <c r="AP27" s="884">
        <f>IF(AO27&gt;0,ROUND(Taxas!$H$44,0),"–")</f>
        <v>809.0</v>
      </c>
      <c r="AQ27" s="884"/>
      <c r="AR27" s="917">
        <f>IF(AO27&gt;0,AO27*AP27/100,0)</f>
        <v>64.72</v>
      </c>
      <c r="AS27" s="917"/>
      <c r="AT27" s="866">
        <f>IF(AO27&gt;0,AR27*VLOOKUP(AN27,Taxas!$V$22:$Y$30,4),0)</f>
        <v>39.882082000000004</v>
      </c>
      <c r="AU27" s="866"/>
      <c r="AV27" s="900" t="inlineStr">
        <is>
          <t>Pele</t>
        </is>
      </c>
      <c r="AW27" s="894"/>
    </row>
    <row r="28" ht="15" customHeight="1">
      <c r="B28" s="906"/>
      <c r="AM28" s="872" t="str">
        <f>IF(AO28&gt;0,"N"&amp;COUNTIF($AO$23:AO28,"&gt;0"),"–")</f>
        <v>N5</v>
      </c>
      <c r="AN28" s="899">
        <f>IF(AO28&gt;0,'Cisalhamento e Apoios'!$Z$61,"–")</f>
        <v>10.0</v>
      </c>
      <c r="AO28" s="876">
        <f>ROUND('Cisalhamento e Apoios'!$S$61,0)</f>
        <v>24.0</v>
      </c>
      <c r="AP28" s="884">
        <f>IF(AO28&gt;0,ROUND('Cisalhamento e Apoios'!$V$61,0),"–")</f>
        <v>364.0</v>
      </c>
      <c r="AQ28" s="884"/>
      <c r="AR28" s="917">
        <f>IF(AO28&gt;0,AO28*AP28/100,0)</f>
        <v>87.36</v>
      </c>
      <c r="AS28" s="917"/>
      <c r="AT28" s="866">
        <f>IF(AO28&gt;0,AR28*VLOOKUP(AN28,Taxas!$V$22:$Y$30,4),0)</f>
        <v>53.833416</v>
      </c>
      <c r="AU28" s="866"/>
      <c r="AV28" s="900" t="inlineStr">
        <is>
          <t>Estr. T1</t>
        </is>
      </c>
      <c r="AW28" s="894"/>
    </row>
    <row r="29" ht="15" customHeight="1">
      <c r="B29" s="906"/>
      <c r="AM29" s="872" t="str">
        <f>IF(AO29&gt;0,"N"&amp;COUNTIF($AO$23:AO29,"&gt;0"),"–")</f>
        <v>N6</v>
      </c>
      <c r="AN29" s="899">
        <f>IF(AO29&gt;0,'Cisalhamento e Apoios'!$Z$62,"–")</f>
        <v>10.0</v>
      </c>
      <c r="AO29" s="876">
        <f>ROUND('Cisalhamento e Apoios'!$S$62,0)</f>
        <v>16.0</v>
      </c>
      <c r="AP29" s="884">
        <f>IF(AO29&gt;0,ROUND('Cisalhamento e Apoios'!$V$62,0),"–")</f>
        <v>364.0</v>
      </c>
      <c r="AQ29" s="884"/>
      <c r="AR29" s="917">
        <f>IF(AO29&gt;0,AO29*AP29/100,0)</f>
        <v>58.24</v>
      </c>
      <c r="AS29" s="917"/>
      <c r="AT29" s="866">
        <f>IF(AO29&gt;0,AR29*VLOOKUP(AN29,Taxas!$V$22:$Y$30,4),0)</f>
        <v>35.888944</v>
      </c>
      <c r="AU29" s="866"/>
      <c r="AV29" s="900" t="inlineStr">
        <is>
          <t>Estr. T2</t>
        </is>
      </c>
      <c r="AW29" s="894"/>
    </row>
    <row r="30" ht="15" customHeight="1">
      <c r="B30" s="906"/>
      <c r="AM30" s="872" t="str">
        <f>IF(AO30&gt;0,"N"&amp;COUNTIF($AO$23:AO30,"&gt;0"),"–")</f>
        <v>N7</v>
      </c>
      <c r="AN30" s="899">
        <f>IF(AO30&gt;0,'Cisalhamento e Apoios'!$Z$63,"–")</f>
        <v>8.0</v>
      </c>
      <c r="AO30" s="876">
        <f>ROUND('Cisalhamento e Apoios'!$S$63,0)</f>
        <v>62.0</v>
      </c>
      <c r="AP30" s="884">
        <f>IF(AO30&gt;0,ROUND('Cisalhamento e Apoios'!$V$63,0),"–")</f>
        <v>364.0</v>
      </c>
      <c r="AQ30" s="884"/>
      <c r="AR30" s="917">
        <f>IF(AO30&gt;0,AO30*AP30/100,0)</f>
        <v>225.68</v>
      </c>
      <c r="AS30" s="917"/>
      <c r="AT30" s="866">
        <f>IF(AO30&gt;0,AR30*VLOOKUP(AN30,Taxas!$V$22:$Y$30,4),0)</f>
        <v>89.00458112000001</v>
      </c>
      <c r="AU30" s="866"/>
      <c r="AV30" s="900" t="inlineStr">
        <is>
          <t>Estr. T3</t>
        </is>
      </c>
      <c r="AW30" s="894"/>
    </row>
    <row r="31" ht="15" customHeight="1">
      <c r="B31" s="906"/>
      <c r="AM31" s="872" t="str">
        <f>IF(AO31&gt;0,"N"&amp;COUNTIF($AO$23:AO31,"&gt;0"),"–")</f>
        <v>N8</v>
      </c>
      <c r="AN31" s="899">
        <f>IF(AO31&gt;0,'Cisalhamento e Apoios'!$J$92,"–")</f>
        <v>12.5</v>
      </c>
      <c r="AO31" s="876">
        <f>ROUND(IF(AND('Cisalhamento e Apoios'!$J$13&lt;&gt;"Gerber",'Cisalhamento e Apoios'!$J$254="Tirante do apoio"),2*'Cisalhamento e Apoios'!$J$93,0),0)</f>
        <v>20.0</v>
      </c>
      <c r="AP31" s="884">
        <f>IF(AO31&gt;0,ROUND(4*'Cisalhamento e Apoios'!$J$95+'Cisalhamento e Apoios'!$J$14-2*'Cisalhamento e Apoios'!$J$17,0),"–")</f>
        <v>149.0</v>
      </c>
      <c r="AQ31" s="884"/>
      <c r="AR31" s="917">
        <f>IF(AO31&gt;0,AO31*AP31/100,0)</f>
        <v>29.8</v>
      </c>
      <c r="AS31" s="917"/>
      <c r="AT31" s="866">
        <f>IF(AO31&gt;0,AR31*VLOOKUP(AN31,Taxas!$V$22:$Y$30,4),0)</f>
        <v>28.6929765625</v>
      </c>
      <c r="AU31" s="866"/>
      <c r="AV31" s="900" t="inlineStr">
        <is>
          <t>Grampo tir.</t>
        </is>
      </c>
      <c r="AW31" s="894"/>
    </row>
    <row r="32" ht="15" customHeight="1">
      <c r="B32" s="906"/>
      <c r="AM32" s="872" t="str">
        <f>IF(AO32&gt;0,"N"&amp;COUNTIF($AO$23:AO32,"&gt;0"),"–")</f>
        <v>–</v>
      </c>
      <c r="AN32" s="899" t="str">
        <f>IF(AO32&gt;0,'Cisalhamento e Apoios'!$J$250,"–")</f>
        <v>–</v>
      </c>
      <c r="AO32" s="876">
        <f>ROUND(IF(OR('Cisalhamento e Apoios'!$J$13="Gerber",'Cisalhamento e Apoios'!$J$254="Grampos de ancoragem"),2*'Cisalhamento e Apoios'!$J$251,0),0)</f>
        <v>0.0</v>
      </c>
      <c r="AP32" s="884" t="str">
        <f>IF(AO32&gt;0,ROUND('Cisalhamento e Apoios'!$J$252,0),"–")</f>
        <v>–</v>
      </c>
      <c r="AQ32" s="884"/>
      <c r="AR32" s="917">
        <f>IF(AO32&gt;0,AO32*AP32/100,0)</f>
        <v>0.0</v>
      </c>
      <c r="AS32" s="917"/>
      <c r="AT32" s="866">
        <f>IF(AO32&gt;0,AR32*VLOOKUP(AN32,Taxas!$V$22:$Y$30,4),0)</f>
        <v>0.0</v>
      </c>
      <c r="AU32" s="866"/>
      <c r="AV32" s="900" t="inlineStr">
        <is>
          <t>Grampo anc.</t>
        </is>
      </c>
      <c r="AW32" s="894"/>
    </row>
    <row r="33" ht="15" customHeight="1">
      <c r="B33" s="906"/>
      <c r="AM33" s="872" t="str">
        <f>IF(AO33&gt;0,"N"&amp;COUNTIF($AO$23:AO33,"&gt;0"),"–")</f>
        <v>N9</v>
      </c>
      <c r="AN33" s="899">
        <f>IF(AO33&gt;0,'Cisalhamento e Apoios'!$J$98,"–")</f>
        <v>8.0</v>
      </c>
      <c r="AO33" s="876">
        <f>ROUND(IF(AND('Cisalhamento e Apoios'!$J$13&lt;&gt;"Gerber",'Cisalhamento e Apoios'!$J$254="Tirante do apoio"),2*'Cisalhamento e Apoios'!$J$100,0),0)</f>
        <v>6.0</v>
      </c>
      <c r="AP33" s="884">
        <f>IF(AO33&gt;0,ROUND('Cisalhamento e Apoios'!$J$76,0),"–")</f>
        <v>364.0</v>
      </c>
      <c r="AQ33" s="884"/>
      <c r="AR33" s="917">
        <f>IF(AO33&gt;0,AO33*AP33/100,0)</f>
        <v>21.84</v>
      </c>
      <c r="AS33" s="917"/>
      <c r="AT33" s="866">
        <f>IF(AO33&gt;0,AR33*VLOOKUP(AN33,Taxas!$V$22:$Y$30,4),0)</f>
        <v>8.613346560000002</v>
      </c>
      <c r="AU33" s="866"/>
      <c r="AV33" s="900" t="inlineStr">
        <is>
          <t>Costura</t>
        </is>
      </c>
      <c r="AW33" s="894"/>
    </row>
    <row r="34" ht="15" customHeight="1">
      <c r="B34" s="906"/>
      <c r="AM34" s="872" t="str">
        <f>IF(AO34&gt;0,"N"&amp;COUNTIF($AO$23:AO34,"&gt;0"),"–")</f>
        <v>N10</v>
      </c>
      <c r="AN34" s="899">
        <f>IF(AO34&gt;0,'Cisalhamento e Apoios'!$J$231,"–")</f>
        <v>12.5</v>
      </c>
      <c r="AO34" s="876">
        <f>ROUND(IF('Cisalhamento e Apoios'!$J$233&gt;0,2*'Cisalhamento e Apoios'!$J$233,0),0)</f>
        <v>10.0</v>
      </c>
      <c r="AP34" s="884">
        <f>IF(AO34&gt;0,ROUND('Cisalhamento e Apoios'!$J$237,0),"–")</f>
        <v>502.0</v>
      </c>
      <c r="AQ34" s="884"/>
      <c r="AR34" s="917">
        <f>IF(AO34&gt;0,AO34*AP34/100,0)</f>
        <v>50.2</v>
      </c>
      <c r="AS34" s="917"/>
      <c r="AT34" s="866">
        <f>IF(AO34&gt;0,AR34*VLOOKUP(AN34,Taxas!$V$22:$Y$30,4),0)</f>
        <v>48.335148437499996</v>
      </c>
      <c r="AU34" s="866"/>
      <c r="AV34" s="900" t="inlineStr">
        <is>
          <t>Suspensão</t>
        </is>
      </c>
      <c r="AW34" s="894"/>
    </row>
    <row r="35" ht="15" customHeight="1">
      <c r="B35" s="906"/>
      <c r="AM35" s="872" t="str">
        <f>IF(AO35&gt;0,"N"&amp;COUNTIF($AO$23:AO35,"&gt;0"),"–")</f>
        <v>–</v>
      </c>
      <c r="AN35" s="899" t="str">
        <f>IF(AO35&gt;0,'Cisalhamento e Apoios'!$J$108,"–")</f>
        <v>–</v>
      </c>
      <c r="AO35" s="876">
        <f>ROUND(IF('Cisalhamento e Apoios'!$J$13="Gerber",2*'Cisalhamento e Apoios'!$J$144,0),0)</f>
        <v>0.0</v>
      </c>
      <c r="AP35" s="884" t="str">
        <f>IF(AO35&gt;0,ROUND('Cisalhamento e Apoios'!$J$106+4*MAX('Cisalhamento e Apoios'!$J$108/10/4*'Cisalhamento e Apoios'!$J$29*10/(2.25*'Cisalhamento e Apoios'!$J$26),25*'Cisalhamento e Apoios'!$J$108/10),0),"–")</f>
        <v>–</v>
      </c>
      <c r="AQ35" s="884"/>
      <c r="AR35" s="917">
        <f>IF(AO35&gt;0,AO35*AP35/100,0)</f>
        <v>0.0</v>
      </c>
      <c r="AS35" s="917"/>
      <c r="AT35" s="866">
        <f>IF(AO35&gt;0,AR35*VLOOKUP(AN35,Taxas!$V$22:$Y$30,4),0)</f>
        <v>0.0</v>
      </c>
      <c r="AU35" s="866"/>
      <c r="AV35" s="900" t="inlineStr">
        <is>
          <t>Tir. dente</t>
        </is>
      </c>
      <c r="AW35" s="894"/>
    </row>
    <row r="36" ht="15" customHeight="1">
      <c r="B36" s="906"/>
      <c r="AM36" s="872" t="str">
        <f>IF(AO36&gt;0,"N"&amp;COUNTIF($AO$23:AO36,"&gt;0"),"–")</f>
        <v>–</v>
      </c>
      <c r="AN36" s="899" t="str">
        <f>IF(AO36&gt;0,'Cisalhamento e Apoios'!$J$149,"–")</f>
        <v>–</v>
      </c>
      <c r="AO36" s="876">
        <f>ROUND(IF('Cisalhamento e Apoios'!$J$13="Gerber",2*'Cisalhamento e Apoios'!$J$151,0),0)</f>
        <v>0.0</v>
      </c>
      <c r="AP36" s="884" t="str">
        <f>IF(AO36&gt;0,ROUND('Cisalhamento e Apoios'!$J$76,0),"–")</f>
        <v>–</v>
      </c>
      <c r="AQ36" s="884"/>
      <c r="AR36" s="917">
        <f>IF(AO36&gt;0,AO36*AP36/100,0)</f>
        <v>0.0</v>
      </c>
      <c r="AS36" s="917"/>
      <c r="AT36" s="866">
        <f>IF(AO36&gt;0,AR36*VLOOKUP(AN36,Taxas!$V$22:$Y$30,4),0)</f>
        <v>0.0</v>
      </c>
      <c r="AU36" s="866"/>
      <c r="AV36" s="900" t="inlineStr">
        <is>
          <t>Cost. dente</t>
        </is>
      </c>
      <c r="AW36" s="894"/>
    </row>
    <row r="37" ht="15" customHeight="1">
      <c r="B37" s="906"/>
      <c r="AM37" s="872" t="str">
        <f>IF(AO37&gt;0,"N"&amp;COUNTIF($AO$23:AO37,"&gt;0"),"–")</f>
        <v>N11</v>
      </c>
      <c r="AN37" s="899">
        <f>IF(AO37&gt;0,'Cisalhamento e Apoios'!$J$188,"–")</f>
        <v>10.0</v>
      </c>
      <c r="AO37" s="876">
        <f>ROUND(2*'Cisalhamento e Apoios'!$J$189,0)</f>
        <v>4.0</v>
      </c>
      <c r="AP37" s="884">
        <f>IF(AO37&gt;0,ROUND('Cisalhamento e Apoios'!$J$194,0),"–")</f>
        <v>162.0</v>
      </c>
      <c r="AQ37" s="884"/>
      <c r="AR37" s="917">
        <f>IF(AO37&gt;0,AO37*AP37/100,0)</f>
        <v>6.48</v>
      </c>
      <c r="AS37" s="917"/>
      <c r="AT37" s="866">
        <f>IF(AO37&gt;0,AR37*VLOOKUP(AN37,Taxas!$V$22:$Y$30,4),0)</f>
        <v>3.9931380000000005</v>
      </c>
      <c r="AU37" s="866"/>
      <c r="AV37" s="900" t="inlineStr">
        <is>
          <t>Laço</t>
        </is>
      </c>
      <c r="AW37" s="894"/>
    </row>
    <row r="38" ht="15" customHeight="1">
      <c r="B38" s="906"/>
      <c r="AM38" s="872" t="inlineStr">
        <is>
          <t>CP</t>
        </is>
      </c>
      <c r="AN38" s="899">
        <f>Geometria!$L$251</f>
        <v>15.2</v>
      </c>
      <c r="AO38" s="884">
        <f>Geometria!$K$251+Geometria!$K$265</f>
        <v>8.0</v>
      </c>
      <c r="AP38" s="884">
        <f>Geometria!$L$25</f>
        <v>815.0</v>
      </c>
      <c r="AQ38" s="884"/>
      <c r="AR38" s="878">
        <f>AO38*AP38/100</f>
        <v>65.2</v>
      </c>
      <c r="AS38" s="878"/>
      <c r="AT38" s="899">
        <f>AR38*VLOOKUP(AN38,Geometria!$O$242:$Q$244,3)*0.785</f>
        <v>71.65480000000001</v>
      </c>
      <c r="AU38" s="899"/>
      <c r="AV38" s="900" t="str">
        <f>"Cordoalha CP"&amp;Geometria!$L$88</f>
        <v>Cordoalha CP190</v>
      </c>
      <c r="AW38" s="894"/>
    </row>
    <row r="39" ht="15" customHeight="1">
      <c r="B39" s="906"/>
      <c r="AM39" s="951" t="inlineStr">
        <is>
          <t>PESO TOTAL AÇO PASSIVO (CA-50)</t>
        </is>
      </c>
      <c r="AN39" s="918"/>
      <c r="AO39" s="918"/>
      <c r="AP39" s="918"/>
      <c r="AQ39" s="918"/>
      <c r="AR39" s="918"/>
      <c r="AS39" s="918"/>
      <c r="AT39" s="953">
        <f>SUM(AT23:AU37)</f>
        <v>504.66288653000004</v>
      </c>
      <c r="AU39" s="953"/>
      <c r="AV39" s="967" t="str">
        <f>IF(ABS(AT39-Taxas!$L$51)&lt;0.5,"= Taxas ✓","≠ Taxas")</f>
        <v>= Taxas ✓</v>
      </c>
      <c r="AW39" s="940"/>
    </row>
    <row r="40" ht="15" customHeight="1">
      <c r="B40" s="906"/>
      <c r="AM40" s="937" t="inlineStr">
        <is>
          <t>RESUMO DO AÇO CA-50 (por bitola)</t>
        </is>
      </c>
      <c r="AN40" s="880"/>
      <c r="AO40" s="880"/>
      <c r="AP40" s="880"/>
      <c r="AQ40" s="880"/>
      <c r="AR40" s="880"/>
      <c r="AS40" s="880"/>
      <c r="AT40" s="880"/>
      <c r="AU40" s="880"/>
      <c r="AV40" s="880"/>
      <c r="AW40" s="932"/>
    </row>
    <row r="41" ht="15" customHeight="1">
      <c r="B41" s="906"/>
      <c r="AM41" s="950" t="inlineStr">
        <is>
          <t>Ø (mm)</t>
        </is>
      </c>
      <c r="AN41" s="911"/>
      <c r="AO41" s="911"/>
      <c r="AP41" s="911" t="inlineStr">
        <is>
          <t>COMPR. TOTAL (m)</t>
        </is>
      </c>
      <c r="AQ41" s="911"/>
      <c r="AR41" s="911"/>
      <c r="AS41" s="911"/>
      <c r="AT41" s="911" t="inlineStr">
        <is>
          <t>PESO (kg)</t>
        </is>
      </c>
      <c r="AU41" s="911"/>
      <c r="AV41" s="911"/>
      <c r="AW41" s="895"/>
    </row>
    <row r="42" ht="15" customHeight="1">
      <c r="B42" s="906"/>
      <c r="AM42" s="927">
        <v>6.3</v>
      </c>
      <c r="AN42" s="899"/>
      <c r="AO42" s="899"/>
      <c r="AP42" s="917">
        <f>SUMIF($AN$23:$AN$37,AM42,$AR$23:$AR$37)</f>
        <v>0.0</v>
      </c>
      <c r="AQ42" s="917"/>
      <c r="AR42" s="917"/>
      <c r="AS42" s="917"/>
      <c r="AT42" s="866">
        <f>SUMIF($AN$23:$AN$37,AM42,$AT$23:$AT$37)</f>
        <v>0.0</v>
      </c>
      <c r="AU42" s="866"/>
      <c r="AV42" s="866"/>
      <c r="AW42" s="885"/>
    </row>
    <row r="43" ht="15" customHeight="1">
      <c r="B43" s="871" t="inlineStr">
        <is>
          <t>NOTAS</t>
        </is>
      </c>
      <c r="C43" s="865"/>
      <c r="D43" s="865"/>
      <c r="E43" s="865"/>
      <c r="F43" s="865"/>
      <c r="G43" s="865"/>
      <c r="H43" s="865"/>
      <c r="I43" s="865"/>
      <c r="J43" s="865"/>
      <c r="K43" s="865"/>
      <c r="L43" s="865"/>
      <c r="M43" s="865"/>
      <c r="N43" s="865"/>
      <c r="O43" s="865"/>
      <c r="P43" s="865"/>
      <c r="Q43" s="898"/>
      <c r="R43" s="937" t="str">
        <f>"VIGA PRÉ-FABRICADA PROTENDIDA – "&amp;UPPER($U$45)</f>
        <v>VIGA PRÉ-FABRICADA PROTENDIDA – VIGA 10M</v>
      </c>
      <c r="S43" s="880"/>
      <c r="T43" s="880"/>
      <c r="U43" s="880"/>
      <c r="V43" s="880"/>
      <c r="W43" s="880"/>
      <c r="X43" s="880"/>
      <c r="Y43" s="880"/>
      <c r="Z43" s="880"/>
      <c r="AA43" s="880"/>
      <c r="AB43" s="880"/>
      <c r="AC43" s="880"/>
      <c r="AD43" s="880"/>
      <c r="AE43" s="880"/>
      <c r="AF43" s="880"/>
      <c r="AG43" s="880"/>
      <c r="AH43" s="880"/>
      <c r="AI43" s="880"/>
      <c r="AJ43" s="880"/>
      <c r="AK43" s="880"/>
      <c r="AL43" s="932"/>
      <c r="AM43" s="927">
        <v>8</v>
      </c>
      <c r="AN43" s="899"/>
      <c r="AO43" s="899"/>
      <c r="AP43" s="917">
        <f>SUMIF($AN$23:$AN$37,AM43,$AR$23:$AR$37)</f>
        <v>247.52</v>
      </c>
      <c r="AQ43" s="917"/>
      <c r="AR43" s="917"/>
      <c r="AS43" s="917"/>
      <c r="AT43" s="866">
        <f>SUMIF($AN$23:$AN$37,AM43,$AT$23:$AT$37)</f>
        <v>97.61792768000001</v>
      </c>
      <c r="AU43" s="866"/>
      <c r="AV43" s="866"/>
      <c r="AW43" s="885"/>
    </row>
    <row r="44" ht="15" customHeight="1">
      <c r="B44" s="908" t="str">
        <f>"1) Medidas em cm; bitolas em mm. Quantidades para 1 peça (comprimentos sem perdas/emendas)."&amp;CHAR(10)&amp;"2) Cobrimento nominal c = "&amp;TEXT(Geometria!$R$76*10,"0")&amp;" mm (CAA "&amp;Geometria!$L$80&amp;")."&amp;CHAR(10)&amp;"3) Liberação da protensão com fckj ≥ "&amp;Geometria!$L$84&amp;" MPa; "&amp;Geometria!$K$251&amp;" cordoalhas Ø"&amp;Geometria!$L$251&amp;" CP"&amp;Geometria!$L$88&amp;" RB."&amp;CHAR(10)&amp;"4) Estribos com espera de "&amp;TEXT('Cisalhamento e Apoios'!$J$70,"0")&amp;" cm acima da viga (ligação com a capa – "&amp;'Cisalhamento e Apoios'!$L$182&amp;")."&amp;CHAR(10)&amp;"5) "&amp;'Cisalhamento e Apoios'!$J$255&amp;CHAR(10)&amp;"6) Isolamento de cordoalhas: "&amp;IF((Geometria!$K$1403+Geometria!$K$1405+Geometria!$K$1407+Geometria!$K$1409+Geometria!$K$1418+Geometria!$K$1420+Geometria!$K$1422+Geometria!$K$1424+Geometria!$Q$1403+Geometria!$Q$1405+Geometria!$Q$1407+Geometria!$Q$1409+Geometria!$Q$1418+Geometria!$Q$1420+Geometria!$Q$1422+Geometria!$Q$1424)=0,"não há isolamento.",IF(OR(Geometria!$K$1409&gt;0,Geometria!$Q$1409&gt;0),"1ª camada: isolar "&amp;IF(Geometria!$K$1409&gt;0,Geometria!$K$1409&amp;" cord. "&amp;Geometria!$L$1409&amp;" cm à esquerda","nada à esquerda")&amp;" e "&amp;IF(Geometria!$Q$1409&gt;0,Geometria!$Q$1409&amp;" cord. "&amp;Geometria!$R$1409&amp;" cm à direita","nada à direita")&amp;";  ","")&amp;IF(OR(Geometria!$K$1407&gt;0,Geometria!$Q$1407&gt;0),"2ª camada: isolar "&amp;IF(Geometria!$K$1407&gt;0,Geometria!$K$1407&amp;" cord. "&amp;Geometria!$L$1407&amp;" cm à esquerda","nada à esquerda")&amp;" e "&amp;IF(Geometria!$Q$1407&gt;0,Geometria!$Q$1407&amp;" cord. "&amp;Geometria!$R$1407&amp;" cm à direita","nada à direita")&amp;";  ","")&amp;IF(OR(Geometria!$K$1405&gt;0,Geometria!$Q$1405&gt;0),"3ª camada: isolar "&amp;IF(Geometria!$K$1405&gt;0,Geometria!$K$1405&amp;" cord. "&amp;Geometria!$L$1405&amp;" cm à esquerda","nada à esquerda")&amp;" e "&amp;IF(Geometria!$Q$1405&gt;0,Geometria!$Q$1405&amp;" cord. "&amp;Geometria!$R$1405&amp;" cm à direita","nada à direita")&amp;";  ","")&amp;IF(OR(Geometria!$K$1403&gt;0,Geometria!$Q$1403&gt;0),"4ª camada: isolar "&amp;IF(Geometria!$K$1403&gt;0,Geometria!$K$1403&amp;" cord. "&amp;Geometria!$L$1403&amp;" cm à esquerda","nada à esquerda")&amp;" e "&amp;IF(Geometria!$Q$1403&gt;0,Geometria!$Q$1403&amp;" cord. "&amp;Geometria!$R$1403&amp;" cm à direita","nada à direita")&amp;";  ","")&amp;IF(OR(Geometria!$K$1424&gt;0,Geometria!$Q$1424&gt;0),"sup. 1ª camada: isolar "&amp;IF(Geometria!$K$1424&gt;0,Geometria!$K$1424&amp;" cord. "&amp;Geometria!$L$1424&amp;" cm à esquerda","nada à esquerda")&amp;" e "&amp;IF(Geometria!$Q$1424&gt;0,Geometria!$Q$1424&amp;" cord. "&amp;Geometria!$R$1424&amp;" cm à direita","nada à direita")&amp;";  ","")&amp;IF(OR(Geometria!$K$1422&gt;0,Geometria!$Q$1422&gt;0),"sup. 2ª camada: isolar "&amp;IF(Geometria!$K$1422&gt;0,Geometria!$K$1422&amp;" cord. "&amp;Geometria!$L$1422&amp;" cm à esquerda","nada à esquerda")&amp;" e "&amp;IF(Geometria!$Q$1422&gt;0,Geometria!$Q$1422&amp;" cord. "&amp;Geometria!$R$1422&amp;" cm à direita","nada à direita")&amp;";  ","")&amp;IF(OR(Geometria!$K$1420&gt;0,Geometria!$Q$1420&gt;0),"sup. 3ª camada: isolar "&amp;IF(Geometria!$K$1420&gt;0,Geometria!$K$1420&amp;" cord. "&amp;Geometria!$L$1420&amp;" cm à esquerda","nada à esquerda")&amp;" e "&amp;IF(Geometria!$Q$1420&gt;0,Geometria!$Q$1420&amp;" cord. "&amp;Geometria!$R$1420&amp;" cm à direita","nada à direita")&amp;";  ","")&amp;IF(OR(Geometria!$K$1418&gt;0,Geometria!$Q$1418&gt;0),"sup. 4ª camada: isolar "&amp;IF(Geometria!$K$1418&gt;0,Geometria!$K$1418&amp;" cord. "&amp;Geometria!$L$1418&amp;" cm à esquerda","nada à esquerda")&amp;" e "&amp;IF(Geometria!$Q$1418&gt;0,Geometria!$Q$1418&amp;" cord. "&amp;Geometria!$R$1418&amp;" cm à direita","nada à direita")&amp;";  ",""))</f>
        <v xml:space="preserve">1) Medidas em cm; bitolas em mm. Quantidades para 1 peça (comprimentos sem perdas/emendas).
2) Cobrimento nominal c = 30 mm (CAA II).
3) Liberação da protensão com fckj ≥ 35 MPa; 8 cordoalhas Ø15.2 CP190 RB.
4) Estribos com espera de 27 cm acima da viga (ligação com a capa – Ok – seção composta).
5) Viga SEM dente Gerber: considerado o TIRANTE DO APOIO (maior área embaixo) – grampos de ancoragem 0.00 cm² × tirante 23.53 cm² → 10 grampos Ø12.5 + costura 3 Ø8 por apoio. Suspensão (sempre): 5 estribos Ø12.5 4r por apoio (23.69 cm²).
6) Isolamento de cordoalhas: 3ª camada: isolar 4 cord. 160 cm à esquerda e 4 cord. 160 cm à direita;  </v>
      </c>
      <c r="C44" s="881"/>
      <c r="D44" s="881"/>
      <c r="E44" s="881"/>
      <c r="F44" s="881"/>
      <c r="G44" s="881"/>
      <c r="H44" s="881"/>
      <c r="I44" s="881"/>
      <c r="J44" s="881"/>
      <c r="K44" s="881"/>
      <c r="L44" s="881"/>
      <c r="M44" s="881"/>
      <c r="N44" s="881"/>
      <c r="O44" s="881"/>
      <c r="P44" s="881"/>
      <c r="Q44" s="874"/>
      <c r="R44" s="873" t="inlineStr">
        <is>
          <t>OBRA</t>
        </is>
      </c>
      <c r="S44" s="909"/>
      <c r="T44" s="909"/>
      <c r="U44" s="934" t="inlineStr">
        <is>
          <t>amafil</t>
        </is>
      </c>
      <c r="V44" s="934"/>
      <c r="W44" s="934"/>
      <c r="X44" s="934"/>
      <c r="Y44" s="934"/>
      <c r="Z44" s="934"/>
      <c r="AA44" s="934"/>
      <c r="AB44" s="934"/>
      <c r="AC44" s="934"/>
      <c r="AD44" s="934"/>
      <c r="AE44" s="934"/>
      <c r="AF44" s="909" t="inlineStr">
        <is>
          <t>FOLHA</t>
        </is>
      </c>
      <c r="AG44" s="909"/>
      <c r="AH44" s="909"/>
      <c r="AI44" s="877" t="inlineStr">
        <is>
          <t>01/02</t>
        </is>
      </c>
      <c r="AJ44" s="877"/>
      <c r="AK44" s="877"/>
      <c r="AL44" s="968"/>
      <c r="AM44" s="927">
        <v>10</v>
      </c>
      <c r="AN44" s="899"/>
      <c r="AO44" s="899"/>
      <c r="AP44" s="917">
        <f>SUMIF($AN$23:$AN$37,AM44,$AR$23:$AR$37)</f>
        <v>224.89</v>
      </c>
      <c r="AQ44" s="917"/>
      <c r="AR44" s="917"/>
      <c r="AS44" s="917"/>
      <c r="AT44" s="866">
        <f>SUMIF($AN$23:$AN$37,AM44,$AT$23:$AT$37)</f>
        <v>138.58284025</v>
      </c>
      <c r="AU44" s="866"/>
      <c r="AV44" s="866"/>
      <c r="AW44" s="885"/>
    </row>
    <row r="45" ht="15" customHeight="1">
      <c r="B45" s="908"/>
      <c r="C45" s="881"/>
      <c r="D45" s="881"/>
      <c r="E45" s="881"/>
      <c r="F45" s="881"/>
      <c r="G45" s="881"/>
      <c r="H45" s="881"/>
      <c r="I45" s="881"/>
      <c r="J45" s="881"/>
      <c r="K45" s="881"/>
      <c r="L45" s="881"/>
      <c r="M45" s="881"/>
      <c r="N45" s="881"/>
      <c r="O45" s="881"/>
      <c r="P45" s="881"/>
      <c r="Q45" s="874"/>
      <c r="R45" s="873" t="inlineStr">
        <is>
          <t>PEÇA</t>
        </is>
      </c>
      <c r="S45" s="909"/>
      <c r="T45" s="909"/>
      <c r="U45" s="934" t="inlineStr">
        <is>
          <t>Viga 10m</t>
        </is>
      </c>
      <c r="V45" s="934"/>
      <c r="W45" s="934"/>
      <c r="X45" s="934"/>
      <c r="Y45" s="934"/>
      <c r="Z45" s="934"/>
      <c r="AA45" s="934"/>
      <c r="AB45" s="934"/>
      <c r="AC45" s="934"/>
      <c r="AD45" s="934"/>
      <c r="AE45" s="934"/>
      <c r="AF45" s="909" t="inlineStr">
        <is>
          <t>QUANT.</t>
        </is>
      </c>
      <c r="AG45" s="909"/>
      <c r="AH45" s="909"/>
      <c r="AI45" s="889">
        <v>1</v>
      </c>
      <c r="AJ45" s="889"/>
      <c r="AK45" s="889"/>
      <c r="AL45" s="939"/>
      <c r="AM45" s="927">
        <v>12.5</v>
      </c>
      <c r="AN45" s="899"/>
      <c r="AO45" s="899"/>
      <c r="AP45" s="917">
        <f>SUMIF($AN$23:$AN$37,AM45,$AR$23:$AR$37)</f>
        <v>80.0</v>
      </c>
      <c r="AQ45" s="917"/>
      <c r="AR45" s="917"/>
      <c r="AS45" s="917"/>
      <c r="AT45" s="866">
        <f>SUMIF($AN$23:$AN$37,AM45,$AT$23:$AT$37)</f>
        <v>77.02812499999999</v>
      </c>
      <c r="AU45" s="866"/>
      <c r="AV45" s="866"/>
      <c r="AW45" s="885"/>
    </row>
    <row r="46" ht="15" customHeight="1">
      <c r="B46" s="908"/>
      <c r="C46" s="881"/>
      <c r="D46" s="881"/>
      <c r="E46" s="881"/>
      <c r="F46" s="881"/>
      <c r="G46" s="881"/>
      <c r="H46" s="881"/>
      <c r="I46" s="881"/>
      <c r="J46" s="881"/>
      <c r="K46" s="881"/>
      <c r="L46" s="881"/>
      <c r="M46" s="881"/>
      <c r="N46" s="881"/>
      <c r="O46" s="881"/>
      <c r="P46" s="881"/>
      <c r="Q46" s="874"/>
      <c r="R46" s="873" t="inlineStr">
        <is>
          <t>SEÇÃO</t>
        </is>
      </c>
      <c r="S46" s="909"/>
      <c r="T46" s="909"/>
      <c r="U46" s="914" t="str">
        <f>IF(Geometria!$M$19="1 - Retângular",Geometria!$M$20,Geometria!$M$19)&amp;"  –  bw × h = "&amp;Taxas!$J$5&amp;" × "&amp;'Cisalhamento e Apoios'!$J$15&amp;" cm  –  apoio: "&amp;Geometria!$L$34</f>
        <v>3 - R/A  –  bw × h = 30 × 60 cm  –  apoio: Chanfro</v>
      </c>
      <c r="V46" s="914"/>
      <c r="W46" s="914"/>
      <c r="X46" s="914"/>
      <c r="Y46" s="914"/>
      <c r="Z46" s="914"/>
      <c r="AA46" s="914"/>
      <c r="AB46" s="914"/>
      <c r="AC46" s="914"/>
      <c r="AD46" s="914"/>
      <c r="AE46" s="914"/>
      <c r="AF46" s="909" t="inlineStr">
        <is>
          <t>ESCALA</t>
        </is>
      </c>
      <c r="AG46" s="909"/>
      <c r="AH46" s="909"/>
      <c r="AI46" s="877" t="inlineStr">
        <is>
          <t>indicada</t>
        </is>
      </c>
      <c r="AJ46" s="877"/>
      <c r="AK46" s="877"/>
      <c r="AL46" s="968"/>
      <c r="AM46" s="927">
        <v>16</v>
      </c>
      <c r="AN46" s="899"/>
      <c r="AO46" s="899"/>
      <c r="AP46" s="917">
        <f>SUMIF($AN$23:$AN$37,AM46,$AR$23:$AR$37)</f>
        <v>121.35</v>
      </c>
      <c r="AQ46" s="917"/>
      <c r="AR46" s="917"/>
      <c r="AS46" s="917"/>
      <c r="AT46" s="866">
        <f>SUMIF($AN$23:$AN$37,AM46,$AT$23:$AT$37)</f>
        <v>191.43399360000004</v>
      </c>
      <c r="AU46" s="866"/>
      <c r="AV46" s="866"/>
      <c r="AW46" s="885"/>
    </row>
    <row r="47" ht="15" customHeight="1">
      <c r="B47" s="908"/>
      <c r="C47" s="881"/>
      <c r="D47" s="881"/>
      <c r="E47" s="881"/>
      <c r="F47" s="881"/>
      <c r="G47" s="881"/>
      <c r="H47" s="881"/>
      <c r="I47" s="881"/>
      <c r="J47" s="881"/>
      <c r="K47" s="881"/>
      <c r="L47" s="881"/>
      <c r="M47" s="881"/>
      <c r="N47" s="881"/>
      <c r="O47" s="881"/>
      <c r="P47" s="881"/>
      <c r="Q47" s="874"/>
      <c r="R47" s="873" t="inlineStr">
        <is>
          <t>CONCRETO</t>
        </is>
      </c>
      <c r="S47" s="909"/>
      <c r="T47" s="909"/>
      <c r="U47" s="914" t="str">
        <f>"fck = "&amp;Geometria!$L$82&amp;" MPa  |  fckj = "&amp;Geometria!$L$84&amp;" MPa  |  capa fck = "&amp;Geometria!$L$83&amp;" MPa"</f>
        <v>fck = 50 MPa  |  fckj = 35 MPa  |  capa fck = 30 MPa</v>
      </c>
      <c r="V47" s="914"/>
      <c r="W47" s="914"/>
      <c r="X47" s="914"/>
      <c r="Y47" s="914"/>
      <c r="Z47" s="914"/>
      <c r="AA47" s="914"/>
      <c r="AB47" s="914"/>
      <c r="AC47" s="914"/>
      <c r="AD47" s="914"/>
      <c r="AE47" s="914"/>
      <c r="AF47" s="909" t="inlineStr">
        <is>
          <t>DATA</t>
        </is>
      </c>
      <c r="AG47" s="909"/>
      <c r="AH47" s="909"/>
      <c r="AI47" s="889"/>
      <c r="AJ47" s="889"/>
      <c r="AK47" s="889"/>
      <c r="AL47" s="939"/>
      <c r="AM47" s="927">
        <v>20</v>
      </c>
      <c r="AN47" s="899"/>
      <c r="AO47" s="899"/>
      <c r="AP47" s="917">
        <f>SUMIF($AN$23:$AN$37,AM47,$AR$23:$AR$37)</f>
        <v>0.0</v>
      </c>
      <c r="AQ47" s="917"/>
      <c r="AR47" s="917"/>
      <c r="AS47" s="917"/>
      <c r="AT47" s="866">
        <f>SUMIF($AN$23:$AN$37,AM47,$AT$23:$AT$37)</f>
        <v>0.0</v>
      </c>
      <c r="AU47" s="866"/>
      <c r="AV47" s="866"/>
      <c r="AW47" s="885"/>
    </row>
    <row r="48" ht="15" customHeight="1">
      <c r="B48" s="908"/>
      <c r="C48" s="881"/>
      <c r="D48" s="881"/>
      <c r="E48" s="881"/>
      <c r="F48" s="881"/>
      <c r="G48" s="881"/>
      <c r="H48" s="881"/>
      <c r="I48" s="881"/>
      <c r="J48" s="881"/>
      <c r="K48" s="881"/>
      <c r="L48" s="881"/>
      <c r="M48" s="881"/>
      <c r="N48" s="881"/>
      <c r="O48" s="881"/>
      <c r="P48" s="881"/>
      <c r="Q48" s="874"/>
      <c r="R48" s="873" t="inlineStr">
        <is>
          <t>AÇO</t>
        </is>
      </c>
      <c r="S48" s="909"/>
      <c r="T48" s="909"/>
      <c r="U48" s="914" t="str">
        <f>"CA-50 (fyk = "&amp;Geometria!$L$81&amp;" MPa)  |  cordoalhas CP"&amp;Geometria!$L$88&amp;" RB Ø"&amp;Geometria!$L$251</f>
        <v>CA-50 (fyk = 500 MPa)  |  cordoalhas CP190 RB Ø15.2</v>
      </c>
      <c r="V48" s="914"/>
      <c r="W48" s="914"/>
      <c r="X48" s="914"/>
      <c r="Y48" s="914"/>
      <c r="Z48" s="914"/>
      <c r="AA48" s="914"/>
      <c r="AB48" s="914"/>
      <c r="AC48" s="914"/>
      <c r="AD48" s="914"/>
      <c r="AE48" s="914"/>
      <c r="AF48" s="909" t="inlineStr">
        <is>
          <t>REVISÃO</t>
        </is>
      </c>
      <c r="AG48" s="909"/>
      <c r="AH48" s="909"/>
      <c r="AI48" s="889" t="inlineStr">
        <is>
          <t>R00</t>
        </is>
      </c>
      <c r="AJ48" s="889"/>
      <c r="AK48" s="889"/>
      <c r="AL48" s="939"/>
      <c r="AM48" s="927">
        <v>25</v>
      </c>
      <c r="AN48" s="899"/>
      <c r="AO48" s="899"/>
      <c r="AP48" s="917">
        <f>SUMIF($AN$23:$AN$37,AM48,$AR$23:$AR$37)</f>
        <v>0.0</v>
      </c>
      <c r="AQ48" s="917"/>
      <c r="AR48" s="917"/>
      <c r="AS48" s="917"/>
      <c r="AT48" s="866">
        <f>SUMIF($AN$23:$AN$37,AM48,$AT$23:$AT$37)</f>
        <v>0.0</v>
      </c>
      <c r="AU48" s="866"/>
      <c r="AV48" s="866"/>
      <c r="AW48" s="885"/>
    </row>
    <row r="49" ht="15" customHeight="1">
      <c r="B49" s="908"/>
      <c r="C49" s="881"/>
      <c r="D49" s="881"/>
      <c r="E49" s="881"/>
      <c r="F49" s="881"/>
      <c r="G49" s="881"/>
      <c r="H49" s="881"/>
      <c r="I49" s="881"/>
      <c r="J49" s="881"/>
      <c r="K49" s="881"/>
      <c r="L49" s="881"/>
      <c r="M49" s="881"/>
      <c r="N49" s="881"/>
      <c r="O49" s="881"/>
      <c r="P49" s="881"/>
      <c r="Q49" s="874"/>
      <c r="R49" s="873" t="inlineStr">
        <is>
          <t>VÃO / L</t>
        </is>
      </c>
      <c r="S49" s="909"/>
      <c r="T49" s="909"/>
      <c r="U49" s="914" t="str">
        <f>"vão = "&amp;Geometria!$L$29&amp;" cm  |  L total = "&amp;Geometria!$L$25&amp;" cm"</f>
        <v>vão = 785 cm  |  L total = 815 cm</v>
      </c>
      <c r="V49" s="914"/>
      <c r="W49" s="914"/>
      <c r="X49" s="914"/>
      <c r="Y49" s="914"/>
      <c r="Z49" s="914"/>
      <c r="AA49" s="914"/>
      <c r="AB49" s="914"/>
      <c r="AC49" s="914"/>
      <c r="AD49" s="914"/>
      <c r="AE49" s="914"/>
      <c r="AF49" s="909" t="inlineStr">
        <is>
          <t>DESENHO</t>
        </is>
      </c>
      <c r="AG49" s="909"/>
      <c r="AH49" s="909"/>
      <c r="AI49" s="889"/>
      <c r="AJ49" s="889"/>
      <c r="AK49" s="889"/>
      <c r="AL49" s="939"/>
      <c r="AM49" s="942" t="inlineStr">
        <is>
          <t>TOTAL CA-50</t>
        </is>
      </c>
      <c r="AN49" s="923"/>
      <c r="AO49" s="923"/>
      <c r="AP49" s="923"/>
      <c r="AQ49" s="923"/>
      <c r="AR49" s="923"/>
      <c r="AS49" s="923"/>
      <c r="AT49" s="929">
        <f>SUM(AT42:AW48)</f>
        <v>504.66288653000004</v>
      </c>
      <c r="AU49" s="929"/>
      <c r="AV49" s="929"/>
      <c r="AW49" s="969"/>
    </row>
    <row r="50" ht="15" customHeight="1">
      <c r="B50" s="896"/>
      <c r="C50" s="905"/>
      <c r="D50" s="905"/>
      <c r="E50" s="905"/>
      <c r="F50" s="905"/>
      <c r="G50" s="905"/>
      <c r="H50" s="905"/>
      <c r="I50" s="905"/>
      <c r="J50" s="905"/>
      <c r="K50" s="905"/>
      <c r="L50" s="905"/>
      <c r="M50" s="905"/>
      <c r="N50" s="905"/>
      <c r="O50" s="905"/>
      <c r="P50" s="905"/>
      <c r="Q50" s="883"/>
      <c r="R50" s="946" t="inlineStr">
        <is>
          <t>RESP. TÉC.</t>
        </is>
      </c>
      <c r="S50" s="943"/>
      <c r="T50" s="943"/>
      <c r="U50" s="930"/>
      <c r="V50" s="930"/>
      <c r="W50" s="930"/>
      <c r="X50" s="930"/>
      <c r="Y50" s="930"/>
      <c r="Z50" s="930"/>
      <c r="AA50" s="930"/>
      <c r="AB50" s="930"/>
      <c r="AC50" s="930"/>
      <c r="AD50" s="930"/>
      <c r="AE50" s="930"/>
      <c r="AF50" s="943" t="inlineStr">
        <is>
          <t>CREA</t>
        </is>
      </c>
      <c r="AG50" s="943"/>
      <c r="AH50" s="943"/>
      <c r="AI50" s="963"/>
      <c r="AJ50" s="963"/>
      <c r="AK50" s="963"/>
      <c r="AL50" s="948"/>
      <c r="AM50" s="966" t="str">
        <f>"Concreto: "&amp;TEXT(Taxas!$M$51,"0.00")&amp;" m³   |   Taxa: "&amp;TEXT(Taxas!$L$56,"0")&amp;" kg/m³"</f>
        <v>Concreto: 1.74 m³   |   Taxa: 291 kg/m³</v>
      </c>
      <c r="AN50" s="936"/>
      <c r="AO50" s="936"/>
      <c r="AP50" s="936"/>
      <c r="AQ50" s="936"/>
      <c r="AR50" s="936"/>
      <c r="AS50" s="936"/>
      <c r="AT50" s="936"/>
      <c r="AU50" s="936"/>
      <c r="AV50" s="936"/>
      <c r="AW50" s="952"/>
    </row>
    <row r="51" ht="16" customHeight="1">
      <c r="B51" s="959" t="inlineStr">
        <is>
          <t>MEMÓRIA RESUMIDA – CONSIDERAÇÕES DE CÁLCULO</t>
        </is>
      </c>
      <c r="C51" s="891"/>
      <c r="D51" s="891"/>
      <c r="E51" s="891"/>
      <c r="F51" s="891"/>
      <c r="G51" s="891"/>
      <c r="H51" s="891"/>
      <c r="I51" s="891"/>
      <c r="J51" s="891"/>
      <c r="K51" s="891"/>
      <c r="L51" s="891"/>
      <c r="M51" s="891"/>
      <c r="N51" s="891"/>
      <c r="O51" s="891"/>
      <c r="P51" s="891"/>
      <c r="Q51" s="891"/>
      <c r="R51" s="891"/>
      <c r="S51" s="891"/>
      <c r="T51" s="891"/>
      <c r="U51" s="891"/>
      <c r="V51" s="891"/>
      <c r="W51" s="891"/>
      <c r="X51" s="891"/>
      <c r="Y51" s="891"/>
      <c r="Z51" s="891"/>
      <c r="AA51" s="891"/>
      <c r="AB51" s="891"/>
      <c r="AC51" s="891"/>
      <c r="AD51" s="891"/>
      <c r="AE51" s="891"/>
      <c r="AF51" s="891"/>
      <c r="AG51" s="879" t="str">
        <f>"PEÇA: "&amp;UPPER($U$45)&amp;"   –   FOLHA 02/02"</f>
        <v>PEÇA: VIGA 10M   –   FOLHA 02/02</v>
      </c>
      <c r="AH51" s="879"/>
      <c r="AI51" s="879"/>
      <c r="AJ51" s="879"/>
      <c r="AK51" s="879"/>
      <c r="AL51" s="879"/>
      <c r="AM51" s="879"/>
      <c r="AN51" s="879"/>
      <c r="AO51" s="879"/>
      <c r="AP51" s="879"/>
      <c r="AQ51" s="879"/>
      <c r="AR51" s="879"/>
      <c r="AS51" s="879"/>
      <c r="AT51" s="879"/>
      <c r="AU51" s="879"/>
      <c r="AV51" s="879"/>
      <c r="AW51" s="949"/>
    </row>
    <row r="52" ht="16" customHeight="1">
      <c r="B52" s="904"/>
      <c r="C52" s="890"/>
      <c r="D52" s="890"/>
      <c r="E52" s="890"/>
      <c r="F52" s="890"/>
      <c r="G52" s="890"/>
      <c r="H52" s="890"/>
      <c r="I52" s="890"/>
      <c r="J52" s="890"/>
      <c r="K52" s="890"/>
      <c r="L52" s="890"/>
      <c r="M52" s="890"/>
      <c r="N52" s="890"/>
      <c r="O52" s="890"/>
      <c r="P52" s="890"/>
      <c r="Q52" s="890"/>
      <c r="R52" s="890"/>
      <c r="S52" s="890"/>
      <c r="T52" s="890"/>
      <c r="U52" s="890"/>
      <c r="V52" s="890"/>
      <c r="W52" s="890"/>
      <c r="X52" s="890"/>
      <c r="Y52" s="890"/>
      <c r="Z52" s="890"/>
      <c r="AA52" s="890"/>
      <c r="AB52" s="890"/>
      <c r="AC52" s="890"/>
      <c r="AD52" s="890"/>
      <c r="AE52" s="890"/>
      <c r="AF52" s="890"/>
      <c r="AG52" s="892"/>
      <c r="AH52" s="892"/>
      <c r="AI52" s="892"/>
      <c r="AJ52" s="892"/>
      <c r="AK52" s="892"/>
      <c r="AL52" s="892"/>
      <c r="AM52" s="892"/>
      <c r="AN52" s="892"/>
      <c r="AO52" s="892"/>
      <c r="AP52" s="892"/>
      <c r="AQ52" s="892"/>
      <c r="AR52" s="892"/>
      <c r="AS52" s="892"/>
      <c r="AT52" s="892"/>
      <c r="AU52" s="892"/>
      <c r="AV52" s="892"/>
      <c r="AW52" s="944"/>
    </row>
    <row r="53" ht="15" customHeight="1">
      <c r="B53" s="906"/>
      <c r="AW53" s="913"/>
    </row>
    <row r="54" ht="15" customHeight="1">
      <c r="B54" s="871" t="inlineStr">
        <is>
          <t>1. DADOS GERAIS</t>
        </is>
      </c>
      <c r="C54" s="865"/>
      <c r="D54" s="865"/>
      <c r="E54" s="865"/>
      <c r="F54" s="865"/>
      <c r="G54" s="865"/>
      <c r="H54" s="865"/>
      <c r="I54" s="865"/>
      <c r="J54" s="865"/>
      <c r="K54" s="865"/>
      <c r="L54" s="865"/>
      <c r="M54" s="865"/>
      <c r="N54" s="865"/>
      <c r="O54" s="865"/>
      <c r="P54" s="865"/>
      <c r="Q54" s="898"/>
      <c r="R54" s="871" t="inlineStr">
        <is>
          <t>4. CARGAS (kN/m) E ESFORÇOS</t>
        </is>
      </c>
      <c r="S54" s="865"/>
      <c r="T54" s="865"/>
      <c r="U54" s="865"/>
      <c r="V54" s="865"/>
      <c r="W54" s="865"/>
      <c r="X54" s="865"/>
      <c r="Y54" s="865"/>
      <c r="Z54" s="865"/>
      <c r="AA54" s="865"/>
      <c r="AB54" s="865"/>
      <c r="AC54" s="865"/>
      <c r="AD54" s="865"/>
      <c r="AE54" s="865"/>
      <c r="AF54" s="865"/>
      <c r="AG54" s="898"/>
      <c r="AH54" s="871" t="inlineStr">
        <is>
          <t>7. TENSÕES NORMAIS COM ISOLAMENTO (MPa) – tração (+) / compr. (−)</t>
        </is>
      </c>
      <c r="AI54" s="865"/>
      <c r="AJ54" s="865"/>
      <c r="AK54" s="865"/>
      <c r="AL54" s="865"/>
      <c r="AM54" s="865"/>
      <c r="AN54" s="865"/>
      <c r="AO54" s="865"/>
      <c r="AP54" s="865"/>
      <c r="AQ54" s="865"/>
      <c r="AR54" s="865"/>
      <c r="AS54" s="865"/>
      <c r="AT54" s="865"/>
      <c r="AU54" s="865"/>
      <c r="AV54" s="865"/>
      <c r="AW54" s="898"/>
    </row>
    <row r="55" ht="15" customHeight="1">
      <c r="B55" s="907" t="inlineStr">
        <is>
          <t>Tipo de seção</t>
        </is>
      </c>
      <c r="C55" s="868"/>
      <c r="D55" s="868"/>
      <c r="E55" s="868"/>
      <c r="F55" s="868"/>
      <c r="G55" s="868"/>
      <c r="H55" s="868"/>
      <c r="I55" s="902" t="str">
        <f>IF(Geometria!$M$19="1 - Retângular",Geometria!$M$20,Geometria!$M$19)</f>
        <v>3 - R/A</v>
      </c>
      <c r="J55" s="902"/>
      <c r="K55" s="902"/>
      <c r="L55" s="902"/>
      <c r="M55" s="869"/>
      <c r="N55" s="869"/>
      <c r="O55" s="875"/>
      <c r="P55" s="875"/>
      <c r="Q55" s="919"/>
      <c r="R55" s="907" t="inlineStr">
        <is>
          <t>g0 – peso próprio</t>
        </is>
      </c>
      <c r="S55" s="868"/>
      <c r="T55" s="868"/>
      <c r="U55" s="868"/>
      <c r="V55" s="868"/>
      <c r="W55" s="868"/>
      <c r="X55" s="868"/>
      <c r="Y55" s="916">
        <f>Geometria!$M$198</f>
        <v>5.325</v>
      </c>
      <c r="Z55" s="916"/>
      <c r="AA55" s="916"/>
      <c r="AB55" s="916"/>
      <c r="AC55" s="869" t="inlineStr">
        <is>
          <t>kN/m</t>
        </is>
      </c>
      <c r="AD55" s="869"/>
      <c r="AE55" s="875"/>
      <c r="AF55" s="875"/>
      <c r="AG55" s="919"/>
      <c r="AH55" s="964" t="inlineStr">
        <is>
          <t>Combinação</t>
        </is>
      </c>
      <c r="AI55" s="887"/>
      <c r="AJ55" s="887"/>
      <c r="AK55" s="887" t="inlineStr">
        <is>
          <t>sup mín</t>
        </is>
      </c>
      <c r="AL55" s="887"/>
      <c r="AM55" s="887" t="inlineStr">
        <is>
          <t>sup máx</t>
        </is>
      </c>
      <c r="AN55" s="887"/>
      <c r="AO55" s="887" t="inlineStr">
        <is>
          <t>inf mín</t>
        </is>
      </c>
      <c r="AP55" s="887"/>
      <c r="AQ55" s="887" t="inlineStr">
        <is>
          <t>inf máx</t>
        </is>
      </c>
      <c r="AR55" s="887"/>
      <c r="AS55" s="887" t="inlineStr">
        <is>
          <t>lim tração</t>
        </is>
      </c>
      <c r="AT55" s="887"/>
      <c r="AU55" s="887" t="inlineStr">
        <is>
          <t>lim compr.</t>
        </is>
      </c>
      <c r="AV55" s="887"/>
      <c r="AW55" s="945" t="inlineStr">
        <is>
          <t>status</t>
        </is>
      </c>
    </row>
    <row r="56" ht="15" customHeight="1">
      <c r="B56" s="907" t="inlineStr">
        <is>
          <t>Extremidade / apoio</t>
        </is>
      </c>
      <c r="C56" s="868"/>
      <c r="D56" s="868"/>
      <c r="E56" s="868"/>
      <c r="F56" s="868"/>
      <c r="G56" s="868"/>
      <c r="H56" s="868"/>
      <c r="I56" s="902" t="str">
        <f>Geometria!$L$34</f>
        <v>Chanfro</v>
      </c>
      <c r="J56" s="902"/>
      <c r="K56" s="902"/>
      <c r="L56" s="902"/>
      <c r="M56" s="869"/>
      <c r="N56" s="869"/>
      <c r="O56" s="875" t="str">
        <f>'Cisalhamento e Apoios'!$J$37</f>
        <v>Sim – apoio direto</v>
      </c>
      <c r="P56" s="875"/>
      <c r="Q56" s="919"/>
      <c r="R56" s="907" t="inlineStr">
        <is>
          <t>g1 – laje</t>
        </is>
      </c>
      <c r="S56" s="868"/>
      <c r="T56" s="868"/>
      <c r="U56" s="868"/>
      <c r="V56" s="868"/>
      <c r="W56" s="868"/>
      <c r="X56" s="868"/>
      <c r="Y56" s="916">
        <f>Geometria!$M$199</f>
        <v>19.658125</v>
      </c>
      <c r="Z56" s="916"/>
      <c r="AA56" s="916"/>
      <c r="AB56" s="916"/>
      <c r="AC56" s="869" t="inlineStr">
        <is>
          <t>kN/m</t>
        </is>
      </c>
      <c r="AD56" s="869"/>
      <c r="AE56" s="875"/>
      <c r="AF56" s="875"/>
      <c r="AG56" s="919"/>
      <c r="AH56" s="873" t="inlineStr">
        <is>
          <t>Ato (liberação)</t>
        </is>
      </c>
      <c r="AI56" s="909"/>
      <c r="AJ56" s="909"/>
      <c r="AK56" s="878">
        <f>MIN('Isolamento de cabos'!$U$101:$U$121)</f>
        <v>0.0</v>
      </c>
      <c r="AL56" s="878"/>
      <c r="AM56" s="878">
        <f>MAX('Isolamento de cabos'!$U$101:$U$121)</f>
        <v>6.545172499364656</v>
      </c>
      <c r="AN56" s="878"/>
      <c r="AO56" s="878">
        <f>MIN('Isolamento de cabos'!$U$124:$U$144)</f>
        <v>-21.378030070522502</v>
      </c>
      <c r="AP56" s="878"/>
      <c r="AQ56" s="878">
        <f>MAX('Isolamento de cabos'!$U$124:$U$144)</f>
        <v>0.0</v>
      </c>
      <c r="AR56" s="878"/>
      <c r="AS56" s="878">
        <f>Geometria!$Q$913</f>
        <v>3.8519549300342857</v>
      </c>
      <c r="AT56" s="878"/>
      <c r="AU56" s="878">
        <f>Geometria!$Q$936</f>
        <v>-24.5</v>
      </c>
      <c r="AV56" s="878"/>
      <c r="AW56" s="867" t="str">
        <f>IF(AND(MAX(AM56,AQ56)&lt;=AS56+0.001,MIN(AK56,AO56)&gt;=AU56-0.001),"Ok","excede")</f>
        <v>excede</v>
      </c>
    </row>
    <row r="57" ht="15" customHeight="1">
      <c r="B57" s="907" t="inlineStr">
        <is>
          <t>Comprimento total L</t>
        </is>
      </c>
      <c r="C57" s="868"/>
      <c r="D57" s="868"/>
      <c r="E57" s="868"/>
      <c r="F57" s="868"/>
      <c r="G57" s="868"/>
      <c r="H57" s="868"/>
      <c r="I57" s="920">
        <f>Geometria!$L$25</f>
        <v>815.0</v>
      </c>
      <c r="J57" s="920"/>
      <c r="K57" s="920"/>
      <c r="L57" s="920"/>
      <c r="M57" s="869" t="inlineStr">
        <is>
          <t>cm</t>
        </is>
      </c>
      <c r="N57" s="869"/>
      <c r="O57" s="875"/>
      <c r="P57" s="875"/>
      <c r="Q57" s="919"/>
      <c r="R57" s="907" t="inlineStr">
        <is>
          <t>g2 – capa</t>
        </is>
      </c>
      <c r="S57" s="868"/>
      <c r="T57" s="868"/>
      <c r="U57" s="868"/>
      <c r="V57" s="868"/>
      <c r="W57" s="868"/>
      <c r="X57" s="868"/>
      <c r="Y57" s="916">
        <f>Geometria!$M$200</f>
        <v>12.553250000000002</v>
      </c>
      <c r="Z57" s="916"/>
      <c r="AA57" s="916"/>
      <c r="AB57" s="916"/>
      <c r="AC57" s="869" t="inlineStr">
        <is>
          <t>kN/m</t>
        </is>
      </c>
      <c r="AD57" s="869"/>
      <c r="AE57" s="875"/>
      <c r="AF57" s="875"/>
      <c r="AG57" s="919"/>
      <c r="AH57" s="873" t="inlineStr">
        <is>
          <t>Içamento</t>
        </is>
      </c>
      <c r="AI57" s="909"/>
      <c r="AJ57" s="909"/>
      <c r="AK57" s="878">
        <f>MIN('Isolamento de cabos'!$U$152:$U$172)</f>
        <v>0.0</v>
      </c>
      <c r="AL57" s="878"/>
      <c r="AM57" s="878">
        <f>MAX('Isolamento de cabos'!$U$152:$U$172)</f>
        <v>7.4160318743646565</v>
      </c>
      <c r="AN57" s="878"/>
      <c r="AO57" s="878">
        <f>MIN('Isolamento de cabos'!$U$175:$U$195)</f>
        <v>-21.378030070522502</v>
      </c>
      <c r="AP57" s="878"/>
      <c r="AQ57" s="878">
        <f>MAX('Isolamento de cabos'!$U$175:$U$195)</f>
        <v>0.0</v>
      </c>
      <c r="AR57" s="878"/>
      <c r="AS57" s="878">
        <f>Geometria!$Q$913</f>
        <v>3.8519549300342857</v>
      </c>
      <c r="AT57" s="878"/>
      <c r="AU57" s="878">
        <f>Geometria!$Q$936</f>
        <v>-24.5</v>
      </c>
      <c r="AV57" s="878"/>
      <c r="AW57" s="867" t="str">
        <f>IF(AND(MAX(AM57,AQ57)&lt;=AS57+0.001,MIN(AK57,AO57)&gt;=AU57-0.001),"Ok","excede")</f>
        <v>excede</v>
      </c>
    </row>
    <row r="58" ht="15" customHeight="1">
      <c r="B58" s="907" t="inlineStr">
        <is>
          <t>Vão teórico</t>
        </is>
      </c>
      <c r="C58" s="868"/>
      <c r="D58" s="868"/>
      <c r="E58" s="868"/>
      <c r="F58" s="868"/>
      <c r="G58" s="868"/>
      <c r="H58" s="868"/>
      <c r="I58" s="920">
        <f>Geometria!$L$29</f>
        <v>785.0</v>
      </c>
      <c r="J58" s="920"/>
      <c r="K58" s="920"/>
      <c r="L58" s="920"/>
      <c r="M58" s="869" t="inlineStr">
        <is>
          <t>cm</t>
        </is>
      </c>
      <c r="N58" s="869"/>
      <c r="O58" s="875" t="inlineStr">
        <is>
          <t>entre eixos</t>
        </is>
      </c>
      <c r="P58" s="875"/>
      <c r="Q58" s="919"/>
      <c r="R58" s="907" t="inlineStr">
        <is>
          <t>g3 – revestimento</t>
        </is>
      </c>
      <c r="S58" s="868"/>
      <c r="T58" s="868"/>
      <c r="U58" s="868"/>
      <c r="V58" s="868"/>
      <c r="W58" s="868"/>
      <c r="X58" s="868"/>
      <c r="Y58" s="916">
        <f>Geometria!$M$201</f>
        <v>5.8374999999999995</v>
      </c>
      <c r="Z58" s="916"/>
      <c r="AA58" s="916"/>
      <c r="AB58" s="916"/>
      <c r="AC58" s="869" t="inlineStr">
        <is>
          <t>kN/m</t>
        </is>
      </c>
      <c r="AD58" s="869"/>
      <c r="AE58" s="875"/>
      <c r="AF58" s="875"/>
      <c r="AG58" s="919"/>
      <c r="AH58" s="873" t="inlineStr">
        <is>
          <t>ELS-F – M máx</t>
        </is>
      </c>
      <c r="AI58" s="909"/>
      <c r="AJ58" s="909"/>
      <c r="AK58" s="878">
        <f>MIN('Isolamento de cabos'!$AR$101:$AR$121)</f>
        <v>-10.018021339247314</v>
      </c>
      <c r="AL58" s="878"/>
      <c r="AM58" s="878">
        <f>MAX('Isolamento de cabos'!$AR$101:$AR$121)</f>
        <v>0.0</v>
      </c>
      <c r="AN58" s="878"/>
      <c r="AO58" s="878">
        <f>MIN('Isolamento de cabos'!$AR$124:$AR$144)</f>
        <v>0.0</v>
      </c>
      <c r="AP58" s="878"/>
      <c r="AQ58" s="878">
        <f>MAX('Isolamento de cabos'!$AR$124:$AR$144)</f>
        <v>10.420875982643945</v>
      </c>
      <c r="AR58" s="878"/>
      <c r="AS58" s="878">
        <f>Geometria!$Q$447</f>
        <v>2.8501384974246515</v>
      </c>
      <c r="AT58" s="878"/>
      <c r="AU58" s="878">
        <f>Geometria!$Q$470</f>
        <v>-35.0</v>
      </c>
      <c r="AV58" s="878"/>
      <c r="AW58" s="867" t="str">
        <f>IF(AND(MAX(AM58,AQ58)&lt;=AS58+0.001,MIN(AK58,AO58)&gt;=AU58-0.001),"Ok","excede")</f>
        <v>excede</v>
      </c>
    </row>
    <row r="59" ht="15" customHeight="1">
      <c r="B59" s="907" t="inlineStr">
        <is>
          <t>Largura bw</t>
        </is>
      </c>
      <c r="C59" s="868"/>
      <c r="D59" s="868"/>
      <c r="E59" s="868"/>
      <c r="F59" s="868"/>
      <c r="G59" s="868"/>
      <c r="H59" s="868"/>
      <c r="I59" s="920">
        <f>Taxas!$J$5</f>
        <v>30.0</v>
      </c>
      <c r="J59" s="920"/>
      <c r="K59" s="920"/>
      <c r="L59" s="920"/>
      <c r="M59" s="869" t="inlineStr">
        <is>
          <t>cm</t>
        </is>
      </c>
      <c r="N59" s="869"/>
      <c r="O59" s="875"/>
      <c r="P59" s="875"/>
      <c r="Q59" s="919"/>
      <c r="R59" s="907" t="inlineStr">
        <is>
          <t>g4 – alvenaria</t>
        </is>
      </c>
      <c r="S59" s="868"/>
      <c r="T59" s="868"/>
      <c r="U59" s="868"/>
      <c r="V59" s="868"/>
      <c r="W59" s="868"/>
      <c r="X59" s="868"/>
      <c r="Y59" s="916">
        <f>Geometria!$M$202</f>
        <v>0.0</v>
      </c>
      <c r="Z59" s="916"/>
      <c r="AA59" s="916"/>
      <c r="AB59" s="916"/>
      <c r="AC59" s="869" t="inlineStr">
        <is>
          <t>kN/m</t>
        </is>
      </c>
      <c r="AD59" s="869"/>
      <c r="AE59" s="875"/>
      <c r="AF59" s="875"/>
      <c r="AG59" s="919"/>
      <c r="AH59" s="873" t="inlineStr">
        <is>
          <t>ELS-F – M mín</t>
        </is>
      </c>
      <c r="AI59" s="909"/>
      <c r="AJ59" s="909"/>
      <c r="AK59" s="878">
        <f>MIN('Isolamento de cabos'!$BO$101:$BO$121)</f>
        <v>-10.018011310630559</v>
      </c>
      <c r="AL59" s="878"/>
      <c r="AM59" s="878">
        <f>MAX('Isolamento de cabos'!$BO$101:$BO$121)</f>
        <v>0.0</v>
      </c>
      <c r="AN59" s="878"/>
      <c r="AO59" s="878">
        <f>MIN('Isolamento de cabos'!$BO$124:$BO$144)</f>
        <v>-4.318618302288497</v>
      </c>
      <c r="AP59" s="878"/>
      <c r="AQ59" s="878">
        <f>MAX('Isolamento de cabos'!$BO$124:$BO$144)</f>
        <v>3.050172079394171</v>
      </c>
      <c r="AR59" s="878"/>
      <c r="AS59" s="878">
        <f>Geometria!$Q$529</f>
        <v>2.8501384974246515</v>
      </c>
      <c r="AT59" s="878"/>
      <c r="AU59" s="878">
        <f>Geometria!$Q$552</f>
        <v>-35.0</v>
      </c>
      <c r="AV59" s="878"/>
      <c r="AW59" s="867" t="str">
        <f>IF(AND(MAX(AM59,AQ59)&lt;=AS59+0.001,MIN(AK59,AO59)&gt;=AU59-0.001),"Ok","excede")</f>
        <v>excede</v>
      </c>
    </row>
    <row r="60" ht="15" customHeight="1">
      <c r="B60" s="907" t="inlineStr">
        <is>
          <t>Altura pré-fabricada h</t>
        </is>
      </c>
      <c r="C60" s="868"/>
      <c r="D60" s="868"/>
      <c r="E60" s="868"/>
      <c r="F60" s="868"/>
      <c r="G60" s="868"/>
      <c r="H60" s="868"/>
      <c r="I60" s="920">
        <f>'Cisalhamento e Apoios'!$J$15</f>
        <v>60.0</v>
      </c>
      <c r="J60" s="920"/>
      <c r="K60" s="920"/>
      <c r="L60" s="920"/>
      <c r="M60" s="869" t="inlineStr">
        <is>
          <t>cm</t>
        </is>
      </c>
      <c r="N60" s="869"/>
      <c r="O60" s="875"/>
      <c r="P60" s="875"/>
      <c r="Q60" s="919"/>
      <c r="R60" s="907" t="inlineStr">
        <is>
          <t>q – sobrecarga</t>
        </is>
      </c>
      <c r="S60" s="868"/>
      <c r="T60" s="868"/>
      <c r="U60" s="868"/>
      <c r="V60" s="868"/>
      <c r="W60" s="868"/>
      <c r="X60" s="868"/>
      <c r="Y60" s="916">
        <f>Geometria!$M$203</f>
        <v>145.9375</v>
      </c>
      <c r="Z60" s="916"/>
      <c r="AA60" s="916"/>
      <c r="AB60" s="916"/>
      <c r="AC60" s="869" t="inlineStr">
        <is>
          <t>kN/m</t>
        </is>
      </c>
      <c r="AD60" s="869"/>
      <c r="AE60" s="875"/>
      <c r="AF60" s="875"/>
      <c r="AG60" s="919"/>
      <c r="AH60" s="873" t="inlineStr">
        <is>
          <t>ELS-D – M máx</t>
        </is>
      </c>
      <c r="AI60" s="909"/>
      <c r="AJ60" s="909"/>
      <c r="AK60" s="878">
        <f>MIN('Isolamento de cabos'!$CL$101:$CL$121)</f>
        <v>-10.018017996375063</v>
      </c>
      <c r="AL60" s="878"/>
      <c r="AM60" s="878">
        <f>MAX('Isolamento de cabos'!$CL$101:$CL$121)</f>
        <v>0.0</v>
      </c>
      <c r="AN60" s="878"/>
      <c r="AO60" s="878">
        <f>MIN('Isolamento de cabos'!$CL$124:$CL$144)</f>
        <v>0.0</v>
      </c>
      <c r="AP60" s="878"/>
      <c r="AQ60" s="878">
        <f>MAX('Isolamento de cabos'!$CL$124:$CL$144)</f>
        <v>5.977065206659552</v>
      </c>
      <c r="AR60" s="878"/>
      <c r="AS60" s="878">
        <f>Geometria!$Q$714</f>
        <v>0.0</v>
      </c>
      <c r="AT60" s="878"/>
      <c r="AU60" s="878">
        <f>Geometria!$Q$737</f>
        <v>-35.0</v>
      </c>
      <c r="AV60" s="878"/>
      <c r="AW60" s="867" t="str">
        <f>IF(AND(MAX(AM60,AQ60)&lt;=AS60+0.001,MIN(AK60,AO60)&gt;=AU60-0.001),"Ok","excede")</f>
        <v>excede</v>
      </c>
    </row>
    <row r="61" ht="15" customHeight="1">
      <c r="B61" s="907" t="inlineStr">
        <is>
          <t>Solidarização com a capa</t>
        </is>
      </c>
      <c r="C61" s="868"/>
      <c r="D61" s="868"/>
      <c r="E61" s="868"/>
      <c r="F61" s="868"/>
      <c r="G61" s="868"/>
      <c r="H61" s="868"/>
      <c r="I61" s="902" t="str">
        <f>Geometria!$M$18</f>
        <v>1 - Sim</v>
      </c>
      <c r="J61" s="902"/>
      <c r="K61" s="902"/>
      <c r="L61" s="902"/>
      <c r="M61" s="869"/>
      <c r="N61" s="869"/>
      <c r="O61" s="875" t="str">
        <f>"laje "&amp;Geometria!$L$42&amp;" + capa "&amp;Geometria!$L$45</f>
        <v>laje 25 + capa 5</v>
      </c>
      <c r="P61" s="875"/>
      <c r="Q61" s="919"/>
      <c r="R61" s="907" t="inlineStr">
        <is>
          <t>Total (g + q)</t>
        </is>
      </c>
      <c r="S61" s="868"/>
      <c r="T61" s="868"/>
      <c r="U61" s="868"/>
      <c r="V61" s="868"/>
      <c r="W61" s="868"/>
      <c r="X61" s="868"/>
      <c r="Y61" s="916">
        <f>Geometria!$M$204</f>
        <v>189.311375</v>
      </c>
      <c r="Z61" s="916"/>
      <c r="AA61" s="916"/>
      <c r="AB61" s="916"/>
      <c r="AC61" s="869" t="inlineStr">
        <is>
          <t>kN/m</t>
        </is>
      </c>
      <c r="AD61" s="869"/>
      <c r="AE61" s="875"/>
      <c r="AF61" s="875"/>
      <c r="AG61" s="919"/>
      <c r="AH61" s="946" t="inlineStr">
        <is>
          <t>ELS-D – M mín</t>
        </is>
      </c>
      <c r="AI61" s="943"/>
      <c r="AJ61" s="943"/>
      <c r="AK61" s="928">
        <f>MIN('Isolamento de cabos'!$DI$101:$DI$121)</f>
        <v>-10.018011310630559</v>
      </c>
      <c r="AL61" s="928"/>
      <c r="AM61" s="928">
        <f>MAX('Isolamento de cabos'!$DI$101:$DI$121)</f>
        <v>0.0</v>
      </c>
      <c r="AN61" s="928"/>
      <c r="AO61" s="928">
        <f>MIN('Isolamento de cabos'!$DI$124:$DI$144)</f>
        <v>-4.318618302288497</v>
      </c>
      <c r="AP61" s="928"/>
      <c r="AQ61" s="928">
        <f>MAX('Isolamento de cabos'!$DI$124:$DI$144)</f>
        <v>3.050172079394171</v>
      </c>
      <c r="AR61" s="928"/>
      <c r="AS61" s="928">
        <f>Geometria!$Q$789</f>
        <v>0.0</v>
      </c>
      <c r="AT61" s="928"/>
      <c r="AU61" s="928">
        <f>Geometria!$Q$813</f>
        <v>-35.0</v>
      </c>
      <c r="AV61" s="928"/>
      <c r="AW61" s="965" t="str">
        <f>IF(AND(MAX(AM61,AQ61)&lt;=AS61+0.001,MIN(AK61,AO61)&gt;=AU61-0.001),"Ok","excede")</f>
        <v>excede</v>
      </c>
    </row>
    <row r="62" ht="15" customHeight="1">
      <c r="B62" s="907" t="inlineStr">
        <is>
          <t>Altura final (composta)</t>
        </is>
      </c>
      <c r="C62" s="868"/>
      <c r="D62" s="868"/>
      <c r="E62" s="868"/>
      <c r="F62" s="868"/>
      <c r="G62" s="868"/>
      <c r="H62" s="868"/>
      <c r="I62" s="920">
        <f>Taxas!$J$6</f>
        <v>90.0</v>
      </c>
      <c r="J62" s="920"/>
      <c r="K62" s="920"/>
      <c r="L62" s="920"/>
      <c r="M62" s="869" t="inlineStr">
        <is>
          <t>cm</t>
        </is>
      </c>
      <c r="N62" s="869"/>
      <c r="O62" s="875"/>
      <c r="P62" s="875"/>
      <c r="Q62" s="919"/>
      <c r="R62" s="907" t="inlineStr">
        <is>
          <t>M característico máx.</t>
        </is>
      </c>
      <c r="S62" s="868"/>
      <c r="T62" s="868"/>
      <c r="U62" s="868"/>
      <c r="V62" s="868"/>
      <c r="W62" s="868"/>
      <c r="X62" s="868"/>
      <c r="Y62" s="893">
        <f>Geometria!$M$212</f>
        <v>1458.230025742188</v>
      </c>
      <c r="Z62" s="893"/>
      <c r="AA62" s="893"/>
      <c r="AB62" s="893"/>
      <c r="AC62" s="869" t="inlineStr">
        <is>
          <t>kN·m</t>
        </is>
      </c>
      <c r="AD62" s="869"/>
      <c r="AE62" s="875" t="inlineStr">
        <is>
          <t>meio do vão</t>
        </is>
      </c>
      <c r="AF62" s="875"/>
      <c r="AG62" s="919"/>
      <c r="AW62" s="913"/>
    </row>
    <row r="63" ht="15" customHeight="1">
      <c r="B63" s="907" t="inlineStr">
        <is>
          <t>Laje – vão / carga</t>
        </is>
      </c>
      <c r="C63" s="868"/>
      <c r="D63" s="868"/>
      <c r="E63" s="868"/>
      <c r="F63" s="868"/>
      <c r="G63" s="868"/>
      <c r="H63" s="868"/>
      <c r="I63" s="920">
        <f>Geometria!$L$41</f>
        <v>1107.5</v>
      </c>
      <c r="J63" s="920"/>
      <c r="K63" s="920"/>
      <c r="L63" s="920"/>
      <c r="M63" s="869" t="inlineStr">
        <is>
          <t>cm</t>
        </is>
      </c>
      <c r="N63" s="869"/>
      <c r="O63" s="875" t="str">
        <f>"sobrecarga "&amp;Geometria!$L$10&amp;" kgf/m²"</f>
        <v>sobrecarga 2500 kgf/m²</v>
      </c>
      <c r="P63" s="875"/>
      <c r="Q63" s="919"/>
      <c r="R63" s="907" t="inlineStr">
        <is>
          <t>Md (ELU)</t>
        </is>
      </c>
      <c r="S63" s="868"/>
      <c r="T63" s="868"/>
      <c r="U63" s="868"/>
      <c r="V63" s="868"/>
      <c r="W63" s="868"/>
      <c r="X63" s="868"/>
      <c r="Y63" s="893">
        <f>Geometria!$L$1038</f>
        <v>2022.2780032851567</v>
      </c>
      <c r="Z63" s="893"/>
      <c r="AA63" s="893"/>
      <c r="AB63" s="893"/>
      <c r="AC63" s="869" t="inlineStr">
        <is>
          <t>kN·m</t>
        </is>
      </c>
      <c r="AD63" s="869"/>
      <c r="AE63" s="875"/>
      <c r="AF63" s="875"/>
      <c r="AG63" s="919"/>
      <c r="AH63" s="871" t="inlineStr">
        <is>
          <t>8. ELU, FISSURAÇÃO E FLECHAS</t>
        </is>
      </c>
      <c r="AI63" s="865"/>
      <c r="AJ63" s="865"/>
      <c r="AK63" s="865"/>
      <c r="AL63" s="865"/>
      <c r="AM63" s="865"/>
      <c r="AN63" s="865"/>
      <c r="AO63" s="865"/>
      <c r="AP63" s="865"/>
      <c r="AQ63" s="865"/>
      <c r="AR63" s="865"/>
      <c r="AS63" s="865"/>
      <c r="AT63" s="865"/>
      <c r="AU63" s="865"/>
      <c r="AV63" s="865"/>
      <c r="AW63" s="898"/>
    </row>
    <row r="64" ht="15" customHeight="1">
      <c r="B64" s="921" t="inlineStr">
        <is>
          <t>Aba (T / R/A)</t>
        </is>
      </c>
      <c r="C64" s="886"/>
      <c r="D64" s="886"/>
      <c r="E64" s="886"/>
      <c r="F64" s="886"/>
      <c r="G64" s="886"/>
      <c r="H64" s="886"/>
      <c r="I64" s="915" t="str">
        <f>IF(Geometria!$M$36&gt;0,"T: "&amp;Geometria!$L$36&amp;" cm",IF(Taxas!$H$70&gt;0,"R/A: "&amp;Geometria!$L$39&amp;" cm","–"))</f>
        <v>R/A: 10 cm</v>
      </c>
      <c r="J64" s="915"/>
      <c r="K64" s="915"/>
      <c r="L64" s="915"/>
      <c r="M64" s="926"/>
      <c r="N64" s="926"/>
      <c r="O64" s="910"/>
      <c r="P64" s="910"/>
      <c r="Q64" s="931"/>
      <c r="R64" s="907" t="inlineStr">
        <is>
          <t>Vd no apoio</t>
        </is>
      </c>
      <c r="S64" s="868"/>
      <c r="T64" s="868"/>
      <c r="U64" s="868"/>
      <c r="V64" s="868"/>
      <c r="W64" s="868"/>
      <c r="X64" s="868"/>
      <c r="Y64" s="893">
        <f>'Cisalhamento e Apoios'!$J$82</f>
        <v>1030.4601290625</v>
      </c>
      <c r="Z64" s="893"/>
      <c r="AA64" s="893"/>
      <c r="AB64" s="893"/>
      <c r="AC64" s="869" t="inlineStr">
        <is>
          <t>kN</t>
        </is>
      </c>
      <c r="AD64" s="869"/>
      <c r="AE64" s="875"/>
      <c r="AF64" s="875"/>
      <c r="AG64" s="919"/>
      <c r="AH64" s="907" t="inlineStr">
        <is>
          <t>Mrd (seção ativa)</t>
        </is>
      </c>
      <c r="AI64" s="868"/>
      <c r="AJ64" s="868"/>
      <c r="AK64" s="868"/>
      <c r="AL64" s="868"/>
      <c r="AM64" s="868"/>
      <c r="AN64" s="893">
        <f>'Momento Resistente - Ap+As'!$L$481</f>
        <v>2109.201133182931</v>
      </c>
      <c r="AO64" s="893"/>
      <c r="AP64" s="893"/>
      <c r="AQ64" s="893"/>
      <c r="AR64" s="869" t="inlineStr">
        <is>
          <t>kN·m</t>
        </is>
      </c>
      <c r="AS64" s="869"/>
      <c r="AT64" s="875" t="str">
        <f>'Momento Resistente - Ap+As'!$L$479</f>
        <v>T</v>
      </c>
      <c r="AU64" s="875"/>
      <c r="AV64" s="875"/>
      <c r="AW64" s="919"/>
    </row>
    <row r="65" ht="15" customHeight="1">
      <c r="B65" s="906"/>
      <c r="R65" s="921" t="inlineStr">
        <is>
          <t>Vk no apoio</t>
        </is>
      </c>
      <c r="S65" s="886"/>
      <c r="T65" s="886"/>
      <c r="U65" s="886"/>
      <c r="V65" s="886"/>
      <c r="W65" s="886"/>
      <c r="X65" s="886"/>
      <c r="Y65" s="912">
        <f>Taxas!$H$108</f>
        <v>743.0471468750001</v>
      </c>
      <c r="Z65" s="912"/>
      <c r="AA65" s="912"/>
      <c r="AB65" s="912"/>
      <c r="AC65" s="926" t="inlineStr">
        <is>
          <t>kN</t>
        </is>
      </c>
      <c r="AD65" s="926"/>
      <c r="AE65" s="910"/>
      <c r="AF65" s="910"/>
      <c r="AG65" s="931"/>
      <c r="AH65" s="907" t="inlineStr">
        <is>
          <t>Md</t>
        </is>
      </c>
      <c r="AI65" s="868"/>
      <c r="AJ65" s="868"/>
      <c r="AK65" s="868"/>
      <c r="AL65" s="868"/>
      <c r="AM65" s="868"/>
      <c r="AN65" s="893">
        <f>'Momento Resistente - Ap+As'!$L$482</f>
        <v>2022.2780032851567</v>
      </c>
      <c r="AO65" s="893"/>
      <c r="AP65" s="893"/>
      <c r="AQ65" s="893"/>
      <c r="AR65" s="869" t="inlineStr">
        <is>
          <t>kN·m</t>
        </is>
      </c>
      <c r="AS65" s="869"/>
      <c r="AT65" s="875"/>
      <c r="AU65" s="875"/>
      <c r="AV65" s="875"/>
      <c r="AW65" s="919"/>
    </row>
    <row r="66" ht="15" customHeight="1">
      <c r="B66" s="871" t="inlineStr">
        <is>
          <t>2. MATERIAIS</t>
        </is>
      </c>
      <c r="C66" s="865"/>
      <c r="D66" s="865"/>
      <c r="E66" s="865"/>
      <c r="F66" s="865"/>
      <c r="G66" s="865"/>
      <c r="H66" s="865"/>
      <c r="I66" s="865"/>
      <c r="J66" s="865"/>
      <c r="K66" s="865"/>
      <c r="L66" s="865"/>
      <c r="M66" s="865"/>
      <c r="N66" s="865"/>
      <c r="O66" s="865"/>
      <c r="P66" s="865"/>
      <c r="Q66" s="898"/>
      <c r="AH66" s="907" t="inlineStr">
        <is>
          <t>Mrd / Md</t>
        </is>
      </c>
      <c r="AI66" s="868"/>
      <c r="AJ66" s="868"/>
      <c r="AK66" s="868"/>
      <c r="AL66" s="868"/>
      <c r="AM66" s="868"/>
      <c r="AN66" s="916">
        <f>'Momento Resistente - Ap+As'!$L$483</f>
        <v>1.0429827796952589</v>
      </c>
      <c r="AO66" s="916"/>
      <c r="AP66" s="916"/>
      <c r="AQ66" s="916"/>
      <c r="AR66" s="869"/>
      <c r="AS66" s="869"/>
      <c r="AT66" s="875" t="str">
        <f>'Momento Resistente - Ap+As'!$L$484</f>
        <v>Mrd &gt;= Md - OK</v>
      </c>
      <c r="AU66" s="875"/>
      <c r="AV66" s="875"/>
      <c r="AW66" s="919"/>
    </row>
    <row r="67" ht="15" customHeight="1">
      <c r="B67" s="907" t="inlineStr">
        <is>
          <t>Concreto da viga fck</t>
        </is>
      </c>
      <c r="C67" s="868"/>
      <c r="D67" s="868"/>
      <c r="E67" s="868"/>
      <c r="F67" s="868"/>
      <c r="G67" s="868"/>
      <c r="H67" s="868"/>
      <c r="I67" s="920">
        <f>Geometria!$L$82</f>
        <v>50.0</v>
      </c>
      <c r="J67" s="920"/>
      <c r="K67" s="920"/>
      <c r="L67" s="920"/>
      <c r="M67" s="869" t="inlineStr">
        <is>
          <t>MPa</t>
        </is>
      </c>
      <c r="N67" s="869"/>
      <c r="O67" s="875"/>
      <c r="P67" s="875"/>
      <c r="Q67" s="919"/>
      <c r="R67" s="871" t="inlineStr">
        <is>
          <t>5. PROTENSÃO</t>
        </is>
      </c>
      <c r="S67" s="865"/>
      <c r="T67" s="865"/>
      <c r="U67" s="865"/>
      <c r="V67" s="865"/>
      <c r="W67" s="865"/>
      <c r="X67" s="865"/>
      <c r="Y67" s="865"/>
      <c r="Z67" s="865"/>
      <c r="AA67" s="865"/>
      <c r="AB67" s="865"/>
      <c r="AC67" s="865"/>
      <c r="AD67" s="865"/>
      <c r="AE67" s="865"/>
      <c r="AF67" s="865"/>
      <c r="AG67" s="898"/>
      <c r="AH67" s="907" t="inlineStr">
        <is>
          <t>Armadura passiva ELU</t>
        </is>
      </c>
      <c r="AI67" s="868"/>
      <c r="AJ67" s="868"/>
      <c r="AK67" s="868"/>
      <c r="AL67" s="868"/>
      <c r="AM67" s="868"/>
      <c r="AN67" s="902" t="str">
        <f>Geometria!$Q$24</f>
        <v>Necessita armadura passiva ELU</v>
      </c>
      <c r="AO67" s="902"/>
      <c r="AP67" s="902"/>
      <c r="AQ67" s="902"/>
      <c r="AR67" s="869"/>
      <c r="AS67" s="869"/>
      <c r="AT67" s="875"/>
      <c r="AU67" s="875"/>
      <c r="AV67" s="875"/>
      <c r="AW67" s="919"/>
    </row>
    <row r="68" ht="15" customHeight="1">
      <c r="B68" s="907" t="inlineStr">
        <is>
          <t>fckj na liberação</t>
        </is>
      </c>
      <c r="C68" s="868"/>
      <c r="D68" s="868"/>
      <c r="E68" s="868"/>
      <c r="F68" s="868"/>
      <c r="G68" s="868"/>
      <c r="H68" s="868"/>
      <c r="I68" s="920">
        <f>Geometria!$L$84</f>
        <v>35.0</v>
      </c>
      <c r="J68" s="920"/>
      <c r="K68" s="920"/>
      <c r="L68" s="920"/>
      <c r="M68" s="869" t="inlineStr">
        <is>
          <t>MPa</t>
        </is>
      </c>
      <c r="N68" s="869"/>
      <c r="O68" s="875" t="inlineStr">
        <is>
          <t>≈ 0,7·fck</t>
        </is>
      </c>
      <c r="P68" s="875"/>
      <c r="Q68" s="919"/>
      <c r="R68" s="907" t="inlineStr">
        <is>
          <t>Cordoalhas inf. / sup.</t>
        </is>
      </c>
      <c r="S68" s="868"/>
      <c r="T68" s="868"/>
      <c r="U68" s="868"/>
      <c r="V68" s="868"/>
      <c r="W68" s="868"/>
      <c r="X68" s="868"/>
      <c r="Y68" s="902" t="str">
        <f>Geometria!$K$251&amp;" / "&amp;Geometria!$K$265</f>
        <v>8 / 0</v>
      </c>
      <c r="Z68" s="902"/>
      <c r="AA68" s="902"/>
      <c r="AB68" s="902"/>
      <c r="AC68" s="869" t="inlineStr">
        <is>
          <t>un</t>
        </is>
      </c>
      <c r="AD68" s="869"/>
      <c r="AE68" s="875" t="str">
        <f>"Ø"&amp;Geometria!$L$251&amp;" / Ø"&amp;Geometria!$L$265</f>
        <v>Ø15.2 / Ø12.7</v>
      </c>
      <c r="AF68" s="875"/>
      <c r="AG68" s="919"/>
      <c r="AH68" s="907" t="inlineStr">
        <is>
          <t>Fissuração t = 1 / t = ∞</t>
        </is>
      </c>
      <c r="AI68" s="868"/>
      <c r="AJ68" s="868"/>
      <c r="AK68" s="868"/>
      <c r="AL68" s="868"/>
      <c r="AM68" s="868"/>
      <c r="AN68" s="902" t="str">
        <f>Geometria!$Q$2&amp;" / "&amp;Geometria!$Q$3</f>
        <v>Ok / Estádio II</v>
      </c>
      <c r="AO68" s="902"/>
      <c r="AP68" s="902"/>
      <c r="AQ68" s="902"/>
      <c r="AR68" s="869"/>
      <c r="AS68" s="869"/>
      <c r="AT68" s="875"/>
      <c r="AU68" s="875"/>
      <c r="AV68" s="875"/>
      <c r="AW68" s="919"/>
    </row>
    <row r="69" ht="15" customHeight="1">
      <c r="B69" s="907" t="inlineStr">
        <is>
          <t>Concreto da capa fck</t>
        </is>
      </c>
      <c r="C69" s="868"/>
      <c r="D69" s="868"/>
      <c r="E69" s="868"/>
      <c r="F69" s="868"/>
      <c r="G69" s="868"/>
      <c r="H69" s="868"/>
      <c r="I69" s="920">
        <f>Geometria!$L$83</f>
        <v>30.0</v>
      </c>
      <c r="J69" s="920"/>
      <c r="K69" s="920"/>
      <c r="L69" s="920"/>
      <c r="M69" s="869" t="inlineStr">
        <is>
          <t>MPa</t>
        </is>
      </c>
      <c r="N69" s="869"/>
      <c r="O69" s="875"/>
      <c r="P69" s="875"/>
      <c r="Q69" s="919"/>
      <c r="R69" s="907" t="inlineStr">
        <is>
          <t>Ap inferior</t>
        </is>
      </c>
      <c r="S69" s="868"/>
      <c r="T69" s="868"/>
      <c r="U69" s="868"/>
      <c r="V69" s="868"/>
      <c r="W69" s="868"/>
      <c r="X69" s="868"/>
      <c r="Y69" s="916">
        <f>Geometria!$L$252</f>
        <v>11.2</v>
      </c>
      <c r="Z69" s="916"/>
      <c r="AA69" s="916"/>
      <c r="AB69" s="916"/>
      <c r="AC69" s="869" t="inlineStr">
        <is>
          <t>cm²</t>
        </is>
      </c>
      <c r="AD69" s="869"/>
      <c r="AE69" s="875"/>
      <c r="AF69" s="875"/>
      <c r="AG69" s="919"/>
      <c r="AH69" s="907" t="inlineStr">
        <is>
          <t>wk máx. (borda inferior)</t>
        </is>
      </c>
      <c r="AI69" s="868"/>
      <c r="AJ69" s="868"/>
      <c r="AK69" s="868"/>
      <c r="AL69" s="868"/>
      <c r="AM69" s="868"/>
      <c r="AN69" s="903">
        <f>'Fissuração - wk por Seção'!$L$107</f>
        <v>0.014457637600780773</v>
      </c>
      <c r="AO69" s="903"/>
      <c r="AP69" s="903"/>
      <c r="AQ69" s="903"/>
      <c r="AR69" s="869" t="inlineStr">
        <is>
          <t>mm</t>
        </is>
      </c>
      <c r="AS69" s="869"/>
      <c r="AT69" s="875" t="str">
        <f>"lim. "&amp;'Fissuração - wk por Seção'!$L$109</f>
        <v>lim. 0.3</v>
      </c>
      <c r="AU69" s="875"/>
      <c r="AV69" s="875"/>
      <c r="AW69" s="919"/>
    </row>
    <row r="70" ht="15" customHeight="1">
      <c r="B70" s="907" t="inlineStr">
        <is>
          <t>Aço passivo</t>
        </is>
      </c>
      <c r="C70" s="868"/>
      <c r="D70" s="868"/>
      <c r="E70" s="868"/>
      <c r="F70" s="868"/>
      <c r="G70" s="868"/>
      <c r="H70" s="868"/>
      <c r="I70" s="902" t="str">
        <f>"CA-50"</f>
        <v>CA-50</v>
      </c>
      <c r="J70" s="902"/>
      <c r="K70" s="902"/>
      <c r="L70" s="902"/>
      <c r="M70" s="869"/>
      <c r="N70" s="869"/>
      <c r="O70" s="875" t="str">
        <f>"fyk = "&amp;Geometria!$L$81&amp;" MPa"</f>
        <v>fyk = 500 MPa</v>
      </c>
      <c r="P70" s="875"/>
      <c r="Q70" s="919"/>
      <c r="R70" s="907" t="inlineStr">
        <is>
          <t>A'p superior</t>
        </is>
      </c>
      <c r="S70" s="868"/>
      <c r="T70" s="868"/>
      <c r="U70" s="868"/>
      <c r="V70" s="868"/>
      <c r="W70" s="868"/>
      <c r="X70" s="868"/>
      <c r="Y70" s="916">
        <f>Geometria!$L$266</f>
        <v>0.0</v>
      </c>
      <c r="Z70" s="916"/>
      <c r="AA70" s="916"/>
      <c r="AB70" s="916"/>
      <c r="AC70" s="869" t="inlineStr">
        <is>
          <t>cm²</t>
        </is>
      </c>
      <c r="AD70" s="869"/>
      <c r="AE70" s="875"/>
      <c r="AF70" s="875"/>
      <c r="AG70" s="919"/>
      <c r="AH70" s="907" t="inlineStr">
        <is>
          <t>Contraflecha inicial</t>
        </is>
      </c>
      <c r="AI70" s="868"/>
      <c r="AJ70" s="868"/>
      <c r="AK70" s="868"/>
      <c r="AL70" s="868"/>
      <c r="AM70" s="868"/>
      <c r="AN70" s="916">
        <f>Geometria!$N$1284</f>
        <v>-1.1762592062739943</v>
      </c>
      <c r="AO70" s="916"/>
      <c r="AP70" s="916"/>
      <c r="AQ70" s="916"/>
      <c r="AR70" s="869" t="inlineStr">
        <is>
          <t>cm</t>
        </is>
      </c>
      <c r="AS70" s="869"/>
      <c r="AT70" s="875" t="str">
        <f>Geometria!$P$1284&amp;" (≥ −L/300)"</f>
        <v>Ok (≥ −L/300)</v>
      </c>
      <c r="AU70" s="875"/>
      <c r="AV70" s="875"/>
      <c r="AW70" s="919"/>
    </row>
    <row r="71" ht="15" customHeight="1">
      <c r="B71" s="907" t="inlineStr">
        <is>
          <t>Cordoalha</t>
        </is>
      </c>
      <c r="C71" s="868"/>
      <c r="D71" s="868"/>
      <c r="E71" s="868"/>
      <c r="F71" s="868"/>
      <c r="G71" s="868"/>
      <c r="H71" s="868"/>
      <c r="I71" s="902" t="str">
        <f>"CP"&amp;Geometria!$L$88&amp;" RB Ø"&amp;Geometria!$L$251</f>
        <v>CP190 RB Ø15.2</v>
      </c>
      <c r="J71" s="902"/>
      <c r="K71" s="902"/>
      <c r="L71" s="902"/>
      <c r="M71" s="869"/>
      <c r="N71" s="869"/>
      <c r="O71" s="875" t="str">
        <f>"fpyk = "&amp;Geometria!$L$89&amp;" MPa"</f>
        <v>fpyk = 1710 MPa</v>
      </c>
      <c r="P71" s="875"/>
      <c r="Q71" s="919"/>
      <c r="R71" s="907" t="inlineStr">
        <is>
          <t>σpi (tensão inicial)</t>
        </is>
      </c>
      <c r="S71" s="868"/>
      <c r="T71" s="868"/>
      <c r="U71" s="868"/>
      <c r="V71" s="868"/>
      <c r="W71" s="868"/>
      <c r="X71" s="868"/>
      <c r="Y71" s="920">
        <f>Geometria!$N$232</f>
        <v>1463.0</v>
      </c>
      <c r="Z71" s="920"/>
      <c r="AA71" s="920"/>
      <c r="AB71" s="920"/>
      <c r="AC71" s="869" t="inlineStr">
        <is>
          <t>MPa</t>
        </is>
      </c>
      <c r="AD71" s="869"/>
      <c r="AE71" s="875" t="inlineStr">
        <is>
          <t>0,77·fptk</t>
        </is>
      </c>
      <c r="AF71" s="875"/>
      <c r="AG71" s="919"/>
      <c r="AH71" s="921" t="inlineStr">
        <is>
          <t>Flecha final</t>
        </is>
      </c>
      <c r="AI71" s="886"/>
      <c r="AJ71" s="886"/>
      <c r="AK71" s="886"/>
      <c r="AL71" s="886"/>
      <c r="AM71" s="886"/>
      <c r="AN71" s="925">
        <f>Geometria!$N$1281</f>
        <v>0.7320937559823272</v>
      </c>
      <c r="AO71" s="925"/>
      <c r="AP71" s="925"/>
      <c r="AQ71" s="925"/>
      <c r="AR71" s="926" t="inlineStr">
        <is>
          <t>cm</t>
        </is>
      </c>
      <c r="AS71" s="926"/>
      <c r="AT71" s="910" t="str">
        <f>Geometria!$P$1281&amp;" (≤ "&amp;TEXT(Geometria!$N$1287,"0.00")&amp;")"</f>
        <v>Ok (≤ 3.14)</v>
      </c>
      <c r="AU71" s="910"/>
      <c r="AV71" s="910"/>
      <c r="AW71" s="931"/>
    </row>
    <row r="72" ht="15" customHeight="1">
      <c r="B72" s="907" t="inlineStr">
        <is>
          <t>Cimento viga / capa</t>
        </is>
      </c>
      <c r="C72" s="868"/>
      <c r="D72" s="868"/>
      <c r="E72" s="868"/>
      <c r="F72" s="868"/>
      <c r="G72" s="868"/>
      <c r="H72" s="868"/>
      <c r="I72" s="902" t="str">
        <f>Geometria!$L$86</f>
        <v>CPV-ARI</v>
      </c>
      <c r="J72" s="902"/>
      <c r="K72" s="902"/>
      <c r="L72" s="902"/>
      <c r="M72" s="869"/>
      <c r="N72" s="869"/>
      <c r="O72" s="875" t="str">
        <f>Geometria!$L$87</f>
        <v>CPI E CPII</v>
      </c>
      <c r="P72" s="875"/>
      <c r="Q72" s="919"/>
      <c r="R72" s="907" t="inlineStr">
        <is>
          <t>P0 após liberação</t>
        </is>
      </c>
      <c r="S72" s="868"/>
      <c r="T72" s="868"/>
      <c r="U72" s="868"/>
      <c r="V72" s="868"/>
      <c r="W72" s="868"/>
      <c r="X72" s="868"/>
      <c r="Y72" s="893">
        <f>Geometria!$L$307</f>
        <v>1595.9857012798152</v>
      </c>
      <c r="Z72" s="893"/>
      <c r="AA72" s="893"/>
      <c r="AB72" s="893"/>
      <c r="AC72" s="869" t="inlineStr">
        <is>
          <t>kN</t>
        </is>
      </c>
      <c r="AD72" s="869"/>
      <c r="AE72" s="875"/>
      <c r="AF72" s="875"/>
      <c r="AG72" s="919"/>
      <c r="AW72" s="913"/>
    </row>
    <row r="73" ht="15" customHeight="1">
      <c r="B73" s="921" t="inlineStr">
        <is>
          <t>CAA / cobrimento</t>
        </is>
      </c>
      <c r="C73" s="886"/>
      <c r="D73" s="886"/>
      <c r="E73" s="886"/>
      <c r="F73" s="886"/>
      <c r="G73" s="886"/>
      <c r="H73" s="886"/>
      <c r="I73" s="915" t="str">
        <f>Geometria!$L$80</f>
        <v>II</v>
      </c>
      <c r="J73" s="915"/>
      <c r="K73" s="915"/>
      <c r="L73" s="915"/>
      <c r="M73" s="926"/>
      <c r="N73" s="926"/>
      <c r="O73" s="910" t="str">
        <f>"c = "&amp;TEXT(Geometria!$R$76*10,"0")&amp;" mm"</f>
        <v>c = 30 mm</v>
      </c>
      <c r="P73" s="910"/>
      <c r="Q73" s="931"/>
      <c r="R73" s="907" t="inlineStr">
        <is>
          <t>Np,∞ (após perdas)</t>
        </is>
      </c>
      <c r="S73" s="868"/>
      <c r="T73" s="868"/>
      <c r="U73" s="868"/>
      <c r="V73" s="868"/>
      <c r="W73" s="868"/>
      <c r="X73" s="868"/>
      <c r="Y73" s="893">
        <f>Geometria!$L$706</f>
        <v>1243.5596228306003</v>
      </c>
      <c r="Z73" s="893"/>
      <c r="AA73" s="893"/>
      <c r="AB73" s="893"/>
      <c r="AC73" s="869" t="inlineStr">
        <is>
          <t>kN</t>
        </is>
      </c>
      <c r="AD73" s="869"/>
      <c r="AE73" s="875"/>
      <c r="AF73" s="875"/>
      <c r="AG73" s="919"/>
      <c r="AH73" s="871" t="inlineStr">
        <is>
          <t>9. CISALHAMENTO, INTERFACE E APOIO</t>
        </is>
      </c>
      <c r="AI73" s="865"/>
      <c r="AJ73" s="865"/>
      <c r="AK73" s="865"/>
      <c r="AL73" s="865"/>
      <c r="AM73" s="865"/>
      <c r="AN73" s="865"/>
      <c r="AO73" s="865"/>
      <c r="AP73" s="865"/>
      <c r="AQ73" s="865"/>
      <c r="AR73" s="865"/>
      <c r="AS73" s="865"/>
      <c r="AT73" s="865"/>
      <c r="AU73" s="865"/>
      <c r="AV73" s="865"/>
      <c r="AW73" s="898"/>
    </row>
    <row r="74" ht="15" customHeight="1">
      <c r="B74" s="906"/>
      <c r="R74" s="907" t="inlineStr">
        <is>
          <t>Perdas totais</t>
        </is>
      </c>
      <c r="S74" s="868"/>
      <c r="T74" s="868"/>
      <c r="U74" s="868"/>
      <c r="V74" s="868"/>
      <c r="W74" s="868"/>
      <c r="X74" s="868"/>
      <c r="Y74" s="960">
        <f>1-Geometria!$L$706/(Geometria!$L$252*Geometria!$N$236+Geometria!$L$266*Geometria!$N$236)</f>
        <v>0.24106555583524536</v>
      </c>
      <c r="Z74" s="960"/>
      <c r="AA74" s="960"/>
      <c r="AB74" s="960"/>
      <c r="AC74" s="869"/>
      <c r="AD74" s="869"/>
      <c r="AE74" s="875" t="inlineStr">
        <is>
          <t>aprox.</t>
        </is>
      </c>
      <c r="AF74" s="875"/>
      <c r="AG74" s="919"/>
      <c r="AH74" s="907" t="inlineStr">
        <is>
          <t>Bielas (VRd2)</t>
        </is>
      </c>
      <c r="AI74" s="868"/>
      <c r="AJ74" s="868"/>
      <c r="AK74" s="868"/>
      <c r="AL74" s="868"/>
      <c r="AM74" s="868"/>
      <c r="AN74" s="902" t="str">
        <f>'Cisalhamento e Apoios'!$J$9</f>
        <v>Biela: Ok</v>
      </c>
      <c r="AO74" s="902"/>
      <c r="AP74" s="902"/>
      <c r="AQ74" s="902"/>
      <c r="AR74" s="869"/>
      <c r="AS74" s="869"/>
      <c r="AT74" s="875"/>
      <c r="AU74" s="875"/>
      <c r="AV74" s="875"/>
      <c r="AW74" s="919"/>
    </row>
    <row r="75" ht="15" customHeight="1">
      <c r="B75" s="871" t="inlineStr">
        <is>
          <t>3. PROPRIEDADES DA SEÇÃO</t>
        </is>
      </c>
      <c r="C75" s="865"/>
      <c r="D75" s="865"/>
      <c r="E75" s="865"/>
      <c r="F75" s="865"/>
      <c r="G75" s="865"/>
      <c r="H75" s="865"/>
      <c r="I75" s="865"/>
      <c r="J75" s="865"/>
      <c r="K75" s="865"/>
      <c r="L75" s="865"/>
      <c r="M75" s="865"/>
      <c r="N75" s="865"/>
      <c r="O75" s="865"/>
      <c r="P75" s="865"/>
      <c r="Q75" s="898"/>
      <c r="R75" s="907" t="inlineStr">
        <is>
          <t>ℓbpt (transferência)</t>
        </is>
      </c>
      <c r="S75" s="868"/>
      <c r="T75" s="868"/>
      <c r="U75" s="868"/>
      <c r="V75" s="868"/>
      <c r="W75" s="868"/>
      <c r="X75" s="868"/>
      <c r="Y75" s="893">
        <f>Geometria!$N$1307</f>
        <v>116.84369343265905</v>
      </c>
      <c r="Z75" s="893"/>
      <c r="AA75" s="893"/>
      <c r="AB75" s="893"/>
      <c r="AC75" s="869" t="inlineStr">
        <is>
          <t>cm</t>
        </is>
      </c>
      <c r="AD75" s="869"/>
      <c r="AE75" s="875"/>
      <c r="AF75" s="875"/>
      <c r="AG75" s="919"/>
      <c r="AH75" s="907" t="inlineStr">
        <is>
          <t>Interface</t>
        </is>
      </c>
      <c r="AI75" s="868"/>
      <c r="AJ75" s="868"/>
      <c r="AK75" s="868"/>
      <c r="AL75" s="868"/>
      <c r="AM75" s="868"/>
      <c r="AN75" s="902" t="str">
        <f>'Cisalhamento e Apoios'!$L$182</f>
        <v>Ok – seção composta</v>
      </c>
      <c r="AO75" s="902"/>
      <c r="AP75" s="902"/>
      <c r="AQ75" s="902"/>
      <c r="AR75" s="869"/>
      <c r="AS75" s="869"/>
      <c r="AT75" s="875"/>
      <c r="AU75" s="875"/>
      <c r="AV75" s="875"/>
      <c r="AW75" s="919"/>
    </row>
    <row r="76" ht="15" customHeight="1">
      <c r="B76" s="947"/>
      <c r="C76" s="941"/>
      <c r="D76" s="941"/>
      <c r="E76" s="941"/>
      <c r="F76" s="941"/>
      <c r="G76" s="941"/>
      <c r="H76" s="911" t="inlineStr">
        <is>
          <t>Pré-fabricada</t>
        </is>
      </c>
      <c r="I76" s="911"/>
      <c r="J76" s="911"/>
      <c r="K76" s="911"/>
      <c r="L76" s="911" t="inlineStr">
        <is>
          <t>Composta</t>
        </is>
      </c>
      <c r="M76" s="911"/>
      <c r="N76" s="911"/>
      <c r="O76" s="911"/>
      <c r="P76" s="911" t="inlineStr">
        <is>
          <t>un.</t>
        </is>
      </c>
      <c r="Q76" s="895"/>
      <c r="R76" s="921" t="inlineStr">
        <is>
          <t>Alongamento na pista</t>
        </is>
      </c>
      <c r="S76" s="886"/>
      <c r="T76" s="886"/>
      <c r="U76" s="886"/>
      <c r="V76" s="886"/>
      <c r="W76" s="886"/>
      <c r="X76" s="886"/>
      <c r="Y76" s="912">
        <f>Geometria!$Q$259</f>
        <v>53.58974358974359</v>
      </c>
      <c r="Z76" s="912"/>
      <c r="AA76" s="912"/>
      <c r="AB76" s="912"/>
      <c r="AC76" s="926" t="inlineStr">
        <is>
          <t>cm</t>
        </is>
      </c>
      <c r="AD76" s="926"/>
      <c r="AE76" s="910"/>
      <c r="AF76" s="910"/>
      <c r="AG76" s="931"/>
      <c r="AH76" s="907" t="inlineStr">
        <is>
          <t>Estribo de ligação</t>
        </is>
      </c>
      <c r="AI76" s="868"/>
      <c r="AJ76" s="868"/>
      <c r="AK76" s="868"/>
      <c r="AL76" s="868"/>
      <c r="AM76" s="868"/>
      <c r="AN76" s="902" t="str">
        <f>"Ø"&amp;'Cisalhamento e Apoios'!$L$7&amp;" "&amp;'Cisalhamento e Apoios'!$M$7&amp;"r c/"&amp;'Cisalhamento e Apoios'!$J$175</f>
        <v>Ø8 2r c/7.5</v>
      </c>
      <c r="AO76" s="902"/>
      <c r="AP76" s="902"/>
      <c r="AQ76" s="902"/>
      <c r="AR76" s="869"/>
      <c r="AS76" s="869"/>
      <c r="AT76" s="875" t="str">
        <f>"governa: "&amp;'Cisalhamento e Apoios'!$J$177</f>
        <v>governa: T3</v>
      </c>
      <c r="AU76" s="875"/>
      <c r="AV76" s="875"/>
      <c r="AW76" s="919"/>
    </row>
    <row r="77" ht="15" customHeight="1">
      <c r="B77" s="907" t="inlineStr">
        <is>
          <t>Área Ac</t>
        </is>
      </c>
      <c r="C77" s="868"/>
      <c r="D77" s="868"/>
      <c r="E77" s="868"/>
      <c r="F77" s="868"/>
      <c r="G77" s="868"/>
      <c r="H77" s="884">
        <f>Geometria!$L$48</f>
        <v>1800.0</v>
      </c>
      <c r="I77" s="884"/>
      <c r="J77" s="884"/>
      <c r="K77" s="884"/>
      <c r="L77" s="884">
        <f>IF(Geometria!$M$18="1 - Sim",Geometria!$M$48,"–")</f>
        <v>3105.1953876719</v>
      </c>
      <c r="M77" s="884"/>
      <c r="N77" s="884"/>
      <c r="O77" s="884"/>
      <c r="P77" s="869" t="inlineStr">
        <is>
          <t>cm²</t>
        </is>
      </c>
      <c r="Q77" s="938"/>
      <c r="AH77" s="907" t="inlineStr">
        <is>
          <t>Arm. inferior apoio</t>
        </is>
      </c>
      <c r="AI77" s="868"/>
      <c r="AJ77" s="868"/>
      <c r="AK77" s="868"/>
      <c r="AL77" s="868"/>
      <c r="AM77" s="868"/>
      <c r="AN77" s="902" t="str">
        <f>'Cisalhamento e Apoios'!$J$254</f>
        <v>Tirante do apoio</v>
      </c>
      <c r="AO77" s="902"/>
      <c r="AP77" s="902"/>
      <c r="AQ77" s="902"/>
      <c r="AR77" s="869"/>
      <c r="AS77" s="869"/>
      <c r="AT77" s="875" t="str">
        <f>'Cisalhamento e Apoios'!$R$9</f>
        <v>Apoio: tirante 10 Ø12.5 + susp. 5 Ø12.5</v>
      </c>
      <c r="AU77" s="875"/>
      <c r="AV77" s="875"/>
      <c r="AW77" s="919"/>
    </row>
    <row r="78" ht="15" customHeight="1">
      <c r="B78" s="907" t="inlineStr">
        <is>
          <t>Inércia Ic</t>
        </is>
      </c>
      <c r="C78" s="868"/>
      <c r="D78" s="868"/>
      <c r="E78" s="868"/>
      <c r="F78" s="868"/>
      <c r="G78" s="868"/>
      <c r="H78" s="924">
        <f>Geometria!$L$49</f>
        <v>540000.0</v>
      </c>
      <c r="I78" s="924"/>
      <c r="J78" s="924"/>
      <c r="K78" s="924"/>
      <c r="L78" s="924">
        <f>IF(Geometria!$M$18="1 - Sim",Geometria!$M$49,"–")</f>
        <v>2598580.8739038864</v>
      </c>
      <c r="M78" s="924"/>
      <c r="N78" s="924"/>
      <c r="O78" s="924"/>
      <c r="P78" s="869" t="inlineStr">
        <is>
          <t>cm⁴</t>
        </is>
      </c>
      <c r="Q78" s="938"/>
      <c r="R78" s="871" t="inlineStr">
        <is>
          <t>6. CONSUMO DE MATERIAIS</t>
        </is>
      </c>
      <c r="S78" s="865"/>
      <c r="T78" s="865"/>
      <c r="U78" s="865"/>
      <c r="V78" s="865"/>
      <c r="W78" s="865"/>
      <c r="X78" s="865"/>
      <c r="Y78" s="865"/>
      <c r="Z78" s="865"/>
      <c r="AA78" s="865"/>
      <c r="AB78" s="865"/>
      <c r="AC78" s="865"/>
      <c r="AD78" s="865"/>
      <c r="AE78" s="865"/>
      <c r="AF78" s="865"/>
      <c r="AG78" s="898"/>
      <c r="AH78" s="921" t="inlineStr">
        <is>
          <t>Fendilhamento (laços)</t>
        </is>
      </c>
      <c r="AI78" s="886"/>
      <c r="AJ78" s="886"/>
      <c r="AK78" s="886"/>
      <c r="AL78" s="886"/>
      <c r="AM78" s="886"/>
      <c r="AN78" s="915" t="str">
        <f>'Cisalhamento e Apoios'!$J$189&amp;" Ø"&amp;'Cisalhamento e Apoios'!$J$188&amp;" por ponta"</f>
        <v>2 Ø10 por ponta</v>
      </c>
      <c r="AO78" s="915"/>
      <c r="AP78" s="915"/>
      <c r="AQ78" s="915"/>
      <c r="AR78" s="926"/>
      <c r="AS78" s="926"/>
      <c r="AT78" s="910"/>
      <c r="AU78" s="910"/>
      <c r="AV78" s="910"/>
      <c r="AW78" s="931"/>
    </row>
    <row r="79" ht="15" customHeight="1">
      <c r="B79" s="907" t="inlineStr">
        <is>
          <t>y CG → borda inferior</t>
        </is>
      </c>
      <c r="C79" s="868"/>
      <c r="D79" s="868"/>
      <c r="E79" s="868"/>
      <c r="F79" s="868"/>
      <c r="G79" s="868"/>
      <c r="H79" s="899">
        <f>Geometria!$L$30</f>
        <v>30.0</v>
      </c>
      <c r="I79" s="899"/>
      <c r="J79" s="899"/>
      <c r="K79" s="899"/>
      <c r="L79" s="899">
        <f>IF(Geometria!$M$18="1 - Sim",Geometria!$M$30,"–")</f>
        <v>51.362431016587806</v>
      </c>
      <c r="M79" s="899"/>
      <c r="N79" s="899"/>
      <c r="O79" s="899"/>
      <c r="P79" s="869" t="inlineStr">
        <is>
          <t>cm</t>
        </is>
      </c>
      <c r="Q79" s="938"/>
      <c r="R79" s="907" t="inlineStr">
        <is>
          <t>Aço passivo CA-50</t>
        </is>
      </c>
      <c r="S79" s="868"/>
      <c r="T79" s="868"/>
      <c r="U79" s="868"/>
      <c r="V79" s="868"/>
      <c r="W79" s="868"/>
      <c r="X79" s="868"/>
      <c r="Y79" s="893">
        <f>Taxas!$L$51</f>
        <v>504.6628865300001</v>
      </c>
      <c r="Z79" s="893"/>
      <c r="AA79" s="893"/>
      <c r="AB79" s="893"/>
      <c r="AC79" s="869" t="inlineStr">
        <is>
          <t>kg</t>
        </is>
      </c>
      <c r="AD79" s="869"/>
      <c r="AE79" s="875"/>
      <c r="AF79" s="875"/>
      <c r="AG79" s="919"/>
      <c r="AH79" s="871" t="inlineStr">
        <is>
          <t>10. ISOLAMENTO DE CORDOALHAS (bainha) – esq. / dir.</t>
        </is>
      </c>
      <c r="AI79" s="865"/>
      <c r="AJ79" s="865"/>
      <c r="AK79" s="865"/>
      <c r="AL79" s="865"/>
      <c r="AM79" s="865"/>
      <c r="AN79" s="865"/>
      <c r="AO79" s="865"/>
      <c r="AP79" s="865"/>
      <c r="AQ79" s="865"/>
      <c r="AR79" s="865"/>
      <c r="AS79" s="865"/>
      <c r="AT79" s="865"/>
      <c r="AU79" s="865"/>
      <c r="AV79" s="865"/>
      <c r="AW79" s="898"/>
    </row>
    <row r="80" ht="15" customHeight="1">
      <c r="B80" s="907" t="inlineStr">
        <is>
          <t>y CG → borda superior</t>
        </is>
      </c>
      <c r="C80" s="868"/>
      <c r="D80" s="868"/>
      <c r="E80" s="868"/>
      <c r="F80" s="868"/>
      <c r="G80" s="868"/>
      <c r="H80" s="899">
        <f>Geometria!$L$31</f>
        <v>30.0</v>
      </c>
      <c r="I80" s="899"/>
      <c r="J80" s="899"/>
      <c r="K80" s="899"/>
      <c r="L80" s="899">
        <f>IF(Geometria!$M$18="1 - Sim",Geometria!$M$31,"–")</f>
        <v>38.637568983412194</v>
      </c>
      <c r="M80" s="899"/>
      <c r="N80" s="899"/>
      <c r="O80" s="899"/>
      <c r="P80" s="869" t="inlineStr">
        <is>
          <t>cm</t>
        </is>
      </c>
      <c r="Q80" s="938"/>
      <c r="R80" s="907" t="inlineStr">
        <is>
          <t>Concreto</t>
        </is>
      </c>
      <c r="S80" s="868"/>
      <c r="T80" s="868"/>
      <c r="U80" s="868"/>
      <c r="V80" s="868"/>
      <c r="W80" s="868"/>
      <c r="X80" s="868"/>
      <c r="Y80" s="903">
        <f>Taxas!$M$51</f>
        <v>1.73595</v>
      </c>
      <c r="Z80" s="903"/>
      <c r="AA80" s="903"/>
      <c r="AB80" s="903"/>
      <c r="AC80" s="869" t="inlineStr">
        <is>
          <t>m³</t>
        </is>
      </c>
      <c r="AD80" s="869"/>
      <c r="AE80" s="875"/>
      <c r="AF80" s="875"/>
      <c r="AG80" s="919"/>
      <c r="AH80" s="964" t="inlineStr">
        <is>
          <t>Camada</t>
        </is>
      </c>
      <c r="AI80" s="887"/>
      <c r="AJ80" s="887"/>
      <c r="AK80" s="887" t="inlineStr">
        <is>
          <t>h (cm)</t>
        </is>
      </c>
      <c r="AL80" s="887"/>
      <c r="AM80" s="887" t="inlineStr">
        <is>
          <t>cord.</t>
        </is>
      </c>
      <c r="AN80" s="887"/>
      <c r="AO80" s="887" t="inlineStr">
        <is>
          <t>isol. esq.</t>
        </is>
      </c>
      <c r="AP80" s="887"/>
      <c r="AQ80" s="887" t="inlineStr">
        <is>
          <t>L esq. (cm)</t>
        </is>
      </c>
      <c r="AR80" s="887"/>
      <c r="AS80" s="887" t="inlineStr">
        <is>
          <t>isol. dir.</t>
        </is>
      </c>
      <c r="AT80" s="887"/>
      <c r="AU80" s="887" t="inlineStr">
        <is>
          <t>L dir. (cm)</t>
        </is>
      </c>
      <c r="AV80" s="887"/>
      <c r="AW80" s="945"/>
    </row>
    <row r="81" ht="15" customHeight="1">
      <c r="B81" s="907" t="inlineStr">
        <is>
          <t>W inferior</t>
        </is>
      </c>
      <c r="C81" s="868"/>
      <c r="D81" s="868"/>
      <c r="E81" s="868"/>
      <c r="F81" s="868"/>
      <c r="G81" s="868"/>
      <c r="H81" s="924">
        <f>Geometria!$L$53</f>
        <v>18000.0</v>
      </c>
      <c r="I81" s="924"/>
      <c r="J81" s="924"/>
      <c r="K81" s="924"/>
      <c r="L81" s="924">
        <f>IF(Geometria!$M$18="1 - Sim",Geometria!$M$53,"–")</f>
        <v>50593.02728612396</v>
      </c>
      <c r="M81" s="924"/>
      <c r="N81" s="924"/>
      <c r="O81" s="924"/>
      <c r="P81" s="869" t="inlineStr">
        <is>
          <t>cm³</t>
        </is>
      </c>
      <c r="Q81" s="938"/>
      <c r="R81" s="907" t="inlineStr">
        <is>
          <t>Taxa de armadura</t>
        </is>
      </c>
      <c r="S81" s="868"/>
      <c r="T81" s="868"/>
      <c r="U81" s="868"/>
      <c r="V81" s="868"/>
      <c r="W81" s="868"/>
      <c r="X81" s="868"/>
      <c r="Y81" s="920">
        <f>Taxas!$L$56</f>
        <v>290.7128007891933</v>
      </c>
      <c r="Z81" s="920"/>
      <c r="AA81" s="920"/>
      <c r="AB81" s="920"/>
      <c r="AC81" s="869" t="inlineStr">
        <is>
          <t>kg/m³</t>
        </is>
      </c>
      <c r="AD81" s="869"/>
      <c r="AE81" s="875"/>
      <c r="AF81" s="875"/>
      <c r="AG81" s="919"/>
      <c r="AH81" s="873" t="inlineStr">
        <is>
          <t>1ª inferior</t>
        </is>
      </c>
      <c r="AI81" s="909"/>
      <c r="AJ81" s="909"/>
      <c r="AK81" s="899">
        <f>Geometria!$O$1409</f>
        <v>8.0</v>
      </c>
      <c r="AL81" s="899"/>
      <c r="AM81" s="876">
        <f>Geometria!$O$256</f>
        <v>4.0</v>
      </c>
      <c r="AN81" s="876"/>
      <c r="AO81" s="876">
        <f>Geometria!$K$1409</f>
        <v>0.0</v>
      </c>
      <c r="AP81" s="876"/>
      <c r="AQ81" s="876">
        <f>IF(Geometria!$K$1409&gt;0,Geometria!$L$1409,0)</f>
        <v>0.0</v>
      </c>
      <c r="AR81" s="876"/>
      <c r="AS81" s="876">
        <f>Geometria!$Q$1409</f>
        <v>0.0</v>
      </c>
      <c r="AT81" s="876"/>
      <c r="AU81" s="876">
        <f>IF(Geometria!$Q$1409&gt;0,Geometria!$R$1409,0)</f>
        <v>0.0</v>
      </c>
      <c r="AV81" s="876"/>
      <c r="AW81" s="958" t="str">
        <f>IF(MAX(Geometria!$K$1409,Geometria!$Q$1409)&gt;Geometria!$O$256,"⚠","")</f>
        <v/>
      </c>
    </row>
    <row r="82" ht="15" customHeight="1">
      <c r="B82" s="921" t="inlineStr">
        <is>
          <t>W superior</t>
        </is>
      </c>
      <c r="C82" s="886"/>
      <c r="D82" s="886"/>
      <c r="E82" s="886"/>
      <c r="F82" s="886"/>
      <c r="G82" s="886"/>
      <c r="H82" s="882">
        <f>Geometria!$L$52</f>
        <v>18000.0</v>
      </c>
      <c r="I82" s="882"/>
      <c r="J82" s="882"/>
      <c r="K82" s="882"/>
      <c r="L82" s="882">
        <f>IF(Geometria!$M$18="1 - Sim",Geometria!$M$52,"–")</f>
        <v>67255.28914667235</v>
      </c>
      <c r="M82" s="882"/>
      <c r="N82" s="882"/>
      <c r="O82" s="882"/>
      <c r="P82" s="926" t="inlineStr">
        <is>
          <t>cm³</t>
        </is>
      </c>
      <c r="Q82" s="954"/>
      <c r="R82" s="921" t="inlineStr">
        <is>
          <t>Cordoalhas</t>
        </is>
      </c>
      <c r="S82" s="886"/>
      <c r="T82" s="886"/>
      <c r="U82" s="886"/>
      <c r="V82" s="886"/>
      <c r="W82" s="886"/>
      <c r="X82" s="886"/>
      <c r="Y82" s="912">
        <f>AR38</f>
        <v>65.2</v>
      </c>
      <c r="Z82" s="912"/>
      <c r="AA82" s="912"/>
      <c r="AB82" s="912"/>
      <c r="AC82" s="926" t="inlineStr">
        <is>
          <t>m</t>
        </is>
      </c>
      <c r="AD82" s="926"/>
      <c r="AE82" s="910" t="str">
        <f>TEXT(AT38,"0.0")&amp;" kg"</f>
        <v>71.7 kg</v>
      </c>
      <c r="AF82" s="910"/>
      <c r="AG82" s="931"/>
      <c r="AH82" s="873" t="inlineStr">
        <is>
          <t>2ª inferior</t>
        </is>
      </c>
      <c r="AI82" s="909"/>
      <c r="AJ82" s="909"/>
      <c r="AK82" s="899">
        <f>Geometria!$O$1407</f>
        <v>14.5</v>
      </c>
      <c r="AL82" s="899"/>
      <c r="AM82" s="876">
        <f>Geometria!$O$254</f>
        <v>4.0</v>
      </c>
      <c r="AN82" s="876"/>
      <c r="AO82" s="876">
        <f>Geometria!$K$1407</f>
        <v>0.0</v>
      </c>
      <c r="AP82" s="876"/>
      <c r="AQ82" s="876">
        <f>IF(Geometria!$K$1407&gt;0,Geometria!$L$1407,0)</f>
        <v>0.0</v>
      </c>
      <c r="AR82" s="876"/>
      <c r="AS82" s="876">
        <f>Geometria!$Q$1407</f>
        <v>0.0</v>
      </c>
      <c r="AT82" s="876"/>
      <c r="AU82" s="876">
        <f>IF(Geometria!$Q$1407&gt;0,Geometria!$R$1407,0)</f>
        <v>0.0</v>
      </c>
      <c r="AV82" s="876"/>
      <c r="AW82" s="958" t="str">
        <f>IF(MAX(Geometria!$K$1407,Geometria!$Q$1407)&gt;Geometria!$O$254,"⚠","")</f>
        <v/>
      </c>
    </row>
    <row r="83" ht="15" customHeight="1">
      <c r="B83" s="906"/>
      <c r="AH83" s="873" t="inlineStr">
        <is>
          <t>3ª inferior</t>
        </is>
      </c>
      <c r="AI83" s="909"/>
      <c r="AJ83" s="909"/>
      <c r="AK83" s="899">
        <f>Geometria!$O$1405</f>
        <v>21.0</v>
      </c>
      <c r="AL83" s="899"/>
      <c r="AM83" s="876">
        <f>Geometria!$O$252</f>
        <v>0.0</v>
      </c>
      <c r="AN83" s="876"/>
      <c r="AO83" s="876">
        <f>Geometria!$K$1405</f>
        <v>4.0</v>
      </c>
      <c r="AP83" s="876"/>
      <c r="AQ83" s="876">
        <f>IF(Geometria!$K$1405&gt;0,Geometria!$L$1405,0)</f>
        <v>160.0</v>
      </c>
      <c r="AR83" s="876"/>
      <c r="AS83" s="876">
        <f>Geometria!$Q$1405</f>
        <v>4.0</v>
      </c>
      <c r="AT83" s="876"/>
      <c r="AU83" s="876">
        <f>IF(Geometria!$Q$1405&gt;0,Geometria!$R$1405,0)</f>
        <v>160.0</v>
      </c>
      <c r="AV83" s="876"/>
      <c r="AW83" s="958" t="str">
        <f>IF(MAX(Geometria!$K$1405,Geometria!$Q$1405)&gt;Geometria!$O$252,"⚠","")</f>
        <v>⚠</v>
      </c>
    </row>
    <row r="84" ht="15" customHeight="1">
      <c r="B84" s="906"/>
      <c r="AH84" s="873" t="inlineStr">
        <is>
          <t>4ª inferior</t>
        </is>
      </c>
      <c r="AI84" s="909"/>
      <c r="AJ84" s="909"/>
      <c r="AK84" s="899">
        <f>Geometria!$O$1403</f>
        <v>27.5</v>
      </c>
      <c r="AL84" s="899"/>
      <c r="AM84" s="876">
        <f>Geometria!$O$250</f>
        <v>0.0</v>
      </c>
      <c r="AN84" s="876"/>
      <c r="AO84" s="876">
        <f>Geometria!$K$1403</f>
        <v>0.0</v>
      </c>
      <c r="AP84" s="876"/>
      <c r="AQ84" s="876">
        <f>IF(Geometria!$K$1403&gt;0,Geometria!$L$1403,0)</f>
        <v>0.0</v>
      </c>
      <c r="AR84" s="876"/>
      <c r="AS84" s="876">
        <f>Geometria!$Q$1403</f>
        <v>0.0</v>
      </c>
      <c r="AT84" s="876"/>
      <c r="AU84" s="876">
        <f>IF(Geometria!$Q$1403&gt;0,Geometria!$R$1403,0)</f>
        <v>0.0</v>
      </c>
      <c r="AV84" s="876"/>
      <c r="AW84" s="958" t="str">
        <f>IF(MAX(Geometria!$K$1403,Geometria!$Q$1403)&gt;Geometria!$O$250,"⚠","")</f>
        <v/>
      </c>
    </row>
    <row r="85" ht="15" customHeight="1">
      <c r="B85" s="906"/>
      <c r="AH85" s="946" t="inlineStr">
        <is>
          <t>Superior (total)</t>
        </is>
      </c>
      <c r="AI85" s="943"/>
      <c r="AJ85" s="943"/>
      <c r="AK85" s="922" t="inlineStr">
        <is>
          <t>–</t>
        </is>
      </c>
      <c r="AL85" s="922"/>
      <c r="AM85" s="897">
        <f>Geometria!$K$265</f>
        <v>0.0</v>
      </c>
      <c r="AN85" s="897"/>
      <c r="AO85" s="897">
        <f>Geometria!$K$1418+Geometria!$K$1420+Geometria!$K$1422+Geometria!$K$1424</f>
        <v>0.0</v>
      </c>
      <c r="AP85" s="897"/>
      <c r="AQ85" s="897">
        <f>MAX(IF(Geometria!$K$1418&gt;0,Geometria!$L$1418,0),IF(Geometria!$K$1420&gt;0,Geometria!$L$1420,0),IF(Geometria!$K$1422&gt;0,Geometria!$L$1422,0),IF(Geometria!$K$1424&gt;0,Geometria!$L$1424,0))</f>
        <v>0.0</v>
      </c>
      <c r="AR85" s="897"/>
      <c r="AS85" s="897">
        <f>Geometria!$Q$1418+Geometria!$Q$1420+Geometria!$Q$1422+Geometria!$Q$1424</f>
        <v>0.0</v>
      </c>
      <c r="AT85" s="897"/>
      <c r="AU85" s="897">
        <f>MAX(IF(Geometria!$Q$1418&gt;0,Geometria!$R$1418,0),IF(Geometria!$Q$1420&gt;0,Geometria!$R$1420,0),IF(Geometria!$Q$1422&gt;0,Geometria!$R$1422,0),IF(Geometria!$Q$1424&gt;0,Geometria!$R$1424,0))</f>
        <v>0.0</v>
      </c>
      <c r="AV85" s="897"/>
      <c r="AW85" s="933"/>
    </row>
    <row r="86" ht="15" customHeight="1">
      <c r="B86" s="957" t="inlineStr">
        <is>
          <t>DIAGRAMAS DE TENSÕES AO LONGO DO VÃO COM ISOLAMENTO DE CORDOALHAS (MPa) – ato, içamento, ELS-F e ELS-D; linhas horizontais = limites</t>
        </is>
      </c>
      <c r="C86" s="870"/>
      <c r="D86" s="870"/>
      <c r="E86" s="870"/>
      <c r="F86" s="870"/>
      <c r="G86" s="870"/>
      <c r="H86" s="870"/>
      <c r="I86" s="870"/>
      <c r="J86" s="870"/>
      <c r="K86" s="870"/>
      <c r="L86" s="870"/>
      <c r="M86" s="870"/>
      <c r="N86" s="870"/>
      <c r="O86" s="870"/>
      <c r="P86" s="870"/>
      <c r="Q86" s="870"/>
      <c r="R86" s="870"/>
      <c r="S86" s="870"/>
      <c r="T86" s="870"/>
      <c r="U86" s="870"/>
      <c r="V86" s="870"/>
      <c r="W86" s="870"/>
      <c r="X86" s="870"/>
      <c r="Y86" s="870"/>
      <c r="Z86" s="870"/>
      <c r="AA86" s="870"/>
      <c r="AB86" s="870"/>
      <c r="AC86" s="870"/>
      <c r="AD86" s="870"/>
      <c r="AE86" s="870"/>
      <c r="AF86" s="870"/>
      <c r="AG86" s="870"/>
      <c r="AH86" s="870"/>
      <c r="AI86" s="870"/>
      <c r="AJ86" s="870"/>
      <c r="AK86" s="870"/>
      <c r="AL86" s="870"/>
      <c r="AM86" s="870"/>
      <c r="AN86" s="870"/>
      <c r="AO86" s="870"/>
      <c r="AP86" s="870"/>
      <c r="AQ86" s="870"/>
      <c r="AR86" s="870"/>
      <c r="AS86" s="870"/>
      <c r="AT86" s="870"/>
      <c r="AU86" s="870"/>
      <c r="AV86" s="870"/>
      <c r="AW86" s="935"/>
    </row>
    <row r="87" ht="15" customHeight="1">
      <c r="B87" s="906"/>
      <c r="AW87" s="913"/>
    </row>
    <row r="88" ht="15" customHeight="1">
      <c r="B88" s="906"/>
      <c r="AW88" s="913"/>
    </row>
    <row r="89" ht="15" customHeight="1">
      <c r="B89" s="906"/>
      <c r="AW89" s="913"/>
    </row>
    <row r="90" ht="15" customHeight="1">
      <c r="B90" s="906"/>
      <c r="AW90" s="913"/>
    </row>
    <row r="91" ht="15" customHeight="1">
      <c r="B91" s="906"/>
      <c r="AW91" s="913"/>
    </row>
    <row r="92" ht="15" customHeight="1">
      <c r="B92" s="906"/>
      <c r="AW92" s="913"/>
    </row>
    <row r="93" ht="15" customHeight="1">
      <c r="B93" s="906"/>
      <c r="AW93" s="913"/>
    </row>
    <row r="94" ht="15" customHeight="1">
      <c r="B94" s="906"/>
      <c r="AW94" s="913"/>
    </row>
    <row r="95" ht="15" customHeight="1">
      <c r="B95" s="906"/>
      <c r="AW95" s="913"/>
    </row>
    <row r="96" ht="15" customHeight="1">
      <c r="B96" s="906"/>
      <c r="AW96" s="913"/>
    </row>
    <row r="97" ht="15" customHeight="1">
      <c r="B97" s="906"/>
      <c r="AW97" s="913"/>
    </row>
    <row r="98" ht="15" customHeight="1">
      <c r="B98" s="906"/>
      <c r="AW98" s="913"/>
    </row>
    <row r="99" ht="15" customHeight="1">
      <c r="B99" s="906"/>
      <c r="AW99" s="913"/>
    </row>
    <row r="100" ht="15" customHeight="1">
      <c r="B100" s="956"/>
      <c r="C100" s="901"/>
      <c r="D100" s="901"/>
      <c r="E100" s="901"/>
      <c r="F100" s="901"/>
      <c r="G100" s="901"/>
      <c r="H100" s="901"/>
      <c r="I100" s="901"/>
      <c r="J100" s="901"/>
      <c r="K100" s="901"/>
      <c r="L100" s="901"/>
      <c r="M100" s="901"/>
      <c r="N100" s="901"/>
      <c r="O100" s="901"/>
      <c r="P100" s="901"/>
      <c r="Q100" s="901"/>
      <c r="R100" s="901"/>
      <c r="S100" s="901"/>
      <c r="T100" s="901"/>
      <c r="U100" s="901"/>
      <c r="V100" s="901"/>
      <c r="W100" s="901"/>
      <c r="X100" s="901"/>
      <c r="Y100" s="901"/>
      <c r="Z100" s="901"/>
      <c r="AA100" s="901"/>
      <c r="AB100" s="901"/>
      <c r="AC100" s="901"/>
      <c r="AD100" s="901"/>
      <c r="AE100" s="901"/>
      <c r="AF100" s="901"/>
      <c r="AG100" s="901"/>
      <c r="AH100" s="901"/>
      <c r="AI100" s="901"/>
      <c r="AJ100" s="901"/>
      <c r="AK100" s="901"/>
      <c r="AL100" s="901"/>
      <c r="AM100" s="901"/>
      <c r="AN100" s="901"/>
      <c r="AO100" s="901"/>
      <c r="AP100" s="901"/>
      <c r="AQ100" s="901"/>
      <c r="AR100" s="901"/>
      <c r="AS100" s="901"/>
      <c r="AT100" s="901"/>
      <c r="AU100" s="901"/>
      <c r="AV100" s="901"/>
      <c r="AW100" s="962"/>
    </row>
  </sheetData>
  <mergeCells count="485">
    <mergeCell ref="B1:AF2"/>
    <mergeCell ref="AG1:AW2"/>
    <mergeCell ref="B20:AW20"/>
    <mergeCell ref="B3:AW3"/>
    <mergeCell ref="B21:Y21"/>
    <mergeCell ref="Z21:AK21"/>
    <mergeCell ref="AM21:AW21"/>
    <mergeCell ref="AP22:AQ22"/>
    <mergeCell ref="AR22:AS22"/>
    <mergeCell ref="AT22:AU22"/>
    <mergeCell ref="AV22:AW22"/>
    <mergeCell ref="AP23:AQ23"/>
    <mergeCell ref="AR23:AS23"/>
    <mergeCell ref="AT23:AU23"/>
    <mergeCell ref="AV23:AW23"/>
    <mergeCell ref="AP24:AQ24"/>
    <mergeCell ref="AR24:AS24"/>
    <mergeCell ref="AT24:AU24"/>
    <mergeCell ref="AV24:AW24"/>
    <mergeCell ref="AP25:AQ25"/>
    <mergeCell ref="AR25:AS25"/>
    <mergeCell ref="AT25:AU25"/>
    <mergeCell ref="AV25:AW25"/>
    <mergeCell ref="AP26:AQ26"/>
    <mergeCell ref="AR26:AS26"/>
    <mergeCell ref="AT26:AU26"/>
    <mergeCell ref="AV26:AW26"/>
    <mergeCell ref="AP27:AQ27"/>
    <mergeCell ref="AR27:AS27"/>
    <mergeCell ref="AT27:AU27"/>
    <mergeCell ref="AV27:AW27"/>
    <mergeCell ref="AP28:AQ28"/>
    <mergeCell ref="AR28:AS28"/>
    <mergeCell ref="AT28:AU28"/>
    <mergeCell ref="AV28:AW28"/>
    <mergeCell ref="AP29:AQ29"/>
    <mergeCell ref="AR29:AS29"/>
    <mergeCell ref="AT29:AU29"/>
    <mergeCell ref="AV29:AW29"/>
    <mergeCell ref="AP30:AQ30"/>
    <mergeCell ref="AR30:AS30"/>
    <mergeCell ref="AT30:AU30"/>
    <mergeCell ref="AV30:AW30"/>
    <mergeCell ref="AP31:AQ31"/>
    <mergeCell ref="AR31:AS31"/>
    <mergeCell ref="AT31:AU31"/>
    <mergeCell ref="AV31:AW31"/>
    <mergeCell ref="AP32:AQ32"/>
    <mergeCell ref="AR32:AS32"/>
    <mergeCell ref="AT32:AU32"/>
    <mergeCell ref="AV32:AW32"/>
    <mergeCell ref="AP33:AQ33"/>
    <mergeCell ref="AR33:AS33"/>
    <mergeCell ref="AT33:AU33"/>
    <mergeCell ref="AV33:AW33"/>
    <mergeCell ref="AP34:AQ34"/>
    <mergeCell ref="AR34:AS34"/>
    <mergeCell ref="AT34:AU34"/>
    <mergeCell ref="AV34:AW34"/>
    <mergeCell ref="AP35:AQ35"/>
    <mergeCell ref="AR35:AS35"/>
    <mergeCell ref="AT35:AU35"/>
    <mergeCell ref="AV35:AW35"/>
    <mergeCell ref="AP36:AQ36"/>
    <mergeCell ref="AR36:AS36"/>
    <mergeCell ref="AT36:AU36"/>
    <mergeCell ref="AV36:AW36"/>
    <mergeCell ref="AP37:AQ37"/>
    <mergeCell ref="AR37:AS37"/>
    <mergeCell ref="AT37:AU37"/>
    <mergeCell ref="AV37:AW37"/>
    <mergeCell ref="AP38:AQ38"/>
    <mergeCell ref="AR38:AS38"/>
    <mergeCell ref="AT38:AU38"/>
    <mergeCell ref="AV38:AW38"/>
    <mergeCell ref="AM39:AS39"/>
    <mergeCell ref="AT39:AU39"/>
    <mergeCell ref="AV39:AW39"/>
    <mergeCell ref="AM40:AW40"/>
    <mergeCell ref="AM41:AO41"/>
    <mergeCell ref="AP41:AS41"/>
    <mergeCell ref="AT41:AW41"/>
    <mergeCell ref="AM42:AO42"/>
    <mergeCell ref="AP42:AS42"/>
    <mergeCell ref="AT42:AW42"/>
    <mergeCell ref="AM43:AO43"/>
    <mergeCell ref="AP43:AS43"/>
    <mergeCell ref="AT43:AW43"/>
    <mergeCell ref="AM44:AO44"/>
    <mergeCell ref="AP44:AS44"/>
    <mergeCell ref="AT44:AW44"/>
    <mergeCell ref="AM45:AO45"/>
    <mergeCell ref="AP45:AS45"/>
    <mergeCell ref="AT45:AW45"/>
    <mergeCell ref="AM46:AO46"/>
    <mergeCell ref="AP46:AS46"/>
    <mergeCell ref="AT46:AW46"/>
    <mergeCell ref="AM47:AO47"/>
    <mergeCell ref="AP47:AS47"/>
    <mergeCell ref="AT47:AW47"/>
    <mergeCell ref="AM48:AO48"/>
    <mergeCell ref="AP48:AS48"/>
    <mergeCell ref="AT48:AW48"/>
    <mergeCell ref="AM49:AS49"/>
    <mergeCell ref="AT49:AW49"/>
    <mergeCell ref="AM50:AW50"/>
    <mergeCell ref="B43:Q43"/>
    <mergeCell ref="B44:Q50"/>
    <mergeCell ref="R43:AL43"/>
    <mergeCell ref="R44:T44"/>
    <mergeCell ref="U44:AE44"/>
    <mergeCell ref="AF44:AH44"/>
    <mergeCell ref="AI44:AL44"/>
    <mergeCell ref="R45:T45"/>
    <mergeCell ref="U45:AE45"/>
    <mergeCell ref="AF45:AH45"/>
    <mergeCell ref="AI45:AL45"/>
    <mergeCell ref="R46:T46"/>
    <mergeCell ref="U46:AE46"/>
    <mergeCell ref="AF46:AH46"/>
    <mergeCell ref="AI46:AL46"/>
    <mergeCell ref="R47:T47"/>
    <mergeCell ref="U47:AE47"/>
    <mergeCell ref="AF47:AH47"/>
    <mergeCell ref="AI47:AL47"/>
    <mergeCell ref="R48:T48"/>
    <mergeCell ref="U48:AE48"/>
    <mergeCell ref="AF48:AH48"/>
    <mergeCell ref="AI48:AL48"/>
    <mergeCell ref="R49:T49"/>
    <mergeCell ref="U49:AE49"/>
    <mergeCell ref="AF49:AH49"/>
    <mergeCell ref="AI49:AL49"/>
    <mergeCell ref="R50:T50"/>
    <mergeCell ref="U50:AE50"/>
    <mergeCell ref="AF50:AH50"/>
    <mergeCell ref="AI50:AL50"/>
    <mergeCell ref="B51:AF52"/>
    <mergeCell ref="AG51:AW52"/>
    <mergeCell ref="B54:Q54"/>
    <mergeCell ref="B55:H55"/>
    <mergeCell ref="I55:L55"/>
    <mergeCell ref="M55:N55"/>
    <mergeCell ref="O55:Q55"/>
    <mergeCell ref="B56:H56"/>
    <mergeCell ref="I56:L56"/>
    <mergeCell ref="M56:N56"/>
    <mergeCell ref="O56:Q56"/>
    <mergeCell ref="B57:H57"/>
    <mergeCell ref="I57:L57"/>
    <mergeCell ref="M57:N57"/>
    <mergeCell ref="O57:Q57"/>
    <mergeCell ref="B58:H58"/>
    <mergeCell ref="I58:L58"/>
    <mergeCell ref="M58:N58"/>
    <mergeCell ref="O58:Q58"/>
    <mergeCell ref="B59:H59"/>
    <mergeCell ref="I59:L59"/>
    <mergeCell ref="M59:N59"/>
    <mergeCell ref="O59:Q59"/>
    <mergeCell ref="B60:H60"/>
    <mergeCell ref="I60:L60"/>
    <mergeCell ref="M60:N60"/>
    <mergeCell ref="O60:Q60"/>
    <mergeCell ref="B61:H61"/>
    <mergeCell ref="I61:L61"/>
    <mergeCell ref="M61:N61"/>
    <mergeCell ref="O61:Q61"/>
    <mergeCell ref="B62:H62"/>
    <mergeCell ref="I62:L62"/>
    <mergeCell ref="M62:N62"/>
    <mergeCell ref="O62:Q62"/>
    <mergeCell ref="B63:H63"/>
    <mergeCell ref="I63:L63"/>
    <mergeCell ref="M63:N63"/>
    <mergeCell ref="O63:Q63"/>
    <mergeCell ref="B64:H64"/>
    <mergeCell ref="I64:L64"/>
    <mergeCell ref="M64:N64"/>
    <mergeCell ref="O64:Q64"/>
    <mergeCell ref="B66:Q66"/>
    <mergeCell ref="B67:H67"/>
    <mergeCell ref="I67:L67"/>
    <mergeCell ref="M67:N67"/>
    <mergeCell ref="O67:Q67"/>
    <mergeCell ref="B68:H68"/>
    <mergeCell ref="I68:L68"/>
    <mergeCell ref="M68:N68"/>
    <mergeCell ref="O68:Q68"/>
    <mergeCell ref="B69:H69"/>
    <mergeCell ref="I69:L69"/>
    <mergeCell ref="M69:N69"/>
    <mergeCell ref="O69:Q69"/>
    <mergeCell ref="B70:H70"/>
    <mergeCell ref="I70:L70"/>
    <mergeCell ref="M70:N70"/>
    <mergeCell ref="O70:Q70"/>
    <mergeCell ref="B71:H71"/>
    <mergeCell ref="I71:L71"/>
    <mergeCell ref="M71:N71"/>
    <mergeCell ref="O71:Q71"/>
    <mergeCell ref="B72:H72"/>
    <mergeCell ref="I72:L72"/>
    <mergeCell ref="M72:N72"/>
    <mergeCell ref="O72:Q72"/>
    <mergeCell ref="B73:H73"/>
    <mergeCell ref="I73:L73"/>
    <mergeCell ref="M73:N73"/>
    <mergeCell ref="O73:Q73"/>
    <mergeCell ref="B75:Q75"/>
    <mergeCell ref="B76:G76"/>
    <mergeCell ref="H76:K76"/>
    <mergeCell ref="L76:O76"/>
    <mergeCell ref="P76:Q76"/>
    <mergeCell ref="B77:G77"/>
    <mergeCell ref="H77:K77"/>
    <mergeCell ref="L77:O77"/>
    <mergeCell ref="P77:Q77"/>
    <mergeCell ref="B78:G78"/>
    <mergeCell ref="H78:K78"/>
    <mergeCell ref="L78:O78"/>
    <mergeCell ref="P78:Q78"/>
    <mergeCell ref="B79:G79"/>
    <mergeCell ref="H79:K79"/>
    <mergeCell ref="L79:O79"/>
    <mergeCell ref="P79:Q79"/>
    <mergeCell ref="B80:G80"/>
    <mergeCell ref="H80:K80"/>
    <mergeCell ref="L80:O80"/>
    <mergeCell ref="P80:Q80"/>
    <mergeCell ref="B81:G81"/>
    <mergeCell ref="H81:K81"/>
    <mergeCell ref="L81:O81"/>
    <mergeCell ref="P81:Q81"/>
    <mergeCell ref="B82:G82"/>
    <mergeCell ref="H82:K82"/>
    <mergeCell ref="L82:O82"/>
    <mergeCell ref="P82:Q82"/>
    <mergeCell ref="R54:AG54"/>
    <mergeCell ref="R55:X55"/>
    <mergeCell ref="Y55:AB55"/>
    <mergeCell ref="AC55:AD55"/>
    <mergeCell ref="AE55:AG55"/>
    <mergeCell ref="R56:X56"/>
    <mergeCell ref="Y56:AB56"/>
    <mergeCell ref="AC56:AD56"/>
    <mergeCell ref="AE56:AG56"/>
    <mergeCell ref="R57:X57"/>
    <mergeCell ref="Y57:AB57"/>
    <mergeCell ref="AC57:AD57"/>
    <mergeCell ref="AE57:AG57"/>
    <mergeCell ref="R58:X58"/>
    <mergeCell ref="Y58:AB58"/>
    <mergeCell ref="AC58:AD58"/>
    <mergeCell ref="AE58:AG58"/>
    <mergeCell ref="R59:X59"/>
    <mergeCell ref="Y59:AB59"/>
    <mergeCell ref="AC59:AD59"/>
    <mergeCell ref="AE59:AG59"/>
    <mergeCell ref="R60:X60"/>
    <mergeCell ref="Y60:AB60"/>
    <mergeCell ref="AC60:AD60"/>
    <mergeCell ref="AE60:AG60"/>
    <mergeCell ref="R61:X61"/>
    <mergeCell ref="Y61:AB61"/>
    <mergeCell ref="AC61:AD61"/>
    <mergeCell ref="AE61:AG61"/>
    <mergeCell ref="R62:X62"/>
    <mergeCell ref="Y62:AB62"/>
    <mergeCell ref="AC62:AD62"/>
    <mergeCell ref="AE62:AG62"/>
    <mergeCell ref="R63:X63"/>
    <mergeCell ref="Y63:AB63"/>
    <mergeCell ref="AC63:AD63"/>
    <mergeCell ref="AE63:AG63"/>
    <mergeCell ref="R64:X64"/>
    <mergeCell ref="Y64:AB64"/>
    <mergeCell ref="AC64:AD64"/>
    <mergeCell ref="AE64:AG64"/>
    <mergeCell ref="R65:X65"/>
    <mergeCell ref="Y65:AB65"/>
    <mergeCell ref="AC65:AD65"/>
    <mergeCell ref="AE65:AG65"/>
    <mergeCell ref="R67:AG67"/>
    <mergeCell ref="R68:X68"/>
    <mergeCell ref="Y68:AB68"/>
    <mergeCell ref="AC68:AD68"/>
    <mergeCell ref="AE68:AG68"/>
    <mergeCell ref="R69:X69"/>
    <mergeCell ref="Y69:AB69"/>
    <mergeCell ref="AC69:AD69"/>
    <mergeCell ref="AE69:AG69"/>
    <mergeCell ref="R70:X70"/>
    <mergeCell ref="Y70:AB70"/>
    <mergeCell ref="AC70:AD70"/>
    <mergeCell ref="AE70:AG70"/>
    <mergeCell ref="R71:X71"/>
    <mergeCell ref="Y71:AB71"/>
    <mergeCell ref="AC71:AD71"/>
    <mergeCell ref="AE71:AG71"/>
    <mergeCell ref="R72:X72"/>
    <mergeCell ref="Y72:AB72"/>
    <mergeCell ref="AC72:AD72"/>
    <mergeCell ref="AE72:AG72"/>
    <mergeCell ref="R73:X73"/>
    <mergeCell ref="Y73:AB73"/>
    <mergeCell ref="AC73:AD73"/>
    <mergeCell ref="AE73:AG73"/>
    <mergeCell ref="R74:X74"/>
    <mergeCell ref="Y74:AB74"/>
    <mergeCell ref="AC74:AD74"/>
    <mergeCell ref="AE74:AG74"/>
    <mergeCell ref="R75:X75"/>
    <mergeCell ref="Y75:AB75"/>
    <mergeCell ref="AC75:AD75"/>
    <mergeCell ref="AE75:AG75"/>
    <mergeCell ref="R76:X76"/>
    <mergeCell ref="Y76:AB76"/>
    <mergeCell ref="AC76:AD76"/>
    <mergeCell ref="AE76:AG76"/>
    <mergeCell ref="R78:AG78"/>
    <mergeCell ref="R79:X79"/>
    <mergeCell ref="Y79:AB79"/>
    <mergeCell ref="AC79:AD79"/>
    <mergeCell ref="AE79:AG79"/>
    <mergeCell ref="R80:X80"/>
    <mergeCell ref="Y80:AB80"/>
    <mergeCell ref="AC80:AD80"/>
    <mergeCell ref="AE80:AG80"/>
    <mergeCell ref="R81:X81"/>
    <mergeCell ref="Y81:AB81"/>
    <mergeCell ref="AC81:AD81"/>
    <mergeCell ref="AE81:AG81"/>
    <mergeCell ref="R82:X82"/>
    <mergeCell ref="Y82:AB82"/>
    <mergeCell ref="AC82:AD82"/>
    <mergeCell ref="AE82:AG82"/>
    <mergeCell ref="AH54:AW54"/>
    <mergeCell ref="AH55:AJ55"/>
    <mergeCell ref="AK55:AL55"/>
    <mergeCell ref="AM55:AN55"/>
    <mergeCell ref="AO55:AP55"/>
    <mergeCell ref="AQ55:AR55"/>
    <mergeCell ref="AS55:AT55"/>
    <mergeCell ref="AU55:AV55"/>
    <mergeCell ref="AH56:AJ56"/>
    <mergeCell ref="AK56:AL56"/>
    <mergeCell ref="AM56:AN56"/>
    <mergeCell ref="AO56:AP56"/>
    <mergeCell ref="AQ56:AR56"/>
    <mergeCell ref="AS56:AT56"/>
    <mergeCell ref="AU56:AV56"/>
    <mergeCell ref="AH57:AJ57"/>
    <mergeCell ref="AK57:AL57"/>
    <mergeCell ref="AM57:AN57"/>
    <mergeCell ref="AO57:AP57"/>
    <mergeCell ref="AQ57:AR57"/>
    <mergeCell ref="AS57:AT57"/>
    <mergeCell ref="AU57:AV57"/>
    <mergeCell ref="AH58:AJ58"/>
    <mergeCell ref="AK58:AL58"/>
    <mergeCell ref="AM58:AN58"/>
    <mergeCell ref="AO58:AP58"/>
    <mergeCell ref="AQ58:AR58"/>
    <mergeCell ref="AS58:AT58"/>
    <mergeCell ref="AU58:AV58"/>
    <mergeCell ref="AH59:AJ59"/>
    <mergeCell ref="AK59:AL59"/>
    <mergeCell ref="AM59:AN59"/>
    <mergeCell ref="AO59:AP59"/>
    <mergeCell ref="AQ59:AR59"/>
    <mergeCell ref="AS59:AT59"/>
    <mergeCell ref="AU59:AV59"/>
    <mergeCell ref="AH60:AJ60"/>
    <mergeCell ref="AK60:AL60"/>
    <mergeCell ref="AM60:AN60"/>
    <mergeCell ref="AO60:AP60"/>
    <mergeCell ref="AQ60:AR60"/>
    <mergeCell ref="AS60:AT60"/>
    <mergeCell ref="AU60:AV60"/>
    <mergeCell ref="AH61:AJ61"/>
    <mergeCell ref="AK61:AL61"/>
    <mergeCell ref="AM61:AN61"/>
    <mergeCell ref="AO61:AP61"/>
    <mergeCell ref="AQ61:AR61"/>
    <mergeCell ref="AS61:AT61"/>
    <mergeCell ref="AU61:AV61"/>
    <mergeCell ref="AH63:AW63"/>
    <mergeCell ref="AH64:AM64"/>
    <mergeCell ref="AN64:AQ64"/>
    <mergeCell ref="AR64:AS64"/>
    <mergeCell ref="AT64:AW64"/>
    <mergeCell ref="AH65:AM65"/>
    <mergeCell ref="AN65:AQ65"/>
    <mergeCell ref="AR65:AS65"/>
    <mergeCell ref="AT65:AW65"/>
    <mergeCell ref="AH66:AM66"/>
    <mergeCell ref="AN66:AQ66"/>
    <mergeCell ref="AR66:AS66"/>
    <mergeCell ref="AT66:AW66"/>
    <mergeCell ref="AH67:AM67"/>
    <mergeCell ref="AN67:AQ67"/>
    <mergeCell ref="AR67:AS67"/>
    <mergeCell ref="AT67:AW67"/>
    <mergeCell ref="AH68:AM68"/>
    <mergeCell ref="AN68:AQ68"/>
    <mergeCell ref="AR68:AS68"/>
    <mergeCell ref="AT68:AW68"/>
    <mergeCell ref="AH69:AM69"/>
    <mergeCell ref="AN69:AQ69"/>
    <mergeCell ref="AR69:AS69"/>
    <mergeCell ref="AT69:AW69"/>
    <mergeCell ref="AH70:AM70"/>
    <mergeCell ref="AN70:AQ70"/>
    <mergeCell ref="AR70:AS70"/>
    <mergeCell ref="AT70:AW70"/>
    <mergeCell ref="AH71:AM71"/>
    <mergeCell ref="AN71:AQ71"/>
    <mergeCell ref="AR71:AS71"/>
    <mergeCell ref="AT71:AW71"/>
    <mergeCell ref="AH73:AW73"/>
    <mergeCell ref="AH74:AM74"/>
    <mergeCell ref="AN74:AQ74"/>
    <mergeCell ref="AR74:AS74"/>
    <mergeCell ref="AT74:AW74"/>
    <mergeCell ref="AH75:AM75"/>
    <mergeCell ref="AN75:AQ75"/>
    <mergeCell ref="AR75:AS75"/>
    <mergeCell ref="AT75:AW75"/>
    <mergeCell ref="AH76:AM76"/>
    <mergeCell ref="AN76:AQ76"/>
    <mergeCell ref="AR76:AS76"/>
    <mergeCell ref="AT76:AW76"/>
    <mergeCell ref="AH77:AM77"/>
    <mergeCell ref="AN77:AQ77"/>
    <mergeCell ref="AR77:AS77"/>
    <mergeCell ref="AT77:AW77"/>
    <mergeCell ref="AH78:AM78"/>
    <mergeCell ref="AN78:AQ78"/>
    <mergeCell ref="AR78:AS78"/>
    <mergeCell ref="AT78:AW78"/>
    <mergeCell ref="AH79:AW79"/>
    <mergeCell ref="AH80:AJ80"/>
    <mergeCell ref="AK80:AL80"/>
    <mergeCell ref="AM80:AN80"/>
    <mergeCell ref="AO80:AP80"/>
    <mergeCell ref="AQ80:AR80"/>
    <mergeCell ref="AS80:AT80"/>
    <mergeCell ref="AU80:AV80"/>
    <mergeCell ref="AH81:AJ81"/>
    <mergeCell ref="AK81:AL81"/>
    <mergeCell ref="AM81:AN81"/>
    <mergeCell ref="AO81:AP81"/>
    <mergeCell ref="AQ81:AR81"/>
    <mergeCell ref="AS81:AT81"/>
    <mergeCell ref="AU81:AV81"/>
    <mergeCell ref="AH82:AJ82"/>
    <mergeCell ref="AK82:AL82"/>
    <mergeCell ref="AM82:AN82"/>
    <mergeCell ref="AO82:AP82"/>
    <mergeCell ref="AQ82:AR82"/>
    <mergeCell ref="AS82:AT82"/>
    <mergeCell ref="AU82:AV82"/>
    <mergeCell ref="AH83:AJ83"/>
    <mergeCell ref="AK83:AL83"/>
    <mergeCell ref="AM83:AN83"/>
    <mergeCell ref="AO83:AP83"/>
    <mergeCell ref="AQ83:AR83"/>
    <mergeCell ref="AS83:AT83"/>
    <mergeCell ref="AU83:AV83"/>
    <mergeCell ref="AH84:AJ84"/>
    <mergeCell ref="AK84:AL84"/>
    <mergeCell ref="AM84:AN84"/>
    <mergeCell ref="AO84:AP84"/>
    <mergeCell ref="AQ84:AR84"/>
    <mergeCell ref="AS84:AT84"/>
    <mergeCell ref="AU84:AV84"/>
    <mergeCell ref="AH85:AJ85"/>
    <mergeCell ref="AK85:AL85"/>
    <mergeCell ref="AM85:AN85"/>
    <mergeCell ref="AO85:AP85"/>
    <mergeCell ref="AQ85:AR85"/>
    <mergeCell ref="AS85:AT85"/>
    <mergeCell ref="AU85:AV85"/>
    <mergeCell ref="B86:AW86"/>
  </mergeCells>
  <printOptions horizontalCentered="1"/>
  <pageMargins left="0.3" right="0.3" top="0.3" bottom="0.3" header="0.1" footer="0.1"/>
  <pageSetup paperSize="8" scale="100" fitToWidth="1" fitToHeight="0" orientation="landscape" horizontalDpi="600" verticalDpi="600"/>
  <rowBreaks count="1" manualBreakCount="1">
    <brk id="50" max="16383"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910"/>
  <sheetViews>
    <sheetView showGridLines="0" view="pageBreakPreview" topLeftCell="D1" zoomScale="85" zoomScaleNormal="70" zoomScaleSheetLayoutView="85" zoomScalePageLayoutView="70" workbookViewId="0">
      <selection activeCell="K38" sqref="K38"/>
    </sheetView>
  </sheetViews>
  <sheetFormatPr defaultColWidth="8.5703125" defaultRowHeight="15" x14ac:dyDescent="0.25"/>
  <cols>
    <col min="5" max="5" width="11.85546875" customWidth="1"/>
    <col min="6" max="6" width="9.7109375" customWidth="1"/>
    <col min="7" max="7" width="20.140625" customWidth="1"/>
    <col min="8" max="9" width="22.42578125" customWidth="1"/>
    <col min="10" max="11" width="20.28515625" customWidth="1"/>
    <col min="12" max="12" width="16.85546875" customWidth="1"/>
    <col min="13" max="13" width="14.5703125" customWidth="1"/>
    <col min="14" max="14" width="22.42578125" customWidth="1"/>
    <col min="15" max="15" width="13.85546875" customWidth="1"/>
    <col min="16" max="16" width="14" customWidth="1"/>
    <col min="17" max="17" width="19" customWidth="1"/>
    <col min="19" max="19" width="8.7109375" customWidth="1"/>
    <col min="20" max="20" width="9.7109375" customWidth="1"/>
    <col min="21" max="21" width="11.5703125" customWidth="1"/>
    <col min="22" max="23" width="8.7109375" customWidth="1"/>
    <col min="25" max="25" width="9.140625" customWidth="1"/>
    <col min="27" max="27" width="9.140625" customWidth="1"/>
  </cols>
  <sheetData>
    <row r="1" spans="7:22" s="454" customFormat="1" x14ac:dyDescent="0.25">
      <c r="G1" s="821" t="s">
        <v>1204</v>
      </c>
      <c r="H1" s="821"/>
      <c r="I1" s="821"/>
      <c r="J1" s="821"/>
      <c r="K1" s="821"/>
      <c r="L1" s="821"/>
      <c r="M1" s="821"/>
      <c r="N1" s="821"/>
      <c r="O1" s="821"/>
      <c r="P1" s="821"/>
      <c r="Q1" s="821"/>
    </row>
    <row r="2" spans="7:22" s="454" customFormat="1" x14ac:dyDescent="0.25">
      <c r="G2" s="822" t="s">
        <v>1205</v>
      </c>
      <c r="H2" s="822"/>
      <c r="I2" s="822"/>
      <c r="J2" s="822"/>
      <c r="K2" s="822"/>
      <c r="L2" s="822"/>
      <c r="M2" s="822"/>
      <c r="N2" s="822"/>
      <c r="O2" s="822"/>
      <c r="P2" s="822"/>
      <c r="Q2" s="822"/>
    </row>
    <row r="3" spans="7:22" s="454" customFormat="1" ht="14.25" hidden="1" x14ac:dyDescent="0.2">
      <c r="G3" s="455"/>
      <c r="H3" s="455"/>
      <c r="I3" s="455"/>
      <c r="J3" s="455"/>
      <c r="K3" s="455"/>
      <c r="O3" s="455">
        <v>0</v>
      </c>
      <c r="P3" s="455"/>
    </row>
    <row r="4" spans="7:22" s="454" customFormat="1" ht="14.25" hidden="1" x14ac:dyDescent="0.2">
      <c r="G4" s="453" t="s">
        <v>1206</v>
      </c>
      <c r="H4" s="453">
        <f>IF(Geometria!L27&gt;69,35,Geometria!L27/2)</f>
        <v>30.0</v>
      </c>
      <c r="I4" s="456" t="s">
        <v>1143</v>
      </c>
      <c r="J4" s="457">
        <f>Geometria!L82</f>
        <v>50.0</v>
      </c>
      <c r="L4" s="823" t="s">
        <v>1207</v>
      </c>
      <c r="M4" s="823"/>
      <c r="N4" s="823"/>
      <c r="O4" s="458">
        <v>2</v>
      </c>
      <c r="T4" s="454" t="s">
        <v>1208</v>
      </c>
    </row>
    <row r="5" spans="7:22" s="454" customFormat="1" ht="14.25" hidden="1" x14ac:dyDescent="0.2">
      <c r="G5" s="453" t="s">
        <v>1209</v>
      </c>
      <c r="H5" s="459">
        <f>Geometria!L28</f>
        <v>30.0</v>
      </c>
      <c r="I5" s="460" t="s">
        <v>1105</v>
      </c>
      <c r="J5" s="461">
        <f>IF(Geometria!M19="2 - i",Geometria!L61,Geometria!L26)</f>
        <v>30.0</v>
      </c>
      <c r="L5" s="823" t="s">
        <v>1210</v>
      </c>
      <c r="M5" s="823"/>
      <c r="N5" s="823"/>
      <c r="O5" s="458">
        <f>'Cisalhamento e Apoios'!$AA$61</f>
        <v>2.0</v>
      </c>
      <c r="T5" s="770" t="str">
        <f>"2 - T"</f>
        <v>2 - T</v>
      </c>
      <c r="U5" s="770"/>
    </row>
    <row r="6" spans="7:22" s="454" customFormat="1" ht="14.25" hidden="1" x14ac:dyDescent="0.2">
      <c r="G6" s="453" t="s">
        <v>1211</v>
      </c>
      <c r="H6" s="462">
        <f>(H5/2)/(H4-Geometria!R76)</f>
        <v>0.5555555555555556</v>
      </c>
      <c r="I6" s="460" t="s">
        <v>1212</v>
      </c>
      <c r="J6" s="461">
        <f>IF(Geometria!M19="2 - i",Geometria!L70,Geometria!L27)+IF(Geometria!M18="1 - Sim",Geometria!L42+Geometria!L45,0)</f>
        <v>90.0</v>
      </c>
      <c r="L6" s="823" t="s">
        <v>1213</v>
      </c>
      <c r="M6" s="823"/>
      <c r="N6" s="823"/>
      <c r="O6" s="458" t="str">
        <f>'Cisalhamento e Apoios'!$J$35</f>
        <v>Sim</v>
      </c>
      <c r="T6" s="454">
        <v>3</v>
      </c>
      <c r="U6" s="454">
        <f>(((Geometria!L26-2*Geometria!R76)+(Geometria!L27-2*Geometria!R76)+J6-2*Geometria!R76)/100)+Geometria!U14</f>
        <v>5.26</v>
      </c>
      <c r="V6" s="454" t="s">
        <v>32</v>
      </c>
    </row>
    <row r="7" spans="7:22" s="454" customFormat="1" ht="14.25" hidden="1" x14ac:dyDescent="0.2">
      <c r="G7" s="453"/>
      <c r="H7" s="453"/>
      <c r="I7" s="460" t="s">
        <v>1214</v>
      </c>
      <c r="J7" s="461">
        <f>Geometria!L25</f>
        <v>815.0</v>
      </c>
      <c r="P7" s="455"/>
      <c r="T7" s="454">
        <v>4</v>
      </c>
      <c r="U7" s="463">
        <f>Geometria!U14*1.5</f>
        <v>5.46</v>
      </c>
      <c r="V7" s="454" t="s">
        <v>32</v>
      </c>
    </row>
    <row r="8" spans="7:22" s="454" customFormat="1" ht="14.25" hidden="1" x14ac:dyDescent="0.2">
      <c r="G8" s="464"/>
      <c r="H8" s="464"/>
      <c r="I8" s="465" t="s">
        <v>1215</v>
      </c>
      <c r="J8" s="466">
        <f>Geometria!R76+I11/20+I57/20</f>
        <v>4.3</v>
      </c>
      <c r="K8" s="455"/>
      <c r="P8" s="455"/>
    </row>
    <row r="9" spans="7:22" s="454" customFormat="1" ht="14.25" hidden="1" x14ac:dyDescent="0.2">
      <c r="G9" s="455"/>
      <c r="H9" s="455"/>
      <c r="I9" s="455"/>
      <c r="J9" s="455"/>
      <c r="K9" s="455"/>
      <c r="P9" s="455"/>
    </row>
    <row r="10" spans="7:22" s="454" customFormat="1" ht="14.25" hidden="1" x14ac:dyDescent="0.2">
      <c r="G10" s="455"/>
      <c r="H10" s="824" t="s">
        <v>1216</v>
      </c>
      <c r="I10" s="824"/>
      <c r="J10" s="824"/>
      <c r="K10" s="824"/>
      <c r="L10" s="824" t="s">
        <v>1217</v>
      </c>
      <c r="M10" s="824"/>
      <c r="N10" s="824"/>
      <c r="O10" s="824"/>
      <c r="P10" s="455"/>
    </row>
    <row r="11" spans="7:22" s="454" customFormat="1" ht="14.25" hidden="1" x14ac:dyDescent="0.2">
      <c r="G11" s="455"/>
      <c r="H11" s="787">
        <f ca="1">'Cisalhamento e Apoios'!$S$61</f>
        <v>24.0</v>
      </c>
      <c r="I11" s="825">
        <f>'Cisalhamento e Apoios'!$Z$61</f>
        <v>10.0</v>
      </c>
      <c r="J11" s="771">
        <f>'Cisalhamento e Apoios'!$AB$61</f>
        <v>8.5</v>
      </c>
      <c r="K11" s="789">
        <f>IF(O5=2,Geometria!U14,Geometria!U14*1.5)</f>
        <v>3.64</v>
      </c>
      <c r="L11" s="787">
        <f ca="1">'Cisalhamento e Apoios'!$S$62</f>
        <v>16.0</v>
      </c>
      <c r="M11" s="825">
        <f>'Cisalhamento e Apoios'!$Z$62</f>
        <v>10.0</v>
      </c>
      <c r="N11" s="771">
        <f>'Cisalhamento e Apoios'!$AB$62</f>
        <v>11.0</v>
      </c>
      <c r="O11" s="789">
        <f>IF(O5=4,Geometria!U14*1.5,Geometria!U14)</f>
        <v>3.64</v>
      </c>
      <c r="P11" s="455"/>
    </row>
    <row r="12" spans="7:22" s="454" customFormat="1" ht="14.25" hidden="1" x14ac:dyDescent="0.2">
      <c r="G12" s="455"/>
      <c r="H12" s="787"/>
      <c r="I12" s="825"/>
      <c r="J12" s="771"/>
      <c r="K12" s="789"/>
      <c r="L12" s="787"/>
      <c r="M12" s="825"/>
      <c r="N12" s="771"/>
      <c r="O12" s="789"/>
      <c r="P12" s="455"/>
    </row>
    <row r="13" spans="7:22" s="454" customFormat="1" ht="14.25" hidden="1" x14ac:dyDescent="0.2">
      <c r="G13" s="455"/>
      <c r="H13" s="455"/>
      <c r="I13" s="817">
        <f ca="1">H11*VLOOKUP(I11,V22:Y30,4)*K11</f>
        <v>53.83341600000001</v>
      </c>
      <c r="J13" s="817"/>
      <c r="K13" s="818">
        <f ca="1">I13/M51</f>
        <v>31.010925429879894</v>
      </c>
      <c r="L13" s="455"/>
      <c r="M13" s="817">
        <f ca="1">L11*VLOOKUP(M11,V22:Y30,4)*O11</f>
        <v>35.888944</v>
      </c>
      <c r="N13" s="817"/>
      <c r="O13" s="818">
        <f ca="1">M13/M51</f>
        <v>20.673950286586596</v>
      </c>
      <c r="P13" s="467"/>
    </row>
    <row r="14" spans="7:22" s="454" customFormat="1" ht="14.25" hidden="1" x14ac:dyDescent="0.2">
      <c r="G14" s="455"/>
      <c r="H14" s="455"/>
      <c r="I14" s="817"/>
      <c r="J14" s="817"/>
      <c r="K14" s="818"/>
      <c r="L14" s="455"/>
      <c r="M14" s="817"/>
      <c r="N14" s="817"/>
      <c r="O14" s="818"/>
      <c r="P14" s="455"/>
    </row>
    <row r="15" spans="7:22" s="454" customFormat="1" ht="14.25" hidden="1" x14ac:dyDescent="0.2">
      <c r="G15" s="808" t="s">
        <v>1218</v>
      </c>
      <c r="H15" s="808"/>
      <c r="I15" s="808"/>
      <c r="J15" s="808"/>
      <c r="K15" s="808"/>
      <c r="L15" s="808"/>
      <c r="M15" s="808"/>
      <c r="N15" s="808"/>
      <c r="O15" s="808"/>
      <c r="P15" s="808"/>
      <c r="Q15" s="808"/>
    </row>
    <row r="16" spans="7:22" s="454" customFormat="1" ht="14.25" hidden="1" x14ac:dyDescent="0.2">
      <c r="G16" s="808"/>
      <c r="H16" s="808"/>
      <c r="I16" s="808"/>
      <c r="J16" s="808"/>
      <c r="K16" s="808"/>
      <c r="L16" s="808"/>
      <c r="M16" s="808"/>
      <c r="N16" s="808"/>
      <c r="O16" s="808"/>
      <c r="P16" s="808"/>
      <c r="Q16" s="808"/>
    </row>
    <row r="17" spans="6:26" s="454" customFormat="1" ht="18.75" hidden="1" x14ac:dyDescent="0.25">
      <c r="G17" s="468" t="s">
        <v>1219</v>
      </c>
      <c r="H17" s="819" t="s">
        <v>1220</v>
      </c>
      <c r="I17" s="819"/>
      <c r="J17" s="469" t="s">
        <v>1221</v>
      </c>
      <c r="K17" s="469" t="s">
        <v>1222</v>
      </c>
      <c r="L17" s="819" t="s">
        <v>1223</v>
      </c>
      <c r="M17" s="819" t="s">
        <v>1224</v>
      </c>
      <c r="N17" s="819"/>
      <c r="O17" s="469" t="s">
        <v>1225</v>
      </c>
      <c r="P17" s="820" t="s">
        <v>1226</v>
      </c>
      <c r="Q17" s="820"/>
      <c r="R17" t="s">
        <v>2153</v>
      </c>
    </row>
    <row r="18" spans="6:26" s="454" customFormat="1" ht="16.5" hidden="1" x14ac:dyDescent="0.25">
      <c r="G18" s="470"/>
      <c r="H18" s="819" t="s">
        <v>1227</v>
      </c>
      <c r="I18" s="819"/>
      <c r="J18" s="469" t="s">
        <v>1227</v>
      </c>
      <c r="K18" s="469" t="s">
        <v>1227</v>
      </c>
      <c r="L18" s="819"/>
      <c r="M18" s="819" t="s">
        <v>1227</v>
      </c>
      <c r="N18" s="819"/>
      <c r="O18" s="469" t="s">
        <v>1227</v>
      </c>
      <c r="P18" s="820" t="s">
        <v>1228</v>
      </c>
      <c r="Q18" s="820"/>
      <c r="R18" t="s">
        <v>1227</v>
      </c>
    </row>
    <row r="19" spans="6:26" s="454" customFormat="1" hidden="1" x14ac:dyDescent="0.25">
      <c r="F19" s="471">
        <f>('Diagrama Cortante'!L6*G19)*100</f>
        <v>157.00000000000003</v>
      </c>
      <c r="G19" s="468">
        <v>1</v>
      </c>
      <c r="H19" s="814">
        <f ca="1">'Diagrama Cortante'!K4</f>
        <v>743.047146875</v>
      </c>
      <c r="I19" s="814"/>
      <c r="J19" s="472">
        <f ca="1">'Cisalhamento e Apoios'!$K$43</f>
        <v>1030.4601290625</v>
      </c>
      <c r="K19" s="472">
        <f>'Cisalhamento e Apoios'!$J$31</f>
        <v>1971.771428571429</v>
      </c>
      <c r="L19" s="469" t="str">
        <f ca="1">IF(J19&lt;=K19,"ok","recalcular")</f>
        <v>ok</v>
      </c>
      <c r="M19" s="815">
        <f>0.0126/Geometria!$O$78*$J$4^(2/3)*$J$5*($J$6-$J$8)</f>
        <v>314.0445461519477</v>
      </c>
      <c r="N19" s="815"/>
      <c r="O19" s="472">
        <f ca="1">IF((R19-M19)&gt;=0,R19-M19,0)</f>
        <v>603.9182159543025</v>
      </c>
      <c r="P19" s="816">
        <f ca="1">O19/0.9/($J$6-$J$8)/MIN(50/Geometria!O76,43.5)</f>
        <v>0.17999711368157428</v>
      </c>
      <c r="Q19" s="816"/>
      <c r="R19">
        <f ca="1">IF(LEFT('Diagrama Cortante'!$P$34,3)="SIM",MAX(ABS('Diagrama Cortante'!$P$30),ABS('Diagrama Cortante'!$P$31)),H204)</f>
        <v>917.9627621062501</v>
      </c>
    </row>
    <row r="20" spans="6:26" s="454" customFormat="1" hidden="1" x14ac:dyDescent="0.25">
      <c r="F20" s="471">
        <f>('Diagrama Cortante'!L6*G20)*100</f>
        <v>314.00000000000006</v>
      </c>
      <c r="G20" s="468">
        <v>2</v>
      </c>
      <c r="H20" s="814">
        <f ca="1">'Diagrama Cortante'!L4</f>
        <v>594.4377175</v>
      </c>
      <c r="I20" s="814"/>
      <c r="J20" s="472">
        <f ca="1">H205</f>
        <v>824.3681032500001</v>
      </c>
      <c r="K20" s="472">
        <f>0.27*$J$4/(10*Geometria!$O$78)*$J$5*($J$6-$J$8)*(1-$J$4/250)</f>
        <v>1983.3428571428574</v>
      </c>
      <c r="L20" s="469" t="str">
        <f ca="1">IF(J20&lt;=K20,"ok","recalcular")</f>
        <v>ok</v>
      </c>
      <c r="M20" s="815">
        <f>0.0126/Geometria!$O$78*$J$4^(2/3)*$J$5*($J$6-$J$8)</f>
        <v>314.0445461519477</v>
      </c>
      <c r="N20" s="815"/>
      <c r="O20" s="472">
        <f ca="1">IF((R20-M20)&gt;=0,R20-M20,0)</f>
        <v>510.3235570980524</v>
      </c>
      <c r="P20" s="816">
        <f ca="1">O20/0.9/($J$6-$J$8)/MIN(50/Geometria!O76,43.5)</f>
        <v>0.15210133573502638</v>
      </c>
      <c r="Q20" s="816"/>
      <c r="R20">
        <f ca="1">MAX(ABS(H205),ABS(Geometria!$N$220*'Cargas adicionais'!N261+Geometria!$O$77*('Cargas adicionais'!Q261+'Cargas adicionais'!T261)))</f>
        <v>824.3681032500001</v>
      </c>
    </row>
    <row r="21" spans="6:26" s="454" customFormat="1" hidden="1" x14ac:dyDescent="0.25">
      <c r="F21" s="471">
        <f>('Diagrama Cortante'!L6*G21)*100</f>
        <v>471.0000000000001</v>
      </c>
      <c r="G21" s="468">
        <v>3</v>
      </c>
      <c r="H21" s="814">
        <f ca="1">'Diagrama Cortante'!M4</f>
        <v>445.8282881249999</v>
      </c>
      <c r="I21" s="814"/>
      <c r="J21" s="472">
        <f ca="1">H206</f>
        <v>618.2760774375001</v>
      </c>
      <c r="K21" s="472">
        <f>0.27*$J$4/(10*Geometria!$O$78)*$J$5*($J$6-$J$8)*(1-$J$4/250)</f>
        <v>1983.3428571428574</v>
      </c>
      <c r="L21" s="469" t="str">
        <f ca="1">IF(J21&lt;=K21,"ok","recalcular")</f>
        <v>ok</v>
      </c>
      <c r="M21" s="815">
        <f>0.0126/Geometria!$O$78*$J$4^(2/3)*$J$5*($J$6-$J$8)</f>
        <v>314.0445461519477</v>
      </c>
      <c r="N21" s="815"/>
      <c r="O21" s="472">
        <f ca="1">IF((R21-M21)&gt;=0,R21-M21,0)</f>
        <v>304.2315312855524</v>
      </c>
      <c r="P21" s="816">
        <f ca="1">O21/0.9/($J$6-$J$8)/MIN(50/Geometria!O76,43.5)</f>
        <v>0.09067584993407231</v>
      </c>
      <c r="Q21" s="816"/>
      <c r="R21">
        <f ca="1">MAX(ABS(H206),ABS(Geometria!$N$220*'Cargas adicionais'!N259+Geometria!$O$77*('Cargas adicionais'!Q259+'Cargas adicionais'!T259)))</f>
        <v>618.2760774375001</v>
      </c>
    </row>
    <row r="22" spans="6:26" s="454" customFormat="1" hidden="1" x14ac:dyDescent="0.25">
      <c r="F22" s="471">
        <f>('Diagrama Cortante'!L6*G22)*100</f>
        <v>628.0000000000001</v>
      </c>
      <c r="G22" s="468">
        <v>4</v>
      </c>
      <c r="H22" s="805">
        <f ca="1">'Diagrama Cortante'!N4</f>
        <v>297.21885875</v>
      </c>
      <c r="I22" s="805"/>
      <c r="J22" s="472">
        <f ca="1">H207</f>
        <v>412.1840516250001</v>
      </c>
      <c r="K22" s="473">
        <f>0.27*$J$4/(10*Geometria!$O$78)*$J$5*($J$6-$J$8)*(1-$J$4/250)</f>
        <v>1983.3428571428574</v>
      </c>
      <c r="L22" s="474" t="str">
        <f ca="1">IF(J22&lt;=K22,"ok","recalcular")</f>
        <v>ok</v>
      </c>
      <c r="M22" s="806">
        <f>0.0126/Geometria!$O$78*$J$4^(2/3)*$J$5*($J$6-$J$8)</f>
        <v>314.0445461519477</v>
      </c>
      <c r="N22" s="806"/>
      <c r="O22" s="473">
        <f ca="1">IF((R22-M22)&gt;=0,R22-M22,0)</f>
        <v>98.1395054730524</v>
      </c>
      <c r="P22" s="807">
        <f ca="1">O22/0.9/($J$6-$J$8)/MIN(50/Geometria!O76,43.5)</f>
        <v>0.02925036413311826</v>
      </c>
      <c r="Q22" s="807"/>
      <c r="R22">
        <f ca="1">MAX(ABS(H207),ABS(Geometria!$N$220*'Cargas adicionais'!N257+Geometria!$O$77*('Cargas adicionais'!Q257+'Cargas adicionais'!T257)))</f>
        <v>412.1840516250001</v>
      </c>
      <c r="U22" s="475" t="s">
        <v>459</v>
      </c>
      <c r="V22" s="453">
        <v>4.2</v>
      </c>
      <c r="W22" s="453">
        <f t="shared" ref="W22:W30" si="0">3.14*((V22/10)/2)^2</f>
        <v>0.13847400000000004</v>
      </c>
      <c r="X22" s="454" t="s">
        <v>247</v>
      </c>
      <c r="Y22" s="453">
        <f t="shared" ref="Y22:Y30" si="1">(W22/100^2)*7850</f>
        <v>0.10870209000000003</v>
      </c>
      <c r="Z22" s="454" t="s">
        <v>25</v>
      </c>
    </row>
    <row r="23" spans="6:26" s="454" customFormat="1" ht="14.25" hidden="1" x14ac:dyDescent="0.2">
      <c r="G23" s="455"/>
      <c r="H23" s="455"/>
      <c r="I23" s="455"/>
      <c r="J23" s="455"/>
      <c r="K23" s="455"/>
      <c r="L23" s="455"/>
      <c r="M23" s="455"/>
      <c r="N23" s="455"/>
      <c r="O23" s="455"/>
      <c r="P23" s="455"/>
      <c r="U23" s="475" t="s">
        <v>459</v>
      </c>
      <c r="V23" s="453">
        <v>5</v>
      </c>
      <c r="W23" s="453">
        <f t="shared" si="0"/>
        <v>0.19625</v>
      </c>
      <c r="X23" s="454" t="s">
        <v>247</v>
      </c>
      <c r="Y23" s="453">
        <f t="shared" si="1"/>
        <v>0.15405625</v>
      </c>
      <c r="Z23" s="454" t="s">
        <v>25</v>
      </c>
    </row>
    <row r="24" spans="6:26" s="454" customFormat="1" ht="14.25" hidden="1" x14ac:dyDescent="0.2">
      <c r="G24" s="455"/>
      <c r="H24" s="455"/>
      <c r="I24" s="455"/>
      <c r="J24" s="455"/>
      <c r="K24" s="455"/>
      <c r="L24" s="455"/>
      <c r="M24" s="455"/>
      <c r="N24" s="455"/>
      <c r="O24" s="455"/>
      <c r="P24" s="455"/>
      <c r="U24" s="475" t="s">
        <v>459</v>
      </c>
      <c r="V24" s="453">
        <v>6</v>
      </c>
      <c r="W24" s="453">
        <f t="shared" si="0"/>
        <v>0.2826</v>
      </c>
      <c r="X24" s="454" t="s">
        <v>247</v>
      </c>
      <c r="Y24" s="453">
        <f t="shared" si="1"/>
        <v>0.221841</v>
      </c>
      <c r="Z24" s="454" t="s">
        <v>25</v>
      </c>
    </row>
    <row r="25" spans="6:26" s="454" customFormat="1" ht="14.25" hidden="1" x14ac:dyDescent="0.2">
      <c r="G25" s="808" t="s">
        <v>1218</v>
      </c>
      <c r="H25" s="808"/>
      <c r="I25" s="808"/>
      <c r="J25" s="808"/>
      <c r="K25" s="808"/>
      <c r="L25" s="808"/>
      <c r="M25" s="808"/>
      <c r="N25" s="808"/>
      <c r="O25" s="808"/>
      <c r="P25" s="808"/>
      <c r="Q25" s="808"/>
      <c r="U25" s="475" t="s">
        <v>459</v>
      </c>
      <c r="V25" s="453">
        <v>8</v>
      </c>
      <c r="W25" s="453">
        <f t="shared" si="0"/>
        <v>0.5024000000000001</v>
      </c>
      <c r="X25" s="454" t="s">
        <v>247</v>
      </c>
      <c r="Y25" s="453">
        <f t="shared" si="1"/>
        <v>0.39438400000000007</v>
      </c>
      <c r="Z25" s="454" t="s">
        <v>25</v>
      </c>
    </row>
    <row r="26" spans="6:26" s="454" customFormat="1" ht="14.25" hidden="1" x14ac:dyDescent="0.2">
      <c r="G26" s="808"/>
      <c r="H26" s="808"/>
      <c r="I26" s="808"/>
      <c r="J26" s="808"/>
      <c r="K26" s="808"/>
      <c r="L26" s="808"/>
      <c r="M26" s="808"/>
      <c r="N26" s="808"/>
      <c r="O26" s="808"/>
      <c r="P26" s="808"/>
      <c r="Q26" s="808"/>
      <c r="U26" s="475" t="s">
        <v>459</v>
      </c>
      <c r="V26" s="453">
        <v>10</v>
      </c>
      <c r="W26" s="453">
        <f t="shared" si="0"/>
        <v>0.785</v>
      </c>
      <c r="X26" s="454" t="s">
        <v>247</v>
      </c>
      <c r="Y26" s="453">
        <f t="shared" si="1"/>
        <v>0.616225</v>
      </c>
      <c r="Z26" s="454" t="s">
        <v>25</v>
      </c>
    </row>
    <row r="27" spans="6:26" s="454" customFormat="1" ht="18.75" hidden="1" x14ac:dyDescent="0.2">
      <c r="G27" s="468" t="s">
        <v>1219</v>
      </c>
      <c r="H27" s="469" t="s">
        <v>1229</v>
      </c>
      <c r="I27" s="469" t="s">
        <v>1230</v>
      </c>
      <c r="J27" s="469" t="s">
        <v>1231</v>
      </c>
      <c r="K27" s="469" t="s">
        <v>1232</v>
      </c>
      <c r="L27" s="809" t="s">
        <v>1233</v>
      </c>
      <c r="M27" s="809"/>
      <c r="N27" s="809"/>
      <c r="O27" s="809"/>
      <c r="P27" s="469" t="s">
        <v>1222</v>
      </c>
      <c r="Q27" s="469" t="s">
        <v>1234</v>
      </c>
      <c r="U27" s="475" t="s">
        <v>459</v>
      </c>
      <c r="V27" s="453">
        <v>12.5</v>
      </c>
      <c r="W27" s="453">
        <f t="shared" si="0"/>
        <v>1.2265625</v>
      </c>
      <c r="X27" s="454" t="s">
        <v>247</v>
      </c>
      <c r="Y27" s="453">
        <f t="shared" si="1"/>
        <v>0.9628515624999999</v>
      </c>
      <c r="Z27" s="454" t="s">
        <v>25</v>
      </c>
    </row>
    <row r="28" spans="6:26" s="454" customFormat="1" ht="16.5" hidden="1" x14ac:dyDescent="0.2">
      <c r="G28" s="476"/>
      <c r="H28" s="469" t="s">
        <v>1228</v>
      </c>
      <c r="I28" s="469" t="s">
        <v>1228</v>
      </c>
      <c r="J28" s="469" t="s">
        <v>1227</v>
      </c>
      <c r="K28" s="469" t="s">
        <v>1227</v>
      </c>
      <c r="L28" s="469">
        <v>6</v>
      </c>
      <c r="M28" s="469">
        <v>8</v>
      </c>
      <c r="N28" s="469">
        <v>10</v>
      </c>
      <c r="O28" s="469">
        <v>12.5</v>
      </c>
      <c r="P28" s="469" t="s">
        <v>1227</v>
      </c>
      <c r="Q28" s="469" t="s">
        <v>1235</v>
      </c>
      <c r="U28" s="475" t="s">
        <v>459</v>
      </c>
      <c r="V28" s="453">
        <v>16</v>
      </c>
      <c r="W28" s="453">
        <f t="shared" si="0"/>
        <v>2.0096000000000003</v>
      </c>
      <c r="X28" s="454" t="s">
        <v>247</v>
      </c>
      <c r="Y28" s="453">
        <f t="shared" si="1"/>
        <v>1.5775360000000003</v>
      </c>
      <c r="Z28" s="454" t="s">
        <v>25</v>
      </c>
    </row>
    <row r="29" spans="6:26" s="454" customFormat="1" ht="14.25" hidden="1" x14ac:dyDescent="0.2">
      <c r="G29" s="468">
        <v>1</v>
      </c>
      <c r="H29" s="477">
        <f>0.006*$J$4^(2/3)*$J$5/50</f>
        <v>0.04885951709870831</v>
      </c>
      <c r="I29" s="477">
        <f>0.006*$J$4^(2/3)*$J$5/60</f>
        <v>0.04071626424892359</v>
      </c>
      <c r="J29" s="472">
        <f>(H29*0.9*($J$6-$J$8)*MIN(50/Geometria!O76,43.5)+M19)/Geometria!O77</f>
        <v>341.41128517376035</v>
      </c>
      <c r="K29" s="472">
        <f>(I29*0.9*($J$6-$J$8)*MIN(60/Geometria!O76,43.5)+M19)/Geometria!O77</f>
        <v>321.89565980574645</v>
      </c>
      <c r="L29" s="478">
        <f ca="1">IF((IF(IF($J$218="Sim",R204,P19)&gt;H29,O5*(3.14*(L28/20)^2)/IF($J$218="Sim",R204,P19),O5*(3.14*(L28/20)^2)/H29))&gt;Q29,Q29,IF(IF($J$218="Sim",R204,P19)&gt;H29,O5*(3.14*(L28/20)^2)/IF($J$218="Sim",R204,P19),O5*(3.14*(L28/20)^2)/H29))</f>
        <v>3.1400503510288105</v>
      </c>
      <c r="M29" s="478">
        <f ca="1">IF((IF(IF($J$218="Sim",R204,P19)&gt;H29,O5*(3.14*(M28/20)^2)/IF($J$218="Sim",R204,P19),O5*(3.14*(M28/20)^2)/H29))&gt;Q29,Q29,IF(IF($J$218="Sim",R204,P19)&gt;H29,O5*(3.14*(M28/20)^2)/IF($J$218="Sim",R204,P19),O5*(3.14*(M28/20)^2)/H29))</f>
        <v>5.58231173516233</v>
      </c>
      <c r="N29" s="478">
        <f ca="1">IF((IF(IF($J$218="Sim",R204,P19)&gt;H29,O5*(3.14*(N28/20)^2)/IF($J$218="Sim",R204,P19),O5*(3.14*(N28/20)^2)/H29))&gt;Q29,Q29,IF(IF($J$218="Sim",R204,P19)&gt;H29,O5*(3.14*(N28/20)^2)/IF($J$218="Sim",R204,P19),O5*(3.14*(N28/20)^2)/H29))</f>
        <v>8.72236208619114</v>
      </c>
      <c r="O29" s="478">
        <f ca="1">IF((IF(IF($J$218="Sim",R204,P19)&gt;H29,O5*(3.14*(O28/20)^2)/IF($J$218="Sim",R204,P19),O5*(3.14*(O28/20)^2)/H29))&gt;Q29,Q29,IF(IF($J$218="Sim",R204,P19)&gt;H29,O5*(3.14*(O28/20)^2)/IF($J$218="Sim",R204,P19),O5*(3.14*(O28/20)^2)/H29))</f>
        <v>13.628690759673656</v>
      </c>
      <c r="P29" s="472">
        <f>0.27*(1-$J$4/250)*$J$4/(10*Geometria!$O$78)*$J$5*($J$6-$J$8)</f>
        <v>1983.3428571428572</v>
      </c>
      <c r="Q29" s="478">
        <f ca="1">IF(J19&lt;=0.67*P29,IF(0.6*($J$6-$J$8)&lt;=30,0.6*($J$6-$J$8),30),IF(0.3*($J$6-$J$8)&lt;=20,0.3*($J$6-$J$8),20))</f>
        <v>30.0</v>
      </c>
      <c r="U29" s="475" t="s">
        <v>459</v>
      </c>
      <c r="V29" s="453">
        <v>20</v>
      </c>
      <c r="W29" s="453">
        <f t="shared" si="0"/>
        <v>3.14</v>
      </c>
      <c r="X29" s="454" t="s">
        <v>247</v>
      </c>
      <c r="Y29" s="453">
        <f t="shared" si="1"/>
        <v>2.4649</v>
      </c>
      <c r="Z29" s="454" t="s">
        <v>25</v>
      </c>
    </row>
    <row r="30" spans="6:26" s="454" customFormat="1" ht="14.25" hidden="1" x14ac:dyDescent="0.2">
      <c r="G30" s="468">
        <v>2</v>
      </c>
      <c r="H30" s="477">
        <f>0.006*$J$4^(2/3)*$J$5/50</f>
        <v>0.04885951709870831</v>
      </c>
      <c r="I30" s="477">
        <f>0.006*$J$4^(2/3)*$J$5/60</f>
        <v>0.04071626424892359</v>
      </c>
      <c r="J30" s="472">
        <f>(H30*0.9*($J$6-$J$8)*MIN(50/Geometria!O76,43.5)+M20)/Geometria!O77</f>
        <v>341.41128517376035</v>
      </c>
      <c r="K30" s="472">
        <f>(I30*0.9*($J$6-$J$8)*MIN(60/Geometria!O76,43.5)+M20)/Geometria!O77</f>
        <v>321.89565980574645</v>
      </c>
      <c r="L30" s="478">
        <f ca="1">IF((IF(IF($J$218="Sim",R205,P20)&gt;H30,O5*(3.14*(L28/20)^2)/IF($J$218="Sim",R205,P20),O5*(3.14*(L28/20)^2)/H30))&gt;Q30,Q30,IF(IF($J$218="Sim",R205,P20)&gt;H30,O5*(3.14*(L28/20)^2)/IF($J$218="Sim",R205,P20),O5*(3.14*(L28/20)^2)/H30))</f>
        <v>3.8737340654390735</v>
      </c>
      <c r="M30" s="478">
        <f ca="1">IF((IF(IF($J$218="Sim",R205,P20)&gt;H30,O5*(3.14*(M28/20)^2)/IF($J$218="Sim",R205,P20),O5*(3.14*(M28/20)^2)/H30))&gt;Q30,Q30,IF(IF($J$218="Sim",R205,P20)&gt;H30,O5*(3.14*(M28/20)^2)/IF($J$218="Sim",R205,P20),O5*(3.14*(M28/20)^2)/H30))</f>
        <v>6.886638338558353</v>
      </c>
      <c r="N30" s="478">
        <f ca="1">IF((IF(IF($J$218="Sim",R205,P20)&gt;H30,O5*(3.14*(N28/20)^2)/IF($J$218="Sim",R205,P20),O5*(3.14*(N28/20)^2)/H30))&gt;Q30,Q30,IF(IF($J$218="Sim",R205,P20)&gt;H30,O5*(3.14*(N28/20)^2)/IF($J$218="Sim",R205,P20),O5*(3.14*(N28/20)^2)/H30))</f>
        <v>10.760372403997426</v>
      </c>
      <c r="O30" s="478">
        <f ca="1">IF((IF(IF($J$218="Sim",R205,P20)&gt;H30,O5*(3.14*(O28/20)^2)/IF($J$218="Sim",R205,P20),O5*(3.14*(O28/20)^2)/H30))&gt;Q30,Q30,IF(IF($J$218="Sim",R205,P20)&gt;H30,O5*(3.14*(O28/20)^2)/IF($J$218="Sim",R205,P20),O5*(3.14*(O28/20)^2)/H30))</f>
        <v>16.813081881245978</v>
      </c>
      <c r="P30" s="472">
        <f>0.27*(1-$J$4/250)*$J$4/(10*Geometria!$O$78)*$J$5*($J$6-$J$8)</f>
        <v>1983.3428571428572</v>
      </c>
      <c r="Q30" s="478">
        <f ca="1">IF(J20&lt;=0.67*P30,IF(0.6*($J$6-$J$8)&lt;=30,0.6*($J$6-$J$8),30),IF(0.3*($J$6-$J$8)&lt;=20,0.3*($J$6-$J$8),20))</f>
        <v>30.0</v>
      </c>
      <c r="U30" s="475" t="s">
        <v>459</v>
      </c>
      <c r="V30" s="453">
        <v>25</v>
      </c>
      <c r="W30" s="453">
        <f t="shared" si="0"/>
        <v>4.90625</v>
      </c>
      <c r="X30" s="454" t="s">
        <v>247</v>
      </c>
      <c r="Y30" s="453">
        <f t="shared" si="1"/>
        <v>3.8514062499999997</v>
      </c>
      <c r="Z30" s="454" t="s">
        <v>25</v>
      </c>
    </row>
    <row r="31" spans="6:26" s="454" customFormat="1" ht="14.25" hidden="1" x14ac:dyDescent="0.2">
      <c r="G31" s="468">
        <v>3</v>
      </c>
      <c r="H31" s="477">
        <f>0.006*$J$4^(2/3)*$J$5/50</f>
        <v>0.04885951709870831</v>
      </c>
      <c r="I31" s="477">
        <f>0.006*$J$4^(2/3)*$J$5/60</f>
        <v>0.04071626424892359</v>
      </c>
      <c r="J31" s="472">
        <f>(H31*0.9*($J$6-$J$8)*MIN(50/Geometria!O76,43.5)+M21)/Geometria!O77</f>
        <v>341.41128517376035</v>
      </c>
      <c r="K31" s="472">
        <f>(I31*0.9*($J$6-$J$8)*MIN(60/Geometria!O76,43.5)+M21)/Geometria!O77</f>
        <v>321.89565980574645</v>
      </c>
      <c r="L31" s="478">
        <f ca="1">IF((IF(IF($J$218="Sim",R206,P21)&gt;H31,O5*(3.14*(L28/20)^2)/IF($J$218="Sim",R206,P21),O5*(3.14*(L28/20)^2)/H31))&gt;Q31,Q31,IF(IF($J$218="Sim",R206,P21)&gt;H31,O5*(3.14*(L28/20)^2)/IF($J$218="Sim",R206,P21),O5*(3.14*(L28/20)^2)/H31))</f>
        <v>7.0033741883880065</v>
      </c>
      <c r="M31" s="478">
        <f ca="1">IF((IF(IF($J$218="Sim",R206,P21)&gt;H31,O5*(3.14*(M28/20)^2)/IF($J$218="Sim",R206,P21),O5*(3.14*(M28/20)^2)/H31))&gt;Q31,Q31,IF(IF($J$218="Sim",R206,P21)&gt;H31,O5*(3.14*(M28/20)^2)/IF($J$218="Sim",R206,P21),O5*(3.14*(M28/20)^2)/H31))</f>
        <v>12.450443001578678</v>
      </c>
      <c r="N31" s="478">
        <f ca="1">IF((IF(IF($J$218="Sim",R206,P21)&gt;H31,O5*(3.14*(N28/20)^2)/IF($J$218="Sim",R206,P21),O5*(3.14*(N28/20)^2)/H31))&gt;Q31,Q31,IF(IF($J$218="Sim",R206,P21)&gt;H31,O5*(3.14*(N28/20)^2)/IF($J$218="Sim",R206,P21),O5*(3.14*(N28/20)^2)/H31))</f>
        <v>19.453817189966685</v>
      </c>
      <c r="O31" s="478">
        <f ca="1">IF((IF(IF($J$218="Sim",R206,P21)&gt;H31,O5*(3.14*(O28/20)^2)/IF($J$218="Sim",R206,P21),O5*(3.14*(O28/20)^2)/H31))&gt;Q31,Q31,IF(IF($J$218="Sim",R206,P21)&gt;H31,O5*(3.14*(O28/20)^2)/IF($J$218="Sim",R206,P21),O5*(3.14*(O28/20)^2)/H31))</f>
        <v>30.0</v>
      </c>
      <c r="P31" s="472">
        <f>0.27*(1-$J$4/250)*$J$4/(10*Geometria!$O$78)*$J$5*($J$6-$J$8)</f>
        <v>1983.3428571428572</v>
      </c>
      <c r="Q31" s="478">
        <f ca="1">IF(J21&lt;=0.67*P31,IF(0.6*($J$6-$J$8)&lt;=30,0.6*($J$6-$J$8),30),IF(0.3*($J$6-$J$8)&lt;=20,0.3*($J$6-$J$8),20))</f>
        <v>30.0</v>
      </c>
    </row>
    <row r="32" spans="6:26" s="454" customFormat="1" ht="14.25" hidden="1" x14ac:dyDescent="0.2">
      <c r="G32" s="468">
        <v>4</v>
      </c>
      <c r="H32" s="479">
        <f>0.006*$J$4^(2/3)*$J$5/50</f>
        <v>0.04885951709870831</v>
      </c>
      <c r="I32" s="479">
        <f>0.006*$J$4^(2/3)*$J$5/60</f>
        <v>0.04071626424892359</v>
      </c>
      <c r="J32" s="473">
        <f>(H32*0.9*($J$6-$J$8)*MIN(50/Geometria!O76,43.5)+M22)/Geometria!O77</f>
        <v>341.41128517376035</v>
      </c>
      <c r="K32" s="473">
        <f>(I32*0.9*($J$6-$J$8)*MIN(60/Geometria!O76,43.5)+M22)/Geometria!O77</f>
        <v>321.89565980574645</v>
      </c>
      <c r="L32" s="480">
        <f ca="1">IF((IF(IF($J$218="Sim",R207,P22)&gt;H32,O5*(3.14*(L28/20)^2)/IF($J$218="Sim",R207,P22),O5*(3.14*(L28/20)^2)/H32))&gt;Q32,Q32,IF(IF($J$218="Sim",R207,P22)&gt;H32,O5*(3.14*(L28/20)^2)/IF($J$218="Sim",R207,P22),O5*(3.14*(L28/20)^2)/H32))</f>
        <v>11.567858905730816</v>
      </c>
      <c r="M32" s="480">
        <f ca="1">IF((IF(IF($J$218="Sim",R207,P22)&gt;H32,O5*(3.14*(M28/20)^2)/IF($J$218="Sim",R207,P22),O5*(3.14*(M28/20)^2)/H32))&gt;Q32,Q32,IF(IF($J$218="Sim",R207,P22)&gt;H32,O5*(3.14*(M28/20)^2)/IF($J$218="Sim",R207,P22),O5*(3.14*(M28/20)^2)/H32))</f>
        <v>20.565082499077008</v>
      </c>
      <c r="N32" s="480">
        <f ca="1">IF((IF(IF($J$218="Sim",R207,P22)&gt;H32,O5*(3.14*(N28/20)^2)/IF($J$218="Sim",R207,P22),O5*(3.14*(N28/20)^2)/H32))&gt;Q32,Q32,IF(IF($J$218="Sim",R207,P22)&gt;H32,O5*(3.14*(N28/20)^2)/IF($J$218="Sim",R207,P22),O5*(3.14*(N28/20)^2)/H32))</f>
        <v>30.0</v>
      </c>
      <c r="O32" s="480">
        <f ca="1">IF((IF(IF($J$218="Sim",R207,P22)&gt;H32,O5*(3.14*(O28/20)^2)/IF($J$218="Sim",R207,P22),O5*(3.14*(O28/20)^2)/H32))&gt;Q32,Q32,IF(IF($J$218="Sim",R207,P22)&gt;H32,O5*(3.14*(O28/20)^2)/IF($J$218="Sim",R207,P22),O5*(3.14*(O28/20)^2)/H32))</f>
        <v>30.0</v>
      </c>
      <c r="P32" s="473">
        <f>0.27*(1-$J$4/250)*$J$4/(10*Geometria!$O$78)*$J$5*($J$6-$J$8)</f>
        <v>1983.3428571428572</v>
      </c>
      <c r="Q32" s="480">
        <f ca="1">IF(J22&lt;=0.67*P32,IF(0.6*($J$6-$J$8)&lt;=30,0.6*($J$6-$J$8),30),IF(0.3*($J$6-$J$8)&lt;=20,0.3*($J$6-$J$8),20))</f>
        <v>30.0</v>
      </c>
    </row>
    <row r="33" spans="7:17" s="454" customFormat="1" ht="14.25" x14ac:dyDescent="0.2">
      <c r="G33" s="454" t="s">
        <v>2213</v>
      </c>
      <c r="H33" s="481"/>
      <c r="I33" s="481"/>
      <c r="J33" s="482"/>
      <c r="K33" s="482"/>
      <c r="L33" s="483"/>
      <c r="M33" s="483"/>
      <c r="N33" s="483"/>
      <c r="O33" s="484"/>
      <c r="P33" s="484"/>
      <c r="Q33" s="485"/>
    </row>
    <row r="34" spans="7:17" s="454" customFormat="1" x14ac:dyDescent="0.25">
      <c r="G34" s="810" t="s">
        <v>1236</v>
      </c>
      <c r="H34" s="810"/>
      <c r="I34" s="810"/>
      <c r="J34" s="810"/>
      <c r="K34" s="810"/>
      <c r="L34" s="810"/>
      <c r="M34" s="810"/>
      <c r="N34" s="810"/>
      <c r="O34" s="810"/>
      <c r="P34" s="810"/>
      <c r="Q34" s="810"/>
    </row>
    <row r="35" spans="7:17" s="454" customFormat="1" ht="16.5" customHeight="1" x14ac:dyDescent="0.25">
      <c r="G35" s="486"/>
      <c r="H35" s="487"/>
      <c r="I35" s="487"/>
      <c r="J35" s="487"/>
      <c r="K35" s="487"/>
      <c r="L35" s="487"/>
      <c r="M35" s="487"/>
      <c r="N35" s="487"/>
    </row>
    <row r="36" spans="7:17" s="454" customFormat="1" ht="16.5" customHeight="1" x14ac:dyDescent="0.35">
      <c r="G36" s="488" t="s">
        <v>1237</v>
      </c>
      <c r="H36" s="489">
        <f>Geometria!L26</f>
        <v>30.0</v>
      </c>
      <c r="I36" s="454" t="s">
        <v>35</v>
      </c>
      <c r="K36" s="454" t="s">
        <v>59</v>
      </c>
    </row>
    <row r="37" spans="7:17" s="454" customFormat="1" ht="16.5" customHeight="1" x14ac:dyDescent="0.2">
      <c r="G37" s="490" t="s">
        <v>1238</v>
      </c>
      <c r="H37" s="491">
        <f>IF(Geometria!M19="1 - Retângular",Geometria!L27,Geometria!L70)</f>
        <v>60.0</v>
      </c>
      <c r="I37" s="454" t="s">
        <v>35</v>
      </c>
      <c r="K37" s="454" t="s">
        <v>61</v>
      </c>
    </row>
    <row r="38" spans="7:17" s="454" customFormat="1" ht="16.5" customHeight="1" x14ac:dyDescent="0.2">
      <c r="G38" s="492"/>
      <c r="H38" s="453"/>
    </row>
    <row r="39" spans="7:17" s="454" customFormat="1" ht="16.5" customHeight="1" x14ac:dyDescent="0.35">
      <c r="G39" s="488" t="s">
        <v>1239</v>
      </c>
      <c r="H39" s="493">
        <f>IF(H37&lt;=60,0,H37*H36*(0.1/100))</f>
        <v>0.0</v>
      </c>
      <c r="I39" s="494" t="s">
        <v>1240</v>
      </c>
      <c r="K39" s="454" t="s">
        <v>1241</v>
      </c>
    </row>
    <row r="40" spans="7:17" s="454" customFormat="1" ht="16.5" customHeight="1" x14ac:dyDescent="0.35">
      <c r="G40" s="488" t="s">
        <v>1242</v>
      </c>
      <c r="H40" s="495">
        <v>4</v>
      </c>
      <c r="K40" s="454" t="s">
        <v>1243</v>
      </c>
    </row>
    <row r="41" spans="7:17" s="454" customFormat="1" ht="16.5" customHeight="1" x14ac:dyDescent="0.35">
      <c r="G41" s="488" t="s">
        <v>1244</v>
      </c>
      <c r="H41" s="496">
        <v>10</v>
      </c>
      <c r="I41" s="454" t="s">
        <v>460</v>
      </c>
      <c r="K41" s="454" t="s">
        <v>1245</v>
      </c>
    </row>
    <row r="42" spans="7:17" s="454" customFormat="1" ht="16.5" customHeight="1" x14ac:dyDescent="0.35">
      <c r="G42" s="488" t="s">
        <v>1246</v>
      </c>
      <c r="H42" s="497">
        <f>IF(H39=0,0,(((((H41/10)^2)*PI())/4)*H40))</f>
        <v>0.0</v>
      </c>
      <c r="I42" s="494" t="s">
        <v>1247</v>
      </c>
      <c r="J42" s="498" t="str">
        <f>IF(H42&gt;=H39,"Ok!",("Alterar"))</f>
        <v>Ok!</v>
      </c>
      <c r="K42" s="454" t="s">
        <v>1248</v>
      </c>
    </row>
    <row r="43" spans="7:17" s="454" customFormat="1" ht="16.5" customHeight="1" x14ac:dyDescent="0.35">
      <c r="G43" s="488" t="s">
        <v>1249</v>
      </c>
      <c r="H43" s="493">
        <f>IF(H39=0,0,(ROUNDUP(((Geometria!L32-Geometria!L33)/(H40-1)),1)))</f>
        <v>0.0</v>
      </c>
      <c r="I43" s="454" t="s">
        <v>35</v>
      </c>
      <c r="J43" s="498" t="str">
        <f>IF(H43&lt;=20,"Ok!","Alterar")</f>
        <v>Ok!</v>
      </c>
      <c r="K43" s="454" t="s">
        <v>1250</v>
      </c>
    </row>
    <row r="44" spans="7:17" s="454" customFormat="1" ht="16.5" customHeight="1" x14ac:dyDescent="0.2">
      <c r="G44" s="490" t="s">
        <v>1174</v>
      </c>
      <c r="H44" s="493">
        <f>J7-2*Geometria!R76</f>
        <v>809.0</v>
      </c>
      <c r="I44" s="454" t="s">
        <v>35</v>
      </c>
      <c r="K44" s="454" t="s">
        <v>1175</v>
      </c>
      <c r="O44" s="463"/>
    </row>
    <row r="45" spans="7:17" s="454" customFormat="1" ht="16.5" customHeight="1" x14ac:dyDescent="0.2">
      <c r="G45" s="490" t="s">
        <v>1251</v>
      </c>
      <c r="H45" s="497">
        <f>2*H40*VLOOKUP(H41,V22:Y30,4)*(H44/100)</f>
        <v>39.882082000000004</v>
      </c>
      <c r="I45" s="454" t="s">
        <v>1252</v>
      </c>
      <c r="K45" s="454" t="s">
        <v>1253</v>
      </c>
    </row>
    <row r="46" spans="7:17" s="454" customFormat="1" ht="16.5" customHeight="1" x14ac:dyDescent="0.2">
      <c r="G46" s="475"/>
    </row>
    <row r="47" spans="7:17" s="454" customFormat="1" ht="16.5" customHeight="1" x14ac:dyDescent="0.25">
      <c r="G47" s="810" t="s">
        <v>1193</v>
      </c>
      <c r="H47" s="810"/>
      <c r="I47" s="810"/>
      <c r="J47" s="810"/>
      <c r="K47" s="810"/>
      <c r="L47" s="810"/>
      <c r="M47" s="810"/>
      <c r="N47" s="810"/>
      <c r="O47" s="810"/>
      <c r="P47" s="810"/>
      <c r="Q47" s="810"/>
    </row>
    <row r="48" spans="7:17" s="454" customFormat="1" ht="16.5" customHeight="1" x14ac:dyDescent="0.2"/>
    <row r="49" spans="7:27" s="454" customFormat="1" ht="14.25" x14ac:dyDescent="0.2">
      <c r="H49" s="811" t="s">
        <v>31</v>
      </c>
      <c r="I49" s="811"/>
      <c r="J49" s="811"/>
    </row>
    <row r="50" spans="7:27" s="454" customFormat="1" ht="14.25" x14ac:dyDescent="0.2">
      <c r="G50" s="765" t="s">
        <v>1200</v>
      </c>
      <c r="H50" s="787">
        <f ca="1">MAX(IF(Geometria!O614="Tração",IFERROR(Geometria!M622,0),0),IF(Geometria!O626="Tração",IFERROR(Geometria!M634,0),0),IF(Geometria!O865="Tração",IFERROR(Geometria!M873,0),0),IF(Geometria!O877="Tração",IFERROR(Geometria!M885,0),0),IF(Geometria!O989="Tração",IFERROR(Geometria!M997,0),0),IF(Geometria!O1025="Tração",IFERROR(Geometria!M1033,0),0))+Geometria!Q4</f>
        <v>3.0</v>
      </c>
      <c r="I50" s="788">
        <f>Geometria!O4</f>
        <v>16.0</v>
      </c>
      <c r="J50" s="789">
        <f>(J7-2*Geometria!R76)/100</f>
        <v>8.09</v>
      </c>
      <c r="L50" s="35" t="s">
        <v>1254</v>
      </c>
      <c r="M50" s="35" t="s">
        <v>1255</v>
      </c>
    </row>
    <row r="51" spans="7:27" s="454" customFormat="1" ht="15" customHeight="1" x14ac:dyDescent="0.2">
      <c r="G51" s="765"/>
      <c r="H51" s="787"/>
      <c r="I51" s="788"/>
      <c r="J51" s="789"/>
      <c r="K51" s="462">
        <f ca="1">(3.14*(I50/20)^2)*H50</f>
        <v>6.0288</v>
      </c>
      <c r="L51" s="812">
        <f ca="1">'Cisalhamento e Apoios'!$J$196+I52+I59+H45+I66+I72</f>
        <v>504.6628865300001</v>
      </c>
      <c r="M51" s="813">
        <f>IF(AND(Geometria!M19="1 - Retângular",Geometria!M20="3 - R/A"),((Geometria!L48*Geometria!L25)/100^3)+Geometria!M39,((Geometria!L48*Geometria!L25)/100^3))</f>
        <v>1.73595</v>
      </c>
    </row>
    <row r="52" spans="7:27" s="454" customFormat="1" ht="15.75" customHeight="1" x14ac:dyDescent="0.2">
      <c r="I52" s="792">
        <f ca="1">H50*VLOOKUP(I50,V22:Y30,4)*J50</f>
        <v>38.28679872000001</v>
      </c>
      <c r="L52" s="812"/>
      <c r="M52" s="813"/>
    </row>
    <row r="53" spans="7:27" s="454" customFormat="1" ht="15.75" customHeight="1" x14ac:dyDescent="0.2">
      <c r="I53" s="792"/>
      <c r="K53" s="463"/>
    </row>
    <row r="54" spans="7:27" s="454" customFormat="1" ht="15" customHeight="1" x14ac:dyDescent="0.2">
      <c r="I54" s="792"/>
    </row>
    <row r="55" spans="7:27" s="454" customFormat="1" ht="15" customHeight="1" x14ac:dyDescent="0.2">
      <c r="L55" s="724" t="s">
        <v>4</v>
      </c>
      <c r="M55" s="724"/>
    </row>
    <row r="56" spans="7:27" s="454" customFormat="1" ht="14.25" x14ac:dyDescent="0.2">
      <c r="H56" s="803">
        <f ca="1">Geometria!N1151</f>
        <v>24.05231344347584</v>
      </c>
      <c r="I56" s="803"/>
      <c r="J56" s="803"/>
      <c r="L56" s="804">
        <f ca="1">L51/M51</f>
        <v>290.7128007891933</v>
      </c>
      <c r="M56" s="804"/>
    </row>
    <row r="57" spans="7:27" s="454" customFormat="1" ht="14.25" x14ac:dyDescent="0.2">
      <c r="G57" s="765" t="s">
        <v>1201</v>
      </c>
      <c r="H57" s="793">
        <f ca="1">IF(Geometria!M19="1 - Retângular",(MAX(Geometria!N1153,Geometria!K269,IF(AND(Geometria!O614&lt;&gt;"Tração",Geometria!O615="Tração"),IFERROR(Geometria!M622,0),0),IF(AND(Geometria!O626&lt;&gt;"Tração",Geometria!O627="Tração"),IFERROR(Geometria!M634,0),0),IF(AND(Geometria!O865&lt;&gt;"Tração",Geometria!O866="Tração"),IFERROR(Geometria!M873,0),0),IF(AND(Geometria!O877&lt;&gt;"Tração",Geometria!O878="Tração"),IFERROR(Geometria!M885,0),0),IF(AND(Geometria!O989&lt;&gt;"Tração",Geometria!O990="Tração"),IFERROR(Geometria!M997,0),0),IF(AND(Geometria!O1025&lt;&gt;"Tração",Geometria!O1026="Tração"),IFERROR(Geometria!M1033,0),0))+Geometria!Q5),MAX(Geometria!Q1153,IF(AND(Geometria!O614&lt;&gt;"Tração",Geometria!O615="Tração"),IFERROR(Geometria!M622,0),0),IF(AND(Geometria!O626&lt;&gt;"Tração",Geometria!O627="Tração"),IFERROR(Geometria!M634,0),0),IF(AND(Geometria!O865&lt;&gt;"Tração",Geometria!O866="Tração"),IFERROR(Geometria!M873,0),0),IF(AND(Geometria!O877&lt;&gt;"Tração",Geometria!O878="Tração"),IFERROR(Geometria!M885,0),0),IF(AND(Geometria!O989&lt;&gt;"Tração",Geometria!O990="Tração"),IFERROR(Geometria!M997,0),0),IF(AND(Geometria!O1025&lt;&gt;"Tração",Geometria!O1026="Tração"),IFERROR(Geometria!M1033,0),0))+Geometria!Q5)</f>
        <v>12.0</v>
      </c>
      <c r="I57" s="788">
        <f>Geometria!O5</f>
        <v>16.0</v>
      </c>
      <c r="J57" s="789">
        <f>(J7-2*Geometria!R76)/100</f>
        <v>8.09</v>
      </c>
      <c r="L57" s="804"/>
      <c r="M57" s="804"/>
    </row>
    <row r="58" spans="7:27" s="454" customFormat="1" ht="15" customHeight="1" x14ac:dyDescent="0.2">
      <c r="G58" s="765"/>
      <c r="H58" s="793"/>
      <c r="I58" s="788"/>
      <c r="J58" s="789"/>
      <c r="K58" s="462">
        <f ca="1">(3.14*(I57/20)^2)*H57</f>
        <v>24.1152</v>
      </c>
      <c r="L58" s="499"/>
      <c r="M58" s="499"/>
    </row>
    <row r="59" spans="7:27" s="454" customFormat="1" ht="15.75" customHeight="1" x14ac:dyDescent="0.2">
      <c r="I59" s="792">
        <f ca="1">H57*VLOOKUP(I57,V22:Y30,4)*J57</f>
        <v>153.14719488000003</v>
      </c>
      <c r="L59" s="801" t="s">
        <v>31</v>
      </c>
      <c r="M59" s="801"/>
    </row>
    <row r="60" spans="7:27" s="454" customFormat="1" ht="15" customHeight="1" x14ac:dyDescent="0.2">
      <c r="I60" s="792"/>
      <c r="L60" s="802">
        <f>IF(SUM(Geometria!O264:O270)&gt;0,(CONCATENATE(SUM(Geometria!O264:O270),"Ø",Geometria!P270,"mm")),)</f>
        <v>0.0</v>
      </c>
      <c r="M60" s="802"/>
    </row>
    <row r="61" spans="7:27" s="454" customFormat="1" ht="15.75" customHeight="1" x14ac:dyDescent="0.2">
      <c r="I61" s="792"/>
      <c r="L61" s="802"/>
      <c r="M61" s="802"/>
    </row>
    <row r="62" spans="7:27" s="454" customFormat="1" ht="15" customHeight="1" x14ac:dyDescent="0.2">
      <c r="L62" s="499"/>
      <c r="M62" s="499"/>
      <c r="S62" s="770" t="s">
        <v>1256</v>
      </c>
      <c r="T62" s="770"/>
      <c r="U62" s="770"/>
      <c r="V62" s="770" t="s">
        <v>1257</v>
      </c>
      <c r="W62" s="770"/>
      <c r="X62" s="770"/>
      <c r="Y62" s="770" t="s">
        <v>1258</v>
      </c>
      <c r="Z62" s="770"/>
      <c r="AA62" s="770"/>
    </row>
    <row r="63" spans="7:27" s="454" customFormat="1" ht="14.25" x14ac:dyDescent="0.2">
      <c r="H63" s="786" t="s">
        <v>1202</v>
      </c>
      <c r="I63" s="786"/>
      <c r="J63" s="786"/>
      <c r="L63" s="801" t="s">
        <v>41</v>
      </c>
      <c r="M63" s="801"/>
      <c r="T63" s="454">
        <f ca="1">(J5)/T64</f>
        <v>2.727272727272727</v>
      </c>
      <c r="W63" s="454">
        <f ca="1">(J5)/W64</f>
        <v>15.0</v>
      </c>
      <c r="Z63" s="454">
        <f>(J5)/Z64</f>
        <v>-30.0</v>
      </c>
    </row>
    <row r="64" spans="7:27" s="454" customFormat="1" ht="15" customHeight="1" x14ac:dyDescent="0.2">
      <c r="G64" s="765" t="s">
        <v>1203</v>
      </c>
      <c r="H64" s="787">
        <f>IF(Geometria!M36&gt;0,4,0)</f>
        <v>0.0</v>
      </c>
      <c r="I64" s="788">
        <v>8</v>
      </c>
      <c r="J64" s="789">
        <f>(J7-2*Geometria!R76)/100</f>
        <v>8.09</v>
      </c>
      <c r="L64" s="802" t="str">
        <f>CONCATENATE(SUM(Geometria!O250:O256 ),"Ø",Geometria!P256,"mm")</f>
        <v>8Ø15.2mm</v>
      </c>
      <c r="M64" s="802"/>
      <c r="T64" s="500">
        <f ca="1">H57-1</f>
        <v>11.0</v>
      </c>
      <c r="W64" s="500">
        <f ca="1">H50-1</f>
        <v>2.0</v>
      </c>
      <c r="Z64" s="500">
        <f>H64-1</f>
        <v>-1.0</v>
      </c>
    </row>
    <row r="65" spans="7:27" s="454" customFormat="1" ht="15.75" customHeight="1" x14ac:dyDescent="0.25">
      <c r="G65" s="765"/>
      <c r="H65" s="787"/>
      <c r="I65" s="788"/>
      <c r="J65" s="789"/>
      <c r="K65" s="462">
        <f>(3.14*(I64/20)^2)*H64</f>
        <v>0.0</v>
      </c>
      <c r="L65" s="802"/>
      <c r="M65" s="802"/>
      <c r="S65" s="454">
        <v>1</v>
      </c>
      <c r="T65" s="131">
        <f>J5/-2+Geometria!R76+0.7</f>
        <v>-11.3</v>
      </c>
      <c r="U65" s="501">
        <f>Geometria!R76+0.7</f>
        <v>3.7</v>
      </c>
      <c r="V65" s="454">
        <v>1</v>
      </c>
      <c r="W65" s="131">
        <f>J5/-2+Geometria!R76+0.7</f>
        <v>-11.3</v>
      </c>
      <c r="X65" s="501">
        <f>Geometria!L27-Geometria!R76-0.7</f>
        <v>56.3</v>
      </c>
      <c r="Y65" s="454">
        <v>1</v>
      </c>
      <c r="Z65" s="131">
        <f>J5/-2+Geometria!R76+0.7-Geometria!M36</f>
        <v>-11.3</v>
      </c>
      <c r="AA65" s="501">
        <f>Geometria!L27-Geometria!R76-0.7</f>
        <v>56.3</v>
      </c>
    </row>
    <row r="66" spans="7:27" s="454" customFormat="1" ht="15.75" customHeight="1" x14ac:dyDescent="0.2">
      <c r="I66" s="792">
        <f>H64*VLOOKUP(I64,V22:Y30,4)*J64</f>
        <v>0.0</v>
      </c>
      <c r="S66" s="454">
        <v>2</v>
      </c>
      <c r="T66" s="501">
        <f>J5/2-Geometria!R76-0.7</f>
        <v>11.3</v>
      </c>
      <c r="U66" s="501">
        <f>Geometria!R76+0.7</f>
        <v>3.7</v>
      </c>
      <c r="V66" s="454">
        <v>2</v>
      </c>
      <c r="W66" s="501">
        <f>J5/2-Geometria!R76-0.7</f>
        <v>11.3</v>
      </c>
      <c r="X66" s="501">
        <f>X65</f>
        <v>56.3</v>
      </c>
      <c r="Y66" s="454">
        <v>2</v>
      </c>
      <c r="Z66" s="501">
        <f>(J5/-2+Geometria!R76+0.7-Geometria!M36)*-1</f>
        <v>11.3</v>
      </c>
      <c r="AA66" s="501">
        <f>AA65</f>
        <v>56.3</v>
      </c>
    </row>
    <row r="67" spans="7:27" s="454" customFormat="1" ht="15" customHeight="1" x14ac:dyDescent="0.25">
      <c r="I67" s="792"/>
      <c r="S67" s="454">
        <v>3</v>
      </c>
      <c r="T67" s="131">
        <f ca="1">(IF(S67&lt;=H57,(((J5)/-2)+T63),NA()))</f>
        <v>-12.272727272727273</v>
      </c>
      <c r="U67" s="501">
        <f>U66</f>
        <v>3.7</v>
      </c>
      <c r="V67" s="454">
        <v>3</v>
      </c>
      <c r="W67" s="131">
        <f ca="1">(IF(V67&lt;=H50,(((J5)/-2)+W63),NA()))</f>
        <v>0.0</v>
      </c>
      <c r="X67" s="501">
        <f>X66</f>
        <v>56.3</v>
      </c>
      <c r="Y67" s="454">
        <v>3</v>
      </c>
      <c r="Z67" s="131" t="e">
        <f>(IF(Y67&lt;=H64,(((J5)/-2)+Z63),NA()))</f>
        <v>#N/A</v>
      </c>
      <c r="AA67" s="501">
        <f>AA66</f>
        <v>56.3</v>
      </c>
    </row>
    <row r="68" spans="7:27" s="454" customFormat="1" ht="15" customHeight="1" x14ac:dyDescent="0.2">
      <c r="I68" s="792"/>
      <c r="S68" s="454">
        <v>4</v>
      </c>
      <c r="T68" s="501">
        <f ca="1">(IF(S68&lt;=H57,T63+T67,NA()))</f>
        <v>-9.545454545454547</v>
      </c>
      <c r="U68" s="501">
        <f>U66</f>
        <v>3.7</v>
      </c>
      <c r="V68" s="454">
        <v>4</v>
      </c>
      <c r="W68" s="501" t="e">
        <f ca="1">(IF(V68&lt;=H50,W63+W67,NA()))</f>
        <v>#N/A</v>
      </c>
      <c r="X68" s="501">
        <f>X66</f>
        <v>56.3</v>
      </c>
      <c r="Y68" s="454">
        <v>4</v>
      </c>
      <c r="Z68" s="501" t="e">
        <f>(IF(Y68&lt;=H64,Z63+Z67,NA()))</f>
        <v>#N/A</v>
      </c>
      <c r="AA68" s="501">
        <f>AA66</f>
        <v>56.3</v>
      </c>
    </row>
    <row r="69" spans="7:27" x14ac:dyDescent="0.25">
      <c r="H69" s="786" t="s">
        <v>1259</v>
      </c>
      <c r="I69" s="786"/>
      <c r="J69" s="786"/>
      <c r="S69" s="454">
        <v>5</v>
      </c>
      <c r="T69" s="377">
        <f ca="1">(IF(S69&lt;=H57,T63+T68,NA()))</f>
        <v>-6.81818181818182</v>
      </c>
      <c r="U69" s="377">
        <f t="shared" ref="U69:U74" si="2">U68</f>
        <v>3.7</v>
      </c>
      <c r="V69" s="454">
        <v>5</v>
      </c>
      <c r="W69" s="377" t="e">
        <f ca="1">(IF(V69&lt;=H50,W63+W68,NA()))</f>
        <v>#N/A</v>
      </c>
      <c r="X69" s="377">
        <f t="shared" ref="X69:X74" si="3">X68</f>
        <v>56.3</v>
      </c>
      <c r="Y69" s="454">
        <v>5</v>
      </c>
      <c r="Z69" s="377" t="e">
        <f>(IF(Y69&lt;=H64,Z63+Z68,NA()))</f>
        <v>#N/A</v>
      </c>
      <c r="AA69" s="377">
        <f t="shared" ref="AA69:AA74" si="4">AA68</f>
        <v>56.3</v>
      </c>
    </row>
    <row r="70" spans="7:27" x14ac:dyDescent="0.25">
      <c r="G70" s="797"/>
      <c r="H70" s="787">
        <f>IF(AND(Geometria!M19="1 - Retângular",Geometria!M20="3 - R/A"),(IF(Geometria!L39=10,1,2)),0)</f>
        <v>1.0</v>
      </c>
      <c r="I70" s="788">
        <v>10</v>
      </c>
      <c r="J70" s="789">
        <f>(J7-2*Geometria!R76)/100</f>
        <v>8.09</v>
      </c>
      <c r="S70" s="454">
        <v>6</v>
      </c>
      <c r="T70" s="377">
        <f ca="1">(IF(S70&lt;=H57,T63+T69,NA()))</f>
        <v>-4.0909090909090935</v>
      </c>
      <c r="U70" s="377">
        <f t="shared" si="2"/>
        <v>3.7</v>
      </c>
      <c r="V70" s="454">
        <v>6</v>
      </c>
      <c r="W70" s="377" t="e">
        <f ca="1">(IF(V70&lt;=H50,W63+W69,NA()))</f>
        <v>#N/A</v>
      </c>
      <c r="X70" s="377">
        <f t="shared" si="3"/>
        <v>56.3</v>
      </c>
      <c r="Y70" s="454">
        <v>6</v>
      </c>
      <c r="Z70" s="377" t="e">
        <f>(IF(Y70&lt;=H64,Z63+Z69,NA()))</f>
        <v>#N/A</v>
      </c>
      <c r="AA70" s="377">
        <f t="shared" si="4"/>
        <v>56.3</v>
      </c>
    </row>
    <row r="71" spans="7:27" x14ac:dyDescent="0.25">
      <c r="G71" s="797"/>
      <c r="H71" s="787"/>
      <c r="I71" s="788"/>
      <c r="J71" s="789"/>
      <c r="K71" s="462">
        <f>(3.14*(I70/20)^2)*H70</f>
        <v>0.785</v>
      </c>
      <c r="S71" s="454">
        <v>7</v>
      </c>
      <c r="T71" s="377">
        <f ca="1">(IF(S71&lt;=H57,T63+T70,NA()))</f>
        <v>-1.3636363636363664</v>
      </c>
      <c r="U71" s="377">
        <f t="shared" si="2"/>
        <v>3.7</v>
      </c>
      <c r="V71" s="454">
        <v>7</v>
      </c>
      <c r="W71" s="377" t="e">
        <f ca="1">(IF(V71&lt;=H50,W63+W70,NA()))</f>
        <v>#N/A</v>
      </c>
      <c r="X71" s="377">
        <f t="shared" si="3"/>
        <v>56.3</v>
      </c>
      <c r="Y71" s="454">
        <v>7</v>
      </c>
      <c r="Z71" s="377" t="e">
        <f>(IF(Y71&lt;=H64,Z63+Z70,NA()))</f>
        <v>#N/A</v>
      </c>
      <c r="AA71" s="377">
        <f t="shared" si="4"/>
        <v>56.3</v>
      </c>
    </row>
    <row r="72" spans="7:27" ht="15" customHeight="1" x14ac:dyDescent="0.25">
      <c r="H72" s="454"/>
      <c r="I72" s="792">
        <f>H70*VLOOKUP(I70,V22:Y30,4)*J70</f>
        <v>4.9852602500000005</v>
      </c>
      <c r="J72" s="454"/>
      <c r="S72" s="454">
        <v>8</v>
      </c>
      <c r="T72" s="377">
        <f ca="1">(IF(S72&lt;=H57,T63+T71,NA()))</f>
        <v>1.3636363636363606</v>
      </c>
      <c r="U72" s="377">
        <f t="shared" si="2"/>
        <v>3.7</v>
      </c>
      <c r="V72" s="454">
        <v>8</v>
      </c>
      <c r="W72" s="377" t="e">
        <f ca="1">(IF(V72&lt;=H50,W63+W71,NA()))</f>
        <v>#N/A</v>
      </c>
      <c r="X72" s="377">
        <f t="shared" si="3"/>
        <v>56.3</v>
      </c>
      <c r="Y72" s="454">
        <v>8</v>
      </c>
      <c r="Z72" s="377" t="e">
        <f>(IF(Y72&lt;=H64,Z63+Z71,NA()))</f>
        <v>#N/A</v>
      </c>
      <c r="AA72" s="377">
        <f t="shared" si="4"/>
        <v>56.3</v>
      </c>
    </row>
    <row r="73" spans="7:27" ht="15.75" customHeight="1" x14ac:dyDescent="0.25">
      <c r="H73" s="454"/>
      <c r="I73" s="792"/>
      <c r="J73" s="454"/>
      <c r="K73" s="289"/>
      <c r="S73" s="454">
        <v>9</v>
      </c>
      <c r="T73" s="377">
        <f ca="1">(IF(S73&lt;=H57,T63+T72,NA()))</f>
        <v>4.090909090909088</v>
      </c>
      <c r="U73" s="377">
        <f t="shared" si="2"/>
        <v>3.7</v>
      </c>
      <c r="V73" s="454">
        <v>9</v>
      </c>
      <c r="W73" s="377" t="e">
        <f ca="1">(IF(V73&lt;=H50,W63+W72,NA()))</f>
        <v>#N/A</v>
      </c>
      <c r="X73" s="377">
        <f t="shared" si="3"/>
        <v>56.3</v>
      </c>
      <c r="Y73" s="454">
        <v>9</v>
      </c>
      <c r="Z73" s="377" t="e">
        <f>(IF(Y73&lt;=H64,Z63+Z72,NA()))</f>
        <v>#N/A</v>
      </c>
      <c r="AA73" s="377">
        <f t="shared" si="4"/>
        <v>56.3</v>
      </c>
    </row>
    <row r="74" spans="7:27" ht="15.75" customHeight="1" x14ac:dyDescent="0.25">
      <c r="H74" s="454"/>
      <c r="I74" s="792"/>
      <c r="J74" s="454"/>
      <c r="K74" s="289"/>
      <c r="S74" s="454">
        <v>10</v>
      </c>
      <c r="T74" s="377">
        <f ca="1">(IF(S74&lt;=H57,T63+T73,NA()))</f>
        <v>6.818181818181815</v>
      </c>
      <c r="U74" s="377">
        <f t="shared" si="2"/>
        <v>3.7</v>
      </c>
      <c r="V74" s="454">
        <v>10</v>
      </c>
      <c r="W74" s="377" t="e">
        <f ca="1">(IF(V74&lt;=H50,W63+W73,NA()))</f>
        <v>#N/A</v>
      </c>
      <c r="X74" s="377">
        <f t="shared" si="3"/>
        <v>56.3</v>
      </c>
      <c r="Y74" s="454">
        <v>10</v>
      </c>
      <c r="Z74" s="377" t="e">
        <f>(IF(Y74&lt;=H64,Z63+Z73,NA()))</f>
        <v>#N/A</v>
      </c>
      <c r="AA74" s="377">
        <f t="shared" si="4"/>
        <v>56.3</v>
      </c>
    </row>
    <row r="75" spans="7:27" ht="15.75" hidden="1" customHeight="1" x14ac:dyDescent="0.25">
      <c r="G75" s="795" t="s">
        <v>1260</v>
      </c>
      <c r="H75" s="795"/>
      <c r="I75" s="795"/>
      <c r="J75" s="795"/>
      <c r="K75" s="795"/>
      <c r="L75" s="795"/>
      <c r="M75" s="795"/>
      <c r="N75" s="795"/>
      <c r="O75" s="795"/>
      <c r="P75" s="795"/>
      <c r="Q75" s="795"/>
      <c r="S75" s="454"/>
      <c r="T75" s="377"/>
      <c r="U75" s="377"/>
      <c r="V75" s="454"/>
      <c r="W75" s="377"/>
      <c r="X75" s="377"/>
      <c r="Y75" s="454"/>
      <c r="Z75" s="377"/>
      <c r="AA75" s="377"/>
    </row>
    <row r="76" spans="7:27" ht="15" hidden="1" customHeight="1" x14ac:dyDescent="0.25">
      <c r="G76" t="s">
        <v>1261</v>
      </c>
      <c r="H76" s="502"/>
      <c r="I76" s="454"/>
    </row>
    <row r="77" spans="7:27" ht="15" hidden="1" customHeight="1" x14ac:dyDescent="0.25">
      <c r="G77" t="s">
        <v>1262</v>
      </c>
      <c r="H77" s="502"/>
      <c r="I77" s="454"/>
    </row>
    <row r="78" spans="7:27" ht="15" hidden="1" customHeight="1" x14ac:dyDescent="0.25">
      <c r="H78" s="502"/>
      <c r="I78" s="454"/>
      <c r="J78" s="289"/>
      <c r="K78" s="289"/>
      <c r="L78" s="289"/>
    </row>
    <row r="79" spans="7:27" ht="15" hidden="1" customHeight="1" x14ac:dyDescent="0.25">
      <c r="G79" s="393" t="s">
        <v>1263</v>
      </c>
      <c r="H79" s="503">
        <f>'Cisalhamento e Apoios'!$J$245</f>
        <v>0.0</v>
      </c>
      <c r="I79" s="504" t="s">
        <v>35</v>
      </c>
      <c r="J79" s="276" t="s">
        <v>1264</v>
      </c>
      <c r="K79" s="289"/>
      <c r="L79" s="289"/>
      <c r="O79" s="505" t="s">
        <v>1265</v>
      </c>
      <c r="P79" s="50" t="s">
        <v>1266</v>
      </c>
      <c r="Q79" s="50" t="s">
        <v>1267</v>
      </c>
    </row>
    <row r="80" spans="7:27" ht="15" hidden="1" customHeight="1" x14ac:dyDescent="0.25">
      <c r="G80" s="393" t="s">
        <v>1268</v>
      </c>
      <c r="H80" s="66" t="s">
        <v>1144</v>
      </c>
      <c r="I80" s="504"/>
      <c r="J80" s="276" t="s">
        <v>1269</v>
      </c>
      <c r="O80" s="505">
        <v>20</v>
      </c>
      <c r="P80" s="50">
        <v>44</v>
      </c>
      <c r="Q80" s="50">
        <v>31</v>
      </c>
    </row>
    <row r="81" spans="7:17" ht="15" hidden="1" customHeight="1" x14ac:dyDescent="0.25">
      <c r="G81" s="798" t="s">
        <v>1270</v>
      </c>
      <c r="H81" s="799" t="str">
        <f>'Cisalhamento e Apoios'!$J$247</f>
        <v>Sim</v>
      </c>
      <c r="I81" s="504"/>
      <c r="J81" s="800" t="s">
        <v>1271</v>
      </c>
      <c r="K81" s="800"/>
      <c r="L81" s="800"/>
      <c r="M81" s="800"/>
      <c r="O81" s="505">
        <v>25</v>
      </c>
      <c r="P81" s="50">
        <v>38</v>
      </c>
      <c r="Q81" s="50">
        <v>26</v>
      </c>
    </row>
    <row r="82" spans="7:17" ht="15" hidden="1" customHeight="1" x14ac:dyDescent="0.25">
      <c r="G82" s="798"/>
      <c r="H82" s="799"/>
      <c r="I82" s="504"/>
      <c r="J82" s="800"/>
      <c r="K82" s="800"/>
      <c r="L82" s="800"/>
      <c r="M82" s="800"/>
      <c r="O82" s="505">
        <v>30</v>
      </c>
      <c r="P82" s="50">
        <v>33</v>
      </c>
      <c r="Q82" s="50">
        <v>23</v>
      </c>
    </row>
    <row r="83" spans="7:17" ht="15" hidden="1" customHeight="1" x14ac:dyDescent="0.25">
      <c r="G83" s="274" t="s">
        <v>1272</v>
      </c>
      <c r="H83" s="66" t="s">
        <v>1145</v>
      </c>
      <c r="I83" s="504"/>
      <c r="J83" s="276" t="s">
        <v>1273</v>
      </c>
      <c r="K83" s="506"/>
      <c r="L83" s="506"/>
      <c r="M83" s="506"/>
      <c r="O83" s="505">
        <v>35</v>
      </c>
      <c r="P83" s="50">
        <v>30</v>
      </c>
      <c r="Q83" s="50">
        <v>21</v>
      </c>
    </row>
    <row r="84" spans="7:17" ht="15" hidden="1" customHeight="1" x14ac:dyDescent="0.25">
      <c r="L84" s="506"/>
      <c r="M84" s="506"/>
      <c r="O84" s="50">
        <v>40</v>
      </c>
      <c r="P84" s="50">
        <v>28</v>
      </c>
      <c r="Q84" s="50">
        <v>19</v>
      </c>
    </row>
    <row r="85" spans="7:17" ht="15" hidden="1" customHeight="1" x14ac:dyDescent="0.25">
      <c r="G85" s="274" t="s">
        <v>1274</v>
      </c>
      <c r="H85" s="507">
        <f ca="1">J19</f>
        <v>1030.4601290625</v>
      </c>
      <c r="I85" s="504"/>
      <c r="J85" s="506"/>
      <c r="K85" s="506"/>
      <c r="O85" s="50">
        <v>45</v>
      </c>
      <c r="P85" s="50">
        <v>25</v>
      </c>
      <c r="Q85" s="50">
        <v>18</v>
      </c>
    </row>
    <row r="86" spans="7:17" ht="15" hidden="1" customHeight="1" x14ac:dyDescent="0.25">
      <c r="G86" s="393" t="s">
        <v>1275</v>
      </c>
      <c r="H86" s="507">
        <f ca="1">(0.5*(1/TAN(RADIANS(30)) - 1/TAN(RADIANS(90))))*H85</f>
        <v>892.4046493551165</v>
      </c>
      <c r="I86" s="454"/>
      <c r="J86" s="508" t="s">
        <v>1276</v>
      </c>
      <c r="O86" s="50">
        <v>50</v>
      </c>
      <c r="P86" s="50">
        <v>24</v>
      </c>
      <c r="Q86" s="50">
        <v>17</v>
      </c>
    </row>
    <row r="87" spans="7:17" ht="14.25" hidden="1" customHeight="1" x14ac:dyDescent="0.25">
      <c r="G87" s="393" t="s">
        <v>291</v>
      </c>
      <c r="H87" s="509">
        <f ca="1">Geometria!L706</f>
        <v>1243.5596228306003</v>
      </c>
      <c r="I87" s="454" t="s">
        <v>292</v>
      </c>
      <c r="J87" s="276" t="s">
        <v>631</v>
      </c>
    </row>
    <row r="88" spans="7:17" ht="14.25" hidden="1" customHeight="1" x14ac:dyDescent="0.25">
      <c r="G88" s="393" t="s">
        <v>1277</v>
      </c>
      <c r="H88" s="510">
        <f ca="1">Geometria!N1307</f>
        <v>116.84369343265905</v>
      </c>
      <c r="I88" s="504" t="s">
        <v>35</v>
      </c>
      <c r="J88" s="276" t="s">
        <v>1278</v>
      </c>
    </row>
    <row r="89" spans="7:17" ht="15" hidden="1" customHeight="1" x14ac:dyDescent="0.25">
      <c r="G89" s="393" t="s">
        <v>1279</v>
      </c>
      <c r="H89" s="510">
        <f ca="1">(H87*H79)/H88</f>
        <v>0.0</v>
      </c>
      <c r="I89" s="504" t="s">
        <v>292</v>
      </c>
      <c r="J89" s="276" t="s">
        <v>1280</v>
      </c>
    </row>
    <row r="90" spans="7:17" ht="15" hidden="1" customHeight="1" x14ac:dyDescent="0.25">
      <c r="G90" s="393" t="s">
        <v>41</v>
      </c>
      <c r="H90" s="511">
        <f ca="1">IF(H83="Sim",(IF(H89&lt;H86,(H86-H89)/(Geometria!L81/11.5),0))-IF(H81="Sim",K58,0)-H147,(IF(H89&lt;H86,(H86-H89)/(Geometria!L81/11.5),0))-IF(H81="Sim",K58,0))</f>
        <v>-3.5898930648323244</v>
      </c>
      <c r="I90" s="504" t="s">
        <v>247</v>
      </c>
      <c r="J90" s="276" t="s">
        <v>777</v>
      </c>
    </row>
    <row r="91" spans="7:17" ht="15" hidden="1" customHeight="1" x14ac:dyDescent="0.25">
      <c r="G91" s="393" t="s">
        <v>1281</v>
      </c>
      <c r="H91" s="258">
        <f>ROUNDUP((VLOOKUP(J4,O80:Q86,3)*(H95/10)),0)</f>
        <v>22.0</v>
      </c>
      <c r="I91" s="504" t="s">
        <v>35</v>
      </c>
      <c r="J91" s="276" t="s">
        <v>1282</v>
      </c>
    </row>
    <row r="92" spans="7:17" ht="15" hidden="1" customHeight="1" x14ac:dyDescent="0.25">
      <c r="G92" s="393" t="s">
        <v>1283</v>
      </c>
      <c r="H92" s="258">
        <f>ROUNDUP((VLOOKUP(J4,O80:Q86,2)*(H95/10)),0)</f>
        <v>30.0</v>
      </c>
      <c r="I92" s="504" t="s">
        <v>35</v>
      </c>
      <c r="J92" s="276" t="s">
        <v>1284</v>
      </c>
      <c r="O92" s="796" t="s">
        <v>1285</v>
      </c>
      <c r="P92" s="796"/>
      <c r="Q92" s="796"/>
    </row>
    <row r="93" spans="7:17" ht="15" hidden="1" customHeight="1" x14ac:dyDescent="0.25">
      <c r="K93" s="289"/>
      <c r="L93" s="289"/>
      <c r="M93" s="289"/>
      <c r="O93" s="796"/>
      <c r="P93" s="796"/>
      <c r="Q93" s="796"/>
    </row>
    <row r="94" spans="7:17" ht="15" hidden="1" customHeight="1" x14ac:dyDescent="0.25">
      <c r="G94" s="786" t="s">
        <v>1286</v>
      </c>
      <c r="H94" s="786"/>
      <c r="I94" s="786"/>
      <c r="J94" s="289"/>
      <c r="K94" s="289"/>
      <c r="L94" s="289"/>
      <c r="O94" s="796"/>
      <c r="P94" s="796"/>
      <c r="Q94" s="796"/>
    </row>
    <row r="95" spans="7:17" ht="15" hidden="1" customHeight="1" x14ac:dyDescent="0.25">
      <c r="G95" s="793">
        <f ca="1">IF(H90&lt;0,0,((ROUNDUP((H90/VLOOKUP(H95,V22:Z30,2)),0))*2))</f>
        <v>0.0</v>
      </c>
      <c r="H95" s="788">
        <f>'Cisalhamento e Apoios'!$J$250</f>
        <v>12.5</v>
      </c>
      <c r="I95" s="789">
        <f>(Geometria!L26+2*Geometria!R76+H5+H5+(IF(H80="Não",H92,H91)*2))/100</f>
        <v>1.4</v>
      </c>
      <c r="J95" s="46" t="s">
        <v>1287</v>
      </c>
      <c r="O95" s="796"/>
      <c r="P95" s="796"/>
      <c r="Q95" s="796"/>
    </row>
    <row r="96" spans="7:17" ht="15" hidden="1" customHeight="1" x14ac:dyDescent="0.25">
      <c r="G96" s="793"/>
      <c r="H96" s="788"/>
      <c r="I96" s="789"/>
      <c r="O96" s="796" t="s">
        <v>1288</v>
      </c>
      <c r="P96" s="796"/>
      <c r="Q96" s="796"/>
    </row>
    <row r="97" spans="7:17" hidden="1" x14ac:dyDescent="0.25">
      <c r="G97" s="454"/>
      <c r="H97" s="794">
        <f ca="1">G95*VLOOKUP(H95,V22:Y30,4)*I95</f>
        <v>0.0</v>
      </c>
      <c r="I97" s="791">
        <f ca="1">H97/M51</f>
        <v>0.0</v>
      </c>
      <c r="O97" s="796"/>
      <c r="P97" s="796"/>
      <c r="Q97" s="796"/>
    </row>
    <row r="98" spans="7:17" hidden="1" x14ac:dyDescent="0.25">
      <c r="G98" s="454"/>
      <c r="H98" s="794"/>
      <c r="I98" s="791"/>
      <c r="O98" s="796"/>
      <c r="P98" s="796"/>
      <c r="Q98" s="796"/>
    </row>
    <row r="99" spans="7:17" hidden="1" x14ac:dyDescent="0.25">
      <c r="G99" s="454"/>
      <c r="H99" s="794"/>
      <c r="I99" s="791"/>
      <c r="L99" s="512"/>
      <c r="O99" s="796"/>
      <c r="P99" s="796"/>
      <c r="Q99" s="796"/>
    </row>
    <row r="100" ht="30" customHeight="1">
      <c r="G100" s="970" t="str">
        <f>"APOIO (aba Cisalhamento e Apoios, item 10): "&amp;'Cisalhamento e Apoios'!$J$255&amp;"  |  Os blocos 'Suspensão' e 'Cálculo dente Gerber' abaixo são da versão antiga e NÃO entram no peso/taxa; L,anc, auxílio As long. e Ø dos grampos de ancoragem agora são editados na aba Cisalhamento e Apoios (item 10)."</f>
        <v>APOIO (aba Cisalhamento e Apoios, item 10): Viga SEM dente Gerber: considerado o TIRANTE DO APOIO (maior área embaixo) – grampos de ancoragem 0.00 cm² × tirante 23.53 cm² → 10 grampos Ø12.5 + costura 3 Ø8 por apoio. Suspensão (sempre): 5 estribos Ø12.5 4r por apoio (23.69 cm²).  |  Os blocos 'Suspensão' e 'Cálculo dente Gerber' abaixo são da versão antiga e NÃO entram no peso/taxa; L,anc, auxílio As long. e Ø dos grampos de ancoragem agora são editados na aba Cisalhamento e Apoios (item 10).</v>
      </c>
      <c r="H100" s="970"/>
      <c r="I100" s="970"/>
      <c r="J100" s="970"/>
      <c r="K100" s="970"/>
      <c r="L100" s="970"/>
      <c r="M100" s="970"/>
      <c r="N100" s="970"/>
      <c r="O100" s="970"/>
      <c r="P100" s="970"/>
      <c r="Q100" s="970"/>
    </row>
    <row r="101" ht="30" customHeight="1">
      <c r="G101" s="970"/>
      <c r="H101" s="970"/>
      <c r="I101" s="970"/>
      <c r="J101" s="970"/>
      <c r="K101" s="970"/>
      <c r="L101" s="970"/>
      <c r="M101" s="970"/>
      <c r="N101" s="970"/>
      <c r="O101" s="970"/>
      <c r="P101" s="970"/>
      <c r="Q101" s="970"/>
    </row>
    <row r="102" spans="7:17" hidden="1" x14ac:dyDescent="0.25">
      <c r="G102" s="795" t="s">
        <v>1289</v>
      </c>
      <c r="H102" s="795"/>
      <c r="I102" s="795"/>
      <c r="J102" s="795"/>
      <c r="K102" s="795"/>
      <c r="L102" s="795"/>
      <c r="M102" s="795"/>
      <c r="N102" s="795"/>
      <c r="O102" s="795"/>
      <c r="P102" s="795"/>
      <c r="Q102" s="795"/>
    </row>
    <row r="103" spans="7:17" hidden="1" x14ac:dyDescent="0.25">
      <c r="G103" s="393" t="s">
        <v>1290</v>
      </c>
      <c r="H103" s="359">
        <f>J5</f>
        <v>30.0</v>
      </c>
      <c r="I103" t="s">
        <v>35</v>
      </c>
      <c r="J103" s="46" t="s">
        <v>1291</v>
      </c>
    </row>
    <row r="104" spans="7:17" hidden="1" x14ac:dyDescent="0.25">
      <c r="G104" s="393" t="s">
        <v>1238</v>
      </c>
      <c r="H104" s="510">
        <f>Geometria!L27</f>
        <v>60.0</v>
      </c>
      <c r="I104" t="s">
        <v>35</v>
      </c>
      <c r="J104" s="46" t="s">
        <v>1292</v>
      </c>
    </row>
    <row r="105" spans="7:17" hidden="1" x14ac:dyDescent="0.25">
      <c r="G105" s="393" t="s">
        <v>1293</v>
      </c>
      <c r="H105" s="258">
        <f>J4</f>
        <v>50.0</v>
      </c>
      <c r="I105" t="s">
        <v>160</v>
      </c>
      <c r="J105" s="46" t="s">
        <v>163</v>
      </c>
    </row>
    <row r="106" spans="7:17" hidden="1" x14ac:dyDescent="0.25">
      <c r="G106" s="393" t="s">
        <v>1294</v>
      </c>
      <c r="H106" s="513">
        <f>(H105/10)/Geometria!$O$78</f>
        <v>3.5714285714285716</v>
      </c>
      <c r="I106" t="s">
        <v>241</v>
      </c>
      <c r="J106" s="46" t="s">
        <v>1295</v>
      </c>
    </row>
    <row r="107" spans="7:17" hidden="1" x14ac:dyDescent="0.25">
      <c r="G107" s="393" t="s">
        <v>1296</v>
      </c>
      <c r="H107" s="513">
        <f>(Geometria!L81/10)/Geometria!O76</f>
        <v>45.45454545454545</v>
      </c>
      <c r="I107" t="s">
        <v>241</v>
      </c>
      <c r="J107" s="46" t="s">
        <v>1297</v>
      </c>
    </row>
    <row r="108" spans="7:17" hidden="1" x14ac:dyDescent="0.25">
      <c r="G108" s="393" t="s">
        <v>1298</v>
      </c>
      <c r="H108" s="510">
        <f ca="1">'Cargas adicionais'!N243+'Cargas adicionais'!Q243+'Cargas adicionais'!T243</f>
        <v>743.0471468750001</v>
      </c>
      <c r="I108" t="s">
        <v>292</v>
      </c>
      <c r="J108" s="46" t="s">
        <v>1299</v>
      </c>
    </row>
    <row r="109" spans="7:17" ht="14.25" hidden="1" customHeight="1" x14ac:dyDescent="0.25">
      <c r="G109" s="393" t="s">
        <v>1300</v>
      </c>
      <c r="H109" s="513">
        <f ca="1">1.4*('Cargas adicionais'!N243+'Cargas adicionais'!Q243+'Cargas adicionais'!T243)</f>
        <v>1040.266005625</v>
      </c>
      <c r="I109" t="s">
        <v>292</v>
      </c>
      <c r="J109" s="46" t="s">
        <v>1301</v>
      </c>
    </row>
    <row r="110" spans="7:17" ht="14.25" hidden="1" customHeight="1" x14ac:dyDescent="0.25">
      <c r="G110" s="393" t="s">
        <v>459</v>
      </c>
      <c r="H110" s="66">
        <v>12.5</v>
      </c>
      <c r="I110" t="s">
        <v>460</v>
      </c>
      <c r="J110" s="46" t="s">
        <v>772</v>
      </c>
    </row>
    <row r="111" spans="7:17" ht="14.25" hidden="1" customHeight="1" x14ac:dyDescent="0.25">
      <c r="G111" s="393" t="s">
        <v>1302</v>
      </c>
      <c r="H111" s="66">
        <v>4</v>
      </c>
      <c r="J111" s="46" t="s">
        <v>1303</v>
      </c>
    </row>
    <row r="112" spans="7:17" ht="14.25" hidden="1" customHeight="1" x14ac:dyDescent="0.25">
      <c r="G112" s="393" t="s">
        <v>1304</v>
      </c>
      <c r="H112" s="513">
        <f>(3.14*(H110/2)^2)/100</f>
        <v>1.2265625</v>
      </c>
      <c r="I112" t="s">
        <v>247</v>
      </c>
      <c r="J112" s="46" t="s">
        <v>1305</v>
      </c>
    </row>
    <row r="113" spans="7:17" hidden="1" x14ac:dyDescent="0.25">
      <c r="G113" s="393" t="s">
        <v>1306</v>
      </c>
      <c r="H113" s="513">
        <f ca="1">H109/H107</f>
        <v>22.88585212375</v>
      </c>
      <c r="I113" t="s">
        <v>247</v>
      </c>
      <c r="J113" s="46" t="s">
        <v>1307</v>
      </c>
    </row>
    <row r="114" spans="7:17" ht="14.25" hidden="1" customHeight="1" x14ac:dyDescent="0.25">
      <c r="G114" s="393" t="s">
        <v>1308</v>
      </c>
      <c r="H114" s="510">
        <f ca="1">ROUNDUP(H113/(H111*H112),0)</f>
        <v>5.0</v>
      </c>
      <c r="I114" t="s">
        <v>8</v>
      </c>
      <c r="J114" s="46" t="s">
        <v>1309</v>
      </c>
    </row>
    <row r="115" spans="7:17" ht="14.25" hidden="1" customHeight="1" x14ac:dyDescent="0.25">
      <c r="G115" s="393" t="s">
        <v>1310</v>
      </c>
      <c r="H115" s="513">
        <f ca="1">H116/H114</f>
        <v>6.0</v>
      </c>
      <c r="I115" t="s">
        <v>35</v>
      </c>
      <c r="J115" s="46" t="s">
        <v>1311</v>
      </c>
    </row>
    <row r="116" spans="7:17" ht="14.25" hidden="1" customHeight="1" x14ac:dyDescent="0.25">
      <c r="G116" s="393" t="s">
        <v>1312</v>
      </c>
      <c r="H116" s="258">
        <f>IF(Geometria!L34="Gerber",((J6-H4)/2),Geometria!L27/2)</f>
        <v>30.0</v>
      </c>
      <c r="I116" t="s">
        <v>35</v>
      </c>
      <c r="J116" s="46" t="s">
        <v>1313</v>
      </c>
    </row>
    <row r="117" spans="7:17" ht="14.25" hidden="1" customHeight="1" x14ac:dyDescent="0.25">
      <c r="I117" s="46"/>
    </row>
    <row r="118" spans="7:17" ht="14.25" hidden="1" customHeight="1" x14ac:dyDescent="0.25">
      <c r="I118" s="46"/>
    </row>
    <row r="119" spans="7:17" ht="14.25" hidden="1" customHeight="1" x14ac:dyDescent="0.25">
      <c r="G119" s="793">
        <f ca="1">H114*2</f>
        <v>10.0</v>
      </c>
      <c r="H119" s="788">
        <f>H110</f>
        <v>12.5</v>
      </c>
      <c r="I119" s="789">
        <f>IF(H111=4,Geometria!U14*1.5,Geometria!U14)</f>
        <v>5.46</v>
      </c>
      <c r="J119" s="771">
        <f ca="1">H115</f>
        <v>6.0</v>
      </c>
      <c r="K119" s="46" t="s">
        <v>1287</v>
      </c>
    </row>
    <row r="120" spans="7:17" ht="14.25" hidden="1" customHeight="1" x14ac:dyDescent="0.25">
      <c r="G120" s="793"/>
      <c r="H120" s="788"/>
      <c r="I120" s="789"/>
      <c r="J120" s="771"/>
    </row>
    <row r="121" spans="7:17" ht="14.25" hidden="1" customHeight="1" x14ac:dyDescent="0.25">
      <c r="H121" s="794">
        <f ca="1">G119*VLOOKUP(H119,V22:Y30,4)*I119</f>
        <v>52.57169531249999</v>
      </c>
      <c r="I121" s="791">
        <f ca="1">H121/M51</f>
        <v>30.284106865117074</v>
      </c>
    </row>
    <row r="122" spans="7:17" ht="14.25" hidden="1" customHeight="1" x14ac:dyDescent="0.25">
      <c r="H122" s="794"/>
      <c r="I122" s="791"/>
    </row>
    <row r="123" spans="7:17" ht="14.25" hidden="1" customHeight="1" x14ac:dyDescent="0.25">
      <c r="H123" s="794"/>
      <c r="I123" s="791"/>
    </row>
    <row r="124" spans="7:17" ht="14.25" hidden="1" customHeight="1" x14ac:dyDescent="0.25">
      <c r="G124" s="795" t="s">
        <v>1314</v>
      </c>
      <c r="H124" s="795"/>
      <c r="I124" s="795"/>
      <c r="J124" s="795"/>
      <c r="K124" s="795"/>
      <c r="L124" s="795"/>
      <c r="M124" s="795"/>
      <c r="N124" s="795"/>
      <c r="O124" s="795"/>
      <c r="P124" s="795"/>
      <c r="Q124" s="795"/>
    </row>
    <row r="126" spans="7:17" hidden="1" x14ac:dyDescent="0.25">
      <c r="G126" s="786" t="s">
        <v>1315</v>
      </c>
      <c r="H126" s="786"/>
      <c r="I126" s="786"/>
      <c r="J126" s="454"/>
      <c r="K126" s="454"/>
      <c r="L126" s="454"/>
      <c r="M126" s="786" t="s">
        <v>1316</v>
      </c>
      <c r="N126" s="786"/>
      <c r="O126" s="786"/>
      <c r="P126" s="454"/>
      <c r="Q126" s="454"/>
    </row>
    <row r="127" spans="7:17" hidden="1" x14ac:dyDescent="0.25">
      <c r="G127" s="787">
        <f ca="1">ROUNDUP(H147/(VLOOKUP(H127,V22:W30,2)),0)*2</f>
        <v>22.0</v>
      </c>
      <c r="H127" s="788">
        <v>16</v>
      </c>
      <c r="I127" s="789">
        <f>((J5-2*Geometria!R76)+((VLOOKUP(J4,O80:Q86,2)*H127)/10)*2+H5+H5)/100</f>
        <v>1.608</v>
      </c>
      <c r="J127" s="46" t="s">
        <v>1287</v>
      </c>
      <c r="K127" s="454"/>
      <c r="L127" s="454"/>
      <c r="M127" s="787">
        <f ca="1">ROUNDUP((M134/((3.14*(N127/20)^2)*M135)),0)*2</f>
        <v>8.0</v>
      </c>
      <c r="N127" s="788">
        <v>12.5</v>
      </c>
      <c r="O127" s="789">
        <f>(VLOOKUP(J4,O80:Q86,2)*N127/10+H5+H5+Geometria!L26-2*Geometria!R76)/100</f>
        <v>1.14</v>
      </c>
      <c r="P127" s="46" t="s">
        <v>1287</v>
      </c>
      <c r="Q127" s="454"/>
    </row>
    <row r="128" spans="7:17" hidden="1" x14ac:dyDescent="0.25">
      <c r="G128" s="787"/>
      <c r="H128" s="788"/>
      <c r="I128" s="789"/>
      <c r="J128" s="454"/>
      <c r="K128" s="454"/>
      <c r="L128" s="454"/>
      <c r="M128" s="787"/>
      <c r="N128" s="788"/>
      <c r="O128" s="789"/>
      <c r="P128" s="454"/>
      <c r="Q128" s="454"/>
    </row>
    <row r="129" spans="7:17" hidden="1" x14ac:dyDescent="0.25">
      <c r="G129" s="454"/>
      <c r="H129" s="792">
        <f>IF(Geometria!L34="Gerber",(G127*VLOOKUP(H127,V22:Y30,4)*I127),0)</f>
        <v>0.0</v>
      </c>
      <c r="I129" s="791">
        <f ca="1">H129/M51</f>
        <v>0.0</v>
      </c>
      <c r="J129" s="454"/>
      <c r="K129" s="454"/>
      <c r="L129" s="454"/>
      <c r="M129" s="454"/>
      <c r="N129" s="790">
        <f>IF(Geometria!L34="Gerber",((3.14*(N127/20)^2)*0.789*O127*M127),0)</f>
        <v>0.0</v>
      </c>
      <c r="O129" s="791">
        <f ca="1">N129/M51</f>
        <v>0.0</v>
      </c>
      <c r="P129" s="454"/>
      <c r="Q129" s="454"/>
    </row>
    <row r="130" spans="7:17" hidden="1" x14ac:dyDescent="0.25">
      <c r="G130" s="454"/>
      <c r="H130" s="792"/>
      <c r="I130" s="791"/>
      <c r="J130" s="454"/>
      <c r="K130" s="454"/>
      <c r="L130" s="454"/>
      <c r="M130" s="454"/>
      <c r="N130" s="790"/>
      <c r="O130" s="791"/>
      <c r="P130" s="454"/>
      <c r="Q130" s="454"/>
    </row>
    <row r="131" spans="7:17" hidden="1" x14ac:dyDescent="0.25">
      <c r="G131" s="454"/>
      <c r="H131" s="792"/>
      <c r="I131" s="791"/>
      <c r="J131" s="454"/>
      <c r="K131" s="454"/>
      <c r="L131" s="454"/>
      <c r="M131" s="454"/>
      <c r="N131" s="790"/>
      <c r="O131" s="791"/>
      <c r="P131" s="454"/>
      <c r="Q131" s="454"/>
    </row>
    <row r="132" spans="7:17" hidden="1" x14ac:dyDescent="0.25">
      <c r="J132" s="454"/>
      <c r="K132" s="454"/>
      <c r="L132" s="454"/>
      <c r="M132" s="454"/>
      <c r="N132" s="454"/>
      <c r="O132" s="454"/>
      <c r="Q132" s="454"/>
    </row>
    <row r="133" spans="7:17" hidden="1" x14ac:dyDescent="0.25">
      <c r="G133" s="454"/>
      <c r="H133" s="454" t="s">
        <v>1315</v>
      </c>
      <c r="I133" s="454"/>
      <c r="K133" s="454"/>
      <c r="L133" s="514" t="s">
        <v>1317</v>
      </c>
      <c r="M133" s="515">
        <f>Geometria!L27-Taxas!H4</f>
        <v>30.0</v>
      </c>
      <c r="N133" s="46" t="s">
        <v>35</v>
      </c>
      <c r="O133" s="46" t="s">
        <v>1318</v>
      </c>
    </row>
    <row r="134" spans="7:17" hidden="1" x14ac:dyDescent="0.25">
      <c r="G134" s="499" t="s">
        <v>1211</v>
      </c>
      <c r="H134" s="462">
        <f>H6</f>
        <v>0.5555555555555556</v>
      </c>
      <c r="I134" s="454"/>
      <c r="K134" s="454"/>
      <c r="L134" s="514" t="s">
        <v>1319</v>
      </c>
      <c r="M134" s="513">
        <f ca="1">(0.1+H6*2/3)*H147</f>
        <v>9.453789956483085</v>
      </c>
      <c r="N134" s="46" t="s">
        <v>247</v>
      </c>
      <c r="O134" s="46" t="s">
        <v>1319</v>
      </c>
    </row>
    <row r="135" spans="7:17" hidden="1" x14ac:dyDescent="0.25">
      <c r="G135" s="454"/>
      <c r="H135" s="454"/>
      <c r="I135" s="454"/>
      <c r="L135" s="514" t="s">
        <v>1302</v>
      </c>
      <c r="M135" s="66">
        <v>2</v>
      </c>
      <c r="O135" s="46" t="s">
        <v>1303</v>
      </c>
    </row>
    <row r="136" spans="7:17" hidden="1" x14ac:dyDescent="0.25">
      <c r="G136" t="s">
        <v>1320</v>
      </c>
      <c r="H136" s="454"/>
      <c r="I136" s="454"/>
      <c r="L136" s="46"/>
    </row>
    <row r="137" spans="7:17" hidden="1" x14ac:dyDescent="0.25">
      <c r="G137" t="s">
        <v>1321</v>
      </c>
      <c r="H137" s="454"/>
      <c r="I137" s="454"/>
      <c r="P137" s="454"/>
      <c r="Q137" s="454"/>
    </row>
    <row r="138" spans="7:17" hidden="1" x14ac:dyDescent="0.25">
      <c r="G138" t="s">
        <v>1322</v>
      </c>
      <c r="H138" s="454"/>
      <c r="I138" s="454"/>
      <c r="Q138" s="454"/>
    </row>
    <row r="139" spans="7:17" hidden="1" x14ac:dyDescent="0.25">
      <c r="G139" t="s">
        <v>1323</v>
      </c>
      <c r="H139" s="454"/>
      <c r="I139" s="454"/>
      <c r="M139" s="786" t="s">
        <v>1324</v>
      </c>
      <c r="N139" s="786"/>
      <c r="O139" s="786"/>
      <c r="P139" s="454"/>
      <c r="Q139" s="454"/>
    </row>
    <row r="140" spans="7:17" hidden="1" x14ac:dyDescent="0.25">
      <c r="G140" t="s">
        <v>1325</v>
      </c>
      <c r="H140" s="454"/>
      <c r="I140" s="454"/>
      <c r="M140" s="787">
        <f>(ROUNDUP((M146/((3.14*(N140/20)^2)*M147)),0)*2)</f>
        <v>4.0</v>
      </c>
      <c r="N140" s="788">
        <v>8</v>
      </c>
      <c r="O140" s="789">
        <f>((Geometria!L27-2*Geometria!R76-H4)*2+(J5-2*Geometria!R76)*2+6+6)/100</f>
        <v>1.08</v>
      </c>
      <c r="P140" s="46" t="s">
        <v>1287</v>
      </c>
      <c r="Q140" s="454"/>
    </row>
    <row r="141" spans="7:17" hidden="1" x14ac:dyDescent="0.25">
      <c r="G141" s="454"/>
      <c r="H141" s="454"/>
      <c r="I141" s="454"/>
      <c r="M141" s="787"/>
      <c r="N141" s="788"/>
      <c r="O141" s="789"/>
      <c r="P141" s="454"/>
      <c r="Q141" s="454"/>
    </row>
    <row r="142" spans="7:17" hidden="1" x14ac:dyDescent="0.25">
      <c r="G142" s="393" t="s">
        <v>1326</v>
      </c>
      <c r="H142" s="516">
        <v>0.16</v>
      </c>
      <c r="I142" s="454"/>
      <c r="N142" s="790">
        <f>IF(Geometria!L34="Gerber",((3.14*(N140/20)^2)*0.789*O140*M140),0)</f>
        <v>0.0</v>
      </c>
      <c r="O142" s="791">
        <f ca="1">N142/M51</f>
        <v>0.0</v>
      </c>
    </row>
    <row r="143" spans="7:17" hidden="1" x14ac:dyDescent="0.25">
      <c r="G143" s="475"/>
      <c r="H143" s="454"/>
      <c r="I143" s="454"/>
      <c r="N143" s="790"/>
      <c r="O143" s="791"/>
    </row>
    <row r="144" spans="7:17" hidden="1" x14ac:dyDescent="0.25">
      <c r="G144" s="393" t="s">
        <v>1326</v>
      </c>
      <c r="H144" s="513">
        <f ca="1">H142*1.1*H19</f>
        <v>130.77629785</v>
      </c>
      <c r="N144" s="790"/>
      <c r="O144" s="791"/>
    </row>
    <row r="145" spans="7:15" hidden="1" x14ac:dyDescent="0.25">
      <c r="G145" s="475"/>
      <c r="H145" s="454"/>
      <c r="I145" s="454"/>
      <c r="L145" s="514" t="s">
        <v>1327</v>
      </c>
      <c r="M145" s="258">
        <f>(0.2*(0.3*3*SQRT(40^2))/500)/10</f>
        <v>0.0014399999999999999</v>
      </c>
      <c r="O145" t="s">
        <v>1328</v>
      </c>
    </row>
    <row r="146" spans="7:15" hidden="1" x14ac:dyDescent="0.25">
      <c r="G146" s="475"/>
      <c r="H146" s="454"/>
      <c r="I146" s="454"/>
      <c r="L146" s="514" t="s">
        <v>41</v>
      </c>
      <c r="M146" s="258">
        <f>M145*M133*J5</f>
        <v>1.2959999999999998</v>
      </c>
      <c r="N146" s="46" t="s">
        <v>247</v>
      </c>
      <c r="O146" t="s">
        <v>1329</v>
      </c>
    </row>
    <row r="147" spans="7:15" ht="18" hidden="1" x14ac:dyDescent="0.25">
      <c r="G147" s="393" t="s">
        <v>1330</v>
      </c>
      <c r="H147" s="513">
        <f ca="1">(0.1+H134)*(J19*1.1)/(Geometria!L81/11.5)+H144/(Geometria!L81/11.5)</f>
        <v>20.098608568901046</v>
      </c>
      <c r="I147" t="s">
        <v>247</v>
      </c>
      <c r="K147" s="517"/>
      <c r="L147" s="514" t="s">
        <v>1302</v>
      </c>
      <c r="M147" s="66">
        <v>2</v>
      </c>
      <c r="O147" s="46" t="s">
        <v>1303</v>
      </c>
    </row>
    <row r="148" spans="7:15" x14ac:dyDescent="0.25">
      <c r="G148" s="518"/>
    </row>
    <row r="150" spans="7:15" x14ac:dyDescent="0.25">
      <c r="H150" s="1"/>
      <c r="I150" s="519"/>
      <c r="L150" s="520"/>
      <c r="M150" s="519"/>
      <c r="N150" s="1"/>
    </row>
    <row r="151" spans="7:15" x14ac:dyDescent="0.25">
      <c r="H151" s="1"/>
      <c r="I151" s="519"/>
      <c r="L151" s="520"/>
      <c r="M151" s="519"/>
      <c r="N151" s="1"/>
    </row>
    <row r="152" spans="7:15" x14ac:dyDescent="0.25">
      <c r="H152" s="1"/>
      <c r="I152" s="519"/>
      <c r="L152" s="520"/>
      <c r="M152" s="519"/>
      <c r="N152" s="1"/>
    </row>
    <row r="153" spans="7:15" x14ac:dyDescent="0.25">
      <c r="H153" s="1"/>
      <c r="I153" s="519"/>
      <c r="L153" s="520"/>
      <c r="M153" s="519"/>
      <c r="N153" s="1"/>
    </row>
    <row r="154" spans="7:15" x14ac:dyDescent="0.25">
      <c r="H154" s="1"/>
      <c r="I154" s="519"/>
      <c r="L154" s="520"/>
      <c r="M154" s="519"/>
      <c r="N154" s="1"/>
    </row>
    <row r="155" spans="7:15" x14ac:dyDescent="0.25">
      <c r="H155" s="1"/>
      <c r="I155" s="519"/>
      <c r="L155" s="520"/>
      <c r="M155" s="519"/>
      <c r="N155" s="1"/>
    </row>
    <row r="156" spans="7:15" x14ac:dyDescent="0.25">
      <c r="H156" s="1"/>
      <c r="I156" s="519"/>
      <c r="L156" s="520"/>
      <c r="M156" s="519"/>
      <c r="N156" s="1"/>
    </row>
    <row r="157" spans="7:15" x14ac:dyDescent="0.25">
      <c r="H157" s="1"/>
      <c r="I157" s="519"/>
      <c r="L157" s="520"/>
      <c r="M157" s="519"/>
      <c r="N157" s="1"/>
    </row>
    <row r="158" spans="7:15" x14ac:dyDescent="0.25">
      <c r="H158" s="1"/>
      <c r="I158" s="519"/>
      <c r="L158" s="520"/>
      <c r="M158" s="519"/>
      <c r="N158" s="1"/>
    </row>
    <row r="159" spans="7:15" x14ac:dyDescent="0.25">
      <c r="H159" s="1"/>
      <c r="I159" s="519"/>
      <c r="L159" s="520"/>
      <c r="M159" s="519"/>
      <c r="N159" s="1"/>
    </row>
    <row r="160" spans="7:15" x14ac:dyDescent="0.25">
      <c r="H160" s="1"/>
      <c r="I160" s="519"/>
      <c r="L160" s="520"/>
      <c r="M160" s="519"/>
      <c r="N160" s="1"/>
    </row>
    <row r="161" spans="7:14" x14ac:dyDescent="0.25">
      <c r="H161" s="1"/>
      <c r="I161" s="519"/>
      <c r="L161" s="520"/>
      <c r="M161" s="519"/>
      <c r="N161" s="1"/>
    </row>
    <row r="162" spans="7:14" x14ac:dyDescent="0.25">
      <c r="H162" s="1"/>
      <c r="I162" s="519"/>
      <c r="L162" s="520"/>
      <c r="M162" s="519"/>
      <c r="N162" s="1"/>
    </row>
    <row r="163" spans="7:14" x14ac:dyDescent="0.25">
      <c r="H163" s="1"/>
      <c r="I163" s="519"/>
      <c r="L163" s="520"/>
      <c r="M163" s="519"/>
      <c r="N163" s="1"/>
    </row>
    <row r="164" spans="7:14" x14ac:dyDescent="0.25">
      <c r="L164" s="520"/>
      <c r="M164" s="519"/>
      <c r="N164" s="1"/>
    </row>
    <row r="165" spans="7:14" x14ac:dyDescent="0.25">
      <c r="L165" s="520"/>
      <c r="M165" s="519"/>
      <c r="N165" s="1"/>
    </row>
    <row r="166" spans="7:14" x14ac:dyDescent="0.25">
      <c r="H166" s="519"/>
      <c r="L166" s="520"/>
      <c r="M166" s="519"/>
      <c r="N166" s="1"/>
    </row>
    <row r="167" spans="7:14" x14ac:dyDescent="0.25">
      <c r="L167" s="520"/>
      <c r="M167" s="519"/>
      <c r="N167" s="1"/>
    </row>
    <row r="168" spans="7:14" x14ac:dyDescent="0.25">
      <c r="L168" s="520"/>
      <c r="M168" s="519"/>
      <c r="N168" s="1"/>
    </row>
    <row r="169" spans="7:14" x14ac:dyDescent="0.25">
      <c r="H169" s="521"/>
      <c r="L169" s="520"/>
      <c r="M169" s="519"/>
      <c r="N169" s="1"/>
    </row>
    <row r="170" spans="7:14" x14ac:dyDescent="0.25">
      <c r="L170" s="520"/>
      <c r="M170" s="519"/>
      <c r="N170" s="1"/>
    </row>
    <row r="171" spans="7:14" x14ac:dyDescent="0.25">
      <c r="H171" s="519"/>
    </row>
    <row r="173" spans="7:14" x14ac:dyDescent="0.25">
      <c r="G173" s="1"/>
      <c r="H173" s="1"/>
      <c r="I173" s="519"/>
      <c r="J173" s="1"/>
      <c r="K173" s="1"/>
    </row>
    <row r="175" spans="7:14" x14ac:dyDescent="0.25">
      <c r="G175" s="272"/>
    </row>
    <row r="176" spans="7:14" x14ac:dyDescent="0.25">
      <c r="G176" s="272"/>
      <c r="J176" s="1"/>
    </row>
    <row r="177" spans="7:10" x14ac:dyDescent="0.25">
      <c r="G177" s="272"/>
    </row>
    <row r="179" spans="7:10" x14ac:dyDescent="0.25">
      <c r="G179" s="272"/>
      <c r="J179" s="522"/>
    </row>
    <row r="180" spans="7:10" x14ac:dyDescent="0.25">
      <c r="G180" s="272"/>
    </row>
    <row r="200" spans="7:18" hidden="1" x14ac:dyDescent="0.25">
      <c r="G200" t="s">
        <v>1331</v>
      </c>
    </row>
    <row r="201" spans="7:18" hidden="1" x14ac:dyDescent="0.25">
      <c r="G201" t="s">
        <v>1332</v>
      </c>
    </row>
    <row r="203" spans="7:18" hidden="1" x14ac:dyDescent="0.25">
      <c r="G203" t="s">
        <v>1219</v>
      </c>
      <c r="H203" t="s">
        <v>1333</v>
      </c>
      <c r="I203" t="s">
        <v>1334</v>
      </c>
      <c r="J203" t="s">
        <v>1335</v>
      </c>
      <c r="K203" t="s">
        <v>1336</v>
      </c>
      <c r="L203" t="s">
        <v>1337</v>
      </c>
      <c r="M203" t="s">
        <v>1338</v>
      </c>
      <c r="N203" t="s">
        <v>1339</v>
      </c>
      <c r="O203" t="s">
        <v>1340</v>
      </c>
      <c r="P203" t="s">
        <v>1341</v>
      </c>
      <c r="Q203" t="s">
        <v>1342</v>
      </c>
      <c r="R203" t="s">
        <v>1343</v>
      </c>
    </row>
    <row r="204" spans="7:18" hidden="1" x14ac:dyDescent="0.25">
      <c r="G204">
        <v>1</v>
      </c>
      <c r="H204">
        <f ca="1">Geometria!$N$220*'Cargas adicionais'!N243+Geometria!$O$77*('Cargas adicionais'!Q243+'Cargas adicionais'!T243)</f>
        <v>1030.4601290625</v>
      </c>
      <c r="I204">
        <f ca="1">Geometria!$N$220*'Cargas adicionais'!O243+Geometria!$O$77*('Cargas adicionais'!R243+'Cargas adicionais'!U243)</f>
        <v>0.0</v>
      </c>
      <c r="J204">
        <f>'Isolamento de cabos'!AI101</f>
        <v>0.0</v>
      </c>
      <c r="K204">
        <f>'Isolamento de cabos'!AJ101</f>
        <v>0.0</v>
      </c>
      <c r="L204">
        <f ca="1">Geometria!$R$77*J204*(Geometria!$L$53/Geometria!$L$48)/100+Geometria!$R$77*K204</f>
        <v>0.0</v>
      </c>
      <c r="M204" s="376">
        <f>M19</f>
        <v>314.0445461519477</v>
      </c>
      <c r="N204" s="376">
        <f ca="1">IF(L204&lt;=0,M204,IFERROR(MIN(M204*(1+L204/$I$208),O204),O204))</f>
        <v>314.0445461519477</v>
      </c>
      <c r="O204">
        <f>2*M204</f>
        <v>628.0890923038954</v>
      </c>
      <c r="P204" s="376">
        <f ca="1">N204</f>
        <v>314.0445461519477</v>
      </c>
      <c r="Q204">
        <f ca="1">IF(R19&gt;P204,R19-P204,0)</f>
        <v>603.9182159543025</v>
      </c>
      <c r="R204">
        <f ca="1">Q204/0.9/($J$6-$J$8)/MIN(50/Geometria!O76,43.5)</f>
        <v>0.17999711368157428</v>
      </c>
    </row>
    <row r="205" spans="7:18" hidden="1" x14ac:dyDescent="0.25">
      <c r="G205">
        <v>2</v>
      </c>
      <c r="H205">
        <f ca="1">Geometria!$N$220*'Cargas adicionais'!N245+Geometria!$O$77*('Cargas adicionais'!Q245+'Cargas adicionais'!T245)</f>
        <v>824.3681032500001</v>
      </c>
      <c r="I205">
        <f ca="1">Geometria!$N$220*'Cargas adicionais'!O245+Geometria!$O$77*('Cargas adicionais'!R245+'Cargas adicionais'!U245)</f>
        <v>728.0200811826564</v>
      </c>
      <c r="J205" s="373">
        <f ca="1">'Isolamento de cabos'!AI103</f>
        <v>386.3159719292004</v>
      </c>
      <c r="K205" s="373">
        <f ca="1">'Isolamento de cabos'!AJ103</f>
        <v>110.1000519998221</v>
      </c>
      <c r="L205">
        <f ca="1">Geometria!$R$77*J205*(Geometria!$L$53/Geometria!$L$48)/100+Geometria!$R$77*K205</f>
        <v>133.85848427346792</v>
      </c>
      <c r="M205" s="376">
        <f>M20</f>
        <v>314.0445461519477</v>
      </c>
      <c r="N205">
        <f ca="1">IF(L205&lt;=0,M205,IFERROR(MIN(M205*(1+L205/$I$208),O205),O205))</f>
        <v>334.8317608049082</v>
      </c>
      <c r="O205">
        <f>2*M205</f>
        <v>628.0890923038954</v>
      </c>
      <c r="P205">
        <f ca="1">N205</f>
        <v>334.8317608049082</v>
      </c>
      <c r="Q205">
        <f ca="1">IF(R20&gt;P205,R20-P205,0)</f>
        <v>489.5363424450919</v>
      </c>
      <c r="R205">
        <f ca="1">Q205/0.9/($J$6-$J$8)/MIN(50/Geometria!O76,43.5)</f>
        <v>0.1459057308664106</v>
      </c>
    </row>
    <row r="206" spans="7:18" hidden="1" x14ac:dyDescent="0.25">
      <c r="G206">
        <v>3</v>
      </c>
      <c r="H206">
        <f ca="1">Geometria!$N$220*'Cargas adicionais'!N247+Geometria!$O$77*('Cargas adicionais'!Q247+'Cargas adicionais'!T247)</f>
        <v>618.2760774375001</v>
      </c>
      <c r="I206">
        <f ca="1">Geometria!$N$220*'Cargas adicionais'!O247+Geometria!$O$77*('Cargas adicionais'!R247+'Cargas adicionais'!U247)</f>
        <v>1294.2579221025</v>
      </c>
      <c r="J206" s="373">
        <f ca="1">'Isolamento de cabos'!AI105</f>
        <v>621.7798114153002</v>
      </c>
      <c r="K206" s="373">
        <f ca="1">'Isolamento de cabos'!AJ105</f>
        <v>177.20724625336052</v>
      </c>
      <c r="L206">
        <f ca="1">Geometria!$R$77*J206*(Geometria!$L$53/Geometria!$L$48)/100+Geometria!$R$77*K206</f>
        <v>215.44670465540148</v>
      </c>
      <c r="M206" s="376">
        <f>M21</f>
        <v>314.0445461519477</v>
      </c>
      <c r="N206">
        <f ca="1">IF(L206&lt;=0,M206,IFERROR(MIN(M206*(1+L206/$I$208),O206),O206))</f>
        <v>347.5017970707264</v>
      </c>
      <c r="O206">
        <f>2*M206</f>
        <v>628.0890923038954</v>
      </c>
      <c r="P206">
        <f ca="1">N206</f>
        <v>347.5017970707264</v>
      </c>
      <c r="Q206">
        <f ca="1">IF(R21&gt;P206,R21-P206,0)</f>
        <v>270.7742803667737</v>
      </c>
      <c r="R206">
        <f ca="1">Q206/0.9/($J$6-$J$8)/MIN(50/Geometria!O76,43.5)</f>
        <v>0.08070395566427592</v>
      </c>
    </row>
    <row r="207" spans="7:18" hidden="1" x14ac:dyDescent="0.25">
      <c r="G207">
        <v>4</v>
      </c>
      <c r="H207">
        <f ca="1">Geometria!$N$220*'Cargas adicionais'!N249+Geometria!$O$77*('Cargas adicionais'!Q249+'Cargas adicionais'!T249)</f>
        <v>412.1840516250001</v>
      </c>
      <c r="I207">
        <f ca="1">Geometria!$N$220*'Cargas adicionais'!O249+Geometria!$O$77*('Cargas adicionais'!R249+'Cargas adicionais'!U249)</f>
        <v>1698.7135227595315</v>
      </c>
      <c r="J207" s="373">
        <f ca="1">'Isolamento de cabos'!AI107</f>
        <v>1243.5596228306003</v>
      </c>
      <c r="K207" s="373">
        <f ca="1">'Isolamento de cabos'!AJ107</f>
        <v>233.16742928073757</v>
      </c>
      <c r="L207">
        <f ca="1">Geometria!$R$77*J207*(Geometria!$L$53/Geometria!$L$48)/100+Geometria!$R$77*K207</f>
        <v>321.77105240741787</v>
      </c>
      <c r="M207" s="376">
        <f>M22</f>
        <v>314.0445461519477</v>
      </c>
      <c r="N207">
        <f ca="1">IF(L207&lt;=0,M207,IFERROR(MIN(M207*(1+L207/$I$208),O207),O207))</f>
        <v>364.0131676540198</v>
      </c>
      <c r="O207">
        <f>2*M207</f>
        <v>628.0890923038954</v>
      </c>
      <c r="P207">
        <f ca="1">N207</f>
        <v>364.0131676540198</v>
      </c>
      <c r="Q207">
        <f ca="1">IF(R22&gt;P207,R22-P207,0)</f>
        <v>48.1708839709803</v>
      </c>
      <c r="R207">
        <f ca="1">Q207/0.9/($J$6-$J$8)/MIN(50/Geometria!O76,43.5)</f>
        <v>0.014357275288617155</v>
      </c>
    </row>
    <row r="208" spans="7:18" hidden="1" x14ac:dyDescent="0.25">
      <c r="G208" t="s">
        <v>2214</v>
      </c>
      <c r="I208">
        <f ca="1">MAX(I204:I207,Geometria!$N$220*'Cargas adicionais'!O253+Geometria!$O$77*('Cargas adicionais'!R253+'Cargas adicionais'!U253))</f>
        <v>2022.278003285157</v>
      </c>
      <c r="J208" t="s">
        <v>2215</v>
      </c>
    </row>
    <row r="209" spans="7:10" hidden="1" x14ac:dyDescent="0.25">
      <c r="G209" t="s">
        <v>1344</v>
      </c>
    </row>
    <row r="211" spans="7:10" hidden="1" x14ac:dyDescent="0.25">
      <c r="G211" t="s">
        <v>1345</v>
      </c>
    </row>
    <row r="212" spans="7:10" hidden="1" x14ac:dyDescent="0.25">
      <c r="H212" t="s">
        <v>1346</v>
      </c>
      <c r="I212" t="s">
        <v>1347</v>
      </c>
    </row>
    <row r="213" spans="7:10" hidden="1" x14ac:dyDescent="0.25">
      <c r="G213" t="s">
        <v>1348</v>
      </c>
      <c r="H213">
        <f ca="1">MIN(O5*(3.14*(I11/20)^2)/MAX(P19,H29),Q29)</f>
        <v>8.72236208619114</v>
      </c>
      <c r="I213">
        <f ca="1">MIN(O5*(3.14*(M11/20)^2)/MAX(P20,H30),Q30)</f>
        <v>10.322065828107355</v>
      </c>
    </row>
    <row r="214" spans="7:10" hidden="1" x14ac:dyDescent="0.25">
      <c r="G214" t="s">
        <v>1349</v>
      </c>
      <c r="H214">
        <f ca="1">MIN(O5*(3.14*(I11/20)^2)/MAX(R204,H29),Q29)</f>
        <v>8.72236208619114</v>
      </c>
      <c r="I214">
        <f ca="1">MIN(O5*(3.14*(M11/20)^2)/MAX(R205,H30),Q30)</f>
        <v>10.760372403997426</v>
      </c>
    </row>
    <row r="215" spans="7:10" hidden="1" x14ac:dyDescent="0.25">
      <c r="G215" t="s">
        <v>1350</v>
      </c>
      <c r="H215">
        <f ca="1">IF($J$218="Sim",H214,H213)</f>
        <v>8.72236208619114</v>
      </c>
      <c r="I215">
        <f ca="1">IF($J$218="Sim",I214,I213)</f>
        <v>10.760372403997426</v>
      </c>
    </row>
    <row r="216" spans="7:10" hidden="1" x14ac:dyDescent="0.25">
      <c r="G216" t="s">
        <v>1351</v>
      </c>
    </row>
    <row r="218" spans="7:10" hidden="1" x14ac:dyDescent="0.25">
      <c r="G218" t="s">
        <v>1352</v>
      </c>
      <c r="H218" s="454"/>
      <c r="I218" s="454"/>
      <c r="J218" t="str">
        <f>O6</f>
        <v>Sim</v>
      </c>
    </row>
    <row r="219" spans="7:10" hidden="1" x14ac:dyDescent="0.25">
      <c r="G219" t="s">
        <v>1353</v>
      </c>
      <c r="H219" t="str">
        <f ca="1">"Trecho 1 (até Membro "&amp;O4&amp;"): a cada "&amp;ROUNDDOWN(H213,0)&amp;" cm (φ"&amp;I11&amp;"mm)   |   Trecho 2: a cada "&amp;ROUNDDOWN(I213,0)&amp;" cm (φ"&amp;M11&amp;"mm)"</f>
        <v>Trecho 1 (até Membro 2): a cada 8 cm (φ10mm)   |   Trecho 2: a cada 10 cm (φ10mm)</v>
      </c>
      <c r="I219" s="454"/>
      <c r="J219" s="523"/>
    </row>
    <row r="220" spans="7:10" hidden="1" x14ac:dyDescent="0.25">
      <c r="G220" t="s">
        <v>1354</v>
      </c>
      <c r="H220" t="str">
        <f ca="1">"Trecho 1 (até Membro "&amp;O4&amp;"): a cada "&amp;ROUNDDOWN(H214,0)&amp;" cm (φ"&amp;I11&amp;"mm)   |   Trecho 2: a cada "&amp;ROUNDDOWN(I214,0)&amp;" cm (φ"&amp;M11&amp;"mm)"</f>
        <v>Trecho 1 (até Membro 2): a cada 8 cm (φ10mm)   |   Trecho 2: a cada 10 cm (φ10mm)</v>
      </c>
      <c r="I220" s="454"/>
      <c r="J220" s="454"/>
    </row>
    <row r="221" spans="7:10" hidden="1" x14ac:dyDescent="0.25">
      <c r="G221" t="s">
        <v>1355</v>
      </c>
      <c r="H221" t="str">
        <f ca="1">"Trecho 1 (até Membro "&amp;O4&amp;"): a cada "&amp;J11&amp;" cm (φ"&amp;I11&amp;"mm)   |   Trecho 2: a cada "&amp;N11&amp;" cm (φ"&amp;M11&amp;"mm)"</f>
        <v>Trecho 1 (até Membro 2): a cada 8.5 cm (φ10mm)   |   Trecho 2: a cada 11 cm (φ10mm)</v>
      </c>
      <c r="I221" s="454"/>
      <c r="J221" s="454"/>
    </row>
    <row r="549" spans="7:10" x14ac:dyDescent="0.25">
      <c r="G549" t="s">
        <v>453</v>
      </c>
    </row>
    <row r="553" spans="7:10" x14ac:dyDescent="0.25">
      <c r="J553">
        <f ca="1">IFERROR(((ABS(MAX($I$395)))/((ABS(MAX($I$395)))+(ABS(MIN($I$418))))*(IF($I$15="1 - Retângular",$H$21/100,($H$56+$H$57+$H$58+$H$59+$H$60)/100))),0)</f>
        <v>0.0</v>
      </c>
    </row>
    <row r="562" spans="10:10" x14ac:dyDescent="0.25">
      <c r="J562">
        <f ca="1">IFERROR(((ABS(MAX($I$478)))/((ABS(MAX($I$478)))+(ABS(MIN($I$501))))*(IF($I$15="1 - Retângular",$H$21/100,($H$56+$H$57+$H$58+$H$59+$H$60)/100))),0)</f>
        <v>0.0</v>
      </c>
    </row>
    <row r="794" spans="10:10" x14ac:dyDescent="0.25">
      <c r="J794">
        <f ca="1">IFERROR(((ABS(MAX($I$655)))/((ABS(MAX($I$655)))+(ABS(MIN($I$678))))*(IF($I$15="1 - Retângular",$H$21/100,($H$56+$H$57+$H$58+$H$59+$H$60)/100))),0)</f>
        <v>0.0</v>
      </c>
    </row>
    <row r="796" spans="10:10" x14ac:dyDescent="0.25">
      <c r="J796">
        <f>J795/((25))</f>
        <v>0.0</v>
      </c>
    </row>
    <row r="803" spans="10:10" x14ac:dyDescent="0.25">
      <c r="J803">
        <f ca="1">IFERROR(((ABS(MAX($I$730)))/((ABS(MAX($I$730)))+(ABS(MIN($I$754))))*(IF($I$15="1 - Retângular",$H$21/100,($H$56+$H$57+$H$58+$H$59+$H$60)/100))),0)</f>
        <v>0.0</v>
      </c>
    </row>
    <row r="804" spans="10:10" x14ac:dyDescent="0.25">
      <c r="J804">
        <f ca="1">(ABS(MAX($I$730)))*(IF($I$15="1 - Retângular",$H$20/100,(H53/100))*J803/2)</f>
        <v>0.0</v>
      </c>
    </row>
    <row r="805" spans="10:10" x14ac:dyDescent="0.25">
      <c r="J805">
        <f ca="1">J804/((25))</f>
        <v>0.0</v>
      </c>
    </row>
    <row r="910" spans="10:10" x14ac:dyDescent="0.25">
      <c r="J910">
        <f>J909/((25))</f>
        <v>0.0</v>
      </c>
    </row>
  </sheetData>
  <mergeCells count="118">
    <mergeCell ref="G1:Q1"/>
    <mergeCell ref="G2:Q2"/>
    <mergeCell ref="L4:N4"/>
    <mergeCell ref="L5:N5"/>
    <mergeCell ref="T5:U5"/>
    <mergeCell ref="L6:N6"/>
    <mergeCell ref="H10:K10"/>
    <mergeCell ref="L10:O10"/>
    <mergeCell ref="H11:H12"/>
    <mergeCell ref="I11:I12"/>
    <mergeCell ref="J11:J12"/>
    <mergeCell ref="K11:K12"/>
    <mergeCell ref="L11:L12"/>
    <mergeCell ref="M11:M12"/>
    <mergeCell ref="N11:N12"/>
    <mergeCell ref="O11:O12"/>
    <mergeCell ref="I13:J14"/>
    <mergeCell ref="K13:K14"/>
    <mergeCell ref="M13:N14"/>
    <mergeCell ref="O13:O14"/>
    <mergeCell ref="G15:Q16"/>
    <mergeCell ref="H17:I17"/>
    <mergeCell ref="L17:L18"/>
    <mergeCell ref="M17:N17"/>
    <mergeCell ref="P17:Q17"/>
    <mergeCell ref="H18:I18"/>
    <mergeCell ref="M18:N18"/>
    <mergeCell ref="P18:Q18"/>
    <mergeCell ref="H19:I19"/>
    <mergeCell ref="M19:N19"/>
    <mergeCell ref="P19:Q19"/>
    <mergeCell ref="H20:I20"/>
    <mergeCell ref="M20:N20"/>
    <mergeCell ref="P20:Q20"/>
    <mergeCell ref="H21:I21"/>
    <mergeCell ref="M21:N21"/>
    <mergeCell ref="P21:Q21"/>
    <mergeCell ref="H22:I22"/>
    <mergeCell ref="M22:N22"/>
    <mergeCell ref="P22:Q22"/>
    <mergeCell ref="G25:Q26"/>
    <mergeCell ref="L27:O27"/>
    <mergeCell ref="G34:Q34"/>
    <mergeCell ref="G47:Q47"/>
    <mergeCell ref="H49:J49"/>
    <mergeCell ref="G50:G51"/>
    <mergeCell ref="H50:H51"/>
    <mergeCell ref="I50:I51"/>
    <mergeCell ref="J50:J51"/>
    <mergeCell ref="L51:L52"/>
    <mergeCell ref="M51:M52"/>
    <mergeCell ref="I52:I54"/>
    <mergeCell ref="L55:M55"/>
    <mergeCell ref="H56:J56"/>
    <mergeCell ref="L56:M57"/>
    <mergeCell ref="G57:G58"/>
    <mergeCell ref="H57:H58"/>
    <mergeCell ref="I57:I58"/>
    <mergeCell ref="J57:J58"/>
    <mergeCell ref="I59:I61"/>
    <mergeCell ref="L59:M59"/>
    <mergeCell ref="L60:M61"/>
    <mergeCell ref="S62:U62"/>
    <mergeCell ref="V62:X62"/>
    <mergeCell ref="Y62:AA62"/>
    <mergeCell ref="H63:J63"/>
    <mergeCell ref="L63:M63"/>
    <mergeCell ref="G64:G65"/>
    <mergeCell ref="H64:H65"/>
    <mergeCell ref="I64:I65"/>
    <mergeCell ref="J64:J65"/>
    <mergeCell ref="L64:M65"/>
    <mergeCell ref="I66:I68"/>
    <mergeCell ref="H69:J69"/>
    <mergeCell ref="G70:G71"/>
    <mergeCell ref="H70:H71"/>
    <mergeCell ref="I70:I71"/>
    <mergeCell ref="J70:J71"/>
    <mergeCell ref="I72:I74"/>
    <mergeCell ref="G75:Q75"/>
    <mergeCell ref="G81:G82"/>
    <mergeCell ref="H81:H82"/>
    <mergeCell ref="J81:M82"/>
    <mergeCell ref="O92:Q95"/>
    <mergeCell ref="G94:I94"/>
    <mergeCell ref="G95:G96"/>
    <mergeCell ref="H95:H96"/>
    <mergeCell ref="I95:I96"/>
    <mergeCell ref="O96:Q99"/>
    <mergeCell ref="H97:H99"/>
    <mergeCell ref="I97:I99"/>
    <mergeCell ref="G102:Q102"/>
    <mergeCell ref="G119:G120"/>
    <mergeCell ref="H119:H120"/>
    <mergeCell ref="I119:I120"/>
    <mergeCell ref="J119:J120"/>
    <mergeCell ref="H121:H123"/>
    <mergeCell ref="I121:I123"/>
    <mergeCell ref="G124:Q124"/>
    <mergeCell ref="G126:I126"/>
    <mergeCell ref="M126:O126"/>
    <mergeCell ref="M139:O139"/>
    <mergeCell ref="M140:M141"/>
    <mergeCell ref="N140:N141"/>
    <mergeCell ref="O140:O141"/>
    <mergeCell ref="N142:N144"/>
    <mergeCell ref="O142:O144"/>
    <mergeCell ref="G127:G128"/>
    <mergeCell ref="H127:H128"/>
    <mergeCell ref="I127:I128"/>
    <mergeCell ref="M127:M128"/>
    <mergeCell ref="N127:N128"/>
    <mergeCell ref="O127:O128"/>
    <mergeCell ref="H129:H131"/>
    <mergeCell ref="I129:I131"/>
    <mergeCell ref="N129:N131"/>
    <mergeCell ref="O129:O131"/>
    <mergeCell ref="G100:Q101"/>
  </mergeCells>
  <conditionalFormatting sqref="I173">
    <cfRule type="cellIs" dxfId="38" priority="2" operator="greaterThan">
      <formula>#REF!</formula>
    </cfRule>
    <cfRule type="cellIs" dxfId="37" priority="3" operator="lessThan">
      <formula>#REF!</formula>
    </cfRule>
    <cfRule type="cellIs" dxfId="36" priority="4" operator="lessThan">
      <formula>#REF!</formula>
    </cfRule>
    <cfRule type="cellIs" dxfId="35" priority="5" operator="greaterThan">
      <formula>#REF!</formula>
    </cfRule>
  </conditionalFormatting>
  <conditionalFormatting sqref="J176">
    <cfRule type="cellIs" dxfId="34" priority="6" operator="lessThan">
      <formula>#REF!</formula>
    </cfRule>
    <cfRule type="cellIs" dxfId="33" priority="7" operator="greaterThan">
      <formula>#REF!</formula>
    </cfRule>
  </conditionalFormatting>
  <dataValidations count="4">
    <dataValidation type="list" allowBlank="1" showInputMessage="1" showErrorMessage="1" sqref="I11 M11 I64 I70 N127 N140" xr:uid="{00000000-0002-0000-0C00-000000000000}">
      <formula1>$V$22:$V$29</formula1>
      <formula2>0</formula2>
    </dataValidation>
    <dataValidation type="list" allowBlank="1" showInputMessage="1" showErrorMessage="1" sqref="O6 H80:H81 H83 J218" xr:uid="{00000000-0002-0000-0C00-000001000000}">
      <formula1>"Sim,Não"</formula1>
      <formula2>0</formula2>
    </dataValidation>
    <dataValidation type="list" allowBlank="1" showInputMessage="1" showErrorMessage="1" sqref="H95:H96 H119:H120 H127:H128" xr:uid="{00000000-0002-0000-0C00-000002000000}">
      <formula1>$V$22:$V$30</formula1>
      <formula2>0</formula2>
    </dataValidation>
    <dataValidation type="list" allowBlank="1" showInputMessage="1" showErrorMessage="1" sqref="O4" xr:uid="{00000000-0002-0000-0C00-000003000000}">
      <formula1>"2,3"</formula1>
      <formula2>0</formula2>
    </dataValidation>
  </dataValidations>
  <pageMargins left="0.51180555555555596" right="0.51180555555555596" top="0.78749999999999998" bottom="0.78749999999999998" header="0.511811023622047" footer="0.511811023622047"/>
  <pageSetup paperSize="9" scale="44" orientation="portrait" horizontalDpi="300" verticalDpi="300"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30"/>
  <sheetViews>
    <sheetView showGridLines="0" view="pageBreakPreview" topLeftCell="B1" zoomScaleNormal="100" workbookViewId="0">
      <selection activeCell="K37" sqref="K37"/>
    </sheetView>
  </sheetViews>
  <sheetFormatPr defaultColWidth="8.5703125" defaultRowHeight="15" x14ac:dyDescent="0.25"/>
  <cols>
    <col min="8" max="8" width="12.140625" customWidth="1"/>
    <col min="11" max="11" width="25.28515625" customWidth="1"/>
    <col min="12" max="12" width="10.140625" customWidth="1"/>
    <col min="14" max="14" width="11.5703125" customWidth="1"/>
  </cols>
  <sheetData>
    <row r="1" spans="8:18" ht="15" customHeight="1" x14ac:dyDescent="0.25">
      <c r="H1" s="826" t="s">
        <v>107</v>
      </c>
      <c r="I1" s="826"/>
      <c r="J1" s="826"/>
      <c r="K1" s="826"/>
      <c r="L1" s="826"/>
      <c r="M1" s="826"/>
      <c r="N1" s="826"/>
      <c r="O1" s="826"/>
      <c r="P1" s="826"/>
      <c r="Q1" s="826"/>
      <c r="R1" s="826"/>
    </row>
    <row r="2" spans="8:18" x14ac:dyDescent="0.25">
      <c r="H2" s="524"/>
      <c r="I2" s="524"/>
      <c r="J2" s="524"/>
      <c r="K2" s="524"/>
      <c r="L2" s="524"/>
      <c r="M2" s="524"/>
      <c r="N2" s="524"/>
      <c r="O2" s="524"/>
      <c r="P2" s="524"/>
      <c r="Q2" s="524"/>
      <c r="R2" s="524"/>
    </row>
    <row r="3" spans="8:18" x14ac:dyDescent="0.25">
      <c r="H3" s="524"/>
      <c r="I3" s="524"/>
      <c r="J3" s="524"/>
      <c r="K3" s="524"/>
      <c r="L3" s="524"/>
      <c r="M3" s="524"/>
      <c r="N3" s="524"/>
      <c r="O3" s="524"/>
      <c r="P3" s="524"/>
      <c r="Q3" s="524"/>
      <c r="R3" s="524"/>
    </row>
    <row r="4" spans="8:18" x14ac:dyDescent="0.25">
      <c r="H4" t="s">
        <v>1356</v>
      </c>
      <c r="I4" s="525" t="s">
        <v>1357</v>
      </c>
      <c r="J4" s="524"/>
      <c r="K4" s="276" t="s">
        <v>1358</v>
      </c>
      <c r="L4" s="524"/>
      <c r="M4" s="524"/>
      <c r="N4" s="524"/>
      <c r="O4" s="524"/>
      <c r="P4" s="524"/>
      <c r="Q4" s="524"/>
      <c r="R4" s="524"/>
    </row>
    <row r="5" spans="8:18" x14ac:dyDescent="0.25">
      <c r="H5" t="s">
        <v>1359</v>
      </c>
      <c r="I5" s="525" t="s">
        <v>1360</v>
      </c>
      <c r="K5" s="276" t="s">
        <v>1361</v>
      </c>
      <c r="N5" t="s">
        <v>1362</v>
      </c>
    </row>
    <row r="6" spans="8:18" x14ac:dyDescent="0.25">
      <c r="H6" t="s">
        <v>1363</v>
      </c>
      <c r="I6" s="525" t="s">
        <v>40</v>
      </c>
      <c r="K6" s="276" t="s">
        <v>1364</v>
      </c>
      <c r="N6" s="728" t="s">
        <v>1360</v>
      </c>
      <c r="O6" s="728"/>
      <c r="P6" s="728"/>
    </row>
    <row r="7" spans="8:18" x14ac:dyDescent="0.25">
      <c r="H7" s="393" t="s">
        <v>1365</v>
      </c>
      <c r="I7" s="526">
        <f>Geometria!L29</f>
        <v>785.0</v>
      </c>
      <c r="J7" t="s">
        <v>35</v>
      </c>
      <c r="K7" s="276" t="s">
        <v>1175</v>
      </c>
      <c r="N7" s="393" t="s">
        <v>1366</v>
      </c>
      <c r="O7" s="360">
        <v>2000</v>
      </c>
      <c r="P7" t="s">
        <v>35</v>
      </c>
    </row>
    <row r="8" spans="8:18" x14ac:dyDescent="0.25">
      <c r="H8" s="393" t="s">
        <v>1367</v>
      </c>
      <c r="I8" s="525">
        <v>918</v>
      </c>
      <c r="J8" t="s">
        <v>35</v>
      </c>
      <c r="K8" s="276" t="s">
        <v>1368</v>
      </c>
      <c r="N8" s="393" t="s">
        <v>1367</v>
      </c>
      <c r="O8" s="360">
        <f>I8</f>
        <v>918.0</v>
      </c>
      <c r="P8" t="s">
        <v>35</v>
      </c>
    </row>
    <row r="9" spans="8:18" x14ac:dyDescent="0.25">
      <c r="H9" s="393" t="s">
        <v>1369</v>
      </c>
      <c r="I9" s="525">
        <v>217</v>
      </c>
      <c r="J9" t="s">
        <v>35</v>
      </c>
      <c r="K9" s="276" t="s">
        <v>1370</v>
      </c>
      <c r="N9" s="393" t="s">
        <v>1369</v>
      </c>
      <c r="O9" s="360">
        <f>I9</f>
        <v>217.0</v>
      </c>
      <c r="P9" t="s">
        <v>35</v>
      </c>
    </row>
    <row r="10" spans="8:18" x14ac:dyDescent="0.25">
      <c r="H10" s="393" t="s">
        <v>1371</v>
      </c>
      <c r="I10" s="360">
        <f>ROUND(I7/I9,0)</f>
        <v>4.0</v>
      </c>
      <c r="J10" t="s">
        <v>8</v>
      </c>
      <c r="K10" s="276" t="s">
        <v>1372</v>
      </c>
      <c r="N10" s="393" t="s">
        <v>1371</v>
      </c>
      <c r="O10" s="360">
        <f>ROUND(O7/O9,0)</f>
        <v>9.0</v>
      </c>
      <c r="P10" t="s">
        <v>8</v>
      </c>
    </row>
    <row r="11" spans="8:18" x14ac:dyDescent="0.25">
      <c r="H11" s="393" t="s">
        <v>1373</v>
      </c>
      <c r="I11" s="525">
        <v>25</v>
      </c>
      <c r="J11" t="s">
        <v>14</v>
      </c>
      <c r="K11" s="276" t="s">
        <v>1374</v>
      </c>
      <c r="N11" s="393" t="s">
        <v>1373</v>
      </c>
      <c r="O11" s="360">
        <f>I11</f>
        <v>25.0</v>
      </c>
      <c r="P11" t="s">
        <v>14</v>
      </c>
    </row>
    <row r="12" spans="8:18" x14ac:dyDescent="0.25">
      <c r="H12" s="393" t="s">
        <v>1375</v>
      </c>
      <c r="I12" s="525">
        <v>10</v>
      </c>
      <c r="J12" t="s">
        <v>14</v>
      </c>
      <c r="K12" s="276" t="s">
        <v>1376</v>
      </c>
      <c r="N12" s="393" t="s">
        <v>1375</v>
      </c>
      <c r="O12" s="360">
        <f>I12</f>
        <v>10.0</v>
      </c>
      <c r="P12" t="s">
        <v>14</v>
      </c>
    </row>
    <row r="13" spans="8:18" x14ac:dyDescent="0.25">
      <c r="H13" s="393" t="s">
        <v>1377</v>
      </c>
      <c r="I13" s="525">
        <v>10</v>
      </c>
      <c r="J13" t="s">
        <v>14</v>
      </c>
      <c r="K13" s="276" t="s">
        <v>1378</v>
      </c>
      <c r="N13" s="393" t="s">
        <v>1377</v>
      </c>
      <c r="O13" s="360">
        <f>I13</f>
        <v>10.0</v>
      </c>
      <c r="P13" t="s">
        <v>14</v>
      </c>
    </row>
    <row r="14" spans="8:18" x14ac:dyDescent="0.25">
      <c r="H14" s="393" t="s">
        <v>1379</v>
      </c>
      <c r="I14" s="525">
        <v>15</v>
      </c>
      <c r="J14" t="s">
        <v>14</v>
      </c>
      <c r="K14" s="276" t="s">
        <v>1380</v>
      </c>
      <c r="N14" s="393" t="s">
        <v>1379</v>
      </c>
      <c r="O14" s="360">
        <f>I14</f>
        <v>15.0</v>
      </c>
      <c r="P14" t="s">
        <v>14</v>
      </c>
    </row>
    <row r="15" spans="8:18" x14ac:dyDescent="0.25">
      <c r="H15" s="393" t="s">
        <v>1381</v>
      </c>
      <c r="I15" s="525">
        <v>55.7</v>
      </c>
      <c r="J15" t="s">
        <v>203</v>
      </c>
      <c r="K15" s="276" t="s">
        <v>1382</v>
      </c>
      <c r="N15" s="393" t="s">
        <v>1381</v>
      </c>
      <c r="O15" s="360">
        <f>I15</f>
        <v>55.7</v>
      </c>
      <c r="P15" t="s">
        <v>203</v>
      </c>
    </row>
    <row r="17" spans="8:18" x14ac:dyDescent="0.25">
      <c r="H17" s="827" t="s">
        <v>1383</v>
      </c>
      <c r="I17" s="827"/>
      <c r="J17" s="827"/>
      <c r="K17" s="827"/>
      <c r="L17" s="827"/>
      <c r="M17" s="827"/>
      <c r="N17" s="827"/>
      <c r="O17" s="827"/>
      <c r="P17" s="827"/>
      <c r="Q17" s="827"/>
      <c r="R17" s="827"/>
    </row>
    <row r="18" spans="8:18" x14ac:dyDescent="0.25">
      <c r="H18" s="1"/>
      <c r="I18" s="1"/>
      <c r="J18" s="1"/>
      <c r="K18" s="1"/>
      <c r="L18" s="1"/>
      <c r="M18" s="1"/>
      <c r="N18" s="1"/>
      <c r="O18" s="1"/>
      <c r="P18" s="1"/>
      <c r="Q18" s="1"/>
      <c r="R18" s="1"/>
    </row>
    <row r="19" spans="8:18" x14ac:dyDescent="0.25">
      <c r="H19" s="393" t="s">
        <v>1384</v>
      </c>
      <c r="I19" s="527">
        <f>IF(I4="1 - Metálica",(((I8/100)*I13)/100),(((I10*(I8/100)*I15)/(I7/100))/100))</f>
        <v>0.9179999999999999</v>
      </c>
      <c r="J19" t="s">
        <v>203</v>
      </c>
      <c r="N19" t="s">
        <v>1384</v>
      </c>
      <c r="O19" s="527">
        <f>IF(I4="1 - Metálica",(((O8/100)*O13)/100),(((O10*(O8/100)*O15)/(O7/100))/100))</f>
        <v>0.9179999999999999</v>
      </c>
      <c r="P19" t="s">
        <v>203</v>
      </c>
      <c r="Q19" s="376">
        <f>(O19*(O7/100))/(Geometria!L68/100)*2</f>
        <v>4.677707006369427</v>
      </c>
      <c r="R19" t="s">
        <v>203</v>
      </c>
    </row>
    <row r="20" spans="8:18" x14ac:dyDescent="0.25">
      <c r="H20" s="393" t="s">
        <v>1385</v>
      </c>
      <c r="I20" s="527">
        <f>((I8/100)*I12)/100</f>
        <v>0.9179999999999999</v>
      </c>
      <c r="J20" t="s">
        <v>203</v>
      </c>
      <c r="N20" t="s">
        <v>1385</v>
      </c>
      <c r="O20" s="527">
        <f>((O8/100)*O12)/100</f>
        <v>0.9179999999999999</v>
      </c>
      <c r="P20" t="s">
        <v>203</v>
      </c>
      <c r="Q20" s="376">
        <f>O20*(O7/100)/(Geometria!L68/100)*2</f>
        <v>4.677707006369427</v>
      </c>
      <c r="R20" t="s">
        <v>203</v>
      </c>
    </row>
    <row r="21" spans="8:18" x14ac:dyDescent="0.25">
      <c r="H21" s="393" t="s">
        <v>1386</v>
      </c>
      <c r="I21" s="527">
        <f>(I14/100)*I8/100</f>
        <v>1.3769999999999998</v>
      </c>
      <c r="J21" t="s">
        <v>203</v>
      </c>
      <c r="N21" t="s">
        <v>1386</v>
      </c>
      <c r="O21" s="527">
        <f>((O8/100)*O14)/100</f>
        <v>1.3769999999999998</v>
      </c>
      <c r="P21" t="s">
        <v>203</v>
      </c>
      <c r="Q21" s="376">
        <f>O21*(O7/100)/(Geometria!L68/100)*2</f>
        <v>7.0165605095541395</v>
      </c>
      <c r="R21" t="s">
        <v>203</v>
      </c>
    </row>
    <row r="22" spans="8:18" x14ac:dyDescent="0.25">
      <c r="H22" s="393" t="s">
        <v>1387</v>
      </c>
      <c r="I22" s="527">
        <f>((I8/100)*I11)/100</f>
        <v>2.295</v>
      </c>
      <c r="J22" t="s">
        <v>203</v>
      </c>
      <c r="N22" t="s">
        <v>1387</v>
      </c>
      <c r="O22" s="527">
        <f>((O8/100)*O11)/100</f>
        <v>2.295</v>
      </c>
      <c r="P22" t="s">
        <v>203</v>
      </c>
      <c r="Q22" s="376">
        <f>O22*(O7/100)/(Geometria!L68/100)*2</f>
        <v>11.694267515923567</v>
      </c>
      <c r="R22" t="s">
        <v>203</v>
      </c>
    </row>
    <row r="23" spans="8:18" x14ac:dyDescent="0.25">
      <c r="H23" s="393" t="s">
        <v>224</v>
      </c>
      <c r="I23" s="527">
        <f>SUM(I19:I22)</f>
        <v>5.507999999999999</v>
      </c>
      <c r="J23" t="s">
        <v>203</v>
      </c>
      <c r="N23" t="s">
        <v>1388</v>
      </c>
      <c r="O23" s="528">
        <v>4.5</v>
      </c>
      <c r="P23" t="s">
        <v>203</v>
      </c>
      <c r="Q23" s="376">
        <f>O23*(O7/100)/(Geometria!L68/100)*2</f>
        <v>22.929936305732486</v>
      </c>
      <c r="R23" t="s">
        <v>203</v>
      </c>
    </row>
    <row r="24" spans="8:18" x14ac:dyDescent="0.25">
      <c r="P24" t="s">
        <v>224</v>
      </c>
      <c r="Q24" s="376">
        <f>SUM(Q19:Q23)</f>
        <v>50.99617834394904</v>
      </c>
    </row>
    <row r="25" spans="8:18" x14ac:dyDescent="0.25">
      <c r="Q25" s="376"/>
    </row>
    <row r="26" spans="8:18" x14ac:dyDescent="0.25">
      <c r="H26" s="827" t="s">
        <v>1389</v>
      </c>
      <c r="I26" s="827"/>
      <c r="J26" s="827"/>
      <c r="K26" s="827"/>
      <c r="L26" s="827"/>
      <c r="M26" s="827"/>
      <c r="N26" s="827"/>
      <c r="O26" s="827"/>
      <c r="P26" s="827"/>
      <c r="Q26" s="827"/>
      <c r="R26" s="827"/>
    </row>
    <row r="28" spans="8:18" x14ac:dyDescent="0.25">
      <c r="H28" t="s">
        <v>1390</v>
      </c>
      <c r="I28" s="525">
        <v>100</v>
      </c>
      <c r="J28" t="s">
        <v>14</v>
      </c>
      <c r="K28" s="46" t="s">
        <v>1391</v>
      </c>
    </row>
    <row r="29" spans="8:18" x14ac:dyDescent="0.25">
      <c r="H29" t="s">
        <v>1392</v>
      </c>
      <c r="I29" s="525">
        <v>0.8</v>
      </c>
      <c r="K29" s="46" t="s">
        <v>1393</v>
      </c>
    </row>
    <row r="30" spans="8:18" x14ac:dyDescent="0.25">
      <c r="H30" t="s">
        <v>1095</v>
      </c>
      <c r="I30" s="527">
        <f>I28*I29*I8/100^2</f>
        <v>7.344</v>
      </c>
      <c r="J30" t="s">
        <v>203</v>
      </c>
      <c r="K30" s="46" t="s">
        <v>1394</v>
      </c>
    </row>
  </sheetData>
  <mergeCells count="4">
    <mergeCell ref="H1:R1"/>
    <mergeCell ref="N6:P6"/>
    <mergeCell ref="H17:R17"/>
    <mergeCell ref="H26:R26"/>
  </mergeCells>
  <dataValidations count="3">
    <dataValidation type="list" allowBlank="1" showInputMessage="1" showErrorMessage="1" sqref="I4" xr:uid="{00000000-0002-0000-0D00-000000000000}">
      <formula1>"1 - Metálica,2 - Concreto"</formula1>
      <formula2>0</formula2>
    </dataValidation>
    <dataValidation type="list" allowBlank="1" showInputMessage="1" showErrorMessage="1" sqref="I5" xr:uid="{00000000-0002-0000-0D00-000001000000}">
      <formula1>"Transição,Cobertura"</formula1>
      <formula2>0</formula2>
    </dataValidation>
    <dataValidation type="list" allowBlank="1" showInputMessage="1" showErrorMessage="1" sqref="I6" xr:uid="{00000000-0002-0000-0D00-000002000000}">
      <formula1>"1 - Sim,2 - Não"</formula1>
      <formula2>0</formula2>
    </dataValidation>
  </dataValidations>
  <pageMargins left="0.51180555555555596" right="0.51180555555555596" top="0.78749999999999998" bottom="0.78749999999999998" header="0.511811023622047" footer="0.511811023622047"/>
  <pageSetup paperSize="9" scale="74"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42"/>
  <sheetViews>
    <sheetView showGridLines="0" view="pageBreakPreview" zoomScale="85" zoomScaleNormal="100" zoomScalePageLayoutView="85" workbookViewId="0">
      <selection activeCell="P34" sqref="P34"/>
    </sheetView>
  </sheetViews>
  <sheetFormatPr defaultColWidth="8.5703125" defaultRowHeight="15" x14ac:dyDescent="0.25"/>
  <sheetData>
    <row r="1" spans="11:21" x14ac:dyDescent="0.25">
      <c r="K1" s="728" t="s">
        <v>1395</v>
      </c>
      <c r="L1" s="728"/>
      <c r="M1" s="728"/>
      <c r="N1" s="728"/>
      <c r="O1" s="728"/>
      <c r="P1" s="728"/>
      <c r="Q1" s="728"/>
      <c r="R1" s="728"/>
      <c r="S1" s="728"/>
      <c r="T1" s="728"/>
      <c r="U1" s="728"/>
    </row>
    <row r="2" spans="11:21" x14ac:dyDescent="0.25">
      <c r="K2">
        <v>1</v>
      </c>
      <c r="L2">
        <v>2</v>
      </c>
      <c r="M2">
        <v>3</v>
      </c>
      <c r="N2">
        <v>4</v>
      </c>
      <c r="O2">
        <v>5</v>
      </c>
      <c r="P2">
        <v>6</v>
      </c>
      <c r="Q2">
        <v>5</v>
      </c>
      <c r="R2">
        <v>4</v>
      </c>
      <c r="S2">
        <v>3</v>
      </c>
      <c r="T2">
        <v>2</v>
      </c>
      <c r="U2">
        <v>1</v>
      </c>
    </row>
    <row r="3" spans="11:21" x14ac:dyDescent="0.25">
      <c r="K3" s="1">
        <f>Geometria!L29/100</f>
        <v>7.85</v>
      </c>
      <c r="L3" s="1">
        <f>($K$3/5)*4</f>
        <v>6.279999999999999</v>
      </c>
      <c r="M3" s="1">
        <f>($K$3/5)*3</f>
        <v>4.709999999999999</v>
      </c>
      <c r="N3" s="1">
        <f>($K$3/5)*2</f>
        <v>3.1399999999999997</v>
      </c>
      <c r="O3" s="1">
        <f>($K$3/5)*1</f>
        <v>1.5699999999999998</v>
      </c>
      <c r="P3" s="1">
        <f>($K$3/5)*0</f>
        <v>0.0</v>
      </c>
      <c r="Q3" s="1">
        <f>($K$3/5)*-1</f>
        <v>-1.5699999999999998</v>
      </c>
      <c r="R3" s="1">
        <f>($K$3/5)*-2</f>
        <v>-3.1399999999999997</v>
      </c>
      <c r="S3" s="1">
        <f>($K$3/5)*-3</f>
        <v>-4.709999999999999</v>
      </c>
      <c r="T3" s="1">
        <f>($K$3/5)*-4</f>
        <v>-6.279999999999999</v>
      </c>
      <c r="U3" s="1">
        <f>($K$3/5)*-5</f>
        <v>-7.85</v>
      </c>
    </row>
    <row r="4" spans="11:21" x14ac:dyDescent="0.25">
      <c r="K4" s="529">
        <f ca="1">((SUM(Geometria!M198:M203)*K3)/2)</f>
        <v>743.047146875</v>
      </c>
      <c r="L4" s="529">
        <f ca="1">((SUM(Geometria!M198:M203)*L3)/2)</f>
        <v>594.4377175</v>
      </c>
      <c r="M4" s="529">
        <f ca="1">((SUM(Geometria!M198:M203)*M3)/2)</f>
        <v>445.8282881249999</v>
      </c>
      <c r="N4" s="529">
        <f ca="1">((SUM(Geometria!M198:M203)*N3)/2)</f>
        <v>297.21885875</v>
      </c>
      <c r="O4" s="529">
        <f ca="1">((SUM(Geometria!M198:M203)*O3)/2)</f>
        <v>148.609429375</v>
      </c>
      <c r="P4" s="529">
        <f ca="1">((SUM(Geometria!M198:M203)*P3)/2)</f>
        <v>0.0</v>
      </c>
      <c r="Q4" s="529">
        <f ca="1">((SUM(Geometria!M198:M203)*Q3)/2)</f>
        <v>-148.609429375</v>
      </c>
      <c r="R4" s="529">
        <f ca="1">((SUM(Geometria!M198:M203)*R3)/2)</f>
        <v>-297.21885875</v>
      </c>
      <c r="S4" s="529">
        <f ca="1">((SUM(Geometria!M198:M203)*S3)/2)</f>
        <v>-445.8282881249999</v>
      </c>
      <c r="T4" s="529">
        <f ca="1">((SUM(Geometria!M198:M203)*T3)/2)</f>
        <v>-594.4377175</v>
      </c>
      <c r="U4" s="529">
        <f ca="1">((SUM(Geometria!M198:M203)*U3)/2)</f>
        <v>-743.047146875</v>
      </c>
    </row>
    <row r="6" spans="11:21" x14ac:dyDescent="0.25">
      <c r="K6">
        <f>K3-K3</f>
        <v>0.0</v>
      </c>
      <c r="L6">
        <f>K3-L3</f>
        <v>1.5700000000000003</v>
      </c>
      <c r="M6">
        <f>L3-M3</f>
        <v>1.5700000000000003</v>
      </c>
      <c r="N6">
        <f>M3-N3</f>
        <v>1.5699999999999994</v>
      </c>
      <c r="O6">
        <f>N3-O3</f>
        <v>1.5699999999999998</v>
      </c>
      <c r="P6">
        <f>O3-P3</f>
        <v>1.5699999999999998</v>
      </c>
      <c r="Q6">
        <f>O6*-1</f>
        <v>-1.5699999999999998</v>
      </c>
      <c r="R6">
        <f>N6*-1</f>
        <v>-1.5699999999999994</v>
      </c>
      <c r="S6">
        <f>M6*-1</f>
        <v>-1.5700000000000003</v>
      </c>
      <c r="T6">
        <f>L6*-1</f>
        <v>-1.5700000000000003</v>
      </c>
      <c r="U6">
        <f>K6*-1</f>
        <v>-0.0</v>
      </c>
    </row>
    <row r="26" spans="10:23" x14ac:dyDescent="0.25">
      <c r="J26" s="828" t="s">
        <v>2138</v>
      </c>
      <c r="K26" s="828"/>
      <c r="L26" s="828"/>
      <c r="M26" s="828"/>
      <c r="N26" s="828"/>
      <c r="O26" s="828"/>
      <c r="P26" s="828"/>
      <c r="Q26" s="828"/>
      <c r="R26" s="828"/>
      <c r="S26" s="828"/>
      <c r="T26" s="828"/>
      <c r="U26" s="828"/>
      <c r="V26" s="828"/>
      <c r="W26" s="828"/>
    </row>
    <row r="27" spans="10:23" x14ac:dyDescent="0.25">
      <c r="J27" s="828"/>
      <c r="K27" s="828"/>
      <c r="L27" s="828"/>
      <c r="M27" s="828"/>
      <c r="N27" s="828"/>
      <c r="O27" s="828"/>
      <c r="P27" s="828"/>
      <c r="Q27" s="828"/>
      <c r="R27" s="828"/>
      <c r="S27" s="828"/>
      <c r="T27" s="828"/>
      <c r="U27" s="828"/>
      <c r="V27" s="828"/>
      <c r="W27" s="828"/>
    </row>
    <row r="29" spans="10:23" x14ac:dyDescent="0.25">
      <c r="K29" t="s">
        <v>2139</v>
      </c>
      <c r="P29">
        <f>(Taxas!J6-Taxas!J8)/2</f>
        <v>42.85</v>
      </c>
    </row>
    <row r="30" spans="10:23" x14ac:dyDescent="0.25">
      <c r="K30" t="s">
        <v>2145</v>
      </c>
      <c r="P30">
        <f ca="1">'Cargas adicionais'!P271</f>
        <v>917.9627621062501</v>
      </c>
    </row>
    <row r="31" spans="10:23" x14ac:dyDescent="0.25">
      <c r="K31" t="s">
        <v>2146</v>
      </c>
      <c r="P31">
        <f ca="1">'Cargas adicionais'!P272</f>
        <v>-917.9627621062497</v>
      </c>
    </row>
    <row r="32" spans="10:23" x14ac:dyDescent="0.25">
      <c r="K32" t="s">
        <v>2147</v>
      </c>
      <c r="P32" t="str">
        <f>Geometria!L34</f>
        <v>Chanfro</v>
      </c>
    </row>
    <row r="33" spans="10:23" x14ac:dyDescent="0.25">
      <c r="K33" t="s">
        <v>2149</v>
      </c>
      <c r="P33">
        <f>MAX(MAX('Cargas adicionais'!$T$185:$T$194),MAX('Cargas adicionais'!$U$185:$U$194))</f>
        <v>1.0</v>
      </c>
    </row>
    <row r="34" spans="10:23" x14ac:dyDescent="0.25">
      <c r="K34" t="s">
        <v>2148</v>
      </c>
      <c r="P34" t="str">
        <f>IF(Geometria!L34="Gerber","NÃO - apoio indireto: usar Vd na face do apoio",IF(SUMPRODUCT((('Cargas adicionais'!$T$185:$T$194&gt;0)*('Cargas adicionais'!$T$185:$T$194&lt;1)+('Cargas adicionais'!$U$185:$U$194&gt;0)*('Cargas adicionais'!$U$185:$U$194&lt;1))*(ABS('Cargas adicionais'!$S$185:$S$194)&gt;0.0001))&gt;0,"SIM - apoio direto (HÁ carga pontual sendo reduzida por a/(2d) agora - ver linha 33)","SIM - apoio direto (NENHUMA carga pontual está sendo reduzida agora - todas estão além de 2d, ou não há cargas cadastradas)"))</f>
        <v>SIM - apoio direto (NENHUMA carga pontual está sendo reduzida agora - todas estão além de 2d, ou não há cargas cadastradas)</v>
      </c>
    </row>
    <row r="36" spans="10:23" ht="20.25" customHeight="1" x14ac:dyDescent="0.25">
      <c r="J36" s="829" t="s">
        <v>2150</v>
      </c>
      <c r="K36" s="829"/>
      <c r="L36" s="829"/>
      <c r="M36" s="829"/>
      <c r="N36" s="829"/>
      <c r="O36" s="829"/>
      <c r="P36" s="829"/>
      <c r="Q36" s="829"/>
      <c r="R36" s="829"/>
      <c r="S36" s="829"/>
      <c r="T36" s="829"/>
      <c r="U36" s="829"/>
      <c r="V36" s="829"/>
      <c r="W36" s="829"/>
    </row>
    <row r="37" spans="10:23" x14ac:dyDescent="0.25">
      <c r="J37" s="829"/>
      <c r="K37" s="829"/>
      <c r="L37" s="829"/>
      <c r="M37" s="829"/>
      <c r="N37" s="829"/>
      <c r="O37" s="829"/>
      <c r="P37" s="829"/>
      <c r="Q37" s="829"/>
      <c r="R37" s="829"/>
      <c r="S37" s="829"/>
      <c r="T37" s="829"/>
      <c r="U37" s="829"/>
      <c r="V37" s="829"/>
      <c r="W37" s="829"/>
    </row>
    <row r="38" spans="10:23" x14ac:dyDescent="0.25">
      <c r="J38" s="829"/>
      <c r="K38" s="829"/>
      <c r="L38" s="829"/>
      <c r="M38" s="829"/>
      <c r="N38" s="829"/>
      <c r="O38" s="829"/>
      <c r="P38" s="829"/>
      <c r="Q38" s="829"/>
      <c r="R38" s="829"/>
      <c r="S38" s="829"/>
      <c r="T38" s="829"/>
      <c r="U38" s="829"/>
      <c r="V38" s="829"/>
      <c r="W38" s="829"/>
    </row>
    <row r="39" spans="10:23" x14ac:dyDescent="0.25">
      <c r="J39" s="829"/>
      <c r="K39" s="829"/>
      <c r="L39" s="829"/>
      <c r="M39" s="829"/>
      <c r="N39" s="829"/>
      <c r="O39" s="829"/>
      <c r="P39" s="829"/>
      <c r="Q39" s="829"/>
      <c r="R39" s="829"/>
      <c r="S39" s="829"/>
      <c r="T39" s="829"/>
      <c r="U39" s="829"/>
      <c r="V39" s="829"/>
      <c r="W39" s="829"/>
    </row>
    <row r="40" spans="10:23" x14ac:dyDescent="0.25">
      <c r="J40" s="829"/>
      <c r="K40" s="829"/>
      <c r="L40" s="829"/>
      <c r="M40" s="829"/>
      <c r="N40" s="829"/>
      <c r="O40" s="829"/>
      <c r="P40" s="829"/>
      <c r="Q40" s="829"/>
      <c r="R40" s="829"/>
      <c r="S40" s="829"/>
      <c r="T40" s="829"/>
      <c r="U40" s="829"/>
      <c r="V40" s="829"/>
      <c r="W40" s="829"/>
    </row>
    <row r="41" spans="10:23" x14ac:dyDescent="0.25">
      <c r="J41" s="829"/>
      <c r="K41" s="829"/>
      <c r="L41" s="829"/>
      <c r="M41" s="829"/>
      <c r="N41" s="829"/>
      <c r="O41" s="829"/>
      <c r="P41" s="829"/>
      <c r="Q41" s="829"/>
      <c r="R41" s="829"/>
      <c r="S41" s="829"/>
      <c r="T41" s="829"/>
      <c r="U41" s="829"/>
      <c r="V41" s="829"/>
      <c r="W41" s="829"/>
    </row>
    <row r="42" spans="10:23" x14ac:dyDescent="0.25">
      <c r="J42" s="829"/>
      <c r="K42" s="829"/>
      <c r="L42" s="829"/>
      <c r="M42" s="829"/>
      <c r="N42" s="829"/>
      <c r="O42" s="829"/>
      <c r="P42" s="829"/>
      <c r="Q42" s="829"/>
      <c r="R42" s="829"/>
      <c r="S42" s="829"/>
      <c r="T42" s="829"/>
      <c r="U42" s="829"/>
      <c r="V42" s="829"/>
      <c r="W42" s="829"/>
    </row>
  </sheetData>
  <mergeCells count="3">
    <mergeCell ref="K1:U1"/>
    <mergeCell ref="J26:W27"/>
    <mergeCell ref="J36:W42"/>
  </mergeCells>
  <pageMargins left="0.51180555555555596" right="0.51180555555555596" top="0.78749999999999998" bottom="0.78749999999999998" header="0.511811023622047" footer="0.511811023622047"/>
  <pageSetup paperSize="9" scale="71"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Q92"/>
  <sheetViews>
    <sheetView showGridLines="0" view="pageBreakPreview" zoomScale="40" zoomScaleNormal="70" zoomScalePageLayoutView="40" workbookViewId="0">
      <selection activeCell="B59" sqref="B59"/>
    </sheetView>
  </sheetViews>
  <sheetFormatPr defaultColWidth="8.5703125" defaultRowHeight="15" x14ac:dyDescent="0.25"/>
  <cols>
    <col min="2" max="2" width="11.42578125" customWidth="1"/>
    <col min="4" max="4" width="14.140625" customWidth="1"/>
    <col min="5" max="6" width="13.140625" customWidth="1"/>
    <col min="12" max="12" width="10.7109375" customWidth="1"/>
    <col min="14" max="14" width="11.7109375" customWidth="1"/>
    <col min="16" max="16" width="11.85546875" customWidth="1"/>
    <col min="24" max="24" width="11.140625" customWidth="1"/>
    <col min="26" max="26" width="13.28515625" customWidth="1"/>
    <col min="34" max="34" width="11.28515625" customWidth="1"/>
    <col min="36" max="36" width="12.140625" customWidth="1"/>
    <col min="37" max="37" width="9.140625" customWidth="1"/>
    <col min="44" max="44" width="11.42578125" customWidth="1"/>
    <col min="46" max="46" width="12.28515625" customWidth="1"/>
    <col min="54" max="54" width="12.5703125" customWidth="1"/>
    <col min="56" max="56" width="13.42578125" customWidth="1"/>
    <col min="64" max="64" width="11" customWidth="1"/>
    <col min="66" max="66" width="13.140625" customWidth="1"/>
  </cols>
  <sheetData>
    <row r="2" spans="1:69" x14ac:dyDescent="0.25">
      <c r="N2" s="834" t="s">
        <v>1396</v>
      </c>
      <c r="O2" s="834"/>
    </row>
    <row r="3" spans="1:69" x14ac:dyDescent="0.25">
      <c r="N3" s="834"/>
      <c r="O3" s="834"/>
    </row>
    <row r="4" spans="1:69" x14ac:dyDescent="0.25">
      <c r="N4" s="834"/>
      <c r="O4" s="834"/>
    </row>
    <row r="6" spans="1:69" x14ac:dyDescent="0.25">
      <c r="A6" s="831" t="s">
        <v>1397</v>
      </c>
      <c r="B6" s="831"/>
      <c r="C6" s="831"/>
      <c r="D6" s="831"/>
      <c r="E6" s="530"/>
      <c r="F6" s="832" t="s">
        <v>1398</v>
      </c>
      <c r="G6" s="832"/>
      <c r="H6" s="832"/>
      <c r="I6" s="832"/>
      <c r="J6" s="1"/>
      <c r="K6" s="831" t="s">
        <v>1397</v>
      </c>
      <c r="L6" s="831"/>
      <c r="M6" s="831"/>
      <c r="N6" s="831"/>
      <c r="O6" s="530"/>
      <c r="P6" s="832" t="s">
        <v>1398</v>
      </c>
      <c r="Q6" s="832"/>
      <c r="R6" s="832"/>
      <c r="S6" s="832"/>
      <c r="T6" s="1"/>
      <c r="U6" s="831" t="s">
        <v>1397</v>
      </c>
      <c r="V6" s="831"/>
      <c r="W6" s="831"/>
      <c r="X6" s="831"/>
      <c r="Y6" s="530"/>
      <c r="Z6" s="832" t="s">
        <v>1398</v>
      </c>
      <c r="AA6" s="832"/>
      <c r="AB6" s="832"/>
      <c r="AC6" s="832"/>
      <c r="AD6" s="1"/>
      <c r="AE6" s="831" t="s">
        <v>1397</v>
      </c>
      <c r="AF6" s="831"/>
      <c r="AG6" s="831"/>
      <c r="AH6" s="831"/>
      <c r="AI6" s="530"/>
      <c r="AJ6" s="832" t="s">
        <v>1398</v>
      </c>
      <c r="AK6" s="832"/>
      <c r="AL6" s="832"/>
      <c r="AM6" s="832"/>
      <c r="AN6" s="1"/>
      <c r="AO6" s="831" t="s">
        <v>1397</v>
      </c>
      <c r="AP6" s="831"/>
      <c r="AQ6" s="831"/>
      <c r="AR6" s="831"/>
      <c r="AS6" s="530"/>
      <c r="AT6" s="832" t="s">
        <v>1398</v>
      </c>
      <c r="AU6" s="832"/>
      <c r="AV6" s="832"/>
      <c r="AW6" s="832"/>
      <c r="AX6" s="1"/>
      <c r="AY6" s="831" t="s">
        <v>1397</v>
      </c>
      <c r="AZ6" s="831"/>
      <c r="BA6" s="831"/>
      <c r="BB6" s="831"/>
      <c r="BC6" s="530"/>
      <c r="BD6" s="832" t="s">
        <v>1398</v>
      </c>
      <c r="BE6" s="832"/>
      <c r="BF6" s="832"/>
      <c r="BG6" s="832"/>
      <c r="BH6" s="1"/>
      <c r="BI6" s="831" t="s">
        <v>1397</v>
      </c>
      <c r="BJ6" s="831"/>
      <c r="BK6" s="831"/>
      <c r="BL6" s="831"/>
      <c r="BM6" s="530"/>
      <c r="BN6" s="832" t="s">
        <v>1398</v>
      </c>
      <c r="BO6" s="832"/>
      <c r="BP6" s="832"/>
      <c r="BQ6" s="832"/>
    </row>
    <row r="7" spans="1:69" ht="18" x14ac:dyDescent="0.35">
      <c r="A7" s="531" t="s">
        <v>1399</v>
      </c>
      <c r="B7" s="532">
        <f ca="1">Geometria!Q290</f>
        <v>1800.0</v>
      </c>
      <c r="C7" s="250" t="s">
        <v>1153</v>
      </c>
      <c r="D7" s="533">
        <f>Geometria!L82</f>
        <v>50.0</v>
      </c>
      <c r="E7" s="530"/>
      <c r="F7" s="534" t="s">
        <v>1400</v>
      </c>
      <c r="G7" s="535" t="s">
        <v>641</v>
      </c>
      <c r="H7" s="535" t="s">
        <v>1401</v>
      </c>
      <c r="I7" s="536" t="s">
        <v>1402</v>
      </c>
      <c r="J7" s="1"/>
      <c r="K7" s="531" t="s">
        <v>1399</v>
      </c>
      <c r="L7" s="532">
        <f ca="1">Geometria!Q290</f>
        <v>1800.0</v>
      </c>
      <c r="M7" s="250" t="s">
        <v>1153</v>
      </c>
      <c r="N7" s="533">
        <f>Geometria!L82</f>
        <v>50.0</v>
      </c>
      <c r="O7" s="530"/>
      <c r="P7" s="534" t="s">
        <v>1400</v>
      </c>
      <c r="Q7" s="535" t="s">
        <v>641</v>
      </c>
      <c r="R7" s="535" t="s">
        <v>1401</v>
      </c>
      <c r="S7" s="536" t="s">
        <v>1402</v>
      </c>
      <c r="T7" s="1"/>
      <c r="U7" s="531" t="s">
        <v>1399</v>
      </c>
      <c r="V7" s="532">
        <f ca="1">Geometria!Q290</f>
        <v>1800.0</v>
      </c>
      <c r="W7" s="250" t="s">
        <v>1153</v>
      </c>
      <c r="X7" s="533">
        <f>Geometria!L82</f>
        <v>50.0</v>
      </c>
      <c r="Y7" s="530"/>
      <c r="Z7" s="534" t="s">
        <v>1400</v>
      </c>
      <c r="AA7" s="535" t="s">
        <v>641</v>
      </c>
      <c r="AB7" s="535" t="s">
        <v>1401</v>
      </c>
      <c r="AC7" s="536" t="s">
        <v>1402</v>
      </c>
      <c r="AD7" s="1"/>
      <c r="AE7" s="531" t="s">
        <v>1399</v>
      </c>
      <c r="AF7" s="532">
        <f ca="1">Geometria!Q290</f>
        <v>1800.0</v>
      </c>
      <c r="AG7" s="250" t="s">
        <v>1153</v>
      </c>
      <c r="AH7" s="533">
        <f>Geometria!L82</f>
        <v>50.0</v>
      </c>
      <c r="AI7" s="530"/>
      <c r="AJ7" s="534" t="s">
        <v>1400</v>
      </c>
      <c r="AK7" s="535" t="s">
        <v>641</v>
      </c>
      <c r="AL7" s="535" t="s">
        <v>1401</v>
      </c>
      <c r="AM7" s="536" t="s">
        <v>1402</v>
      </c>
      <c r="AN7" s="1"/>
      <c r="AO7" s="531" t="s">
        <v>1399</v>
      </c>
      <c r="AP7" s="532">
        <f ca="1">Geometria!Q290</f>
        <v>1800.0</v>
      </c>
      <c r="AQ7" s="250" t="s">
        <v>1153</v>
      </c>
      <c r="AR7" s="533">
        <f>Geometria!L82</f>
        <v>50.0</v>
      </c>
      <c r="AS7" s="530"/>
      <c r="AT7" s="534" t="s">
        <v>1400</v>
      </c>
      <c r="AU7" s="535" t="s">
        <v>641</v>
      </c>
      <c r="AV7" s="535" t="s">
        <v>1401</v>
      </c>
      <c r="AW7" s="536" t="s">
        <v>1402</v>
      </c>
      <c r="AX7" s="1"/>
      <c r="AY7" s="531" t="s">
        <v>1399</v>
      </c>
      <c r="AZ7" s="532">
        <f ca="1">Geometria!Q290</f>
        <v>1800.0</v>
      </c>
      <c r="BA7" s="250" t="s">
        <v>1153</v>
      </c>
      <c r="BB7" s="533">
        <f>Geometria!L82</f>
        <v>50.0</v>
      </c>
      <c r="BC7" s="530"/>
      <c r="BD7" s="534" t="s">
        <v>1400</v>
      </c>
      <c r="BE7" s="535" t="s">
        <v>641</v>
      </c>
      <c r="BF7" s="535" t="s">
        <v>1401</v>
      </c>
      <c r="BG7" s="536" t="s">
        <v>1402</v>
      </c>
      <c r="BH7" s="1"/>
      <c r="BI7" s="531" t="s">
        <v>1399</v>
      </c>
      <c r="BJ7" s="532">
        <f ca="1">Geometria!Q290</f>
        <v>1800.0</v>
      </c>
      <c r="BK7" s="250" t="s">
        <v>1153</v>
      </c>
      <c r="BL7" s="533">
        <f>Geometria!L82</f>
        <v>50.0</v>
      </c>
      <c r="BM7" s="530"/>
      <c r="BN7" s="534" t="s">
        <v>1400</v>
      </c>
      <c r="BO7" s="535" t="s">
        <v>641</v>
      </c>
      <c r="BP7" s="535" t="s">
        <v>1401</v>
      </c>
      <c r="BQ7" s="536" t="s">
        <v>1402</v>
      </c>
    </row>
    <row r="8" spans="1:69" ht="18" x14ac:dyDescent="0.35">
      <c r="A8" s="537" t="s">
        <v>1403</v>
      </c>
      <c r="B8" s="538">
        <f>Geometria!Q291</f>
        <v>201.62277660168377</v>
      </c>
      <c r="C8" s="50" t="s">
        <v>1404</v>
      </c>
      <c r="D8" s="539" t="str">
        <f>Geometria!L86</f>
        <v>CPV-ARI</v>
      </c>
      <c r="E8" s="530"/>
      <c r="F8" s="540" t="s">
        <v>174</v>
      </c>
      <c r="G8" s="541">
        <v>0.25</v>
      </c>
      <c r="H8" s="541">
        <v>2</v>
      </c>
      <c r="I8" s="539">
        <v>1</v>
      </c>
      <c r="J8" s="1"/>
      <c r="K8" s="537" t="s">
        <v>1403</v>
      </c>
      <c r="L8" s="538">
        <f>Geometria!Q291</f>
        <v>201.62277660168377</v>
      </c>
      <c r="M8" s="50" t="s">
        <v>1404</v>
      </c>
      <c r="N8" s="539" t="str">
        <f>D8</f>
        <v>CPV-ARI</v>
      </c>
      <c r="O8" s="530"/>
      <c r="P8" s="540" t="s">
        <v>174</v>
      </c>
      <c r="Q8" s="541">
        <v>0.25</v>
      </c>
      <c r="R8" s="541">
        <v>2</v>
      </c>
      <c r="S8" s="539">
        <v>1</v>
      </c>
      <c r="T8" s="1"/>
      <c r="U8" s="537" t="s">
        <v>1403</v>
      </c>
      <c r="V8" s="538">
        <f>Geometria!Q291</f>
        <v>201.62277660168377</v>
      </c>
      <c r="W8" s="50" t="s">
        <v>1404</v>
      </c>
      <c r="X8" s="539" t="str">
        <f>N8</f>
        <v>CPV-ARI</v>
      </c>
      <c r="Y8" s="530"/>
      <c r="Z8" s="540" t="s">
        <v>174</v>
      </c>
      <c r="AA8" s="541">
        <v>0.25</v>
      </c>
      <c r="AB8" s="541">
        <v>2</v>
      </c>
      <c r="AC8" s="539">
        <v>1</v>
      </c>
      <c r="AD8" s="1"/>
      <c r="AE8" s="537" t="s">
        <v>1403</v>
      </c>
      <c r="AF8" s="538">
        <f>Geometria!Q291</f>
        <v>201.62277660168377</v>
      </c>
      <c r="AG8" s="50" t="s">
        <v>1404</v>
      </c>
      <c r="AH8" s="539" t="str">
        <f>X8</f>
        <v>CPV-ARI</v>
      </c>
      <c r="AI8" s="530"/>
      <c r="AJ8" s="540" t="s">
        <v>174</v>
      </c>
      <c r="AK8" s="541">
        <v>0.25</v>
      </c>
      <c r="AL8" s="541">
        <v>2</v>
      </c>
      <c r="AM8" s="539">
        <v>1</v>
      </c>
      <c r="AN8" s="1"/>
      <c r="AO8" s="537" t="s">
        <v>1403</v>
      </c>
      <c r="AP8" s="538">
        <f>Geometria!Q291</f>
        <v>201.62277660168377</v>
      </c>
      <c r="AQ8" s="50" t="s">
        <v>1404</v>
      </c>
      <c r="AR8" s="539" t="str">
        <f>AH8</f>
        <v>CPV-ARI</v>
      </c>
      <c r="AS8" s="530"/>
      <c r="AT8" s="540" t="s">
        <v>174</v>
      </c>
      <c r="AU8" s="541">
        <v>0.25</v>
      </c>
      <c r="AV8" s="541">
        <v>2</v>
      </c>
      <c r="AW8" s="539">
        <v>1</v>
      </c>
      <c r="AX8" s="1"/>
      <c r="AY8" s="537" t="s">
        <v>1403</v>
      </c>
      <c r="AZ8" s="538">
        <f>Geometria!Q291</f>
        <v>201.62277660168377</v>
      </c>
      <c r="BA8" s="50" t="s">
        <v>1404</v>
      </c>
      <c r="BB8" s="539" t="str">
        <f>AR8</f>
        <v>CPV-ARI</v>
      </c>
      <c r="BC8" s="530"/>
      <c r="BD8" s="540" t="s">
        <v>174</v>
      </c>
      <c r="BE8" s="541">
        <v>0.25</v>
      </c>
      <c r="BF8" s="541">
        <v>2</v>
      </c>
      <c r="BG8" s="539">
        <v>1</v>
      </c>
      <c r="BH8" s="1"/>
      <c r="BI8" s="537" t="s">
        <v>1403</v>
      </c>
      <c r="BJ8" s="538">
        <f>Geometria!Q291</f>
        <v>201.62277660168377</v>
      </c>
      <c r="BK8" s="50" t="s">
        <v>1404</v>
      </c>
      <c r="BL8" s="539" t="str">
        <f>BB8</f>
        <v>CPV-ARI</v>
      </c>
      <c r="BM8" s="530"/>
      <c r="BN8" s="540" t="s">
        <v>174</v>
      </c>
      <c r="BO8" s="541">
        <v>0.25</v>
      </c>
      <c r="BP8" s="541">
        <v>2</v>
      </c>
      <c r="BQ8" s="539">
        <v>1</v>
      </c>
    </row>
    <row r="9" spans="1:69" ht="18" x14ac:dyDescent="0.35">
      <c r="A9" s="542" t="s">
        <v>1405</v>
      </c>
      <c r="B9" s="543">
        <f>Geometria!$L$330</f>
        <v>70.0</v>
      </c>
      <c r="C9" s="544" t="s">
        <v>1406</v>
      </c>
      <c r="D9" s="545">
        <f>Geometria!$M$332</f>
        <v>1.0</v>
      </c>
      <c r="E9" s="1"/>
      <c r="F9" s="540" t="s">
        <v>1407</v>
      </c>
      <c r="G9" s="541">
        <v>0.38</v>
      </c>
      <c r="H9" s="541">
        <v>1</v>
      </c>
      <c r="I9" s="539">
        <v>1</v>
      </c>
      <c r="J9" s="1"/>
      <c r="K9" s="542" t="s">
        <v>1405</v>
      </c>
      <c r="L9" s="543">
        <f>Geometria!$L$330</f>
        <v>70.0</v>
      </c>
      <c r="M9" s="544" t="s">
        <v>1406</v>
      </c>
      <c r="N9" s="545">
        <v>5</v>
      </c>
      <c r="O9" s="1"/>
      <c r="P9" s="540" t="s">
        <v>1407</v>
      </c>
      <c r="Q9" s="541">
        <v>0.38</v>
      </c>
      <c r="R9" s="541">
        <v>1</v>
      </c>
      <c r="S9" s="539">
        <v>1</v>
      </c>
      <c r="T9" s="1"/>
      <c r="U9" s="542" t="s">
        <v>1405</v>
      </c>
      <c r="V9" s="543">
        <f>Geometria!$L$330</f>
        <v>70.0</v>
      </c>
      <c r="W9" s="544" t="s">
        <v>1406</v>
      </c>
      <c r="X9" s="545">
        <f>Geometria!$M$334</f>
        <v>15.0</v>
      </c>
      <c r="Y9" s="1"/>
      <c r="Z9" s="540" t="s">
        <v>1407</v>
      </c>
      <c r="AA9" s="541">
        <v>0.38</v>
      </c>
      <c r="AB9" s="541">
        <v>1</v>
      </c>
      <c r="AC9" s="539">
        <v>1</v>
      </c>
      <c r="AD9" s="1"/>
      <c r="AE9" s="542" t="s">
        <v>1405</v>
      </c>
      <c r="AF9" s="543">
        <f>Geometria!$L$330</f>
        <v>70.0</v>
      </c>
      <c r="AG9" s="544" t="s">
        <v>1406</v>
      </c>
      <c r="AH9" s="545">
        <f>Geometria!$M$335</f>
        <v>30.0</v>
      </c>
      <c r="AI9" s="1"/>
      <c r="AJ9" s="540" t="s">
        <v>1407</v>
      </c>
      <c r="AK9" s="541">
        <v>0.38</v>
      </c>
      <c r="AL9" s="541">
        <v>1</v>
      </c>
      <c r="AM9" s="539">
        <v>1</v>
      </c>
      <c r="AN9" s="1"/>
      <c r="AO9" s="542" t="s">
        <v>1405</v>
      </c>
      <c r="AP9" s="543">
        <f>Geometria!$L$330</f>
        <v>70.0</v>
      </c>
      <c r="AQ9" s="544" t="s">
        <v>1406</v>
      </c>
      <c r="AR9" s="545">
        <f>Geometria!$M$336</f>
        <v>45.0</v>
      </c>
      <c r="AS9" s="1"/>
      <c r="AT9" s="540" t="s">
        <v>1407</v>
      </c>
      <c r="AU9" s="541">
        <v>0.38</v>
      </c>
      <c r="AV9" s="541">
        <v>1</v>
      </c>
      <c r="AW9" s="539">
        <v>1</v>
      </c>
      <c r="AX9" s="1"/>
      <c r="AY9" s="542" t="s">
        <v>1405</v>
      </c>
      <c r="AZ9" s="543">
        <f>Geometria!$L$330</f>
        <v>70.0</v>
      </c>
      <c r="BA9" s="544" t="s">
        <v>1406</v>
      </c>
      <c r="BB9" s="545">
        <f>Geometria!$M$337</f>
        <v>60.0</v>
      </c>
      <c r="BC9" s="1"/>
      <c r="BD9" s="540" t="s">
        <v>1407</v>
      </c>
      <c r="BE9" s="541">
        <v>0.38</v>
      </c>
      <c r="BF9" s="541">
        <v>1</v>
      </c>
      <c r="BG9" s="539">
        <v>1</v>
      </c>
      <c r="BH9" s="1"/>
      <c r="BI9" s="542" t="s">
        <v>1405</v>
      </c>
      <c r="BJ9" s="543">
        <f>Geometria!$L$330</f>
        <v>70.0</v>
      </c>
      <c r="BK9" s="544" t="s">
        <v>1406</v>
      </c>
      <c r="BL9" s="545">
        <f>Geometria!$M$338</f>
        <v>75.0</v>
      </c>
      <c r="BM9" s="1"/>
      <c r="BN9" s="540" t="s">
        <v>1407</v>
      </c>
      <c r="BO9" s="541">
        <v>0.38</v>
      </c>
      <c r="BP9" s="541">
        <v>1</v>
      </c>
      <c r="BQ9" s="539">
        <v>1</v>
      </c>
    </row>
    <row r="10" spans="1:69" ht="18" x14ac:dyDescent="0.35">
      <c r="A10" s="537" t="s">
        <v>1408</v>
      </c>
      <c r="B10" s="546">
        <f>Geometria!$L$340</f>
        <v>20.0</v>
      </c>
      <c r="C10" s="50" t="s">
        <v>1409</v>
      </c>
      <c r="D10" s="545">
        <v>10000</v>
      </c>
      <c r="E10" s="1"/>
      <c r="F10" s="547" t="s">
        <v>171</v>
      </c>
      <c r="G10" s="548">
        <v>0.2</v>
      </c>
      <c r="H10" s="548">
        <v>3</v>
      </c>
      <c r="I10" s="549">
        <v>1</v>
      </c>
      <c r="J10" s="1"/>
      <c r="K10" s="537" t="s">
        <v>1408</v>
      </c>
      <c r="L10" s="546">
        <f>Geometria!$L$340</f>
        <v>20.0</v>
      </c>
      <c r="M10" s="50" t="s">
        <v>1409</v>
      </c>
      <c r="N10" s="545">
        <v>10000</v>
      </c>
      <c r="O10" s="1"/>
      <c r="P10" s="547" t="s">
        <v>171</v>
      </c>
      <c r="Q10" s="548">
        <v>0.2</v>
      </c>
      <c r="R10" s="548">
        <v>3</v>
      </c>
      <c r="S10" s="549">
        <v>1</v>
      </c>
      <c r="T10" s="1"/>
      <c r="U10" s="537" t="s">
        <v>1408</v>
      </c>
      <c r="V10" s="546">
        <f>Geometria!$L$340</f>
        <v>20.0</v>
      </c>
      <c r="W10" s="50" t="s">
        <v>1409</v>
      </c>
      <c r="X10" s="545">
        <v>10000</v>
      </c>
      <c r="Y10" s="1"/>
      <c r="Z10" s="547" t="s">
        <v>171</v>
      </c>
      <c r="AA10" s="548">
        <v>0.2</v>
      </c>
      <c r="AB10" s="548">
        <v>3</v>
      </c>
      <c r="AC10" s="549">
        <v>1</v>
      </c>
      <c r="AD10" s="1"/>
      <c r="AE10" s="537" t="s">
        <v>1408</v>
      </c>
      <c r="AF10" s="546">
        <f>Geometria!$L$340</f>
        <v>20.0</v>
      </c>
      <c r="AG10" s="50" t="s">
        <v>1409</v>
      </c>
      <c r="AH10" s="545">
        <v>10000</v>
      </c>
      <c r="AI10" s="1"/>
      <c r="AJ10" s="547" t="s">
        <v>171</v>
      </c>
      <c r="AK10" s="548">
        <v>0.2</v>
      </c>
      <c r="AL10" s="548">
        <v>3</v>
      </c>
      <c r="AM10" s="549">
        <v>1</v>
      </c>
      <c r="AN10" s="1"/>
      <c r="AO10" s="537" t="s">
        <v>1408</v>
      </c>
      <c r="AP10" s="546">
        <f>Geometria!$L$340</f>
        <v>20.0</v>
      </c>
      <c r="AQ10" s="50" t="s">
        <v>1409</v>
      </c>
      <c r="AR10" s="545">
        <v>10000</v>
      </c>
      <c r="AS10" s="1"/>
      <c r="AT10" s="547" t="s">
        <v>171</v>
      </c>
      <c r="AU10" s="548">
        <v>0.2</v>
      </c>
      <c r="AV10" s="548">
        <v>3</v>
      </c>
      <c r="AW10" s="549">
        <v>1</v>
      </c>
      <c r="AX10" s="1"/>
      <c r="AY10" s="537" t="s">
        <v>1408</v>
      </c>
      <c r="AZ10" s="546">
        <f>Geometria!$L$340</f>
        <v>20.0</v>
      </c>
      <c r="BA10" s="50" t="s">
        <v>1409</v>
      </c>
      <c r="BB10" s="545">
        <v>10000</v>
      </c>
      <c r="BC10" s="1"/>
      <c r="BD10" s="547" t="s">
        <v>171</v>
      </c>
      <c r="BE10" s="548">
        <v>0.2</v>
      </c>
      <c r="BF10" s="548">
        <v>3</v>
      </c>
      <c r="BG10" s="549">
        <v>1</v>
      </c>
      <c r="BH10" s="1"/>
      <c r="BI10" s="537" t="s">
        <v>1408</v>
      </c>
      <c r="BJ10" s="546">
        <f>Geometria!$L$340</f>
        <v>20.0</v>
      </c>
      <c r="BK10" s="50" t="s">
        <v>1409</v>
      </c>
      <c r="BL10" s="545">
        <v>10000</v>
      </c>
      <c r="BM10" s="1"/>
      <c r="BN10" s="547" t="s">
        <v>171</v>
      </c>
      <c r="BO10" s="548">
        <v>0.2</v>
      </c>
      <c r="BP10" s="548">
        <v>3</v>
      </c>
      <c r="BQ10" s="549">
        <v>1</v>
      </c>
    </row>
    <row r="11" spans="1:69" x14ac:dyDescent="0.25">
      <c r="A11" s="550" t="s">
        <v>1410</v>
      </c>
      <c r="B11" s="551">
        <f>Geometria!$L$341</f>
        <v>15.0</v>
      </c>
      <c r="C11" s="552"/>
      <c r="D11" s="553"/>
      <c r="E11" s="1"/>
      <c r="F11" s="1"/>
      <c r="G11" s="1"/>
      <c r="H11" s="1"/>
      <c r="I11" s="1"/>
      <c r="J11" s="1"/>
      <c r="K11" s="550" t="s">
        <v>1410</v>
      </c>
      <c r="L11" s="551">
        <f>Geometria!$L$341</f>
        <v>15.0</v>
      </c>
      <c r="M11" s="552"/>
      <c r="N11" s="553"/>
      <c r="O11" s="1"/>
      <c r="P11" s="1"/>
      <c r="Q11" s="1"/>
      <c r="R11" s="1"/>
      <c r="S11" s="1"/>
      <c r="T11" s="1"/>
      <c r="U11" s="550" t="s">
        <v>1410</v>
      </c>
      <c r="V11" s="551">
        <f>Geometria!$L$341</f>
        <v>15.0</v>
      </c>
      <c r="W11" s="552"/>
      <c r="X11" s="553"/>
      <c r="Y11" s="1"/>
      <c r="Z11" s="1"/>
      <c r="AA11" s="1"/>
      <c r="AB11" s="1"/>
      <c r="AC11" s="1"/>
      <c r="AD11" s="1"/>
      <c r="AE11" s="550" t="s">
        <v>1410</v>
      </c>
      <c r="AF11" s="551">
        <f>V11</f>
        <v>15.0</v>
      </c>
      <c r="AG11" s="552"/>
      <c r="AH11" s="553"/>
      <c r="AI11" s="1"/>
      <c r="AJ11" s="1"/>
      <c r="AK11" s="1"/>
      <c r="AL11" s="1"/>
      <c r="AM11" s="1"/>
      <c r="AN11" s="1"/>
      <c r="AO11" s="550" t="s">
        <v>1410</v>
      </c>
      <c r="AP11" s="551">
        <f>AF11</f>
        <v>15.0</v>
      </c>
      <c r="AQ11" s="552"/>
      <c r="AR11" s="553"/>
      <c r="AS11" s="1"/>
      <c r="AT11" s="1"/>
      <c r="AU11" s="1"/>
      <c r="AV11" s="1"/>
      <c r="AW11" s="1"/>
      <c r="AX11" s="1"/>
      <c r="AY11" s="550" t="s">
        <v>1410</v>
      </c>
      <c r="AZ11" s="551">
        <f>AP11</f>
        <v>15.0</v>
      </c>
      <c r="BA11" s="552"/>
      <c r="BB11" s="553"/>
      <c r="BC11" s="1"/>
      <c r="BD11" s="1"/>
      <c r="BE11" s="1"/>
      <c r="BF11" s="1"/>
      <c r="BG11" s="1"/>
      <c r="BH11" s="1"/>
      <c r="BI11" s="550" t="s">
        <v>1410</v>
      </c>
      <c r="BJ11" s="551">
        <f>AZ11</f>
        <v>15.0</v>
      </c>
      <c r="BK11" s="552"/>
      <c r="BL11" s="553"/>
      <c r="BM11" s="1"/>
      <c r="BN11" s="1"/>
      <c r="BO11" s="1"/>
      <c r="BP11" s="1"/>
      <c r="BQ11" s="1"/>
    </row>
    <row r="12" spans="1:69" x14ac:dyDescent="0.25">
      <c r="A12" s="833" t="s">
        <v>1411</v>
      </c>
      <c r="B12" s="833"/>
      <c r="C12" s="831" t="s">
        <v>1412</v>
      </c>
      <c r="D12" s="831"/>
      <c r="E12" s="518"/>
      <c r="F12" s="518"/>
      <c r="G12" s="518"/>
      <c r="H12" s="1"/>
      <c r="I12" s="530"/>
      <c r="J12" s="530"/>
      <c r="K12" s="833" t="s">
        <v>1411</v>
      </c>
      <c r="L12" s="833"/>
      <c r="M12" s="831" t="s">
        <v>1412</v>
      </c>
      <c r="N12" s="831"/>
      <c r="O12" s="518"/>
      <c r="P12" s="518"/>
      <c r="Q12" s="518"/>
      <c r="R12" s="1"/>
      <c r="S12" s="530"/>
      <c r="T12" s="530"/>
      <c r="U12" s="833" t="s">
        <v>1411</v>
      </c>
      <c r="V12" s="833"/>
      <c r="W12" s="831" t="s">
        <v>1412</v>
      </c>
      <c r="X12" s="831"/>
      <c r="Y12" s="518"/>
      <c r="Z12" s="518"/>
      <c r="AA12" s="518"/>
      <c r="AB12" s="1"/>
      <c r="AC12" s="530"/>
      <c r="AD12" s="530"/>
      <c r="AE12" s="833" t="s">
        <v>1411</v>
      </c>
      <c r="AF12" s="833"/>
      <c r="AG12" s="831" t="s">
        <v>1412</v>
      </c>
      <c r="AH12" s="831"/>
      <c r="AI12" s="518"/>
      <c r="AJ12" s="518"/>
      <c r="AK12" s="518"/>
      <c r="AL12" s="1"/>
      <c r="AM12" s="530"/>
      <c r="AN12" s="530"/>
      <c r="AO12" s="833" t="s">
        <v>1411</v>
      </c>
      <c r="AP12" s="833"/>
      <c r="AQ12" s="831" t="s">
        <v>1412</v>
      </c>
      <c r="AR12" s="831"/>
      <c r="AS12" s="518"/>
      <c r="AT12" s="518"/>
      <c r="AU12" s="518"/>
      <c r="AV12" s="1"/>
      <c r="AW12" s="530"/>
      <c r="AX12" s="530"/>
      <c r="AY12" s="833" t="s">
        <v>1411</v>
      </c>
      <c r="AZ12" s="833"/>
      <c r="BA12" s="831" t="s">
        <v>1412</v>
      </c>
      <c r="BB12" s="831"/>
      <c r="BC12" s="518"/>
      <c r="BD12" s="518"/>
      <c r="BE12" s="518"/>
      <c r="BF12" s="1"/>
      <c r="BG12" s="530"/>
      <c r="BH12" s="530"/>
      <c r="BI12" s="833" t="s">
        <v>1411</v>
      </c>
      <c r="BJ12" s="833"/>
      <c r="BK12" s="831" t="s">
        <v>1412</v>
      </c>
      <c r="BL12" s="831"/>
      <c r="BM12" s="518"/>
      <c r="BN12" s="518"/>
      <c r="BO12" s="518"/>
      <c r="BP12" s="1"/>
      <c r="BQ12" s="530"/>
    </row>
    <row r="13" spans="1:69" ht="16.5" x14ac:dyDescent="0.3">
      <c r="A13" s="830" t="s">
        <v>1413</v>
      </c>
      <c r="B13" s="830"/>
      <c r="C13" s="554" t="s">
        <v>1414</v>
      </c>
      <c r="D13" s="555">
        <f>D14*0.75</f>
        <v>-0.0003732798331817082</v>
      </c>
      <c r="E13" s="1"/>
      <c r="F13" s="530"/>
      <c r="G13" s="530"/>
      <c r="H13" s="1"/>
      <c r="I13" s="530"/>
      <c r="J13" s="530"/>
      <c r="K13" s="830" t="s">
        <v>1413</v>
      </c>
      <c r="L13" s="830"/>
      <c r="M13" s="554" t="s">
        <v>1414</v>
      </c>
      <c r="N13" s="555">
        <f>N14*0.75</f>
        <v>-0.0003732798331817082</v>
      </c>
      <c r="O13" s="1"/>
      <c r="P13" s="530"/>
      <c r="Q13" s="530"/>
      <c r="R13" s="1"/>
      <c r="S13" s="530"/>
      <c r="T13" s="530"/>
      <c r="U13" s="830" t="s">
        <v>1413</v>
      </c>
      <c r="V13" s="830"/>
      <c r="W13" s="554" t="s">
        <v>1414</v>
      </c>
      <c r="X13" s="555">
        <f>X14*0.75</f>
        <v>-0.0003732798331817082</v>
      </c>
      <c r="Y13" s="1"/>
      <c r="Z13" s="530"/>
      <c r="AA13" s="530"/>
      <c r="AB13" s="1"/>
      <c r="AC13" s="530"/>
      <c r="AD13" s="530"/>
      <c r="AE13" s="830" t="s">
        <v>1413</v>
      </c>
      <c r="AF13" s="830"/>
      <c r="AG13" s="554" t="s">
        <v>1414</v>
      </c>
      <c r="AH13" s="555">
        <f>AH14*0.75</f>
        <v>-0.0003732798331817082</v>
      </c>
      <c r="AI13" s="1"/>
      <c r="AJ13" s="530"/>
      <c r="AK13" s="530"/>
      <c r="AL13" s="1"/>
      <c r="AM13" s="530"/>
      <c r="AN13" s="530"/>
      <c r="AO13" s="830" t="s">
        <v>1413</v>
      </c>
      <c r="AP13" s="830"/>
      <c r="AQ13" s="554" t="s">
        <v>1414</v>
      </c>
      <c r="AR13" s="555">
        <f>AR14*0.75</f>
        <v>-0.0003732798331817082</v>
      </c>
      <c r="AS13" s="1"/>
      <c r="AT13" s="530"/>
      <c r="AU13" s="530"/>
      <c r="AV13" s="1"/>
      <c r="AW13" s="530"/>
      <c r="AX13" s="530"/>
      <c r="AY13" s="830" t="s">
        <v>1413</v>
      </c>
      <c r="AZ13" s="830"/>
      <c r="BA13" s="554" t="s">
        <v>1414</v>
      </c>
      <c r="BB13" s="555">
        <f>BB14*0.75</f>
        <v>-0.0003732798331817082</v>
      </c>
      <c r="BC13" s="1"/>
      <c r="BD13" s="530"/>
      <c r="BE13" s="530"/>
      <c r="BF13" s="1"/>
      <c r="BG13" s="530"/>
      <c r="BH13" s="530"/>
      <c r="BI13" s="830" t="s">
        <v>1413</v>
      </c>
      <c r="BJ13" s="830"/>
      <c r="BK13" s="554" t="s">
        <v>1414</v>
      </c>
      <c r="BL13" s="555">
        <f>BL14*0.75</f>
        <v>-0.0003732798331817082</v>
      </c>
      <c r="BM13" s="1"/>
      <c r="BN13" s="530"/>
      <c r="BO13" s="530"/>
      <c r="BP13" s="1"/>
      <c r="BQ13" s="530"/>
    </row>
    <row r="14" spans="1:69" ht="16.5" x14ac:dyDescent="0.3">
      <c r="A14" s="556" t="s">
        <v>1415</v>
      </c>
      <c r="B14" s="557">
        <f>VLOOKUP(D8,F8:I10,3,FALSE())</f>
        <v>3.0</v>
      </c>
      <c r="C14" s="558" t="s">
        <v>1416</v>
      </c>
      <c r="D14" s="559">
        <f>(-8.09+(B9/15)-(B9^2/2284)-(B9^3/133765)+(B9^4/7608150))*10^-4</f>
        <v>-0.0004977064442422776</v>
      </c>
      <c r="E14" s="1"/>
      <c r="F14" s="530"/>
      <c r="G14" s="530"/>
      <c r="H14" s="1"/>
      <c r="I14" s="530"/>
      <c r="J14" s="530"/>
      <c r="K14" s="556" t="s">
        <v>1415</v>
      </c>
      <c r="L14" s="557">
        <f>VLOOKUP(N8,P8:S10,3,FALSE())</f>
        <v>3.0</v>
      </c>
      <c r="M14" s="558" t="s">
        <v>1416</v>
      </c>
      <c r="N14" s="559">
        <f>(-8.09+(L9/15)-(L9^2/2284)-(L9^3/133765)+(L9^4/7608150))*10^-4</f>
        <v>-0.0004977064442422776</v>
      </c>
      <c r="O14" s="1"/>
      <c r="P14" s="530"/>
      <c r="Q14" s="530"/>
      <c r="R14" s="1"/>
      <c r="S14" s="530"/>
      <c r="T14" s="530"/>
      <c r="U14" s="556" t="s">
        <v>1415</v>
      </c>
      <c r="V14" s="557">
        <f>VLOOKUP(X8,Z8:AC10,3,FALSE())</f>
        <v>3.0</v>
      </c>
      <c r="W14" s="558" t="s">
        <v>1416</v>
      </c>
      <c r="X14" s="559">
        <f>(-8.09+(V9/15)-(V9^2/2284)-(V9^3/133765)+(V9^4/7608150))*10^-4</f>
        <v>-0.0004977064442422776</v>
      </c>
      <c r="Y14" s="1"/>
      <c r="Z14" s="530"/>
      <c r="AA14" s="530"/>
      <c r="AB14" s="1"/>
      <c r="AC14" s="530"/>
      <c r="AD14" s="530"/>
      <c r="AE14" s="556" t="s">
        <v>1415</v>
      </c>
      <c r="AF14" s="557">
        <f>VLOOKUP(AH8,AJ8:AM10,3,FALSE())</f>
        <v>3.0</v>
      </c>
      <c r="AG14" s="558" t="s">
        <v>1416</v>
      </c>
      <c r="AH14" s="559">
        <f>(-8.09+(AF9/15)-(AF9^2/2284)-(AF9^3/133765)+(AF9^4/7608150))*10^-4</f>
        <v>-0.0004977064442422776</v>
      </c>
      <c r="AI14" s="1"/>
      <c r="AJ14" s="530"/>
      <c r="AK14" s="530"/>
      <c r="AL14" s="1"/>
      <c r="AM14" s="530"/>
      <c r="AN14" s="530"/>
      <c r="AO14" s="556" t="s">
        <v>1415</v>
      </c>
      <c r="AP14" s="557">
        <f>VLOOKUP(AR8,AT8:AW10,3,FALSE())</f>
        <v>3.0</v>
      </c>
      <c r="AQ14" s="558" t="s">
        <v>1416</v>
      </c>
      <c r="AR14" s="559">
        <f>(-8.09+(AP9/15)-(AP9^2/2284)-(AP9^3/133765)+(AP9^4/7608150))*10^-4</f>
        <v>-0.0004977064442422776</v>
      </c>
      <c r="AS14" s="1"/>
      <c r="AT14" s="530"/>
      <c r="AU14" s="530"/>
      <c r="AV14" s="1"/>
      <c r="AW14" s="530"/>
      <c r="AX14" s="530"/>
      <c r="AY14" s="556" t="s">
        <v>1415</v>
      </c>
      <c r="AZ14" s="557">
        <f>VLOOKUP(BB8,BD8:BG10,3,FALSE())</f>
        <v>3.0</v>
      </c>
      <c r="BA14" s="558" t="s">
        <v>1416</v>
      </c>
      <c r="BB14" s="559">
        <f>(-8.09+(AZ9/15)-(AZ9^2/2284)-(AZ9^3/133765)+(AZ9^4/7608150))*10^-4</f>
        <v>-0.0004977064442422776</v>
      </c>
      <c r="BC14" s="1"/>
      <c r="BD14" s="530"/>
      <c r="BE14" s="530"/>
      <c r="BF14" s="1"/>
      <c r="BG14" s="530"/>
      <c r="BH14" s="530"/>
      <c r="BI14" s="556" t="s">
        <v>1415</v>
      </c>
      <c r="BJ14" s="557">
        <f>VLOOKUP(BL8,BN8:BQ10,3,FALSE())</f>
        <v>3.0</v>
      </c>
      <c r="BK14" s="558" t="s">
        <v>1416</v>
      </c>
      <c r="BL14" s="559">
        <f>(-8.09+(BJ9/15)-(BJ9^2/2284)-(BJ9^3/133765)+(BJ9^4/7608150))*10^-4</f>
        <v>-0.0004977064442422776</v>
      </c>
      <c r="BM14" s="1"/>
      <c r="BN14" s="530"/>
      <c r="BO14" s="530"/>
      <c r="BP14" s="1"/>
      <c r="BQ14" s="530"/>
    </row>
    <row r="15" spans="1:69" ht="18" x14ac:dyDescent="0.35">
      <c r="A15" s="537" t="s">
        <v>1417</v>
      </c>
      <c r="B15" s="559">
        <f>B14*(B10+10)*D9/30</f>
        <v>3.0</v>
      </c>
      <c r="C15" s="558" t="s">
        <v>1418</v>
      </c>
      <c r="D15" s="559">
        <f>D14*1.25</f>
        <v>-0.000622133055302847</v>
      </c>
      <c r="E15" s="1"/>
      <c r="F15" s="530"/>
      <c r="G15" s="530"/>
      <c r="H15" s="1"/>
      <c r="I15" s="530"/>
      <c r="J15" s="530"/>
      <c r="K15" s="537" t="s">
        <v>1417</v>
      </c>
      <c r="L15" s="559">
        <f>L14*(L10+10)*N9/30</f>
        <v>15.0</v>
      </c>
      <c r="M15" s="558" t="s">
        <v>1418</v>
      </c>
      <c r="N15" s="559">
        <f>N14*1.25</f>
        <v>-0.000622133055302847</v>
      </c>
      <c r="O15" s="1"/>
      <c r="P15" s="530"/>
      <c r="Q15" s="530"/>
      <c r="R15" s="1"/>
      <c r="S15" s="530"/>
      <c r="T15" s="530"/>
      <c r="U15" s="537" t="s">
        <v>1417</v>
      </c>
      <c r="V15" s="559">
        <f>V14*(V10+10)*X9/30</f>
        <v>45.0</v>
      </c>
      <c r="W15" s="558" t="s">
        <v>1418</v>
      </c>
      <c r="X15" s="559">
        <f>X14*1.25</f>
        <v>-0.000622133055302847</v>
      </c>
      <c r="Y15" s="1"/>
      <c r="Z15" s="530"/>
      <c r="AA15" s="530"/>
      <c r="AB15" s="1"/>
      <c r="AC15" s="530"/>
      <c r="AD15" s="530"/>
      <c r="AE15" s="537" t="s">
        <v>1417</v>
      </c>
      <c r="AF15" s="559">
        <f>AF14*(AF10+10)*AH9/30</f>
        <v>90.0</v>
      </c>
      <c r="AG15" s="558" t="s">
        <v>1418</v>
      </c>
      <c r="AH15" s="559">
        <f>AH14*1.25</f>
        <v>-0.000622133055302847</v>
      </c>
      <c r="AI15" s="1"/>
      <c r="AJ15" s="530"/>
      <c r="AK15" s="530"/>
      <c r="AL15" s="1"/>
      <c r="AM15" s="530"/>
      <c r="AN15" s="530"/>
      <c r="AO15" s="537" t="s">
        <v>1417</v>
      </c>
      <c r="AP15" s="559">
        <f>AP14*(AP10+10)*AR9/30</f>
        <v>135.0</v>
      </c>
      <c r="AQ15" s="558" t="s">
        <v>1418</v>
      </c>
      <c r="AR15" s="559">
        <f>AR14*1.25</f>
        <v>-0.000622133055302847</v>
      </c>
      <c r="AS15" s="1"/>
      <c r="AT15" s="530"/>
      <c r="AU15" s="530"/>
      <c r="AV15" s="1"/>
      <c r="AW15" s="530"/>
      <c r="AX15" s="530"/>
      <c r="AY15" s="537" t="s">
        <v>1417</v>
      </c>
      <c r="AZ15" s="559">
        <f>AZ14*(AZ10+10)*BB9/30</f>
        <v>180.0</v>
      </c>
      <c r="BA15" s="558" t="s">
        <v>1418</v>
      </c>
      <c r="BB15" s="559">
        <f>BB14*1.25</f>
        <v>-0.000622133055302847</v>
      </c>
      <c r="BC15" s="1"/>
      <c r="BD15" s="530"/>
      <c r="BE15" s="530"/>
      <c r="BF15" s="1"/>
      <c r="BG15" s="530"/>
      <c r="BH15" s="530"/>
      <c r="BI15" s="537" t="s">
        <v>1417</v>
      </c>
      <c r="BJ15" s="559">
        <f>BJ14*(BJ10+10)*BL9/30</f>
        <v>225.0</v>
      </c>
      <c r="BK15" s="558" t="s">
        <v>1418</v>
      </c>
      <c r="BL15" s="559">
        <f>BL14*1.25</f>
        <v>-0.000622133055302847</v>
      </c>
      <c r="BM15" s="1"/>
      <c r="BN15" s="530"/>
      <c r="BO15" s="530"/>
      <c r="BP15" s="1"/>
      <c r="BQ15" s="530"/>
    </row>
    <row r="16" spans="1:69" ht="16.5" x14ac:dyDescent="0.3">
      <c r="A16" s="537" t="s">
        <v>1419</v>
      </c>
      <c r="B16" s="559">
        <f>B14*(B10+10)*D10/30</f>
        <v>30000.0</v>
      </c>
      <c r="C16" s="558" t="s">
        <v>1420</v>
      </c>
      <c r="D16" s="559">
        <f>IF(B11&lt;5,D13,IF(B11&lt;10,D14,D15))</f>
        <v>-0.000622133055302847</v>
      </c>
      <c r="E16" s="1"/>
      <c r="F16" s="530"/>
      <c r="G16" s="530"/>
      <c r="H16" s="1"/>
      <c r="I16" s="530"/>
      <c r="J16" s="530"/>
      <c r="K16" s="537" t="s">
        <v>1419</v>
      </c>
      <c r="L16" s="559">
        <f>L14*(L10+10)*N10/30</f>
        <v>30000.0</v>
      </c>
      <c r="M16" s="558" t="s">
        <v>1420</v>
      </c>
      <c r="N16" s="559">
        <f>IF(L11&lt;5,N13,IF(L11&lt;10,N14,N15))</f>
        <v>-0.000622133055302847</v>
      </c>
      <c r="O16" s="1"/>
      <c r="P16" s="530"/>
      <c r="Q16" s="530"/>
      <c r="R16" s="1"/>
      <c r="S16" s="530"/>
      <c r="T16" s="530"/>
      <c r="U16" s="537" t="s">
        <v>1419</v>
      </c>
      <c r="V16" s="559">
        <f>V14*(V10+10)*X10/30</f>
        <v>30000.0</v>
      </c>
      <c r="W16" s="558" t="s">
        <v>1420</v>
      </c>
      <c r="X16" s="559">
        <f>IF(V11&lt;5,X13,IF(V11&lt;10,X14,X15))</f>
        <v>-0.000622133055302847</v>
      </c>
      <c r="Y16" s="1"/>
      <c r="Z16" s="530"/>
      <c r="AA16" s="530"/>
      <c r="AB16" s="1"/>
      <c r="AC16" s="530"/>
      <c r="AD16" s="530"/>
      <c r="AE16" s="537" t="s">
        <v>1419</v>
      </c>
      <c r="AF16" s="559">
        <f>AF14*(AF10+10)*AH10/30</f>
        <v>30000.0</v>
      </c>
      <c r="AG16" s="558" t="s">
        <v>1420</v>
      </c>
      <c r="AH16" s="559">
        <f>IF(AF11&lt;5,AH13,IF(AF11&lt;10,AH14,AH15))</f>
        <v>-0.000622133055302847</v>
      </c>
      <c r="AI16" s="1"/>
      <c r="AJ16" s="530"/>
      <c r="AK16" s="530"/>
      <c r="AL16" s="1"/>
      <c r="AM16" s="530"/>
      <c r="AN16" s="530"/>
      <c r="AO16" s="537" t="s">
        <v>1419</v>
      </c>
      <c r="AP16" s="559">
        <f>AP14*(AP10+10)*AR10/30</f>
        <v>30000.0</v>
      </c>
      <c r="AQ16" s="558" t="s">
        <v>1420</v>
      </c>
      <c r="AR16" s="559">
        <f>IF(AP11&lt;5,AR13,IF(AP11&lt;10,AR14,AR15))</f>
        <v>-0.000622133055302847</v>
      </c>
      <c r="AS16" s="1"/>
      <c r="AT16" s="530"/>
      <c r="AU16" s="530"/>
      <c r="AV16" s="1"/>
      <c r="AW16" s="530"/>
      <c r="AX16" s="530"/>
      <c r="AY16" s="537" t="s">
        <v>1419</v>
      </c>
      <c r="AZ16" s="559">
        <f>AZ14*(AZ10+10)*BB10/30</f>
        <v>30000.0</v>
      </c>
      <c r="BA16" s="558" t="s">
        <v>1420</v>
      </c>
      <c r="BB16" s="559">
        <f>IF(AZ11&lt;5,BB13,IF(AZ11&lt;10,BB14,BB15))</f>
        <v>-0.000622133055302847</v>
      </c>
      <c r="BC16" s="1"/>
      <c r="BD16" s="530"/>
      <c r="BE16" s="530"/>
      <c r="BF16" s="1"/>
      <c r="BG16" s="530"/>
      <c r="BH16" s="530"/>
      <c r="BI16" s="537" t="s">
        <v>1419</v>
      </c>
      <c r="BJ16" s="559">
        <f>BJ14*(BJ10+10)*BL10/30</f>
        <v>30000.0</v>
      </c>
      <c r="BK16" s="558" t="s">
        <v>1420</v>
      </c>
      <c r="BL16" s="559">
        <f>IF(BJ11&lt;5,BL13,IF(BJ11&lt;10,BL14,BL15))</f>
        <v>-0.000622133055302847</v>
      </c>
      <c r="BM16" s="1"/>
      <c r="BN16" s="530"/>
      <c r="BO16" s="530"/>
      <c r="BP16" s="1"/>
      <c r="BQ16" s="530"/>
    </row>
    <row r="17" spans="1:69" ht="16.5" x14ac:dyDescent="0.3">
      <c r="A17" s="537" t="s">
        <v>641</v>
      </c>
      <c r="B17" s="560">
        <f>VLOOKUP(D8,F8:I10,2,FALSE())</f>
        <v>0.2</v>
      </c>
      <c r="C17" s="558" t="s">
        <v>1421</v>
      </c>
      <c r="D17" s="559">
        <f ca="1">(33+2*B29)/(20.8+3*B29)</f>
        <v>0.8610442403482546</v>
      </c>
      <c r="E17" s="1"/>
      <c r="F17" s="530"/>
      <c r="G17" s="530"/>
      <c r="H17" s="1"/>
      <c r="I17" s="530"/>
      <c r="J17" s="530"/>
      <c r="K17" s="537" t="s">
        <v>641</v>
      </c>
      <c r="L17" s="560">
        <f>VLOOKUP(N8,P8:S10,2,FALSE())</f>
        <v>0.2</v>
      </c>
      <c r="M17" s="558" t="s">
        <v>1421</v>
      </c>
      <c r="N17" s="559">
        <f ca="1">(33+2*L29)/(20.8+3*L29)</f>
        <v>0.8610442403482546</v>
      </c>
      <c r="O17" s="1"/>
      <c r="P17" s="530"/>
      <c r="Q17" s="530"/>
      <c r="R17" s="1"/>
      <c r="S17" s="530"/>
      <c r="T17" s="530"/>
      <c r="U17" s="537" t="s">
        <v>641</v>
      </c>
      <c r="V17" s="560">
        <f>VLOOKUP(X8,Z8:AC10,2,FALSE())</f>
        <v>0.2</v>
      </c>
      <c r="W17" s="558" t="s">
        <v>1421</v>
      </c>
      <c r="X17" s="559">
        <f ca="1">(33+2*V29)/(20.8+3*V29)</f>
        <v>0.8610442403482546</v>
      </c>
      <c r="Y17" s="1"/>
      <c r="Z17" s="530"/>
      <c r="AA17" s="530"/>
      <c r="AB17" s="1"/>
      <c r="AC17" s="530"/>
      <c r="AD17" s="530"/>
      <c r="AE17" s="537" t="s">
        <v>641</v>
      </c>
      <c r="AF17" s="560">
        <f>VLOOKUP(AH8,AJ8:AM10,2,FALSE())</f>
        <v>0.2</v>
      </c>
      <c r="AG17" s="558" t="s">
        <v>1421</v>
      </c>
      <c r="AH17" s="559">
        <f ca="1">(33+2*AF29)/(20.8+3*AF29)</f>
        <v>0.8610442403482546</v>
      </c>
      <c r="AI17" s="1"/>
      <c r="AJ17" s="530"/>
      <c r="AK17" s="530"/>
      <c r="AL17" s="1"/>
      <c r="AM17" s="530"/>
      <c r="AN17" s="530"/>
      <c r="AO17" s="537" t="s">
        <v>641</v>
      </c>
      <c r="AP17" s="560">
        <f>VLOOKUP(AR8,AT8:AW10,2,FALSE())</f>
        <v>0.2</v>
      </c>
      <c r="AQ17" s="558" t="s">
        <v>1421</v>
      </c>
      <c r="AR17" s="559">
        <f ca="1">(33+2*AP29)/(20.8+3*AP29)</f>
        <v>0.8610442403482546</v>
      </c>
      <c r="AS17" s="1"/>
      <c r="AT17" s="530"/>
      <c r="AU17" s="530"/>
      <c r="AV17" s="1"/>
      <c r="AW17" s="530"/>
      <c r="AX17" s="530"/>
      <c r="AY17" s="537" t="s">
        <v>641</v>
      </c>
      <c r="AZ17" s="560">
        <f>VLOOKUP(BB8,BD8:BG10,2,FALSE())</f>
        <v>0.2</v>
      </c>
      <c r="BA17" s="558" t="s">
        <v>1421</v>
      </c>
      <c r="BB17" s="559">
        <f ca="1">(33+2*AZ29)/(20.8+3*AZ29)</f>
        <v>0.8610442403482546</v>
      </c>
      <c r="BC17" s="1"/>
      <c r="BD17" s="530"/>
      <c r="BE17" s="530"/>
      <c r="BF17" s="1"/>
      <c r="BG17" s="530"/>
      <c r="BH17" s="530"/>
      <c r="BI17" s="537" t="s">
        <v>641</v>
      </c>
      <c r="BJ17" s="560">
        <f>VLOOKUP(BL8,BN8:BQ10,2,FALSE())</f>
        <v>0.2</v>
      </c>
      <c r="BK17" s="558" t="s">
        <v>1421</v>
      </c>
      <c r="BL17" s="559">
        <f ca="1">(33+2*BJ29)/(20.8+3*BJ29)</f>
        <v>0.8610442403482546</v>
      </c>
      <c r="BM17" s="1"/>
      <c r="BN17" s="530"/>
      <c r="BO17" s="530"/>
      <c r="BP17" s="1"/>
      <c r="BQ17" s="530"/>
    </row>
    <row r="18" spans="1:69" ht="18" x14ac:dyDescent="0.35">
      <c r="A18" s="537" t="s">
        <v>1422</v>
      </c>
      <c r="B18" s="561">
        <f>EXP(B17*(1-(28/B15)^(1/2)))</f>
        <v>0.6629802403322924</v>
      </c>
      <c r="C18" s="558" t="s">
        <v>1423</v>
      </c>
      <c r="D18" s="559">
        <f ca="1">D17*D16</f>
        <v>-0.0005356840839987786</v>
      </c>
      <c r="E18" s="1"/>
      <c r="F18" s="530"/>
      <c r="G18" s="530"/>
      <c r="H18" s="1"/>
      <c r="I18" s="530"/>
      <c r="J18" s="530"/>
      <c r="K18" s="537" t="s">
        <v>1422</v>
      </c>
      <c r="L18" s="561">
        <f>EXP(L17*(1-(28/L15)^(1/2)))</f>
        <v>0.9293665811479722</v>
      </c>
      <c r="M18" s="558" t="s">
        <v>1423</v>
      </c>
      <c r="N18" s="559">
        <f ca="1">N17*N16</f>
        <v>-0.0005356840839987786</v>
      </c>
      <c r="O18" s="1"/>
      <c r="P18" s="530"/>
      <c r="Q18" s="530"/>
      <c r="R18" s="1"/>
      <c r="S18" s="530"/>
      <c r="T18" s="530"/>
      <c r="U18" s="537" t="s">
        <v>1422</v>
      </c>
      <c r="V18" s="561">
        <f>EXP(V17*(1-(28/V15)^(1/2)))</f>
        <v>1.0431425841237678</v>
      </c>
      <c r="W18" s="558" t="s">
        <v>1423</v>
      </c>
      <c r="X18" s="559">
        <f ca="1">X17*X16</f>
        <v>-0.0005356840839987786</v>
      </c>
      <c r="Y18" s="1"/>
      <c r="Z18" s="530"/>
      <c r="AA18" s="530"/>
      <c r="AB18" s="1"/>
      <c r="AC18" s="530"/>
      <c r="AD18" s="530"/>
      <c r="AE18" s="537" t="s">
        <v>1422</v>
      </c>
      <c r="AF18" s="561">
        <f>EXP(AF17*(1-(28/AF15)^(1/2)))</f>
        <v>1.092474525172089</v>
      </c>
      <c r="AG18" s="558" t="s">
        <v>1423</v>
      </c>
      <c r="AH18" s="559">
        <f ca="1">AH17*AH16</f>
        <v>-0.0005356840839987786</v>
      </c>
      <c r="AI18" s="1"/>
      <c r="AJ18" s="530"/>
      <c r="AK18" s="530"/>
      <c r="AL18" s="1"/>
      <c r="AM18" s="530"/>
      <c r="AN18" s="530"/>
      <c r="AO18" s="537" t="s">
        <v>1422</v>
      </c>
      <c r="AP18" s="561">
        <f>EXP(AP17*(1-(28/AP15)^(1/2)))</f>
        <v>1.1150686730462234</v>
      </c>
      <c r="AQ18" s="558" t="s">
        <v>1423</v>
      </c>
      <c r="AR18" s="559">
        <f ca="1">AR17*AR16</f>
        <v>-0.0005356840839987786</v>
      </c>
      <c r="AS18" s="1"/>
      <c r="AT18" s="530"/>
      <c r="AU18" s="530"/>
      <c r="AV18" s="1"/>
      <c r="AW18" s="530"/>
      <c r="AX18" s="530"/>
      <c r="AY18" s="537" t="s">
        <v>1422</v>
      </c>
      <c r="AZ18" s="561">
        <f>EXP(AZ17*(1-(28/AZ15)^(1/2)))</f>
        <v>1.128759154737226</v>
      </c>
      <c r="BA18" s="558" t="s">
        <v>1423</v>
      </c>
      <c r="BB18" s="559">
        <f ca="1">BB17*BB16</f>
        <v>-0.0005356840839987786</v>
      </c>
      <c r="BC18" s="1"/>
      <c r="BD18" s="530"/>
      <c r="BE18" s="530"/>
      <c r="BF18" s="1"/>
      <c r="BG18" s="530"/>
      <c r="BH18" s="530"/>
      <c r="BI18" s="537" t="s">
        <v>1422</v>
      </c>
      <c r="BJ18" s="561">
        <f>EXP(BJ17*(1-(28/BJ15)^(1/2)))</f>
        <v>1.138198366135626</v>
      </c>
      <c r="BK18" s="558" t="s">
        <v>1423</v>
      </c>
      <c r="BL18" s="559">
        <f ca="1">BL17*BL16</f>
        <v>-0.0005356840839987786</v>
      </c>
      <c r="BM18" s="1"/>
      <c r="BN18" s="530"/>
      <c r="BO18" s="530"/>
      <c r="BP18" s="1"/>
      <c r="BQ18" s="530"/>
    </row>
    <row r="19" spans="1:69" ht="18" x14ac:dyDescent="0.35">
      <c r="A19" s="537" t="s">
        <v>1424</v>
      </c>
      <c r="B19" s="561">
        <f>EXP(B17*(1-(0)^(1/2)))</f>
        <v>1.2214027581601699</v>
      </c>
      <c r="C19" s="562" t="s">
        <v>1415</v>
      </c>
      <c r="D19" s="559">
        <f>VLOOKUP(D8,F8:I10,4,FALSE())</f>
        <v>1.0</v>
      </c>
      <c r="E19" s="1"/>
      <c r="F19" s="530"/>
      <c r="G19" s="530"/>
      <c r="H19" s="1"/>
      <c r="I19" s="530"/>
      <c r="J19" s="530"/>
      <c r="K19" s="537" t="s">
        <v>1424</v>
      </c>
      <c r="L19" s="561">
        <f>EXP(L17*(1-(0)^(1/2)))</f>
        <v>1.2214027581601699</v>
      </c>
      <c r="M19" s="562" t="s">
        <v>1415</v>
      </c>
      <c r="N19" s="559">
        <f>VLOOKUP(N8,P8:S10,4,FALSE())</f>
        <v>1.0</v>
      </c>
      <c r="O19" s="1"/>
      <c r="P19" s="530"/>
      <c r="Q19" s="530"/>
      <c r="R19" s="1"/>
      <c r="S19" s="530"/>
      <c r="T19" s="530"/>
      <c r="U19" s="537" t="s">
        <v>1424</v>
      </c>
      <c r="V19" s="561">
        <f>EXP(V17*(1-(0)^(1/2)))</f>
        <v>1.2214027581601699</v>
      </c>
      <c r="W19" s="562" t="s">
        <v>1415</v>
      </c>
      <c r="X19" s="559">
        <f>VLOOKUP(X8,Z8:AC10,4,FALSE())</f>
        <v>1.0</v>
      </c>
      <c r="Y19" s="1"/>
      <c r="Z19" s="530"/>
      <c r="AA19" s="530"/>
      <c r="AB19" s="1"/>
      <c r="AC19" s="530"/>
      <c r="AD19" s="530"/>
      <c r="AE19" s="537" t="s">
        <v>1424</v>
      </c>
      <c r="AF19" s="561">
        <f>EXP(AF17*(1-(0)^(1/2)))</f>
        <v>1.2214027581601699</v>
      </c>
      <c r="AG19" s="562" t="s">
        <v>1415</v>
      </c>
      <c r="AH19" s="559">
        <f>VLOOKUP(AH8,AJ8:AM10,4,FALSE())</f>
        <v>1.0</v>
      </c>
      <c r="AI19" s="1"/>
      <c r="AJ19" s="530"/>
      <c r="AK19" s="530"/>
      <c r="AL19" s="1"/>
      <c r="AM19" s="530"/>
      <c r="AN19" s="530"/>
      <c r="AO19" s="537" t="s">
        <v>1424</v>
      </c>
      <c r="AP19" s="561">
        <f>EXP(AP17*(1-(0)^(1/2)))</f>
        <v>1.2214027581601699</v>
      </c>
      <c r="AQ19" s="562" t="s">
        <v>1415</v>
      </c>
      <c r="AR19" s="559">
        <f>VLOOKUP(AR8,AT8:AW10,4,FALSE())</f>
        <v>1.0</v>
      </c>
      <c r="AS19" s="1"/>
      <c r="AT19" s="530"/>
      <c r="AU19" s="530"/>
      <c r="AV19" s="1"/>
      <c r="AW19" s="530"/>
      <c r="AX19" s="530"/>
      <c r="AY19" s="537" t="s">
        <v>1424</v>
      </c>
      <c r="AZ19" s="561">
        <f>EXP(AZ17*(1-(0)^(1/2)))</f>
        <v>1.2214027581601699</v>
      </c>
      <c r="BA19" s="562" t="s">
        <v>1415</v>
      </c>
      <c r="BB19" s="559">
        <f>VLOOKUP(BB8,BD8:BG10,4,FALSE())</f>
        <v>1.0</v>
      </c>
      <c r="BC19" s="1"/>
      <c r="BD19" s="530"/>
      <c r="BE19" s="530"/>
      <c r="BF19" s="1"/>
      <c r="BG19" s="530"/>
      <c r="BH19" s="530"/>
      <c r="BI19" s="537" t="s">
        <v>1424</v>
      </c>
      <c r="BJ19" s="561">
        <f>EXP(BJ17*(1-(0)^(1/2)))</f>
        <v>1.2214027581601699</v>
      </c>
      <c r="BK19" s="562" t="s">
        <v>1415</v>
      </c>
      <c r="BL19" s="559">
        <f>VLOOKUP(BL8,BN8:BQ10,4,FALSE())</f>
        <v>1.0</v>
      </c>
      <c r="BM19" s="1"/>
      <c r="BN19" s="530"/>
      <c r="BO19" s="530"/>
      <c r="BP19" s="1"/>
      <c r="BQ19" s="530"/>
    </row>
    <row r="20" spans="1:69" ht="18" x14ac:dyDescent="0.35">
      <c r="A20" s="558" t="s">
        <v>1425</v>
      </c>
      <c r="B20" s="561">
        <f>0.8*(1-B18/B19)</f>
        <v>0.36575815084553676</v>
      </c>
      <c r="C20" s="537" t="s">
        <v>1417</v>
      </c>
      <c r="D20" s="559">
        <f>D19*(B10+10)*D9/30</f>
        <v>1.0</v>
      </c>
      <c r="E20" s="1"/>
      <c r="F20" s="530"/>
      <c r="G20" s="530"/>
      <c r="H20" s="1"/>
      <c r="I20" s="530"/>
      <c r="J20" s="530"/>
      <c r="K20" s="558" t="s">
        <v>1425</v>
      </c>
      <c r="L20" s="561">
        <f>0.8*(1-L18/L19)</f>
        <v>0.1912791993049691</v>
      </c>
      <c r="M20" s="537" t="s">
        <v>1417</v>
      </c>
      <c r="N20" s="559">
        <f>N19*(L10+10)*N9/30</f>
        <v>5.0</v>
      </c>
      <c r="O20" s="1"/>
      <c r="P20" s="530"/>
      <c r="Q20" s="530"/>
      <c r="R20" s="1"/>
      <c r="S20" s="530"/>
      <c r="T20" s="530"/>
      <c r="U20" s="558" t="s">
        <v>1425</v>
      </c>
      <c r="V20" s="561">
        <f>0.8*(1-V18/V19)</f>
        <v>0.11675766922610845</v>
      </c>
      <c r="W20" s="537" t="s">
        <v>1417</v>
      </c>
      <c r="X20" s="559">
        <f>X19*(V10+10)*X9/30</f>
        <v>15.0</v>
      </c>
      <c r="Y20" s="1"/>
      <c r="Z20" s="530"/>
      <c r="AA20" s="530"/>
      <c r="AB20" s="1"/>
      <c r="AC20" s="530"/>
      <c r="AD20" s="530"/>
      <c r="AE20" s="558" t="s">
        <v>1425</v>
      </c>
      <c r="AF20" s="561">
        <f>0.8*(1-AF18/AF19)</f>
        <v>0.0844460074298759</v>
      </c>
      <c r="AG20" s="537" t="s">
        <v>1417</v>
      </c>
      <c r="AH20" s="559">
        <f>AH19*(AF10+10)*AH9/30</f>
        <v>30.0</v>
      </c>
      <c r="AI20" s="1"/>
      <c r="AJ20" s="530"/>
      <c r="AK20" s="530"/>
      <c r="AL20" s="1"/>
      <c r="AM20" s="530"/>
      <c r="AN20" s="530"/>
      <c r="AO20" s="558" t="s">
        <v>1425</v>
      </c>
      <c r="AP20" s="561">
        <f>0.8*(1-AP18/AP19)</f>
        <v>0.06964718846655966</v>
      </c>
      <c r="AQ20" s="537" t="s">
        <v>1417</v>
      </c>
      <c r="AR20" s="559">
        <f>AR19*(AP10+10)*AR9/30</f>
        <v>45.0</v>
      </c>
      <c r="AS20" s="1"/>
      <c r="AT20" s="530"/>
      <c r="AU20" s="530"/>
      <c r="AV20" s="1"/>
      <c r="AW20" s="530"/>
      <c r="AX20" s="530"/>
      <c r="AY20" s="558" t="s">
        <v>1425</v>
      </c>
      <c r="AZ20" s="561">
        <f>0.8*(1-AZ18/AZ19)</f>
        <v>0.06068013375865977</v>
      </c>
      <c r="BA20" s="537" t="s">
        <v>1417</v>
      </c>
      <c r="BB20" s="559">
        <f>BB19*(AZ10+10)*BB9/30</f>
        <v>60.0</v>
      </c>
      <c r="BC20" s="1"/>
      <c r="BD20" s="530"/>
      <c r="BE20" s="530"/>
      <c r="BF20" s="1"/>
      <c r="BG20" s="530"/>
      <c r="BH20" s="530"/>
      <c r="BI20" s="558" t="s">
        <v>1425</v>
      </c>
      <c r="BJ20" s="561">
        <f>0.8*(1-BJ18/BJ19)</f>
        <v>0.05449759563332029</v>
      </c>
      <c r="BK20" s="537" t="s">
        <v>1417</v>
      </c>
      <c r="BL20" s="559">
        <f>BL19*(BJ10+10)*BL9/30</f>
        <v>75.0</v>
      </c>
      <c r="BM20" s="1"/>
      <c r="BN20" s="530"/>
      <c r="BO20" s="530"/>
      <c r="BP20" s="1"/>
      <c r="BQ20" s="530"/>
    </row>
    <row r="21" spans="1:69" ht="18" x14ac:dyDescent="0.35">
      <c r="A21" s="558" t="s">
        <v>1426</v>
      </c>
      <c r="B21" s="561">
        <f>1.4*(1-B18/B19)</f>
        <v>0.6400767639796892</v>
      </c>
      <c r="C21" s="537" t="s">
        <v>1419</v>
      </c>
      <c r="D21" s="559">
        <f>D19*(B10+10)*D10/30</f>
        <v>10000.0</v>
      </c>
      <c r="E21" s="1"/>
      <c r="F21" s="530"/>
      <c r="G21" s="530"/>
      <c r="H21" s="1"/>
      <c r="I21" s="530"/>
      <c r="J21" s="530"/>
      <c r="K21" s="558" t="s">
        <v>1426</v>
      </c>
      <c r="L21" s="561">
        <f>1.4*(1-L18/L19)</f>
        <v>0.3347385987836959</v>
      </c>
      <c r="M21" s="537" t="s">
        <v>1419</v>
      </c>
      <c r="N21" s="559">
        <f>N19*(L10+10)*N10/30</f>
        <v>10000.0</v>
      </c>
      <c r="O21" s="1"/>
      <c r="P21" s="530"/>
      <c r="Q21" s="530"/>
      <c r="R21" s="1"/>
      <c r="S21" s="530"/>
      <c r="T21" s="530"/>
      <c r="U21" s="558" t="s">
        <v>1426</v>
      </c>
      <c r="V21" s="561">
        <f>1.4*(1-V18/V19)</f>
        <v>0.20432592114568976</v>
      </c>
      <c r="W21" s="537" t="s">
        <v>1419</v>
      </c>
      <c r="X21" s="559">
        <f>X19*(V10+10)*X10/30</f>
        <v>10000.0</v>
      </c>
      <c r="Y21" s="1"/>
      <c r="Z21" s="530"/>
      <c r="AA21" s="530"/>
      <c r="AB21" s="1"/>
      <c r="AC21" s="530"/>
      <c r="AD21" s="530"/>
      <c r="AE21" s="558" t="s">
        <v>1426</v>
      </c>
      <c r="AF21" s="561">
        <f>1.4*(1-AF18/AF19)</f>
        <v>0.1477805130022828</v>
      </c>
      <c r="AG21" s="537" t="s">
        <v>1419</v>
      </c>
      <c r="AH21" s="559">
        <f>AH19*(AF10+10)*AH10/30</f>
        <v>10000.0</v>
      </c>
      <c r="AI21" s="1"/>
      <c r="AJ21" s="530"/>
      <c r="AK21" s="530"/>
      <c r="AL21" s="1"/>
      <c r="AM21" s="530"/>
      <c r="AN21" s="530"/>
      <c r="AO21" s="558" t="s">
        <v>1426</v>
      </c>
      <c r="AP21" s="561">
        <f>1.4*(1-AP18/AP19)</f>
        <v>0.1218825798164794</v>
      </c>
      <c r="AQ21" s="537" t="s">
        <v>1419</v>
      </c>
      <c r="AR21" s="559">
        <f>AR19*(AP10+10)*AR10/30</f>
        <v>10000.0</v>
      </c>
      <c r="AS21" s="1"/>
      <c r="AT21" s="530"/>
      <c r="AU21" s="530"/>
      <c r="AV21" s="1"/>
      <c r="AW21" s="530"/>
      <c r="AX21" s="530"/>
      <c r="AY21" s="558" t="s">
        <v>1426</v>
      </c>
      <c r="AZ21" s="561">
        <f>1.4*(1-AZ18/AZ19)</f>
        <v>0.1061902340776546</v>
      </c>
      <c r="BA21" s="537" t="s">
        <v>1419</v>
      </c>
      <c r="BB21" s="559">
        <f>BB19*(AZ10+10)*BB10/30</f>
        <v>10000.0</v>
      </c>
      <c r="BC21" s="1"/>
      <c r="BD21" s="530"/>
      <c r="BE21" s="530"/>
      <c r="BF21" s="1"/>
      <c r="BG21" s="530"/>
      <c r="BH21" s="530"/>
      <c r="BI21" s="558" t="s">
        <v>1426</v>
      </c>
      <c r="BJ21" s="561">
        <f>1.4*(1-BJ18/BJ19)</f>
        <v>0.09537079235831049</v>
      </c>
      <c r="BK21" s="537" t="s">
        <v>1419</v>
      </c>
      <c r="BL21" s="559">
        <f>BL19*(BJ10+10)*BL10/30</f>
        <v>10000.0</v>
      </c>
      <c r="BM21" s="1"/>
      <c r="BN21" s="530"/>
      <c r="BO21" s="530"/>
      <c r="BP21" s="1"/>
      <c r="BQ21" s="530"/>
    </row>
    <row r="22" spans="1:69" ht="18" x14ac:dyDescent="0.35">
      <c r="A22" s="563" t="s">
        <v>1427</v>
      </c>
      <c r="B22" s="564">
        <f>IF(D7&lt;=45,B20,B21)</f>
        <v>0.6400767639796892</v>
      </c>
      <c r="C22" s="565" t="s">
        <v>1428</v>
      </c>
      <c r="D22" s="566">
        <f ca="1">B29/100</f>
        <v>0.25877950689716</v>
      </c>
      <c r="E22" s="1"/>
      <c r="F22" s="530"/>
      <c r="G22" s="530"/>
      <c r="H22" s="1"/>
      <c r="I22" s="530"/>
      <c r="J22" s="530"/>
      <c r="K22" s="563" t="s">
        <v>1427</v>
      </c>
      <c r="L22" s="564">
        <f>IF(N7&lt;=45,L20,L21)</f>
        <v>0.3347385987836959</v>
      </c>
      <c r="M22" s="565" t="s">
        <v>1428</v>
      </c>
      <c r="N22" s="566">
        <f ca="1">L29/100</f>
        <v>0.25877950689716</v>
      </c>
      <c r="O22" s="1"/>
      <c r="P22" s="530"/>
      <c r="Q22" s="530"/>
      <c r="R22" s="1"/>
      <c r="S22" s="530"/>
      <c r="T22" s="530"/>
      <c r="U22" s="563" t="s">
        <v>1427</v>
      </c>
      <c r="V22" s="564">
        <f>IF(X7&lt;=45,V20,V21)</f>
        <v>0.20432592114568976</v>
      </c>
      <c r="W22" s="565" t="s">
        <v>1428</v>
      </c>
      <c r="X22" s="566">
        <f ca="1">V29/100</f>
        <v>0.25877950689716</v>
      </c>
      <c r="Y22" s="1"/>
      <c r="Z22" s="530"/>
      <c r="AA22" s="530"/>
      <c r="AB22" s="1"/>
      <c r="AC22" s="530"/>
      <c r="AD22" s="530"/>
      <c r="AE22" s="563" t="s">
        <v>1427</v>
      </c>
      <c r="AF22" s="564">
        <f>IF(AH7&lt;=45,AF20,AF21)</f>
        <v>0.1477805130022828</v>
      </c>
      <c r="AG22" s="565" t="s">
        <v>1428</v>
      </c>
      <c r="AH22" s="566">
        <f ca="1">AF29/100</f>
        <v>0.25877950689716</v>
      </c>
      <c r="AI22" s="1"/>
      <c r="AJ22" s="530"/>
      <c r="AK22" s="530"/>
      <c r="AL22" s="1"/>
      <c r="AM22" s="530"/>
      <c r="AN22" s="530"/>
      <c r="AO22" s="563" t="s">
        <v>1427</v>
      </c>
      <c r="AP22" s="564">
        <f>IF(AR7&lt;=45,AP20,AP21)</f>
        <v>0.1218825798164794</v>
      </c>
      <c r="AQ22" s="565" t="s">
        <v>1428</v>
      </c>
      <c r="AR22" s="566">
        <f ca="1">AP29/100</f>
        <v>0.25877950689716</v>
      </c>
      <c r="AS22" s="1"/>
      <c r="AT22" s="530"/>
      <c r="AU22" s="530"/>
      <c r="AV22" s="1"/>
      <c r="AW22" s="530"/>
      <c r="AX22" s="530"/>
      <c r="AY22" s="563" t="s">
        <v>1427</v>
      </c>
      <c r="AZ22" s="564">
        <f>IF(BB7&lt;=45,AZ20,AZ21)</f>
        <v>0.1061902340776546</v>
      </c>
      <c r="BA22" s="565" t="s">
        <v>1428</v>
      </c>
      <c r="BB22" s="566">
        <f ca="1">AZ29/100</f>
        <v>0.25877950689716</v>
      </c>
      <c r="BC22" s="1"/>
      <c r="BD22" s="530"/>
      <c r="BE22" s="530"/>
      <c r="BF22" s="1"/>
      <c r="BG22" s="530"/>
      <c r="BH22" s="530"/>
      <c r="BI22" s="563" t="s">
        <v>1427</v>
      </c>
      <c r="BJ22" s="564">
        <f>IF(BL7&lt;=45,BJ20,BJ21)</f>
        <v>0.09537079235831049</v>
      </c>
      <c r="BK22" s="565" t="s">
        <v>1428</v>
      </c>
      <c r="BL22" s="566">
        <f ca="1">BJ29/100</f>
        <v>0.25877950689716</v>
      </c>
      <c r="BM22" s="1"/>
      <c r="BN22" s="530"/>
      <c r="BO22" s="530"/>
      <c r="BP22" s="1"/>
      <c r="BQ22" s="530"/>
    </row>
    <row r="23" spans="1:69" x14ac:dyDescent="0.25">
      <c r="A23" s="830" t="s">
        <v>1429</v>
      </c>
      <c r="B23" s="830"/>
      <c r="C23" s="537" t="s">
        <v>298</v>
      </c>
      <c r="D23" s="559">
        <v>40</v>
      </c>
      <c r="E23" s="1"/>
      <c r="F23" s="530"/>
      <c r="G23" s="530"/>
      <c r="H23" s="1"/>
      <c r="I23" s="1"/>
      <c r="J23" s="1"/>
      <c r="K23" s="830" t="s">
        <v>1429</v>
      </c>
      <c r="L23" s="830"/>
      <c r="M23" s="537" t="s">
        <v>298</v>
      </c>
      <c r="N23" s="559">
        <v>40</v>
      </c>
      <c r="O23" s="1"/>
      <c r="P23" s="530"/>
      <c r="Q23" s="530"/>
      <c r="R23" s="1"/>
      <c r="S23" s="1"/>
      <c r="T23" s="1"/>
      <c r="U23" s="830" t="s">
        <v>1429</v>
      </c>
      <c r="V23" s="830"/>
      <c r="W23" s="537" t="s">
        <v>298</v>
      </c>
      <c r="X23" s="559">
        <v>40</v>
      </c>
      <c r="Y23" s="1"/>
      <c r="Z23" s="530"/>
      <c r="AA23" s="530"/>
      <c r="AB23" s="1"/>
      <c r="AC23" s="1"/>
      <c r="AD23" s="1"/>
      <c r="AE23" s="830" t="s">
        <v>1429</v>
      </c>
      <c r="AF23" s="830"/>
      <c r="AG23" s="537" t="s">
        <v>298</v>
      </c>
      <c r="AH23" s="559">
        <v>40</v>
      </c>
      <c r="AI23" s="1"/>
      <c r="AJ23" s="530"/>
      <c r="AK23" s="530"/>
      <c r="AL23" s="1"/>
      <c r="AM23" s="1"/>
      <c r="AN23" s="1"/>
      <c r="AO23" s="830" t="s">
        <v>1429</v>
      </c>
      <c r="AP23" s="830"/>
      <c r="AQ23" s="537" t="s">
        <v>298</v>
      </c>
      <c r="AR23" s="559">
        <v>40</v>
      </c>
      <c r="AS23" s="1"/>
      <c r="AT23" s="530"/>
      <c r="AU23" s="530"/>
      <c r="AV23" s="1"/>
      <c r="AW23" s="1"/>
      <c r="AX23" s="1"/>
      <c r="AY23" s="830" t="s">
        <v>1429</v>
      </c>
      <c r="AZ23" s="830"/>
      <c r="BA23" s="537" t="s">
        <v>298</v>
      </c>
      <c r="BB23" s="559">
        <v>40</v>
      </c>
      <c r="BC23" s="1"/>
      <c r="BD23" s="530"/>
      <c r="BE23" s="530"/>
      <c r="BF23" s="1"/>
      <c r="BG23" s="1"/>
      <c r="BH23" s="1"/>
      <c r="BI23" s="830" t="s">
        <v>1429</v>
      </c>
      <c r="BJ23" s="830"/>
      <c r="BK23" s="537" t="s">
        <v>298</v>
      </c>
      <c r="BL23" s="559">
        <v>40</v>
      </c>
      <c r="BM23" s="1"/>
      <c r="BN23" s="530"/>
      <c r="BO23" s="530"/>
      <c r="BP23" s="1"/>
      <c r="BQ23" s="1"/>
    </row>
    <row r="24" spans="1:69" ht="18" x14ac:dyDescent="0.35">
      <c r="A24" s="567" t="s">
        <v>1430</v>
      </c>
      <c r="B24" s="557">
        <f>B25*0.75</f>
        <v>1.5</v>
      </c>
      <c r="C24" s="537" t="s">
        <v>299</v>
      </c>
      <c r="D24" s="559">
        <f ca="1">116*D22^3-282*D22^2+220*D22-4.8</f>
        <v>35.25708327009023</v>
      </c>
      <c r="E24" s="530"/>
      <c r="F24" s="530"/>
      <c r="G24" s="530"/>
      <c r="H24" s="530"/>
      <c r="I24" s="530"/>
      <c r="J24" s="530"/>
      <c r="K24" s="567" t="s">
        <v>1430</v>
      </c>
      <c r="L24" s="557">
        <f>L25*0.75</f>
        <v>1.5</v>
      </c>
      <c r="M24" s="537" t="s">
        <v>299</v>
      </c>
      <c r="N24" s="559">
        <f ca="1">116*N22^3-282*N22^2+220*N22-4.8</f>
        <v>35.25708327009023</v>
      </c>
      <c r="O24" s="530"/>
      <c r="P24" s="530"/>
      <c r="Q24" s="530"/>
      <c r="R24" s="530"/>
      <c r="S24" s="530"/>
      <c r="T24" s="530"/>
      <c r="U24" s="567" t="s">
        <v>1430</v>
      </c>
      <c r="V24" s="557">
        <f>V25*0.75</f>
        <v>1.5</v>
      </c>
      <c r="W24" s="537" t="s">
        <v>299</v>
      </c>
      <c r="X24" s="559">
        <f ca="1">116*X22^3-282*X22^2+220*X22-4.8</f>
        <v>35.25708327009023</v>
      </c>
      <c r="Y24" s="530"/>
      <c r="Z24" s="530"/>
      <c r="AA24" s="530"/>
      <c r="AB24" s="530"/>
      <c r="AC24" s="530"/>
      <c r="AD24" s="530"/>
      <c r="AE24" s="567" t="s">
        <v>1430</v>
      </c>
      <c r="AF24" s="557">
        <f>AF25*0.75</f>
        <v>1.5</v>
      </c>
      <c r="AG24" s="537" t="s">
        <v>299</v>
      </c>
      <c r="AH24" s="559">
        <f ca="1">116*AH22^3-282*AH22^2+220*AH22-4.8</f>
        <v>35.25708327009023</v>
      </c>
      <c r="AI24" s="530"/>
      <c r="AJ24" s="530"/>
      <c r="AK24" s="530"/>
      <c r="AL24" s="530"/>
      <c r="AM24" s="530"/>
      <c r="AN24" s="530"/>
      <c r="AO24" s="567" t="s">
        <v>1430</v>
      </c>
      <c r="AP24" s="557">
        <f>AP25*0.75</f>
        <v>1.5</v>
      </c>
      <c r="AQ24" s="537" t="s">
        <v>299</v>
      </c>
      <c r="AR24" s="559">
        <f ca="1">116*AR22^3-282*AR22^2+220*AR22-4.8</f>
        <v>35.25708327009023</v>
      </c>
      <c r="AS24" s="530"/>
      <c r="AT24" s="530"/>
      <c r="AU24" s="530"/>
      <c r="AV24" s="530"/>
      <c r="AW24" s="530"/>
      <c r="AX24" s="530"/>
      <c r="AY24" s="567" t="s">
        <v>1430</v>
      </c>
      <c r="AZ24" s="557">
        <f>AZ25*0.75</f>
        <v>1.5</v>
      </c>
      <c r="BA24" s="537" t="s">
        <v>299</v>
      </c>
      <c r="BB24" s="559">
        <f ca="1">116*BB22^3-282*BB22^2+220*BB22-4.8</f>
        <v>35.25708327009023</v>
      </c>
      <c r="BC24" s="530"/>
      <c r="BD24" s="530"/>
      <c r="BE24" s="530"/>
      <c r="BF24" s="530"/>
      <c r="BG24" s="530"/>
      <c r="BH24" s="530"/>
      <c r="BI24" s="567" t="s">
        <v>1430</v>
      </c>
      <c r="BJ24" s="557">
        <f>BJ25*0.75</f>
        <v>1.5</v>
      </c>
      <c r="BK24" s="537" t="s">
        <v>299</v>
      </c>
      <c r="BL24" s="559">
        <f ca="1">116*BL22^3-282*BL22^2+220*BL22-4.8</f>
        <v>35.25708327009023</v>
      </c>
      <c r="BM24" s="530"/>
      <c r="BN24" s="530"/>
      <c r="BO24" s="530"/>
      <c r="BP24" s="530"/>
      <c r="BQ24" s="530"/>
    </row>
    <row r="25" spans="1:69" ht="18" x14ac:dyDescent="0.35">
      <c r="A25" s="558" t="s">
        <v>1431</v>
      </c>
      <c r="B25" s="559">
        <f>4.45-0.035*B9</f>
        <v>2.0</v>
      </c>
      <c r="C25" s="537" t="s">
        <v>300</v>
      </c>
      <c r="D25" s="559">
        <f ca="1">2.5*D22^3-8.8*D22+40.7</f>
        <v>38.46606444948338</v>
      </c>
      <c r="E25" s="530"/>
      <c r="F25" s="530"/>
      <c r="G25" s="530"/>
      <c r="H25" s="530"/>
      <c r="I25" s="530"/>
      <c r="J25" s="530"/>
      <c r="K25" s="558" t="s">
        <v>1431</v>
      </c>
      <c r="L25" s="559">
        <f>4.45-0.035*L9</f>
        <v>2.0</v>
      </c>
      <c r="M25" s="537" t="s">
        <v>300</v>
      </c>
      <c r="N25" s="559">
        <f ca="1">2.5*N22^3-8.8*N22+40.7</f>
        <v>38.46606444948338</v>
      </c>
      <c r="O25" s="530"/>
      <c r="P25" s="530"/>
      <c r="Q25" s="530"/>
      <c r="R25" s="530"/>
      <c r="S25" s="530"/>
      <c r="T25" s="530"/>
      <c r="U25" s="558" t="s">
        <v>1431</v>
      </c>
      <c r="V25" s="559">
        <f>4.45-0.035*V9</f>
        <v>2.0</v>
      </c>
      <c r="W25" s="537" t="s">
        <v>300</v>
      </c>
      <c r="X25" s="559">
        <f ca="1">2.5*X22^3-8.8*X22+40.7</f>
        <v>38.46606444948338</v>
      </c>
      <c r="Y25" s="530"/>
      <c r="Z25" s="530"/>
      <c r="AA25" s="530"/>
      <c r="AB25" s="530"/>
      <c r="AC25" s="530"/>
      <c r="AD25" s="530"/>
      <c r="AE25" s="558" t="s">
        <v>1431</v>
      </c>
      <c r="AF25" s="559">
        <f>4.45-0.035*AF9</f>
        <v>2.0</v>
      </c>
      <c r="AG25" s="537" t="s">
        <v>300</v>
      </c>
      <c r="AH25" s="559">
        <f ca="1">2.5*AH22^3-8.8*AH22+40.7</f>
        <v>38.46606444948338</v>
      </c>
      <c r="AI25" s="530"/>
      <c r="AJ25" s="530"/>
      <c r="AK25" s="530"/>
      <c r="AL25" s="530"/>
      <c r="AM25" s="530"/>
      <c r="AN25" s="530"/>
      <c r="AO25" s="558" t="s">
        <v>1431</v>
      </c>
      <c r="AP25" s="559">
        <f>4.45-0.035*AP9</f>
        <v>2.0</v>
      </c>
      <c r="AQ25" s="537" t="s">
        <v>300</v>
      </c>
      <c r="AR25" s="559">
        <f ca="1">2.5*AR22^3-8.8*AR22+40.7</f>
        <v>38.46606444948338</v>
      </c>
      <c r="AS25" s="530"/>
      <c r="AT25" s="530"/>
      <c r="AU25" s="530"/>
      <c r="AV25" s="530"/>
      <c r="AW25" s="530"/>
      <c r="AX25" s="530"/>
      <c r="AY25" s="558" t="s">
        <v>1431</v>
      </c>
      <c r="AZ25" s="559">
        <f>4.45-0.035*AZ9</f>
        <v>2.0</v>
      </c>
      <c r="BA25" s="537" t="s">
        <v>300</v>
      </c>
      <c r="BB25" s="559">
        <f ca="1">2.5*BB22^3-8.8*BB22+40.7</f>
        <v>38.46606444948338</v>
      </c>
      <c r="BC25" s="530"/>
      <c r="BD25" s="530"/>
      <c r="BE25" s="530"/>
      <c r="BF25" s="530"/>
      <c r="BG25" s="530"/>
      <c r="BH25" s="530"/>
      <c r="BI25" s="558" t="s">
        <v>1431</v>
      </c>
      <c r="BJ25" s="559">
        <f>4.45-0.035*BJ9</f>
        <v>2.0</v>
      </c>
      <c r="BK25" s="537" t="s">
        <v>300</v>
      </c>
      <c r="BL25" s="559">
        <f ca="1">2.5*BL22^3-8.8*BL22+40.7</f>
        <v>38.46606444948338</v>
      </c>
      <c r="BM25" s="530"/>
      <c r="BN25" s="530"/>
      <c r="BO25" s="530"/>
      <c r="BP25" s="530"/>
      <c r="BQ25" s="530"/>
    </row>
    <row r="26" spans="1:69" ht="18" x14ac:dyDescent="0.35">
      <c r="A26" s="558" t="s">
        <v>1432</v>
      </c>
      <c r="B26" s="559">
        <f>B25*1.25</f>
        <v>2.5</v>
      </c>
      <c r="C26" s="537" t="s">
        <v>301</v>
      </c>
      <c r="D26" s="559">
        <f ca="1">-75*D22^3+585*D22^2+496*D22-6.8</f>
        <v>159.43050953175293</v>
      </c>
      <c r="E26" s="530"/>
      <c r="F26" s="530"/>
      <c r="G26" s="530"/>
      <c r="H26" s="530"/>
      <c r="I26" s="530"/>
      <c r="J26" s="530"/>
      <c r="K26" s="558" t="s">
        <v>1432</v>
      </c>
      <c r="L26" s="559">
        <f>L25*1.25</f>
        <v>2.5</v>
      </c>
      <c r="M26" s="537" t="s">
        <v>301</v>
      </c>
      <c r="N26" s="559">
        <f ca="1">-75*N22^3+585*N22^2+496*N22-6.8</f>
        <v>159.43050953175293</v>
      </c>
      <c r="O26" s="530"/>
      <c r="P26" s="530"/>
      <c r="Q26" s="530"/>
      <c r="R26" s="530"/>
      <c r="S26" s="530"/>
      <c r="T26" s="530"/>
      <c r="U26" s="558" t="s">
        <v>1432</v>
      </c>
      <c r="V26" s="559">
        <f>V25*1.25</f>
        <v>2.5</v>
      </c>
      <c r="W26" s="537" t="s">
        <v>301</v>
      </c>
      <c r="X26" s="559">
        <f ca="1">-75*X22^3+585*X22^2+496*X22-6.8</f>
        <v>159.43050953175293</v>
      </c>
      <c r="Y26" s="530"/>
      <c r="Z26" s="530"/>
      <c r="AA26" s="530"/>
      <c r="AB26" s="530"/>
      <c r="AC26" s="530"/>
      <c r="AD26" s="530"/>
      <c r="AE26" s="558" t="s">
        <v>1432</v>
      </c>
      <c r="AF26" s="559">
        <f>AF25*1.25</f>
        <v>2.5</v>
      </c>
      <c r="AG26" s="537" t="s">
        <v>301</v>
      </c>
      <c r="AH26" s="559">
        <f ca="1">-75*AH22^3+585*AH22^2+496*AH22-6.8</f>
        <v>159.43050953175293</v>
      </c>
      <c r="AI26" s="530"/>
      <c r="AJ26" s="530"/>
      <c r="AK26" s="530"/>
      <c r="AL26" s="530"/>
      <c r="AM26" s="530"/>
      <c r="AN26" s="530"/>
      <c r="AO26" s="558" t="s">
        <v>1432</v>
      </c>
      <c r="AP26" s="559">
        <f>AP25*1.25</f>
        <v>2.5</v>
      </c>
      <c r="AQ26" s="537" t="s">
        <v>301</v>
      </c>
      <c r="AR26" s="559">
        <f ca="1">-75*AR22^3+585*AR22^2+496*AR22-6.8</f>
        <v>159.43050953175293</v>
      </c>
      <c r="AS26" s="530"/>
      <c r="AT26" s="530"/>
      <c r="AU26" s="530"/>
      <c r="AV26" s="530"/>
      <c r="AW26" s="530"/>
      <c r="AX26" s="530"/>
      <c r="AY26" s="558" t="s">
        <v>1432</v>
      </c>
      <c r="AZ26" s="559">
        <f>AZ25*1.25</f>
        <v>2.5</v>
      </c>
      <c r="BA26" s="537" t="s">
        <v>301</v>
      </c>
      <c r="BB26" s="559">
        <f ca="1">-75*BB22^3+585*BB22^2+496*BB22-6.8</f>
        <v>159.43050953175293</v>
      </c>
      <c r="BC26" s="530"/>
      <c r="BD26" s="530"/>
      <c r="BE26" s="530"/>
      <c r="BF26" s="530"/>
      <c r="BG26" s="530"/>
      <c r="BH26" s="530"/>
      <c r="BI26" s="558" t="s">
        <v>1432</v>
      </c>
      <c r="BJ26" s="559">
        <f>BJ25*1.25</f>
        <v>2.5</v>
      </c>
      <c r="BK26" s="537" t="s">
        <v>301</v>
      </c>
      <c r="BL26" s="559">
        <f ca="1">-75*BL22^3+585*BL22^2+496*BL22-6.8</f>
        <v>159.43050953175293</v>
      </c>
      <c r="BM26" s="530"/>
      <c r="BN26" s="530"/>
      <c r="BO26" s="530"/>
      <c r="BP26" s="530"/>
      <c r="BQ26" s="530"/>
    </row>
    <row r="27" spans="1:69" ht="18" x14ac:dyDescent="0.35">
      <c r="A27" s="558" t="s">
        <v>1433</v>
      </c>
      <c r="B27" s="559">
        <f>IF(B11&lt;5,B24,IF(B11&lt;10,B25,B26))</f>
        <v>2.5</v>
      </c>
      <c r="C27" s="537" t="s">
        <v>1434</v>
      </c>
      <c r="D27" s="559">
        <f ca="1">-169*D22^4+88*D22^3+584*D22^2-39*D22+0.8</f>
        <v>30.583348401887868</v>
      </c>
      <c r="E27" s="530"/>
      <c r="F27" s="530"/>
      <c r="G27" s="530"/>
      <c r="H27" s="530"/>
      <c r="I27" s="530"/>
      <c r="J27" s="530"/>
      <c r="K27" s="558" t="s">
        <v>1433</v>
      </c>
      <c r="L27" s="559">
        <f>IF(L11&lt;5,L24,IF(L11&lt;10,L25,L26))</f>
        <v>2.5</v>
      </c>
      <c r="M27" s="537" t="s">
        <v>1434</v>
      </c>
      <c r="N27" s="559">
        <f ca="1">-169*N22^4+88*N22^3+584*N22^2-39*N22+0.8</f>
        <v>30.583348401887868</v>
      </c>
      <c r="O27" s="530"/>
      <c r="P27" s="530"/>
      <c r="Q27" s="530"/>
      <c r="R27" s="530"/>
      <c r="S27" s="530"/>
      <c r="T27" s="530"/>
      <c r="U27" s="558" t="s">
        <v>1433</v>
      </c>
      <c r="V27" s="559">
        <f>IF(V11&lt;5,V24,IF(V11&lt;10,V25,V26))</f>
        <v>2.5</v>
      </c>
      <c r="W27" s="537" t="s">
        <v>1434</v>
      </c>
      <c r="X27" s="559">
        <f ca="1">-169*X22^4+88*X22^3+584*X22^2-39*X22+0.8</f>
        <v>30.583348401887868</v>
      </c>
      <c r="Y27" s="530"/>
      <c r="Z27" s="530"/>
      <c r="AA27" s="530"/>
      <c r="AB27" s="530"/>
      <c r="AC27" s="530"/>
      <c r="AD27" s="530"/>
      <c r="AE27" s="558" t="s">
        <v>1433</v>
      </c>
      <c r="AF27" s="559">
        <f>IF(AF11&lt;5,AF24,IF(AF11&lt;10,AF25,AF26))</f>
        <v>2.5</v>
      </c>
      <c r="AG27" s="537" t="s">
        <v>1434</v>
      </c>
      <c r="AH27" s="559">
        <f ca="1">-169*AH22^4+88*AH22^3+584*AH22^2-39*AH22+0.8</f>
        <v>30.583348401887868</v>
      </c>
      <c r="AI27" s="530"/>
      <c r="AJ27" s="530"/>
      <c r="AK27" s="530"/>
      <c r="AL27" s="530"/>
      <c r="AM27" s="530"/>
      <c r="AN27" s="530"/>
      <c r="AO27" s="558" t="s">
        <v>1433</v>
      </c>
      <c r="AP27" s="559">
        <f>IF(AP11&lt;5,AP24,IF(AP11&lt;10,AP25,AP26))</f>
        <v>2.5</v>
      </c>
      <c r="AQ27" s="537" t="s">
        <v>1434</v>
      </c>
      <c r="AR27" s="559">
        <f ca="1">-169*AR22^4+88*AR22^3+584*AR22^2-39*AR22+0.8</f>
        <v>30.583348401887868</v>
      </c>
      <c r="AS27" s="530"/>
      <c r="AT27" s="530"/>
      <c r="AU27" s="530"/>
      <c r="AV27" s="530"/>
      <c r="AW27" s="530"/>
      <c r="AX27" s="530"/>
      <c r="AY27" s="558" t="s">
        <v>1433</v>
      </c>
      <c r="AZ27" s="559">
        <f>IF(AZ11&lt;5,AZ24,IF(AZ11&lt;10,AZ25,AZ26))</f>
        <v>2.5</v>
      </c>
      <c r="BA27" s="537" t="s">
        <v>1434</v>
      </c>
      <c r="BB27" s="559">
        <f ca="1">-169*BB22^4+88*BB22^3+584*BB22^2-39*BB22+0.8</f>
        <v>30.583348401887868</v>
      </c>
      <c r="BC27" s="530"/>
      <c r="BD27" s="530"/>
      <c r="BE27" s="530"/>
      <c r="BF27" s="530"/>
      <c r="BG27" s="530"/>
      <c r="BH27" s="530"/>
      <c r="BI27" s="558" t="s">
        <v>1433</v>
      </c>
      <c r="BJ27" s="559">
        <f>IF(BJ11&lt;5,BJ24,IF(BJ11&lt;10,BJ25,BJ26))</f>
        <v>2.5</v>
      </c>
      <c r="BK27" s="537" t="s">
        <v>1434</v>
      </c>
      <c r="BL27" s="559">
        <f ca="1">-169*BL22^4+88*BL22^3+584*BL22^2-39*BL22+0.8</f>
        <v>30.583348401887868</v>
      </c>
      <c r="BM27" s="530"/>
      <c r="BN27" s="530"/>
      <c r="BO27" s="530"/>
      <c r="BP27" s="530"/>
      <c r="BQ27" s="530"/>
    </row>
    <row r="28" spans="1:69" ht="18" x14ac:dyDescent="0.35">
      <c r="A28" s="562" t="s">
        <v>1435</v>
      </c>
      <c r="B28" s="566">
        <f>1+EXP(-7.8+0.1*B9)</f>
        <v>1.4493289641172216</v>
      </c>
      <c r="C28" s="565" t="s">
        <v>1436</v>
      </c>
      <c r="D28" s="559">
        <f ca="1">((D20/100)^3+D23*(D20/100)^2+D24*(D20/100))/((D20/100)^3+D25*(D20/100)^2+D26*(D20/100)+D27)</f>
        <v>0.011080024873682984</v>
      </c>
      <c r="E28" s="530"/>
      <c r="F28" s="530"/>
      <c r="G28" s="530"/>
      <c r="H28" s="530"/>
      <c r="I28" s="530"/>
      <c r="J28" s="530"/>
      <c r="K28" s="562" t="s">
        <v>1435</v>
      </c>
      <c r="L28" s="566">
        <f>1+EXP(-7.8+0.1*L9)</f>
        <v>1.4493289641172216</v>
      </c>
      <c r="M28" s="565" t="s">
        <v>1436</v>
      </c>
      <c r="N28" s="559">
        <f ca="1">((N20/100)^3+N23*(N20/100)^2+N24*(N20/100))/((N20/100)^3+N25*(N20/100)^2+N26*(N20/100)+N27)</f>
        <v>0.04819982036235276</v>
      </c>
      <c r="O28" s="530"/>
      <c r="P28" s="530"/>
      <c r="Q28" s="530"/>
      <c r="R28" s="530"/>
      <c r="S28" s="530"/>
      <c r="T28" s="530"/>
      <c r="U28" s="562" t="s">
        <v>1435</v>
      </c>
      <c r="V28" s="566">
        <f>1+EXP(-7.8+0.1*V9)</f>
        <v>1.4493289641172216</v>
      </c>
      <c r="W28" s="565" t="s">
        <v>1436</v>
      </c>
      <c r="X28" s="559">
        <f ca="1">((X20/100)^3+X23*(X20/100)^2+X24*(X20/100))/((X20/100)^3+X25*(X20/100)^2+X26*(X20/100)+X27)</f>
        <v>0.111834872607604</v>
      </c>
      <c r="Y28" s="530"/>
      <c r="Z28" s="530"/>
      <c r="AA28" s="530"/>
      <c r="AB28" s="530"/>
      <c r="AC28" s="530"/>
      <c r="AD28" s="530"/>
      <c r="AE28" s="562" t="s">
        <v>1435</v>
      </c>
      <c r="AF28" s="566">
        <f>1+EXP(-7.8+0.1*AF9)</f>
        <v>1.4493289641172216</v>
      </c>
      <c r="AG28" s="565" t="s">
        <v>1436</v>
      </c>
      <c r="AH28" s="559">
        <f ca="1">((AH20/100)^3+AH23*(AH20/100)^2+AH24*(AH20/100))/((AH20/100)^3+AH25*(AH20/100)^2+AH26*(AH20/100)+AH27)</f>
        <v>0.1734294751873854</v>
      </c>
      <c r="AI28" s="530"/>
      <c r="AJ28" s="530"/>
      <c r="AK28" s="530"/>
      <c r="AL28" s="530"/>
      <c r="AM28" s="530"/>
      <c r="AN28" s="530"/>
      <c r="AO28" s="562" t="s">
        <v>1435</v>
      </c>
      <c r="AP28" s="566">
        <f>1+EXP(-7.8+0.1*AP9)</f>
        <v>1.4493289641172216</v>
      </c>
      <c r="AQ28" s="565" t="s">
        <v>1436</v>
      </c>
      <c r="AR28" s="559">
        <f ca="1">((AR20/100)^3+AR23*(AR20/100)^2+AR24*(AR20/100))/((AR20/100)^3+AR25*(AR20/100)^2+AR26*(AR20/100)+AR27)</f>
        <v>0.21828636750329786</v>
      </c>
      <c r="AS28" s="530"/>
      <c r="AT28" s="530"/>
      <c r="AU28" s="530"/>
      <c r="AV28" s="530"/>
      <c r="AW28" s="530"/>
      <c r="AX28" s="530"/>
      <c r="AY28" s="562" t="s">
        <v>1435</v>
      </c>
      <c r="AZ28" s="566">
        <f>1+EXP(-7.8+0.1*AZ9)</f>
        <v>1.4493289641172216</v>
      </c>
      <c r="BA28" s="565" t="s">
        <v>1436</v>
      </c>
      <c r="BB28" s="559">
        <f ca="1">((BB20/100)^3+BB23*(BB20/100)^2+BB24*(BB20/100))/((BB20/100)^3+BB25*(BB20/100)^2+BB26*(BB20/100)+BB27)</f>
        <v>0.2549455719222735</v>
      </c>
      <c r="BC28" s="530"/>
      <c r="BD28" s="530"/>
      <c r="BE28" s="530"/>
      <c r="BF28" s="530"/>
      <c r="BG28" s="530"/>
      <c r="BH28" s="530"/>
      <c r="BI28" s="562" t="s">
        <v>1435</v>
      </c>
      <c r="BJ28" s="566">
        <f>1+EXP(-7.8+0.1*BJ9)</f>
        <v>1.4493289641172216</v>
      </c>
      <c r="BK28" s="565" t="s">
        <v>1436</v>
      </c>
      <c r="BL28" s="559">
        <f ca="1">((BL20/100)^3+BL23*(BL20/100)^2+BL24*(BL20/100))/((BL20/100)^3+BL25*(BL20/100)^2+BL26*(BL20/100)+BL27)</f>
        <v>0.28664524562089416</v>
      </c>
      <c r="BM28" s="530"/>
      <c r="BN28" s="530"/>
      <c r="BO28" s="530"/>
      <c r="BP28" s="530"/>
      <c r="BQ28" s="530"/>
    </row>
    <row r="29" spans="1:69" ht="18" x14ac:dyDescent="0.35">
      <c r="A29" s="565" t="s">
        <v>1428</v>
      </c>
      <c r="B29" s="566">
        <f ca="1">B28*2*B7/(B8)</f>
        <v>25.877950689716002</v>
      </c>
      <c r="C29" s="568" t="s">
        <v>1437</v>
      </c>
      <c r="D29" s="569">
        <f ca="1">((D21/100)^3+D23*(D21/100)^2+D24*(D21/100))/((D21/100)^3+D25*(D21/100)^2+D26*(D21/100)+D27)</f>
        <v>1.002064371531077</v>
      </c>
      <c r="E29" s="530"/>
      <c r="F29" s="530"/>
      <c r="G29" s="530"/>
      <c r="H29" s="530"/>
      <c r="I29" s="530"/>
      <c r="J29" s="530"/>
      <c r="K29" s="565" t="s">
        <v>1428</v>
      </c>
      <c r="L29" s="566">
        <f ca="1">L28*2*L7/(L8)</f>
        <v>25.877950689716002</v>
      </c>
      <c r="M29" s="568" t="s">
        <v>1437</v>
      </c>
      <c r="N29" s="569">
        <f ca="1">((N21/100)^3+N23*(N21/100)^2+N24*(N21/100))/((N21/100)^3+N25*(N21/100)^2+N26*(N21/100)+N27)</f>
        <v>1.002064371531077</v>
      </c>
      <c r="O29" s="530"/>
      <c r="P29" s="530"/>
      <c r="Q29" s="530"/>
      <c r="R29" s="530"/>
      <c r="S29" s="530"/>
      <c r="T29" s="530"/>
      <c r="U29" s="565" t="s">
        <v>1428</v>
      </c>
      <c r="V29" s="566">
        <f ca="1">V28*2*V7/(V8)</f>
        <v>25.877950689716002</v>
      </c>
      <c r="W29" s="568" t="s">
        <v>1437</v>
      </c>
      <c r="X29" s="569">
        <f ca="1">((X21/100)^3+X23*(X21/100)^2+X24*(X21/100))/((X21/100)^3+X25*(X21/100)^2+X26*(X21/100)+X27)</f>
        <v>1.002064371531077</v>
      </c>
      <c r="Y29" s="530"/>
      <c r="Z29" s="530"/>
      <c r="AA29" s="530"/>
      <c r="AB29" s="530"/>
      <c r="AC29" s="530"/>
      <c r="AD29" s="530"/>
      <c r="AE29" s="565" t="s">
        <v>1428</v>
      </c>
      <c r="AF29" s="566">
        <f ca="1">AF28*2*AF7/(AF8)</f>
        <v>25.877950689716002</v>
      </c>
      <c r="AG29" s="568" t="s">
        <v>1437</v>
      </c>
      <c r="AH29" s="569">
        <f ca="1">((AH21/100)^3+AH23*(AH21/100)^2+AH24*(AH21/100))/((AH21/100)^3+AH25*(AH21/100)^2+AH26*(AH21/100)+AH27)</f>
        <v>1.002064371531077</v>
      </c>
      <c r="AI29" s="530"/>
      <c r="AJ29" s="530"/>
      <c r="AK29" s="530"/>
      <c r="AL29" s="530"/>
      <c r="AM29" s="530"/>
      <c r="AN29" s="530"/>
      <c r="AO29" s="565" t="s">
        <v>1428</v>
      </c>
      <c r="AP29" s="566">
        <f ca="1">AP28*2*AP7/(AP8)</f>
        <v>25.877950689716002</v>
      </c>
      <c r="AQ29" s="568" t="s">
        <v>1437</v>
      </c>
      <c r="AR29" s="569">
        <f ca="1">((AR21/100)^3+AR23*(AR21/100)^2+AR24*(AR21/100))/((AR21/100)^3+AR25*(AR21/100)^2+AR26*(AR21/100)+AR27)</f>
        <v>1.002064371531077</v>
      </c>
      <c r="AS29" s="530"/>
      <c r="AT29" s="530"/>
      <c r="AU29" s="530"/>
      <c r="AV29" s="530"/>
      <c r="AW29" s="530"/>
      <c r="AX29" s="530"/>
      <c r="AY29" s="565" t="s">
        <v>1428</v>
      </c>
      <c r="AZ29" s="566">
        <f ca="1">AZ28*2*AZ7/(AZ8)</f>
        <v>25.877950689716002</v>
      </c>
      <c r="BA29" s="568" t="s">
        <v>1437</v>
      </c>
      <c r="BB29" s="569">
        <f ca="1">((BB21/100)^3+BB23*(BB21/100)^2+BB24*(BB21/100))/((BB21/100)^3+BB25*(BB21/100)^2+BB26*(BB21/100)+BB27)</f>
        <v>1.002064371531077</v>
      </c>
      <c r="BC29" s="530"/>
      <c r="BD29" s="530"/>
      <c r="BE29" s="530"/>
      <c r="BF29" s="530"/>
      <c r="BG29" s="530"/>
      <c r="BH29" s="530"/>
      <c r="BI29" s="565" t="s">
        <v>1428</v>
      </c>
      <c r="BJ29" s="566">
        <f ca="1">BJ28*2*BJ7/(BJ8)</f>
        <v>25.877950689716002</v>
      </c>
      <c r="BK29" s="568" t="s">
        <v>1437</v>
      </c>
      <c r="BL29" s="569">
        <f ca="1">((BL21/100)^3+BL23*(BL21/100)^2+BL24*(BL21/100))/((BL21/100)^3+BL25*(BL21/100)^2+BL26*(BL21/100)+BL27)</f>
        <v>1.002064371531077</v>
      </c>
      <c r="BM29" s="530"/>
      <c r="BN29" s="530"/>
      <c r="BO29" s="530"/>
      <c r="BP29" s="530"/>
      <c r="BQ29" s="530"/>
    </row>
    <row r="30" spans="1:69" ht="18" x14ac:dyDescent="0.35">
      <c r="A30" s="558" t="s">
        <v>1438</v>
      </c>
      <c r="B30" s="570">
        <f ca="1">(42+B29)/(20+B29)</f>
        <v>1.4795331890212682</v>
      </c>
      <c r="C30" s="571" t="s">
        <v>1439</v>
      </c>
      <c r="D30" s="572">
        <f ca="1">D18*(D29-D28)</f>
        <v>-0.0005308545419962942</v>
      </c>
      <c r="E30" s="530"/>
      <c r="F30" s="530"/>
      <c r="G30" s="530"/>
      <c r="H30" s="530"/>
      <c r="I30" s="530"/>
      <c r="J30" s="530"/>
      <c r="K30" s="558" t="s">
        <v>1438</v>
      </c>
      <c r="L30" s="570">
        <f ca="1">(42+L29)/(20+L29)</f>
        <v>1.4795331890212682</v>
      </c>
      <c r="M30" s="571" t="s">
        <v>1439</v>
      </c>
      <c r="N30" s="572">
        <f ca="1">N18*(N29-N28)</f>
        <v>-0.0005109700583517241</v>
      </c>
      <c r="O30" s="530"/>
      <c r="P30" s="530"/>
      <c r="Q30" s="530"/>
      <c r="R30" s="530"/>
      <c r="S30" s="530"/>
      <c r="T30" s="530"/>
      <c r="U30" s="558" t="s">
        <v>1438</v>
      </c>
      <c r="V30" s="570">
        <f ca="1">(42+V29)/(20+V29)</f>
        <v>1.4795331890212682</v>
      </c>
      <c r="W30" s="571" t="s">
        <v>1439</v>
      </c>
      <c r="X30" s="572">
        <f ca="1">X18*(X29-X28)</f>
        <v>-0.00047688177367951235</v>
      </c>
      <c r="Y30" s="530"/>
      <c r="Z30" s="530"/>
      <c r="AA30" s="530"/>
      <c r="AB30" s="530"/>
      <c r="AC30" s="530"/>
      <c r="AD30" s="530"/>
      <c r="AE30" s="558" t="s">
        <v>1438</v>
      </c>
      <c r="AF30" s="570">
        <f ca="1">(42+AF29)/(20+AF29)</f>
        <v>1.4795331890212682</v>
      </c>
      <c r="AG30" s="571" t="s">
        <v>1439</v>
      </c>
      <c r="AH30" s="572">
        <f ca="1">AH18*(AH29-AH28)</f>
        <v>-0.00044388652541729333</v>
      </c>
      <c r="AI30" s="530"/>
      <c r="AJ30" s="530"/>
      <c r="AK30" s="530"/>
      <c r="AL30" s="530"/>
      <c r="AM30" s="530"/>
      <c r="AN30" s="530"/>
      <c r="AO30" s="558" t="s">
        <v>1438</v>
      </c>
      <c r="AP30" s="570">
        <f ca="1">(42+AP29)/(20+AP29)</f>
        <v>1.4795331890212682</v>
      </c>
      <c r="AQ30" s="571" t="s">
        <v>1439</v>
      </c>
      <c r="AR30" s="572">
        <f ca="1">AR18*(AR29-AR28)</f>
        <v>-0.00041985740214601185</v>
      </c>
      <c r="AS30" s="530"/>
      <c r="AT30" s="530"/>
      <c r="AU30" s="530"/>
      <c r="AV30" s="530"/>
      <c r="AW30" s="530"/>
      <c r="AX30" s="530"/>
      <c r="AY30" s="558" t="s">
        <v>1438</v>
      </c>
      <c r="AZ30" s="570">
        <f ca="1">(42+AZ29)/(20+AZ29)</f>
        <v>1.4795331890212682</v>
      </c>
      <c r="BA30" s="571" t="s">
        <v>1439</v>
      </c>
      <c r="BB30" s="572">
        <f ca="1">BB18*(BB29-BB28)</f>
        <v>-0.00040021964980670893</v>
      </c>
      <c r="BC30" s="530"/>
      <c r="BD30" s="530"/>
      <c r="BE30" s="530"/>
      <c r="BF30" s="530"/>
      <c r="BG30" s="530"/>
      <c r="BH30" s="530"/>
      <c r="BI30" s="558" t="s">
        <v>1438</v>
      </c>
      <c r="BJ30" s="570">
        <f ca="1">(42+BJ29)/(20+BJ29)</f>
        <v>1.4795331890212682</v>
      </c>
      <c r="BK30" s="571" t="s">
        <v>1439</v>
      </c>
      <c r="BL30" s="572">
        <f ca="1">BL18*(BL29-BL28)</f>
        <v>-0.00038323863913840316</v>
      </c>
      <c r="BM30" s="530"/>
      <c r="BN30" s="530"/>
      <c r="BO30" s="530"/>
      <c r="BP30" s="530"/>
      <c r="BQ30" s="530"/>
    </row>
    <row r="31" spans="1:69" ht="18" x14ac:dyDescent="0.35">
      <c r="A31" s="558" t="s">
        <v>1440</v>
      </c>
      <c r="B31" s="566">
        <f ca="1">B27*B30</f>
        <v>3.6988329725531703</v>
      </c>
      <c r="C31" s="530"/>
      <c r="D31" s="530"/>
      <c r="E31" s="530"/>
      <c r="F31" s="530"/>
      <c r="G31" s="530"/>
      <c r="H31" s="530"/>
      <c r="I31" s="530"/>
      <c r="J31" s="530"/>
      <c r="K31" s="558" t="s">
        <v>1440</v>
      </c>
      <c r="L31" s="566">
        <f ca="1">L27*L30</f>
        <v>3.6988329725531703</v>
      </c>
      <c r="M31" s="530"/>
      <c r="N31" s="530"/>
      <c r="O31" s="530"/>
      <c r="P31" s="530"/>
      <c r="Q31" s="530"/>
      <c r="R31" s="530"/>
      <c r="S31" s="530"/>
      <c r="T31" s="530"/>
      <c r="U31" s="558" t="s">
        <v>1440</v>
      </c>
      <c r="V31" s="566">
        <f ca="1">V27*V30</f>
        <v>3.6988329725531703</v>
      </c>
      <c r="W31" s="530"/>
      <c r="X31" s="530"/>
      <c r="Y31" s="530"/>
      <c r="Z31" s="530"/>
      <c r="AA31" s="530"/>
      <c r="AB31" s="530"/>
      <c r="AC31" s="530"/>
      <c r="AD31" s="530"/>
      <c r="AE31" s="558" t="s">
        <v>1440</v>
      </c>
      <c r="AF31" s="566">
        <f ca="1">AF27*AF30</f>
        <v>3.6988329725531703</v>
      </c>
      <c r="AG31" s="530"/>
      <c r="AH31" s="530"/>
      <c r="AI31" s="530"/>
      <c r="AJ31" s="530"/>
      <c r="AK31" s="530"/>
      <c r="AL31" s="530"/>
      <c r="AM31" s="530"/>
      <c r="AN31" s="530"/>
      <c r="AO31" s="558" t="s">
        <v>1440</v>
      </c>
      <c r="AP31" s="566">
        <f ca="1">AP27*AP30</f>
        <v>3.6988329725531703</v>
      </c>
      <c r="AQ31" s="530"/>
      <c r="AR31" s="530"/>
      <c r="AS31" s="530"/>
      <c r="AT31" s="530"/>
      <c r="AU31" s="530"/>
      <c r="AV31" s="530"/>
      <c r="AW31" s="530"/>
      <c r="AX31" s="530"/>
      <c r="AY31" s="558" t="s">
        <v>1440</v>
      </c>
      <c r="AZ31" s="566">
        <f ca="1">AZ27*AZ30</f>
        <v>3.6988329725531703</v>
      </c>
      <c r="BA31" s="530"/>
      <c r="BB31" s="530"/>
      <c r="BC31" s="530"/>
      <c r="BD31" s="530"/>
      <c r="BE31" s="530"/>
      <c r="BF31" s="530"/>
      <c r="BG31" s="530"/>
      <c r="BH31" s="530"/>
      <c r="BI31" s="558" t="s">
        <v>1440</v>
      </c>
      <c r="BJ31" s="566">
        <f ca="1">BJ27*BJ30</f>
        <v>3.6988329725531703</v>
      </c>
      <c r="BK31" s="530"/>
      <c r="BL31" s="530"/>
      <c r="BM31" s="530"/>
      <c r="BN31" s="530"/>
      <c r="BO31" s="530"/>
      <c r="BP31" s="530"/>
      <c r="BQ31" s="530"/>
    </row>
    <row r="32" spans="1:69" ht="18" x14ac:dyDescent="0.35">
      <c r="A32" s="558" t="s">
        <v>1441</v>
      </c>
      <c r="B32" s="566">
        <f ca="1">0.45*B27*B30</f>
        <v>1.6644748376489267</v>
      </c>
      <c r="C32" s="530"/>
      <c r="D32" s="530"/>
      <c r="E32" s="530"/>
      <c r="F32" s="530"/>
      <c r="G32" s="530"/>
      <c r="H32" s="530"/>
      <c r="I32" s="530"/>
      <c r="J32" s="530"/>
      <c r="K32" s="558" t="s">
        <v>1441</v>
      </c>
      <c r="L32" s="566">
        <f ca="1">0.45*L27*L30</f>
        <v>1.6644748376489267</v>
      </c>
      <c r="M32" s="530"/>
      <c r="N32" s="530"/>
      <c r="O32" s="530"/>
      <c r="P32" s="530"/>
      <c r="Q32" s="530"/>
      <c r="R32" s="530"/>
      <c r="S32" s="530"/>
      <c r="T32" s="530"/>
      <c r="U32" s="558" t="s">
        <v>1441</v>
      </c>
      <c r="V32" s="566">
        <f ca="1">0.45*V27*V30</f>
        <v>1.6644748376489267</v>
      </c>
      <c r="W32" s="530"/>
      <c r="X32" s="530"/>
      <c r="Y32" s="530"/>
      <c r="Z32" s="530"/>
      <c r="AA32" s="530"/>
      <c r="AB32" s="530"/>
      <c r="AC32" s="530"/>
      <c r="AD32" s="530"/>
      <c r="AE32" s="558" t="s">
        <v>1441</v>
      </c>
      <c r="AF32" s="566">
        <f ca="1">0.45*AF27*AF30</f>
        <v>1.6644748376489267</v>
      </c>
      <c r="AG32" s="530"/>
      <c r="AH32" s="530"/>
      <c r="AI32" s="530"/>
      <c r="AJ32" s="530"/>
      <c r="AK32" s="530"/>
      <c r="AL32" s="530"/>
      <c r="AM32" s="530"/>
      <c r="AN32" s="530"/>
      <c r="AO32" s="558" t="s">
        <v>1441</v>
      </c>
      <c r="AP32" s="566">
        <f ca="1">0.45*AP27*AP30</f>
        <v>1.6644748376489267</v>
      </c>
      <c r="AQ32" s="530"/>
      <c r="AR32" s="530"/>
      <c r="AS32" s="530"/>
      <c r="AT32" s="530"/>
      <c r="AU32" s="530"/>
      <c r="AV32" s="530"/>
      <c r="AW32" s="530"/>
      <c r="AX32" s="530"/>
      <c r="AY32" s="558" t="s">
        <v>1441</v>
      </c>
      <c r="AZ32" s="566">
        <f ca="1">0.45*AZ27*AZ30</f>
        <v>1.6644748376489267</v>
      </c>
      <c r="BA32" s="530"/>
      <c r="BB32" s="530"/>
      <c r="BC32" s="530"/>
      <c r="BD32" s="530"/>
      <c r="BE32" s="530"/>
      <c r="BF32" s="530"/>
      <c r="BG32" s="530"/>
      <c r="BH32" s="530"/>
      <c r="BI32" s="558" t="s">
        <v>1441</v>
      </c>
      <c r="BJ32" s="566">
        <f ca="1">0.45*BJ27*BJ30</f>
        <v>1.6644748376489267</v>
      </c>
      <c r="BK32" s="530"/>
      <c r="BL32" s="530"/>
      <c r="BM32" s="530"/>
      <c r="BN32" s="530"/>
      <c r="BO32" s="530"/>
      <c r="BP32" s="530"/>
      <c r="BQ32" s="530"/>
    </row>
    <row r="33" spans="1:69" ht="18" x14ac:dyDescent="0.35">
      <c r="A33" s="563" t="s">
        <v>1442</v>
      </c>
      <c r="B33" s="573">
        <f ca="1">IF(D7&lt;50,B31,B32)</f>
        <v>1.6644748376489267</v>
      </c>
      <c r="C33" s="530"/>
      <c r="D33" s="530"/>
      <c r="E33" s="530"/>
      <c r="F33" s="530"/>
      <c r="G33" s="530"/>
      <c r="H33" s="530"/>
      <c r="I33" s="530"/>
      <c r="J33" s="530"/>
      <c r="K33" s="563" t="s">
        <v>1442</v>
      </c>
      <c r="L33" s="573">
        <f ca="1">IF(N7&lt;50,L31,L32)</f>
        <v>1.6644748376489267</v>
      </c>
      <c r="M33" s="530"/>
      <c r="N33" s="530"/>
      <c r="O33" s="530"/>
      <c r="P33" s="530"/>
      <c r="Q33" s="530"/>
      <c r="R33" s="530"/>
      <c r="S33" s="530"/>
      <c r="T33" s="530"/>
      <c r="U33" s="563" t="s">
        <v>1442</v>
      </c>
      <c r="V33" s="573">
        <f ca="1">IF(X7&lt;50,V31,V32)</f>
        <v>1.6644748376489267</v>
      </c>
      <c r="W33" s="530"/>
      <c r="X33" s="530"/>
      <c r="Y33" s="530"/>
      <c r="Z33" s="530"/>
      <c r="AA33" s="530"/>
      <c r="AB33" s="530"/>
      <c r="AC33" s="530"/>
      <c r="AD33" s="530"/>
      <c r="AE33" s="563" t="s">
        <v>1442</v>
      </c>
      <c r="AF33" s="573">
        <f ca="1">IF(AH7&lt;50,AF31,AF32)</f>
        <v>1.6644748376489267</v>
      </c>
      <c r="AG33" s="530"/>
      <c r="AH33" s="530"/>
      <c r="AI33" s="530"/>
      <c r="AJ33" s="530"/>
      <c r="AK33" s="530"/>
      <c r="AL33" s="530"/>
      <c r="AM33" s="530"/>
      <c r="AN33" s="530"/>
      <c r="AO33" s="563" t="s">
        <v>1442</v>
      </c>
      <c r="AP33" s="573">
        <f ca="1">IF(AR7&lt;50,AP31,AP32)</f>
        <v>1.6644748376489267</v>
      </c>
      <c r="AQ33" s="530"/>
      <c r="AR33" s="530"/>
      <c r="AS33" s="530"/>
      <c r="AT33" s="530"/>
      <c r="AU33" s="530"/>
      <c r="AV33" s="530"/>
      <c r="AW33" s="530"/>
      <c r="AX33" s="530"/>
      <c r="AY33" s="563" t="s">
        <v>1442</v>
      </c>
      <c r="AZ33" s="573">
        <f ca="1">IF(BB7&lt;50,AZ31,AZ32)</f>
        <v>1.6644748376489267</v>
      </c>
      <c r="BA33" s="530"/>
      <c r="BB33" s="530"/>
      <c r="BC33" s="530"/>
      <c r="BD33" s="530"/>
      <c r="BE33" s="530"/>
      <c r="BF33" s="530"/>
      <c r="BG33" s="530"/>
      <c r="BH33" s="530"/>
      <c r="BI33" s="563" t="s">
        <v>1442</v>
      </c>
      <c r="BJ33" s="573">
        <f ca="1">IF(BL7&lt;50,BJ31,BJ32)</f>
        <v>1.6644748376489267</v>
      </c>
      <c r="BK33" s="530"/>
      <c r="BL33" s="530"/>
      <c r="BM33" s="530"/>
      <c r="BN33" s="530"/>
      <c r="BO33" s="530"/>
      <c r="BP33" s="530"/>
      <c r="BQ33" s="530"/>
    </row>
    <row r="34" spans="1:69" x14ac:dyDescent="0.25">
      <c r="A34" s="830" t="s">
        <v>1443</v>
      </c>
      <c r="B34" s="830"/>
      <c r="C34" s="530"/>
      <c r="D34" s="530"/>
      <c r="E34" s="530"/>
      <c r="F34" s="530"/>
      <c r="G34" s="530"/>
      <c r="H34" s="530"/>
      <c r="I34" s="530"/>
      <c r="J34" s="530"/>
      <c r="K34" s="830" t="s">
        <v>1443</v>
      </c>
      <c r="L34" s="830"/>
      <c r="M34" s="530"/>
      <c r="N34" s="530"/>
      <c r="O34" s="530"/>
      <c r="P34" s="530"/>
      <c r="Q34" s="530"/>
      <c r="R34" s="530"/>
      <c r="S34" s="530"/>
      <c r="T34" s="530"/>
      <c r="U34" s="830" t="s">
        <v>1443</v>
      </c>
      <c r="V34" s="830"/>
      <c r="W34" s="530"/>
      <c r="X34" s="530"/>
      <c r="Y34" s="530"/>
      <c r="Z34" s="530"/>
      <c r="AA34" s="530"/>
      <c r="AB34" s="530"/>
      <c r="AC34" s="530"/>
      <c r="AD34" s="530"/>
      <c r="AE34" s="830" t="s">
        <v>1443</v>
      </c>
      <c r="AF34" s="830"/>
      <c r="AG34" s="530"/>
      <c r="AH34" s="530"/>
      <c r="AI34" s="530"/>
      <c r="AJ34" s="530"/>
      <c r="AK34" s="530"/>
      <c r="AL34" s="530"/>
      <c r="AM34" s="530"/>
      <c r="AN34" s="530"/>
      <c r="AO34" s="830" t="s">
        <v>1443</v>
      </c>
      <c r="AP34" s="830"/>
      <c r="AQ34" s="530"/>
      <c r="AR34" s="530"/>
      <c r="AS34" s="530"/>
      <c r="AT34" s="530"/>
      <c r="AU34" s="530"/>
      <c r="AV34" s="530"/>
      <c r="AW34" s="530"/>
      <c r="AX34" s="530"/>
      <c r="AY34" s="830" t="s">
        <v>1443</v>
      </c>
      <c r="AZ34" s="830"/>
      <c r="BA34" s="530"/>
      <c r="BB34" s="530"/>
      <c r="BC34" s="530"/>
      <c r="BD34" s="530"/>
      <c r="BE34" s="530"/>
      <c r="BF34" s="530"/>
      <c r="BG34" s="530"/>
      <c r="BH34" s="530"/>
      <c r="BI34" s="830" t="s">
        <v>1443</v>
      </c>
      <c r="BJ34" s="830"/>
      <c r="BK34" s="530"/>
      <c r="BL34" s="530"/>
      <c r="BM34" s="530"/>
      <c r="BN34" s="530"/>
      <c r="BO34" s="530"/>
      <c r="BP34" s="530"/>
      <c r="BQ34" s="530"/>
    </row>
    <row r="35" spans="1:69" ht="18" x14ac:dyDescent="0.35">
      <c r="A35" s="567" t="s">
        <v>1444</v>
      </c>
      <c r="B35" s="557">
        <v>0.4</v>
      </c>
      <c r="C35" s="530"/>
      <c r="D35" s="530"/>
      <c r="E35" s="530"/>
      <c r="F35" s="530"/>
      <c r="G35" s="530"/>
      <c r="H35" s="530"/>
      <c r="I35" s="530"/>
      <c r="J35" s="530"/>
      <c r="K35" s="567" t="s">
        <v>1444</v>
      </c>
      <c r="L35" s="557">
        <v>0.4</v>
      </c>
      <c r="M35" s="530"/>
      <c r="N35" s="530"/>
      <c r="O35" s="530"/>
      <c r="P35" s="530"/>
      <c r="Q35" s="530"/>
      <c r="R35" s="530"/>
      <c r="S35" s="530"/>
      <c r="T35" s="530"/>
      <c r="U35" s="567" t="s">
        <v>1444</v>
      </c>
      <c r="V35" s="557">
        <v>0.4</v>
      </c>
      <c r="W35" s="530"/>
      <c r="X35" s="530"/>
      <c r="Y35" s="530"/>
      <c r="Z35" s="530"/>
      <c r="AA35" s="530"/>
      <c r="AB35" s="530"/>
      <c r="AC35" s="530"/>
      <c r="AD35" s="530"/>
      <c r="AE35" s="567" t="s">
        <v>1444</v>
      </c>
      <c r="AF35" s="557">
        <v>0.4</v>
      </c>
      <c r="AG35" s="530"/>
      <c r="AH35" s="530"/>
      <c r="AI35" s="530"/>
      <c r="AJ35" s="530"/>
      <c r="AK35" s="530"/>
      <c r="AL35" s="530"/>
      <c r="AM35" s="530"/>
      <c r="AN35" s="530"/>
      <c r="AO35" s="567" t="s">
        <v>1444</v>
      </c>
      <c r="AP35" s="557">
        <v>0.4</v>
      </c>
      <c r="AQ35" s="530"/>
      <c r="AR35" s="530"/>
      <c r="AS35" s="530"/>
      <c r="AT35" s="530"/>
      <c r="AU35" s="530"/>
      <c r="AV35" s="530"/>
      <c r="AW35" s="530"/>
      <c r="AX35" s="530"/>
      <c r="AY35" s="567" t="s">
        <v>1444</v>
      </c>
      <c r="AZ35" s="557">
        <v>0.4</v>
      </c>
      <c r="BA35" s="530"/>
      <c r="BB35" s="530"/>
      <c r="BC35" s="530"/>
      <c r="BD35" s="530"/>
      <c r="BE35" s="530"/>
      <c r="BF35" s="530"/>
      <c r="BG35" s="530"/>
      <c r="BH35" s="530"/>
      <c r="BI35" s="567" t="s">
        <v>1444</v>
      </c>
      <c r="BJ35" s="557">
        <v>0.4</v>
      </c>
      <c r="BK35" s="530"/>
      <c r="BL35" s="530"/>
      <c r="BM35" s="530"/>
      <c r="BN35" s="530"/>
      <c r="BO35" s="530"/>
      <c r="BP35" s="530"/>
      <c r="BQ35" s="530"/>
    </row>
    <row r="36" spans="1:69" ht="18" x14ac:dyDescent="0.35">
      <c r="A36" s="565" t="s">
        <v>1445</v>
      </c>
      <c r="B36" s="570">
        <f>(B16-B15+20)/(B16-B15+70)</f>
        <v>0.9983370472611168</v>
      </c>
      <c r="C36" s="530"/>
      <c r="D36" s="530"/>
      <c r="E36" s="530"/>
      <c r="F36" s="530"/>
      <c r="G36" s="530"/>
      <c r="H36" s="530"/>
      <c r="I36" s="530"/>
      <c r="J36" s="530"/>
      <c r="K36" s="565" t="s">
        <v>1445</v>
      </c>
      <c r="L36" s="570">
        <f>(L16-L15+20)/(L16-L15+70)</f>
        <v>0.9983363832972884</v>
      </c>
      <c r="M36" s="530"/>
      <c r="N36" s="530"/>
      <c r="O36" s="530"/>
      <c r="P36" s="530"/>
      <c r="Q36" s="530"/>
      <c r="R36" s="530"/>
      <c r="S36" s="530"/>
      <c r="T36" s="530"/>
      <c r="U36" s="565" t="s">
        <v>1445</v>
      </c>
      <c r="V36" s="570">
        <f>(V16-V15+20)/(V16-V15+70)</f>
        <v>0.9983347210657785</v>
      </c>
      <c r="W36" s="530"/>
      <c r="X36" s="530"/>
      <c r="Y36" s="530"/>
      <c r="Z36" s="530"/>
      <c r="AA36" s="530"/>
      <c r="AB36" s="530"/>
      <c r="AC36" s="530"/>
      <c r="AD36" s="530"/>
      <c r="AE36" s="565" t="s">
        <v>1445</v>
      </c>
      <c r="AF36" s="570">
        <f>(AF16-AF15+20)/(AF16-AF15+70)</f>
        <v>0.9983322214809873</v>
      </c>
      <c r="AG36" s="530"/>
      <c r="AH36" s="530"/>
      <c r="AI36" s="530"/>
      <c r="AJ36" s="530"/>
      <c r="AK36" s="530"/>
      <c r="AL36" s="530"/>
      <c r="AM36" s="530"/>
      <c r="AN36" s="530"/>
      <c r="AO36" s="565" t="s">
        <v>1445</v>
      </c>
      <c r="AP36" s="570">
        <f>(AP16-AP15+20)/(AP16-AP15+70)</f>
        <v>0.9983297143811591</v>
      </c>
      <c r="AQ36" s="530"/>
      <c r="AR36" s="530"/>
      <c r="AS36" s="530"/>
      <c r="AT36" s="530"/>
      <c r="AU36" s="530"/>
      <c r="AV36" s="530"/>
      <c r="AW36" s="530"/>
      <c r="AX36" s="530"/>
      <c r="AY36" s="565" t="s">
        <v>1445</v>
      </c>
      <c r="AZ36" s="570">
        <f>(AZ16-AZ15+20)/(AZ16-AZ15+70)</f>
        <v>0.998327199732352</v>
      </c>
      <c r="BA36" s="530"/>
      <c r="BB36" s="530"/>
      <c r="BC36" s="530"/>
      <c r="BD36" s="530"/>
      <c r="BE36" s="530"/>
      <c r="BF36" s="530"/>
      <c r="BG36" s="530"/>
      <c r="BH36" s="530"/>
      <c r="BI36" s="565" t="s">
        <v>1445</v>
      </c>
      <c r="BJ36" s="570">
        <f>(BJ16-BJ15+20)/(BJ16-BJ15+70)</f>
        <v>0.9983246775004189</v>
      </c>
      <c r="BK36" s="530"/>
      <c r="BL36" s="530"/>
      <c r="BM36" s="530"/>
      <c r="BN36" s="530"/>
      <c r="BO36" s="530"/>
      <c r="BP36" s="530"/>
      <c r="BQ36" s="530"/>
    </row>
    <row r="37" spans="1:69" ht="18" x14ac:dyDescent="0.35">
      <c r="A37" s="565" t="s">
        <v>1428</v>
      </c>
      <c r="B37" s="566">
        <f ca="1">IF(B29/100&lt;0.05,0.05,IF(B29/100&gt;1.6,1.6,B29/100))</f>
        <v>0.25877950689716</v>
      </c>
      <c r="C37" s="530"/>
      <c r="D37" s="530"/>
      <c r="E37" s="530"/>
      <c r="F37" s="530"/>
      <c r="G37" s="530"/>
      <c r="H37" s="530"/>
      <c r="I37" s="530"/>
      <c r="J37" s="530"/>
      <c r="K37" s="565" t="s">
        <v>1428</v>
      </c>
      <c r="L37" s="566">
        <f ca="1">IF(L29/100&lt;0.05,0.05,IF(L29/100&gt;1.6,1.6,L29/100))</f>
        <v>0.25877950689716</v>
      </c>
      <c r="M37" s="530"/>
      <c r="N37" s="530"/>
      <c r="O37" s="530"/>
      <c r="P37" s="530"/>
      <c r="Q37" s="530"/>
      <c r="R37" s="530"/>
      <c r="S37" s="530"/>
      <c r="T37" s="530"/>
      <c r="U37" s="565" t="s">
        <v>1428</v>
      </c>
      <c r="V37" s="566">
        <f ca="1">IF(V29/100&lt;0.05,0.05,IF(V29/100&gt;1.6,1.6,V29/100))</f>
        <v>0.25877950689716</v>
      </c>
      <c r="W37" s="530"/>
      <c r="X37" s="530"/>
      <c r="Y37" s="530"/>
      <c r="Z37" s="530"/>
      <c r="AA37" s="530"/>
      <c r="AB37" s="530"/>
      <c r="AC37" s="530"/>
      <c r="AD37" s="530"/>
      <c r="AE37" s="565" t="s">
        <v>1428</v>
      </c>
      <c r="AF37" s="566">
        <f ca="1">IF(AF29/100&lt;0.05,0.05,IF(AF29/100&gt;1.6,1.6,AF29/100))</f>
        <v>0.25877950689716</v>
      </c>
      <c r="AG37" s="530"/>
      <c r="AH37" s="530"/>
      <c r="AI37" s="530"/>
      <c r="AJ37" s="530"/>
      <c r="AK37" s="530"/>
      <c r="AL37" s="530"/>
      <c r="AM37" s="530"/>
      <c r="AN37" s="530"/>
      <c r="AO37" s="565" t="s">
        <v>1428</v>
      </c>
      <c r="AP37" s="566">
        <f ca="1">IF(AP29/100&lt;0.05,0.05,IF(AP29/100&gt;1.6,1.6,AP29/100))</f>
        <v>0.25877950689716</v>
      </c>
      <c r="AQ37" s="530"/>
      <c r="AR37" s="530"/>
      <c r="AS37" s="530"/>
      <c r="AT37" s="530"/>
      <c r="AU37" s="530"/>
      <c r="AV37" s="530"/>
      <c r="AW37" s="530"/>
      <c r="AX37" s="530"/>
      <c r="AY37" s="565" t="s">
        <v>1428</v>
      </c>
      <c r="AZ37" s="566">
        <f ca="1">IF(AZ29/100&lt;0.05,0.05,IF(AZ29/100&gt;1.6,1.6,AZ29/100))</f>
        <v>0.25877950689716</v>
      </c>
      <c r="BA37" s="530"/>
      <c r="BB37" s="530"/>
      <c r="BC37" s="530"/>
      <c r="BD37" s="530"/>
      <c r="BE37" s="530"/>
      <c r="BF37" s="530"/>
      <c r="BG37" s="530"/>
      <c r="BH37" s="530"/>
      <c r="BI37" s="565" t="s">
        <v>1428</v>
      </c>
      <c r="BJ37" s="566">
        <f ca="1">IF(BJ29/100&lt;0.05,0.05,IF(BJ29/100&gt;1.6,1.6,BJ29/100))</f>
        <v>0.25877950689716</v>
      </c>
      <c r="BK37" s="530"/>
      <c r="BL37" s="530"/>
      <c r="BM37" s="530"/>
      <c r="BN37" s="530"/>
      <c r="BO37" s="530"/>
      <c r="BP37" s="530"/>
      <c r="BQ37" s="530"/>
    </row>
    <row r="38" spans="1:69" x14ac:dyDescent="0.25">
      <c r="A38" s="537" t="s">
        <v>298</v>
      </c>
      <c r="B38" s="560">
        <f ca="1">42*(B37)^3-350*(B37)^2+588*(B37)+113</f>
        <v>242.451803490049</v>
      </c>
      <c r="C38" s="530"/>
      <c r="D38" s="530"/>
      <c r="E38" s="530"/>
      <c r="F38" s="530"/>
      <c r="G38" s="530"/>
      <c r="H38" s="530"/>
      <c r="I38" s="530"/>
      <c r="J38" s="530"/>
      <c r="K38" s="537" t="s">
        <v>298</v>
      </c>
      <c r="L38" s="560">
        <f ca="1">42*(L37)^3-350*(L37)^2+588*(L37)+113</f>
        <v>242.451803490049</v>
      </c>
      <c r="M38" s="530"/>
      <c r="N38" s="530"/>
      <c r="O38" s="530"/>
      <c r="P38" s="530"/>
      <c r="Q38" s="530"/>
      <c r="R38" s="530"/>
      <c r="S38" s="530"/>
      <c r="T38" s="530"/>
      <c r="U38" s="537" t="s">
        <v>298</v>
      </c>
      <c r="V38" s="560">
        <f ca="1">42*(V37)^3-350*(V37)^2+588*(V37)+113</f>
        <v>242.451803490049</v>
      </c>
      <c r="W38" s="530"/>
      <c r="X38" s="530"/>
      <c r="Y38" s="530"/>
      <c r="Z38" s="530"/>
      <c r="AA38" s="530"/>
      <c r="AB38" s="530"/>
      <c r="AC38" s="530"/>
      <c r="AD38" s="530"/>
      <c r="AE38" s="537" t="s">
        <v>298</v>
      </c>
      <c r="AF38" s="560">
        <f ca="1">42*(AF37)^3-350*(AF37)^2+588*(AF37)+113</f>
        <v>242.451803490049</v>
      </c>
      <c r="AG38" s="530"/>
      <c r="AH38" s="530"/>
      <c r="AI38" s="530"/>
      <c r="AJ38" s="530"/>
      <c r="AK38" s="530"/>
      <c r="AL38" s="530"/>
      <c r="AM38" s="530"/>
      <c r="AN38" s="530"/>
      <c r="AO38" s="537" t="s">
        <v>298</v>
      </c>
      <c r="AP38" s="560">
        <f ca="1">42*(AP37)^3-350*(AP37)^2+588*(AP37)+113</f>
        <v>242.451803490049</v>
      </c>
      <c r="AQ38" s="530"/>
      <c r="AR38" s="530"/>
      <c r="AS38" s="530"/>
      <c r="AT38" s="530"/>
      <c r="AU38" s="530"/>
      <c r="AV38" s="530"/>
      <c r="AW38" s="530"/>
      <c r="AX38" s="530"/>
      <c r="AY38" s="537" t="s">
        <v>298</v>
      </c>
      <c r="AZ38" s="560">
        <f ca="1">42*(AZ37)^3-350*(AZ37)^2+588*(AZ37)+113</f>
        <v>242.451803490049</v>
      </c>
      <c r="BA38" s="530"/>
      <c r="BB38" s="530"/>
      <c r="BC38" s="530"/>
      <c r="BD38" s="530"/>
      <c r="BE38" s="530"/>
      <c r="BF38" s="530"/>
      <c r="BG38" s="530"/>
      <c r="BH38" s="530"/>
      <c r="BI38" s="537" t="s">
        <v>298</v>
      </c>
      <c r="BJ38" s="560">
        <f ca="1">42*(BJ37)^3-350*(BJ37)^2+588*(BJ37)+113</f>
        <v>242.451803490049</v>
      </c>
      <c r="BK38" s="530"/>
      <c r="BL38" s="530"/>
      <c r="BM38" s="530"/>
      <c r="BN38" s="530"/>
      <c r="BO38" s="530"/>
      <c r="BP38" s="530"/>
      <c r="BQ38" s="530"/>
    </row>
    <row r="39" spans="1:69" x14ac:dyDescent="0.25">
      <c r="A39" s="537" t="s">
        <v>299</v>
      </c>
      <c r="B39" s="560">
        <f ca="1">768*(B37)^3-3060*(B37)^2+3234*(B37)-23</f>
        <v>622.2835823910091</v>
      </c>
      <c r="C39" s="530"/>
      <c r="D39" s="530"/>
      <c r="E39" s="530"/>
      <c r="F39" s="530"/>
      <c r="G39" s="530"/>
      <c r="H39" s="530"/>
      <c r="I39" s="530"/>
      <c r="J39" s="530"/>
      <c r="K39" s="537" t="s">
        <v>299</v>
      </c>
      <c r="L39" s="560">
        <f ca="1">768*(L37)^3-3060*(L37)^2+3234*(L37)-23</f>
        <v>622.2835823910091</v>
      </c>
      <c r="M39" s="530"/>
      <c r="N39" s="530"/>
      <c r="O39" s="530"/>
      <c r="P39" s="530"/>
      <c r="Q39" s="530"/>
      <c r="R39" s="530"/>
      <c r="S39" s="530"/>
      <c r="T39" s="530"/>
      <c r="U39" s="537" t="s">
        <v>299</v>
      </c>
      <c r="V39" s="560">
        <f ca="1">768*(V37)^3-3060*(V37)^2+3234*(V37)-23</f>
        <v>622.2835823910091</v>
      </c>
      <c r="W39" s="530"/>
      <c r="X39" s="530"/>
      <c r="Y39" s="530"/>
      <c r="Z39" s="530"/>
      <c r="AA39" s="530"/>
      <c r="AB39" s="530"/>
      <c r="AC39" s="530"/>
      <c r="AD39" s="530"/>
      <c r="AE39" s="537" t="s">
        <v>299</v>
      </c>
      <c r="AF39" s="560">
        <f ca="1">768*(AF37)^3-3060*(AF37)^2+3234*(AF37)-23</f>
        <v>622.2835823910091</v>
      </c>
      <c r="AG39" s="530"/>
      <c r="AH39" s="530"/>
      <c r="AI39" s="530"/>
      <c r="AJ39" s="530"/>
      <c r="AK39" s="530"/>
      <c r="AL39" s="530"/>
      <c r="AM39" s="530"/>
      <c r="AN39" s="530"/>
      <c r="AO39" s="537" t="s">
        <v>299</v>
      </c>
      <c r="AP39" s="560">
        <f ca="1">768*(AP37)^3-3060*(AP37)^2+3234*(AP37)-23</f>
        <v>622.2835823910091</v>
      </c>
      <c r="AQ39" s="530"/>
      <c r="AR39" s="530"/>
      <c r="AS39" s="530"/>
      <c r="AT39" s="530"/>
      <c r="AU39" s="530"/>
      <c r="AV39" s="530"/>
      <c r="AW39" s="530"/>
      <c r="AX39" s="530"/>
      <c r="AY39" s="537" t="s">
        <v>299</v>
      </c>
      <c r="AZ39" s="560">
        <f ca="1">768*(AZ37)^3-3060*(AZ37)^2+3234*(AZ37)-23</f>
        <v>622.2835823910091</v>
      </c>
      <c r="BA39" s="530"/>
      <c r="BB39" s="530"/>
      <c r="BC39" s="530"/>
      <c r="BD39" s="530"/>
      <c r="BE39" s="530"/>
      <c r="BF39" s="530"/>
      <c r="BG39" s="530"/>
      <c r="BH39" s="530"/>
      <c r="BI39" s="537" t="s">
        <v>299</v>
      </c>
      <c r="BJ39" s="560">
        <f ca="1">768*(BJ37)^3-3060*(BJ37)^2+3234*(BJ37)-23</f>
        <v>622.2835823910091</v>
      </c>
      <c r="BK39" s="530"/>
      <c r="BL39" s="530"/>
      <c r="BM39" s="530"/>
      <c r="BN39" s="530"/>
      <c r="BO39" s="530"/>
      <c r="BP39" s="530"/>
      <c r="BQ39" s="530"/>
    </row>
    <row r="40" spans="1:69" x14ac:dyDescent="0.25">
      <c r="A40" s="537" t="s">
        <v>300</v>
      </c>
      <c r="B40" s="560">
        <f ca="1">-200*(B37)^3+13*(B37)^2+1090*(B37)+183</f>
        <v>462.4743025351023</v>
      </c>
      <c r="C40" s="530"/>
      <c r="D40" s="530"/>
      <c r="E40" s="530"/>
      <c r="F40" s="530"/>
      <c r="G40" s="530"/>
      <c r="H40" s="530"/>
      <c r="I40" s="530"/>
      <c r="J40" s="530"/>
      <c r="K40" s="537" t="s">
        <v>300</v>
      </c>
      <c r="L40" s="560">
        <f ca="1">-200*(L37)^3+13*(L37)^2+1090*(L37)+183</f>
        <v>462.4743025351023</v>
      </c>
      <c r="M40" s="530"/>
      <c r="N40" s="530"/>
      <c r="O40" s="530"/>
      <c r="P40" s="530"/>
      <c r="Q40" s="530"/>
      <c r="R40" s="530"/>
      <c r="S40" s="530"/>
      <c r="T40" s="530"/>
      <c r="U40" s="537" t="s">
        <v>300</v>
      </c>
      <c r="V40" s="560">
        <f ca="1">-200*(V37)^3+13*(V37)^2+1090*(V37)+183</f>
        <v>462.4743025351023</v>
      </c>
      <c r="W40" s="530"/>
      <c r="X40" s="530"/>
      <c r="Y40" s="530"/>
      <c r="Z40" s="530"/>
      <c r="AA40" s="530"/>
      <c r="AB40" s="530"/>
      <c r="AC40" s="530"/>
      <c r="AD40" s="530"/>
      <c r="AE40" s="537" t="s">
        <v>300</v>
      </c>
      <c r="AF40" s="560">
        <f ca="1">-200*(AF37)^3+13*(AF37)^2+1090*(AF37)+183</f>
        <v>462.4743025351023</v>
      </c>
      <c r="AG40" s="530"/>
      <c r="AH40" s="530"/>
      <c r="AI40" s="530"/>
      <c r="AJ40" s="530"/>
      <c r="AK40" s="530"/>
      <c r="AL40" s="530"/>
      <c r="AM40" s="530"/>
      <c r="AN40" s="530"/>
      <c r="AO40" s="537" t="s">
        <v>300</v>
      </c>
      <c r="AP40" s="560">
        <f ca="1">-200*(AP37)^3+13*(AP37)^2+1090*(AP37)+183</f>
        <v>462.4743025351023</v>
      </c>
      <c r="AQ40" s="530"/>
      <c r="AR40" s="530"/>
      <c r="AS40" s="530"/>
      <c r="AT40" s="530"/>
      <c r="AU40" s="530"/>
      <c r="AV40" s="530"/>
      <c r="AW40" s="530"/>
      <c r="AX40" s="530"/>
      <c r="AY40" s="537" t="s">
        <v>300</v>
      </c>
      <c r="AZ40" s="560">
        <f ca="1">-200*(AZ37)^3+13*(AZ37)^2+1090*(AZ37)+183</f>
        <v>462.4743025351023</v>
      </c>
      <c r="BA40" s="530"/>
      <c r="BB40" s="530"/>
      <c r="BC40" s="530"/>
      <c r="BD40" s="530"/>
      <c r="BE40" s="530"/>
      <c r="BF40" s="530"/>
      <c r="BG40" s="530"/>
      <c r="BH40" s="530"/>
      <c r="BI40" s="537" t="s">
        <v>300</v>
      </c>
      <c r="BJ40" s="560">
        <f ca="1">-200*(BJ37)^3+13*(BJ37)^2+1090*(BJ37)+183</f>
        <v>462.4743025351023</v>
      </c>
      <c r="BK40" s="530"/>
      <c r="BL40" s="530"/>
      <c r="BM40" s="530"/>
      <c r="BN40" s="530"/>
      <c r="BO40" s="530"/>
      <c r="BP40" s="530"/>
      <c r="BQ40" s="530"/>
    </row>
    <row r="41" spans="1:69" x14ac:dyDescent="0.25">
      <c r="A41" s="537" t="s">
        <v>301</v>
      </c>
      <c r="B41" s="560">
        <f ca="1">7579*(B37)^3-31916*(B37)^2+35343*(B37)+1931</f>
        <v>9071.072036593097</v>
      </c>
      <c r="C41" s="530"/>
      <c r="D41" s="530"/>
      <c r="E41" s="530"/>
      <c r="F41" s="530"/>
      <c r="G41" s="530"/>
      <c r="H41" s="530"/>
      <c r="I41" s="530"/>
      <c r="J41" s="530"/>
      <c r="K41" s="537" t="s">
        <v>301</v>
      </c>
      <c r="L41" s="560">
        <f ca="1">7579*(L37)^3-31916*(L37)^2+35343*(L37)+1931</f>
        <v>9071.072036593097</v>
      </c>
      <c r="M41" s="530"/>
      <c r="N41" s="530"/>
      <c r="O41" s="530"/>
      <c r="P41" s="530"/>
      <c r="Q41" s="530"/>
      <c r="R41" s="530"/>
      <c r="S41" s="530"/>
      <c r="T41" s="530"/>
      <c r="U41" s="537" t="s">
        <v>301</v>
      </c>
      <c r="V41" s="560">
        <f ca="1">7579*(V37)^3-31916*(V37)^2+35343*(V37)+1931</f>
        <v>9071.072036593097</v>
      </c>
      <c r="W41" s="530"/>
      <c r="X41" s="530"/>
      <c r="Y41" s="530"/>
      <c r="Z41" s="530"/>
      <c r="AA41" s="530"/>
      <c r="AB41" s="530"/>
      <c r="AC41" s="530"/>
      <c r="AD41" s="530"/>
      <c r="AE41" s="537" t="s">
        <v>301</v>
      </c>
      <c r="AF41" s="560">
        <f ca="1">7579*(AF37)^3-31916*(AF37)^2+35343*(AF37)+1931</f>
        <v>9071.072036593097</v>
      </c>
      <c r="AG41" s="530"/>
      <c r="AH41" s="530"/>
      <c r="AI41" s="530"/>
      <c r="AJ41" s="530"/>
      <c r="AK41" s="530"/>
      <c r="AL41" s="530"/>
      <c r="AM41" s="530"/>
      <c r="AN41" s="530"/>
      <c r="AO41" s="537" t="s">
        <v>301</v>
      </c>
      <c r="AP41" s="560">
        <f ca="1">7579*(AP37)^3-31916*(AP37)^2+35343*(AP37)+1931</f>
        <v>9071.072036593097</v>
      </c>
      <c r="AQ41" s="530"/>
      <c r="AR41" s="530"/>
      <c r="AS41" s="530"/>
      <c r="AT41" s="530"/>
      <c r="AU41" s="530"/>
      <c r="AV41" s="530"/>
      <c r="AW41" s="530"/>
      <c r="AX41" s="530"/>
      <c r="AY41" s="537" t="s">
        <v>301</v>
      </c>
      <c r="AZ41" s="560">
        <f ca="1">7579*(AZ37)^3-31916*(AZ37)^2+35343*(AZ37)+1931</f>
        <v>9071.072036593097</v>
      </c>
      <c r="BA41" s="530"/>
      <c r="BB41" s="530"/>
      <c r="BC41" s="530"/>
      <c r="BD41" s="530"/>
      <c r="BE41" s="530"/>
      <c r="BF41" s="530"/>
      <c r="BG41" s="530"/>
      <c r="BH41" s="530"/>
      <c r="BI41" s="537" t="s">
        <v>301</v>
      </c>
      <c r="BJ41" s="560">
        <f ca="1">7579*(BJ37)^3-31916*(BJ37)^2+35343*(BJ37)+1931</f>
        <v>9071.072036593097</v>
      </c>
      <c r="BK41" s="530"/>
      <c r="BL41" s="530"/>
      <c r="BM41" s="530"/>
      <c r="BN41" s="530"/>
      <c r="BO41" s="530"/>
      <c r="BP41" s="530"/>
      <c r="BQ41" s="530"/>
    </row>
    <row r="42" spans="1:69" ht="18" x14ac:dyDescent="0.35">
      <c r="A42" s="565" t="s">
        <v>1446</v>
      </c>
      <c r="B42" s="574">
        <f ca="1">(B15^2+B38*B15+B39)/(B15^2+B40*B15+B41)</f>
        <v>0.12979600182316592</v>
      </c>
      <c r="C42" s="530"/>
      <c r="D42" s="530"/>
      <c r="E42" s="530"/>
      <c r="F42" s="530"/>
      <c r="G42" s="530"/>
      <c r="H42" s="530"/>
      <c r="I42" s="530"/>
      <c r="J42" s="530"/>
      <c r="K42" s="565" t="s">
        <v>1446</v>
      </c>
      <c r="L42" s="574">
        <f ca="1">(L15^2+L38*L15+L39)/(L15^2+L40*L15+L41)</f>
        <v>0.27622799837417705</v>
      </c>
      <c r="M42" s="530"/>
      <c r="N42" s="530"/>
      <c r="O42" s="530"/>
      <c r="P42" s="530"/>
      <c r="Q42" s="530"/>
      <c r="R42" s="530"/>
      <c r="S42" s="530"/>
      <c r="T42" s="530"/>
      <c r="U42" s="565" t="s">
        <v>1446</v>
      </c>
      <c r="V42" s="574">
        <f ca="1">(V15^2+V38*V15+V39)/(V15^2+V40*V15+V41)</f>
        <v>0.4249048211197694</v>
      </c>
      <c r="W42" s="530"/>
      <c r="X42" s="530"/>
      <c r="Y42" s="530"/>
      <c r="Z42" s="530"/>
      <c r="AA42" s="530"/>
      <c r="AB42" s="530"/>
      <c r="AC42" s="530"/>
      <c r="AD42" s="530"/>
      <c r="AE42" s="565" t="s">
        <v>1446</v>
      </c>
      <c r="AF42" s="574">
        <f ca="1">(AF15^2+AF38*AF15+AF39)/(AF15^2+AF40*AF15+AF41)</f>
        <v>0.5194929917469379</v>
      </c>
      <c r="AG42" s="530"/>
      <c r="AH42" s="530"/>
      <c r="AI42" s="530"/>
      <c r="AJ42" s="530"/>
      <c r="AK42" s="530"/>
      <c r="AL42" s="530"/>
      <c r="AM42" s="530"/>
      <c r="AN42" s="530"/>
      <c r="AO42" s="565" t="s">
        <v>1446</v>
      </c>
      <c r="AP42" s="574">
        <f ca="1">(AP15^2+AP38*AP15+AP39)/(AP15^2+AP40*AP15+AP41)</f>
        <v>0.5748157574632111</v>
      </c>
      <c r="AQ42" s="530"/>
      <c r="AR42" s="530"/>
      <c r="AS42" s="530"/>
      <c r="AT42" s="530"/>
      <c r="AU42" s="530"/>
      <c r="AV42" s="530"/>
      <c r="AW42" s="530"/>
      <c r="AX42" s="530"/>
      <c r="AY42" s="565" t="s">
        <v>1446</v>
      </c>
      <c r="AZ42" s="574">
        <f ca="1">(AZ15^2+AZ38*AZ15+AZ39)/(AZ15^2+AZ40*AZ15+AZ41)</f>
        <v>0.6147032758422695</v>
      </c>
      <c r="BA42" s="530"/>
      <c r="BB42" s="530"/>
      <c r="BC42" s="530"/>
      <c r="BD42" s="530"/>
      <c r="BE42" s="530"/>
      <c r="BF42" s="530"/>
      <c r="BG42" s="530"/>
      <c r="BH42" s="530"/>
      <c r="BI42" s="565" t="s">
        <v>1446</v>
      </c>
      <c r="BJ42" s="574">
        <f ca="1">(BJ15^2+BJ38*BJ15+BJ39)/(BJ15^2+BJ40*BJ15+BJ41)</f>
        <v>0.6460893844833191</v>
      </c>
      <c r="BK42" s="530"/>
      <c r="BL42" s="530"/>
      <c r="BM42" s="530"/>
      <c r="BN42" s="530"/>
      <c r="BO42" s="530"/>
      <c r="BP42" s="530"/>
      <c r="BQ42" s="530"/>
    </row>
    <row r="43" spans="1:69" ht="18" x14ac:dyDescent="0.35">
      <c r="A43" s="575" t="s">
        <v>1447</v>
      </c>
      <c r="B43" s="576">
        <f ca="1">(B16^2+B38*B16+B39)/(B16^2+B40*B16+B41)</f>
        <v>0.9927680878305417</v>
      </c>
      <c r="C43" s="530"/>
      <c r="D43" s="530"/>
      <c r="E43" s="530"/>
      <c r="F43" s="530"/>
      <c r="G43" s="530"/>
      <c r="H43" s="530"/>
      <c r="I43" s="530"/>
      <c r="J43" s="530"/>
      <c r="K43" s="575" t="s">
        <v>1447</v>
      </c>
      <c r="L43" s="576">
        <f ca="1">(L16^2+L38*L16+L39)/(L16^2+L40*L16+L41)</f>
        <v>0.9927680878305417</v>
      </c>
      <c r="M43" s="530"/>
      <c r="N43" s="530"/>
      <c r="O43" s="530"/>
      <c r="P43" s="530"/>
      <c r="Q43" s="530"/>
      <c r="R43" s="530"/>
      <c r="S43" s="530"/>
      <c r="T43" s="530"/>
      <c r="U43" s="575" t="s">
        <v>1447</v>
      </c>
      <c r="V43" s="576">
        <f ca="1">(V16^2+V38*V16+V39)/(V16^2+V40*V16+V41)</f>
        <v>0.9927680878305417</v>
      </c>
      <c r="W43" s="530"/>
      <c r="X43" s="530"/>
      <c r="Y43" s="530"/>
      <c r="Z43" s="530"/>
      <c r="AA43" s="530"/>
      <c r="AB43" s="530"/>
      <c r="AC43" s="530"/>
      <c r="AD43" s="530"/>
      <c r="AE43" s="575" t="s">
        <v>1447</v>
      </c>
      <c r="AF43" s="576">
        <f ca="1">(AF16^2+AF38*AF16+AF39)/(AF16^2+AF40*AF16+AF41)</f>
        <v>0.9927680878305417</v>
      </c>
      <c r="AG43" s="530"/>
      <c r="AH43" s="530"/>
      <c r="AI43" s="530"/>
      <c r="AJ43" s="530"/>
      <c r="AK43" s="530"/>
      <c r="AL43" s="530"/>
      <c r="AM43" s="530"/>
      <c r="AN43" s="530"/>
      <c r="AO43" s="575" t="s">
        <v>1447</v>
      </c>
      <c r="AP43" s="576">
        <f ca="1">(AP16^2+AP38*AP16+AP39)/(AP16^2+AP40*AP16+AP41)</f>
        <v>0.9927680878305417</v>
      </c>
      <c r="AQ43" s="530"/>
      <c r="AR43" s="530"/>
      <c r="AS43" s="530"/>
      <c r="AT43" s="530"/>
      <c r="AU43" s="530"/>
      <c r="AV43" s="530"/>
      <c r="AW43" s="530"/>
      <c r="AX43" s="530"/>
      <c r="AY43" s="575" t="s">
        <v>1447</v>
      </c>
      <c r="AZ43" s="576">
        <f ca="1">(AZ16^2+AZ38*AZ16+AZ39)/(AZ16^2+AZ40*AZ16+AZ41)</f>
        <v>0.9927680878305417</v>
      </c>
      <c r="BA43" s="530"/>
      <c r="BB43" s="530"/>
      <c r="BC43" s="530"/>
      <c r="BD43" s="530"/>
      <c r="BE43" s="530"/>
      <c r="BF43" s="530"/>
      <c r="BG43" s="530"/>
      <c r="BH43" s="530"/>
      <c r="BI43" s="575" t="s">
        <v>1447</v>
      </c>
      <c r="BJ43" s="576">
        <f ca="1">(BJ16^2+BJ38*BJ16+BJ39)/(BJ16^2+BJ40*BJ16+BJ41)</f>
        <v>0.9927680878305417</v>
      </c>
      <c r="BK43" s="530"/>
      <c r="BL43" s="530"/>
      <c r="BM43" s="530"/>
      <c r="BN43" s="530"/>
      <c r="BO43" s="530"/>
      <c r="BP43" s="530"/>
      <c r="BQ43" s="530"/>
    </row>
    <row r="44" spans="1:69" ht="18" x14ac:dyDescent="0.35">
      <c r="A44" s="571" t="s">
        <v>1448</v>
      </c>
      <c r="B44" s="577">
        <f ca="1">B22+B33*(B43-B42)+B35*B36</f>
        <v>2.4758069056368184</v>
      </c>
      <c r="C44" s="530"/>
      <c r="D44" s="530"/>
      <c r="E44" s="530"/>
      <c r="F44" s="530"/>
      <c r="G44" s="530"/>
      <c r="H44" s="530"/>
      <c r="I44" s="530"/>
      <c r="J44" s="530"/>
      <c r="K44" s="571" t="s">
        <v>1448</v>
      </c>
      <c r="L44" s="577">
        <f ca="1">L22+L33*(L43-L42)+L35*L36</f>
        <v>1.9267361011694415</v>
      </c>
      <c r="M44" s="530"/>
      <c r="N44" s="530"/>
      <c r="O44" s="530"/>
      <c r="P44" s="530"/>
      <c r="Q44" s="530"/>
      <c r="R44" s="530"/>
      <c r="S44" s="530"/>
      <c r="T44" s="530"/>
      <c r="U44" s="571" t="s">
        <v>1448</v>
      </c>
      <c r="V44" s="577">
        <f ca="1">V22+V33*(V43-V42)+V35*V36</f>
        <v>1.5488539282372031</v>
      </c>
      <c r="W44" s="530"/>
      <c r="X44" s="530"/>
      <c r="Y44" s="530"/>
      <c r="Z44" s="530"/>
      <c r="AA44" s="530"/>
      <c r="AB44" s="530"/>
      <c r="AC44" s="530"/>
      <c r="AD44" s="530"/>
      <c r="AE44" s="571" t="s">
        <v>1448</v>
      </c>
      <c r="AF44" s="577">
        <f ca="1">AF22+AF33*(AF43-AF42)+AF35*AF36</f>
        <v>1.3348678903117144</v>
      </c>
      <c r="AG44" s="530"/>
      <c r="AH44" s="530"/>
      <c r="AI44" s="530"/>
      <c r="AJ44" s="530"/>
      <c r="AK44" s="530"/>
      <c r="AL44" s="530"/>
      <c r="AM44" s="530"/>
      <c r="AN44" s="530"/>
      <c r="AO44" s="571" t="s">
        <v>1448</v>
      </c>
      <c r="AP44" s="577">
        <f ca="1">AP22+AP33*(AP43-AP42)+AP35*AP36</f>
        <v>1.2168856028020962</v>
      </c>
      <c r="AQ44" s="530"/>
      <c r="AR44" s="530"/>
      <c r="AS44" s="530"/>
      <c r="AT44" s="530"/>
      <c r="AU44" s="530"/>
      <c r="AV44" s="530"/>
      <c r="AW44" s="530"/>
      <c r="AX44" s="530"/>
      <c r="AY44" s="571" t="s">
        <v>1448</v>
      </c>
      <c r="AZ44" s="577">
        <f ca="1">AZ22+AZ33*(AZ43-AZ42)+AZ35*AZ36</f>
        <v>1.1348004805255467</v>
      </c>
      <c r="BA44" s="530"/>
      <c r="BB44" s="530"/>
      <c r="BC44" s="530"/>
      <c r="BD44" s="530"/>
      <c r="BE44" s="530"/>
      <c r="BF44" s="530"/>
      <c r="BG44" s="530"/>
      <c r="BH44" s="530"/>
      <c r="BI44" s="571" t="s">
        <v>1448</v>
      </c>
      <c r="BJ44" s="577">
        <f ca="1">BJ22+BJ33*(BJ43-BJ42)+BJ35*BJ36</f>
        <v>1.071738641828687</v>
      </c>
      <c r="BK44" s="530"/>
      <c r="BL44" s="530"/>
      <c r="BM44" s="530"/>
      <c r="BN44" s="530"/>
      <c r="BO44" s="530"/>
      <c r="BP44" s="530"/>
      <c r="BQ44" s="530"/>
    </row>
    <row r="49" spans="1:39" x14ac:dyDescent="0.25">
      <c r="N49" s="834" t="s">
        <v>1449</v>
      </c>
      <c r="O49" s="834"/>
    </row>
    <row r="50" spans="1:39" x14ac:dyDescent="0.25">
      <c r="N50" s="834"/>
      <c r="O50" s="834"/>
    </row>
    <row r="51" spans="1:39" x14ac:dyDescent="0.25">
      <c r="N51" s="834"/>
      <c r="O51" s="834"/>
    </row>
    <row r="54" spans="1:39" x14ac:dyDescent="0.25">
      <c r="A54" s="831" t="s">
        <v>1397</v>
      </c>
      <c r="B54" s="831"/>
      <c r="C54" s="831"/>
      <c r="D54" s="831"/>
      <c r="E54" s="530"/>
      <c r="F54" s="832" t="s">
        <v>1398</v>
      </c>
      <c r="G54" s="832"/>
      <c r="H54" s="832"/>
      <c r="I54" s="832"/>
      <c r="J54" s="1"/>
      <c r="K54" s="831" t="s">
        <v>1397</v>
      </c>
      <c r="L54" s="831"/>
      <c r="M54" s="831"/>
      <c r="N54" s="831"/>
      <c r="O54" s="530"/>
      <c r="P54" s="832" t="s">
        <v>1398</v>
      </c>
      <c r="Q54" s="832"/>
      <c r="R54" s="832"/>
      <c r="S54" s="832"/>
      <c r="T54" s="1"/>
      <c r="U54" s="831" t="s">
        <v>1397</v>
      </c>
      <c r="V54" s="831"/>
      <c r="W54" s="831"/>
      <c r="X54" s="831"/>
      <c r="Y54" s="530"/>
      <c r="Z54" s="832" t="s">
        <v>1398</v>
      </c>
      <c r="AA54" s="832"/>
      <c r="AB54" s="832"/>
      <c r="AC54" s="832"/>
      <c r="AD54" s="1"/>
      <c r="AE54" s="831" t="s">
        <v>1397</v>
      </c>
      <c r="AF54" s="831"/>
      <c r="AG54" s="831"/>
      <c r="AH54" s="831"/>
      <c r="AI54" s="530"/>
      <c r="AJ54" s="832" t="s">
        <v>1398</v>
      </c>
      <c r="AK54" s="832"/>
      <c r="AL54" s="832"/>
      <c r="AM54" s="832"/>
    </row>
    <row r="55" spans="1:39" ht="18" x14ac:dyDescent="0.35">
      <c r="A55" s="531" t="s">
        <v>1399</v>
      </c>
      <c r="B55" s="532">
        <f ca="1">Geometria!Q294</f>
        <v>3105.1953876719</v>
      </c>
      <c r="C55" s="250" t="s">
        <v>1153</v>
      </c>
      <c r="D55" s="533">
        <f>Geometria!L83</f>
        <v>30.0</v>
      </c>
      <c r="E55" s="530"/>
      <c r="F55" s="534" t="s">
        <v>1400</v>
      </c>
      <c r="G55" s="535" t="s">
        <v>641</v>
      </c>
      <c r="H55" s="535" t="s">
        <v>1401</v>
      </c>
      <c r="I55" s="536" t="s">
        <v>1402</v>
      </c>
      <c r="J55" s="1"/>
      <c r="K55" s="531" t="s">
        <v>1399</v>
      </c>
      <c r="L55" s="532">
        <f ca="1">Geometria!Q294</f>
        <v>3105.1953876719</v>
      </c>
      <c r="M55" s="250" t="s">
        <v>1153</v>
      </c>
      <c r="N55" s="533">
        <f>Geometria!L83</f>
        <v>30.0</v>
      </c>
      <c r="O55" s="530"/>
      <c r="P55" s="534" t="s">
        <v>1400</v>
      </c>
      <c r="Q55" s="535" t="s">
        <v>641</v>
      </c>
      <c r="R55" s="535" t="s">
        <v>1401</v>
      </c>
      <c r="S55" s="536" t="s">
        <v>1402</v>
      </c>
      <c r="T55" s="1"/>
      <c r="U55" s="531" t="s">
        <v>1399</v>
      </c>
      <c r="V55" s="532">
        <f ca="1">Geometria!Q294</f>
        <v>3105.1953876719</v>
      </c>
      <c r="W55" s="250" t="s">
        <v>1153</v>
      </c>
      <c r="X55" s="533">
        <f>Geometria!L83</f>
        <v>30.0</v>
      </c>
      <c r="Y55" s="530"/>
      <c r="Z55" s="534" t="s">
        <v>1400</v>
      </c>
      <c r="AA55" s="535" t="s">
        <v>641</v>
      </c>
      <c r="AB55" s="535" t="s">
        <v>1401</v>
      </c>
      <c r="AC55" s="536" t="s">
        <v>1402</v>
      </c>
      <c r="AD55" s="1"/>
      <c r="AE55" s="531" t="s">
        <v>1399</v>
      </c>
      <c r="AF55" s="532">
        <f ca="1">Geometria!Q294</f>
        <v>3105.1953876719</v>
      </c>
      <c r="AG55" s="250" t="s">
        <v>1153</v>
      </c>
      <c r="AH55" s="533">
        <f>Geometria!L83</f>
        <v>30.0</v>
      </c>
      <c r="AI55" s="530"/>
      <c r="AJ55" s="534" t="s">
        <v>1400</v>
      </c>
      <c r="AK55" s="535" t="s">
        <v>641</v>
      </c>
      <c r="AL55" s="535" t="s">
        <v>1401</v>
      </c>
      <c r="AM55" s="536" t="s">
        <v>1402</v>
      </c>
    </row>
    <row r="56" spans="1:39" ht="18" x14ac:dyDescent="0.35">
      <c r="A56" s="537" t="s">
        <v>1403</v>
      </c>
      <c r="B56" s="538">
        <f>Geometria!Q295</f>
        <v>187.0</v>
      </c>
      <c r="C56" s="50" t="s">
        <v>1404</v>
      </c>
      <c r="D56" s="539" t="str">
        <f>Geometria!L87</f>
        <v>CPI E CPII</v>
      </c>
      <c r="E56" s="530"/>
      <c r="F56" s="540" t="s">
        <v>174</v>
      </c>
      <c r="G56" s="541">
        <v>0.25</v>
      </c>
      <c r="H56" s="541">
        <v>2</v>
      </c>
      <c r="I56" s="539">
        <v>1</v>
      </c>
      <c r="J56" s="1"/>
      <c r="K56" s="537" t="s">
        <v>1403</v>
      </c>
      <c r="L56" s="538">
        <f>B56</f>
        <v>187.0</v>
      </c>
      <c r="M56" s="50" t="s">
        <v>1404</v>
      </c>
      <c r="N56" s="539" t="str">
        <f>D56</f>
        <v>CPI E CPII</v>
      </c>
      <c r="O56" s="530"/>
      <c r="P56" s="540" t="s">
        <v>174</v>
      </c>
      <c r="Q56" s="541">
        <v>0.25</v>
      </c>
      <c r="R56" s="541">
        <v>2</v>
      </c>
      <c r="S56" s="539">
        <v>1</v>
      </c>
      <c r="T56" s="1"/>
      <c r="U56" s="537" t="s">
        <v>1403</v>
      </c>
      <c r="V56" s="538">
        <f>L56</f>
        <v>187.0</v>
      </c>
      <c r="W56" s="50" t="s">
        <v>1404</v>
      </c>
      <c r="X56" s="539" t="str">
        <f>N56</f>
        <v>CPI E CPII</v>
      </c>
      <c r="Y56" s="530"/>
      <c r="Z56" s="540" t="s">
        <v>174</v>
      </c>
      <c r="AA56" s="541">
        <v>0.25</v>
      </c>
      <c r="AB56" s="541">
        <v>2</v>
      </c>
      <c r="AC56" s="539">
        <v>1</v>
      </c>
      <c r="AD56" s="1"/>
      <c r="AE56" s="537" t="s">
        <v>1403</v>
      </c>
      <c r="AF56" s="538">
        <f>V56</f>
        <v>187.0</v>
      </c>
      <c r="AG56" s="50" t="s">
        <v>1404</v>
      </c>
      <c r="AH56" s="539" t="str">
        <f>X56</f>
        <v>CPI E CPII</v>
      </c>
      <c r="AI56" s="530"/>
      <c r="AJ56" s="540" t="s">
        <v>174</v>
      </c>
      <c r="AK56" s="541">
        <v>0.25</v>
      </c>
      <c r="AL56" s="541">
        <v>2</v>
      </c>
      <c r="AM56" s="539">
        <v>1</v>
      </c>
    </row>
    <row r="57" spans="1:39" ht="18" x14ac:dyDescent="0.35">
      <c r="A57" s="542" t="s">
        <v>1405</v>
      </c>
      <c r="B57" s="543">
        <f>Geometria!$L$330</f>
        <v>70.0</v>
      </c>
      <c r="C57" s="544" t="s">
        <v>1406</v>
      </c>
      <c r="D57" s="545">
        <f>Geometria!$O$335</f>
        <v>1.0</v>
      </c>
      <c r="E57" s="1"/>
      <c r="F57" s="540" t="s">
        <v>1407</v>
      </c>
      <c r="G57" s="541">
        <v>0.38</v>
      </c>
      <c r="H57" s="541">
        <v>1</v>
      </c>
      <c r="I57" s="539">
        <v>1</v>
      </c>
      <c r="J57" s="1"/>
      <c r="K57" s="542" t="s">
        <v>1405</v>
      </c>
      <c r="L57" s="543">
        <f>Geometria!$L$330</f>
        <v>70.0</v>
      </c>
      <c r="M57" s="544" t="s">
        <v>1406</v>
      </c>
      <c r="N57" s="545">
        <f>Geometria!$O$336</f>
        <v>15.0</v>
      </c>
      <c r="O57" s="1"/>
      <c r="P57" s="540" t="s">
        <v>1407</v>
      </c>
      <c r="Q57" s="541">
        <v>0.38</v>
      </c>
      <c r="R57" s="541">
        <v>1</v>
      </c>
      <c r="S57" s="539">
        <v>1</v>
      </c>
      <c r="T57" s="1"/>
      <c r="U57" s="542" t="s">
        <v>1405</v>
      </c>
      <c r="V57" s="543">
        <f>Geometria!$L$330</f>
        <v>70.0</v>
      </c>
      <c r="W57" s="544" t="s">
        <v>1406</v>
      </c>
      <c r="X57" s="545">
        <f>Geometria!$O$337</f>
        <v>30.0</v>
      </c>
      <c r="Y57" s="1"/>
      <c r="Z57" s="540" t="s">
        <v>1407</v>
      </c>
      <c r="AA57" s="541">
        <v>0.38</v>
      </c>
      <c r="AB57" s="541">
        <v>1</v>
      </c>
      <c r="AC57" s="539">
        <v>1</v>
      </c>
      <c r="AD57" s="1"/>
      <c r="AE57" s="542" t="s">
        <v>1405</v>
      </c>
      <c r="AF57" s="543">
        <f>Geometria!$L$330</f>
        <v>70.0</v>
      </c>
      <c r="AG57" s="544" t="s">
        <v>1406</v>
      </c>
      <c r="AH57" s="545">
        <f>Geometria!$O$338</f>
        <v>45.0</v>
      </c>
      <c r="AI57" s="1"/>
      <c r="AJ57" s="540" t="s">
        <v>1407</v>
      </c>
      <c r="AK57" s="541">
        <v>0.38</v>
      </c>
      <c r="AL57" s="541">
        <v>1</v>
      </c>
      <c r="AM57" s="539">
        <v>1</v>
      </c>
    </row>
    <row r="58" spans="1:39" ht="18" x14ac:dyDescent="0.35">
      <c r="A58" s="537" t="s">
        <v>1408</v>
      </c>
      <c r="B58" s="546">
        <f>Geometria!$L$340</f>
        <v>20.0</v>
      </c>
      <c r="C58" s="50" t="s">
        <v>1409</v>
      </c>
      <c r="D58" s="545">
        <v>10000</v>
      </c>
      <c r="E58" s="1"/>
      <c r="F58" s="547" t="s">
        <v>171</v>
      </c>
      <c r="G58" s="548">
        <v>0.2</v>
      </c>
      <c r="H58" s="548">
        <v>3</v>
      </c>
      <c r="I58" s="549">
        <v>1</v>
      </c>
      <c r="J58" s="1"/>
      <c r="K58" s="537" t="s">
        <v>1408</v>
      </c>
      <c r="L58" s="546">
        <f>Geometria!$L$340</f>
        <v>20.0</v>
      </c>
      <c r="M58" s="50" t="s">
        <v>1409</v>
      </c>
      <c r="N58" s="545">
        <v>10000</v>
      </c>
      <c r="O58" s="1"/>
      <c r="P58" s="547" t="s">
        <v>171</v>
      </c>
      <c r="Q58" s="548">
        <v>0.2</v>
      </c>
      <c r="R58" s="548">
        <v>3</v>
      </c>
      <c r="S58" s="549">
        <v>1</v>
      </c>
      <c r="T58" s="1"/>
      <c r="U58" s="537" t="s">
        <v>1408</v>
      </c>
      <c r="V58" s="546">
        <f>Geometria!$L$340</f>
        <v>20.0</v>
      </c>
      <c r="W58" s="50" t="s">
        <v>1409</v>
      </c>
      <c r="X58" s="545">
        <v>10000</v>
      </c>
      <c r="Y58" s="1"/>
      <c r="Z58" s="547" t="s">
        <v>171</v>
      </c>
      <c r="AA58" s="548">
        <v>0.2</v>
      </c>
      <c r="AB58" s="548">
        <v>3</v>
      </c>
      <c r="AC58" s="549">
        <v>1</v>
      </c>
      <c r="AD58" s="1"/>
      <c r="AE58" s="537" t="s">
        <v>1408</v>
      </c>
      <c r="AF58" s="546">
        <f>Geometria!$L$340</f>
        <v>20.0</v>
      </c>
      <c r="AG58" s="50" t="s">
        <v>1409</v>
      </c>
      <c r="AH58" s="545">
        <v>10000</v>
      </c>
      <c r="AI58" s="1"/>
      <c r="AJ58" s="547" t="s">
        <v>171</v>
      </c>
      <c r="AK58" s="548">
        <v>0.2</v>
      </c>
      <c r="AL58" s="548">
        <v>3</v>
      </c>
      <c r="AM58" s="549">
        <v>1</v>
      </c>
    </row>
    <row r="59" spans="1:39" x14ac:dyDescent="0.25">
      <c r="A59" s="550" t="s">
        <v>1410</v>
      </c>
      <c r="B59" s="551">
        <f>Geometria!$L$343</f>
        <v>15.0</v>
      </c>
      <c r="C59" s="552"/>
      <c r="D59" s="553"/>
      <c r="E59" s="1"/>
      <c r="F59" s="1"/>
      <c r="G59" s="1"/>
      <c r="H59" s="1"/>
      <c r="I59" s="1"/>
      <c r="J59" s="1"/>
      <c r="K59" s="550" t="s">
        <v>1410</v>
      </c>
      <c r="L59" s="551">
        <f>Geometria!$L$343</f>
        <v>15.0</v>
      </c>
      <c r="M59" s="552"/>
      <c r="N59" s="553"/>
      <c r="O59" s="1"/>
      <c r="P59" s="1"/>
      <c r="Q59" s="1"/>
      <c r="R59" s="1"/>
      <c r="S59" s="1"/>
      <c r="T59" s="1"/>
      <c r="U59" s="550" t="s">
        <v>1410</v>
      </c>
      <c r="V59" s="551">
        <f>Geometria!$L$343</f>
        <v>15.0</v>
      </c>
      <c r="W59" s="552"/>
      <c r="X59" s="553"/>
      <c r="Y59" s="1"/>
      <c r="Z59" s="1"/>
      <c r="AA59" s="1"/>
      <c r="AB59" s="1"/>
      <c r="AC59" s="1"/>
      <c r="AD59" s="1"/>
      <c r="AE59" s="550" t="s">
        <v>1410</v>
      </c>
      <c r="AF59" s="551">
        <f>Geometria!$L$343</f>
        <v>15.0</v>
      </c>
      <c r="AG59" s="552"/>
      <c r="AH59" s="553"/>
      <c r="AI59" s="1"/>
      <c r="AJ59" s="1"/>
      <c r="AK59" s="1"/>
      <c r="AL59" s="1"/>
      <c r="AM59" s="1"/>
    </row>
    <row r="60" spans="1:39" x14ac:dyDescent="0.25">
      <c r="A60" s="833" t="s">
        <v>1411</v>
      </c>
      <c r="B60" s="833"/>
      <c r="C60" s="831" t="s">
        <v>1412</v>
      </c>
      <c r="D60" s="831"/>
      <c r="E60" s="518"/>
      <c r="F60" s="518"/>
      <c r="G60" s="518"/>
      <c r="H60" s="1"/>
      <c r="I60" s="530"/>
      <c r="J60" s="530"/>
      <c r="K60" s="833" t="s">
        <v>1411</v>
      </c>
      <c r="L60" s="833"/>
      <c r="M60" s="831" t="s">
        <v>1412</v>
      </c>
      <c r="N60" s="831"/>
      <c r="O60" s="518"/>
      <c r="P60" s="518"/>
      <c r="Q60" s="518"/>
      <c r="R60" s="1"/>
      <c r="S60" s="530"/>
      <c r="T60" s="530"/>
      <c r="U60" s="833" t="s">
        <v>1411</v>
      </c>
      <c r="V60" s="833"/>
      <c r="W60" s="831" t="s">
        <v>1412</v>
      </c>
      <c r="X60" s="831"/>
      <c r="Y60" s="518"/>
      <c r="Z60" s="518"/>
      <c r="AA60" s="518"/>
      <c r="AB60" s="1"/>
      <c r="AC60" s="530"/>
      <c r="AD60" s="530"/>
      <c r="AE60" s="833" t="s">
        <v>1411</v>
      </c>
      <c r="AF60" s="833"/>
      <c r="AG60" s="831" t="s">
        <v>1412</v>
      </c>
      <c r="AH60" s="831"/>
      <c r="AI60" s="518"/>
      <c r="AJ60" s="518"/>
      <c r="AK60" s="518"/>
      <c r="AL60" s="1"/>
      <c r="AM60" s="530"/>
    </row>
    <row r="61" spans="1:39" ht="16.5" x14ac:dyDescent="0.3">
      <c r="A61" s="830" t="s">
        <v>1413</v>
      </c>
      <c r="B61" s="830"/>
      <c r="C61" s="554" t="s">
        <v>1414</v>
      </c>
      <c r="D61" s="555">
        <f>D62*0.75</f>
        <v>-0.0003732798331817082</v>
      </c>
      <c r="E61" s="1"/>
      <c r="F61" s="530"/>
      <c r="G61" s="530"/>
      <c r="H61" s="1"/>
      <c r="I61" s="530"/>
      <c r="J61" s="530"/>
      <c r="K61" s="830" t="s">
        <v>1413</v>
      </c>
      <c r="L61" s="830"/>
      <c r="M61" s="554" t="s">
        <v>1414</v>
      </c>
      <c r="N61" s="555">
        <f>N62*0.75</f>
        <v>-0.0003732798331817082</v>
      </c>
      <c r="O61" s="1"/>
      <c r="P61" s="530"/>
      <c r="Q61" s="530"/>
      <c r="R61" s="1"/>
      <c r="S61" s="530"/>
      <c r="T61" s="530"/>
      <c r="U61" s="830" t="s">
        <v>1413</v>
      </c>
      <c r="V61" s="830"/>
      <c r="W61" s="554" t="s">
        <v>1414</v>
      </c>
      <c r="X61" s="555">
        <f>X62*0.75</f>
        <v>-0.0003732798331817082</v>
      </c>
      <c r="Y61" s="1"/>
      <c r="Z61" s="530"/>
      <c r="AA61" s="530"/>
      <c r="AB61" s="1"/>
      <c r="AC61" s="530"/>
      <c r="AD61" s="530"/>
      <c r="AE61" s="830" t="s">
        <v>1413</v>
      </c>
      <c r="AF61" s="830"/>
      <c r="AG61" s="554" t="s">
        <v>1414</v>
      </c>
      <c r="AH61" s="555">
        <f>AH62*0.75</f>
        <v>-0.0003732798331817082</v>
      </c>
      <c r="AI61" s="1"/>
      <c r="AJ61" s="530"/>
      <c r="AK61" s="530"/>
      <c r="AL61" s="1"/>
      <c r="AM61" s="530"/>
    </row>
    <row r="62" spans="1:39" ht="16.5" x14ac:dyDescent="0.3">
      <c r="A62" s="556" t="s">
        <v>1415</v>
      </c>
      <c r="B62" s="557">
        <f>VLOOKUP(D56,F56:I58,3,FALSE())</f>
        <v>2.0</v>
      </c>
      <c r="C62" s="558" t="s">
        <v>1416</v>
      </c>
      <c r="D62" s="559">
        <f>(-8.09+(B57/15)-(B57^2/2284)-(B57^3/133765)+(B57^4/7608150))*10^-4</f>
        <v>-0.0004977064442422776</v>
      </c>
      <c r="E62" s="1"/>
      <c r="F62" s="530"/>
      <c r="G62" s="530"/>
      <c r="H62" s="1"/>
      <c r="I62" s="530"/>
      <c r="J62" s="530"/>
      <c r="K62" s="556" t="s">
        <v>1415</v>
      </c>
      <c r="L62" s="557">
        <f>VLOOKUP(N56,P56:S58,3,FALSE())</f>
        <v>2.0</v>
      </c>
      <c r="M62" s="558" t="s">
        <v>1416</v>
      </c>
      <c r="N62" s="559">
        <f>(-8.09+(L57/15)-(L57^2/2284)-(L57^3/133765)+(L57^4/7608150))*10^-4</f>
        <v>-0.0004977064442422776</v>
      </c>
      <c r="O62" s="1"/>
      <c r="P62" s="530"/>
      <c r="Q62" s="530"/>
      <c r="R62" s="1"/>
      <c r="S62" s="530"/>
      <c r="T62" s="530"/>
      <c r="U62" s="556" t="s">
        <v>1415</v>
      </c>
      <c r="V62" s="557">
        <f>VLOOKUP(X56,Z56:AC58,3,FALSE())</f>
        <v>2.0</v>
      </c>
      <c r="W62" s="558" t="s">
        <v>1416</v>
      </c>
      <c r="X62" s="559">
        <f>(-8.09+(V57/15)-(V57^2/2284)-(V57^3/133765)+(V57^4/7608150))*10^-4</f>
        <v>-0.0004977064442422776</v>
      </c>
      <c r="Y62" s="1"/>
      <c r="Z62" s="530"/>
      <c r="AA62" s="530"/>
      <c r="AB62" s="1"/>
      <c r="AC62" s="530"/>
      <c r="AD62" s="530"/>
      <c r="AE62" s="556" t="s">
        <v>1415</v>
      </c>
      <c r="AF62" s="557">
        <f>VLOOKUP(AH56,AJ56:AM58,3,FALSE())</f>
        <v>2.0</v>
      </c>
      <c r="AG62" s="558" t="s">
        <v>1416</v>
      </c>
      <c r="AH62" s="559">
        <f>(-8.09+(AF57/15)-(AF57^2/2284)-(AF57^3/133765)+(AF57^4/7608150))*10^-4</f>
        <v>-0.0004977064442422776</v>
      </c>
      <c r="AI62" s="1"/>
      <c r="AJ62" s="530"/>
      <c r="AK62" s="530"/>
      <c r="AL62" s="1"/>
      <c r="AM62" s="530"/>
    </row>
    <row r="63" spans="1:39" ht="18" x14ac:dyDescent="0.35">
      <c r="A63" s="537" t="s">
        <v>1417</v>
      </c>
      <c r="B63" s="559">
        <f>B62*(B58+10)*D57/30</f>
        <v>2.0</v>
      </c>
      <c r="C63" s="558" t="s">
        <v>1418</v>
      </c>
      <c r="D63" s="559">
        <f>D62*1.25</f>
        <v>-0.000622133055302847</v>
      </c>
      <c r="E63" s="1"/>
      <c r="F63" s="530"/>
      <c r="G63" s="530"/>
      <c r="H63" s="1"/>
      <c r="I63" s="530"/>
      <c r="J63" s="530"/>
      <c r="K63" s="537" t="s">
        <v>1417</v>
      </c>
      <c r="L63" s="559">
        <f>L62*(L58+10)*N57/30</f>
        <v>30.0</v>
      </c>
      <c r="M63" s="558" t="s">
        <v>1418</v>
      </c>
      <c r="N63" s="559">
        <f>N62*1.25</f>
        <v>-0.000622133055302847</v>
      </c>
      <c r="O63" s="1"/>
      <c r="P63" s="530"/>
      <c r="Q63" s="530"/>
      <c r="R63" s="1"/>
      <c r="S63" s="530"/>
      <c r="T63" s="530"/>
      <c r="U63" s="537" t="s">
        <v>1417</v>
      </c>
      <c r="V63" s="559">
        <f>V62*(V58+10)*X57/30</f>
        <v>60.0</v>
      </c>
      <c r="W63" s="558" t="s">
        <v>1418</v>
      </c>
      <c r="X63" s="559">
        <f>X62*1.25</f>
        <v>-0.000622133055302847</v>
      </c>
      <c r="Y63" s="1"/>
      <c r="Z63" s="530"/>
      <c r="AA63" s="530"/>
      <c r="AB63" s="1"/>
      <c r="AC63" s="530"/>
      <c r="AD63" s="530"/>
      <c r="AE63" s="537" t="s">
        <v>1417</v>
      </c>
      <c r="AF63" s="559">
        <f>AF62*(AF58+10)*AH57/30</f>
        <v>90.0</v>
      </c>
      <c r="AG63" s="558" t="s">
        <v>1418</v>
      </c>
      <c r="AH63" s="559">
        <f>AH62*1.25</f>
        <v>-0.000622133055302847</v>
      </c>
      <c r="AI63" s="1"/>
      <c r="AJ63" s="530"/>
      <c r="AK63" s="530"/>
      <c r="AL63" s="1"/>
      <c r="AM63" s="530"/>
    </row>
    <row r="64" spans="1:39" ht="16.5" x14ac:dyDescent="0.3">
      <c r="A64" s="537" t="s">
        <v>1419</v>
      </c>
      <c r="B64" s="559">
        <f>B62*(B58+10)*D58/30</f>
        <v>20000.0</v>
      </c>
      <c r="C64" s="558" t="s">
        <v>1420</v>
      </c>
      <c r="D64" s="559">
        <f>IF(B59&lt;5,D61,IF(B59&lt;10,D62,D63))</f>
        <v>-0.000622133055302847</v>
      </c>
      <c r="E64" s="1"/>
      <c r="F64" s="530"/>
      <c r="G64" s="530"/>
      <c r="H64" s="1"/>
      <c r="I64" s="530"/>
      <c r="J64" s="530"/>
      <c r="K64" s="537" t="s">
        <v>1419</v>
      </c>
      <c r="L64" s="559">
        <f>L62*(L58+10)*N58/30</f>
        <v>20000.0</v>
      </c>
      <c r="M64" s="558" t="s">
        <v>1420</v>
      </c>
      <c r="N64" s="559">
        <f>IF(L59&lt;5,N61,IF(L59&lt;10,N62,N63))</f>
        <v>-0.000622133055302847</v>
      </c>
      <c r="O64" s="1"/>
      <c r="P64" s="530"/>
      <c r="Q64" s="530"/>
      <c r="R64" s="1"/>
      <c r="S64" s="530"/>
      <c r="T64" s="530"/>
      <c r="U64" s="537" t="s">
        <v>1419</v>
      </c>
      <c r="V64" s="559">
        <f>V62*(V58+10)*X58/30</f>
        <v>20000.0</v>
      </c>
      <c r="W64" s="558" t="s">
        <v>1420</v>
      </c>
      <c r="X64" s="559">
        <f>IF(V59&lt;5,X61,IF(V59&lt;10,X62,X63))</f>
        <v>-0.000622133055302847</v>
      </c>
      <c r="Y64" s="1"/>
      <c r="Z64" s="530"/>
      <c r="AA64" s="530"/>
      <c r="AB64" s="1"/>
      <c r="AC64" s="530"/>
      <c r="AD64" s="530"/>
      <c r="AE64" s="537" t="s">
        <v>1419</v>
      </c>
      <c r="AF64" s="559">
        <f>AF62*(AF58+10)*AH58/30</f>
        <v>20000.0</v>
      </c>
      <c r="AG64" s="558" t="s">
        <v>1420</v>
      </c>
      <c r="AH64" s="559">
        <f>IF(AF59&lt;5,AH61,IF(AF59&lt;10,AH62,AH63))</f>
        <v>-0.000622133055302847</v>
      </c>
      <c r="AI64" s="1"/>
      <c r="AJ64" s="530"/>
      <c r="AK64" s="530"/>
      <c r="AL64" s="1"/>
      <c r="AM64" s="530"/>
    </row>
    <row r="65" spans="1:39" ht="16.5" x14ac:dyDescent="0.3">
      <c r="A65" s="537" t="s">
        <v>641</v>
      </c>
      <c r="B65" s="560">
        <f>VLOOKUP(D56,F56:I58,2,FALSE())</f>
        <v>0.25</v>
      </c>
      <c r="C65" s="558" t="s">
        <v>1421</v>
      </c>
      <c r="D65" s="559">
        <f ca="1">(33+2*B77)/(20.8+3*B77)</f>
        <v>0.7824862592886882</v>
      </c>
      <c r="E65" s="1"/>
      <c r="F65" s="530"/>
      <c r="G65" s="530"/>
      <c r="H65" s="1"/>
      <c r="I65" s="530"/>
      <c r="J65" s="530"/>
      <c r="K65" s="537" t="s">
        <v>641</v>
      </c>
      <c r="L65" s="560">
        <f>VLOOKUP(N56,P56:S58,2,FALSE())</f>
        <v>0.25</v>
      </c>
      <c r="M65" s="558" t="s">
        <v>1421</v>
      </c>
      <c r="N65" s="559">
        <f ca="1">(33+2*L77)/(20.8+3*L77)</f>
        <v>0.7824862592886882</v>
      </c>
      <c r="O65" s="1"/>
      <c r="P65" s="530"/>
      <c r="Q65" s="530"/>
      <c r="R65" s="1"/>
      <c r="S65" s="530"/>
      <c r="T65" s="530"/>
      <c r="U65" s="537" t="s">
        <v>641</v>
      </c>
      <c r="V65" s="560">
        <f>VLOOKUP(X56,Z56:AC58,2,FALSE())</f>
        <v>0.25</v>
      </c>
      <c r="W65" s="558" t="s">
        <v>1421</v>
      </c>
      <c r="X65" s="559">
        <f ca="1">(33+2*V77)/(20.8+3*V77)</f>
        <v>0.7824862592886882</v>
      </c>
      <c r="Y65" s="1"/>
      <c r="Z65" s="530"/>
      <c r="AA65" s="530"/>
      <c r="AB65" s="1"/>
      <c r="AC65" s="530"/>
      <c r="AD65" s="530"/>
      <c r="AE65" s="537" t="s">
        <v>641</v>
      </c>
      <c r="AF65" s="560">
        <f>VLOOKUP(AH56,AJ56:AM58,2,FALSE())</f>
        <v>0.25</v>
      </c>
      <c r="AG65" s="558" t="s">
        <v>1421</v>
      </c>
      <c r="AH65" s="559">
        <f ca="1">(33+2*AF77)/(20.8+3*AF77)</f>
        <v>0.7824862592886882</v>
      </c>
      <c r="AI65" s="1"/>
      <c r="AJ65" s="530"/>
      <c r="AK65" s="530"/>
      <c r="AL65" s="1"/>
      <c r="AM65" s="530"/>
    </row>
    <row r="66" spans="1:39" ht="18" x14ac:dyDescent="0.35">
      <c r="A66" s="537" t="s">
        <v>1422</v>
      </c>
      <c r="B66" s="561">
        <f>EXP(B65*(1-(28/B63)^(1/2)))</f>
        <v>0.5038814047209145</v>
      </c>
      <c r="C66" s="558" t="s">
        <v>1423</v>
      </c>
      <c r="D66" s="559">
        <f ca="1">D65*D64</f>
        <v>-0.00048681056722376737</v>
      </c>
      <c r="E66" s="1"/>
      <c r="F66" s="530"/>
      <c r="G66" s="530"/>
      <c r="H66" s="1"/>
      <c r="I66" s="530"/>
      <c r="J66" s="530"/>
      <c r="K66" s="537" t="s">
        <v>1422</v>
      </c>
      <c r="L66" s="561">
        <f>EXP(L65*(1-(28/L63)^(1/2)))</f>
        <v>1.0085130861974019</v>
      </c>
      <c r="M66" s="558" t="s">
        <v>1423</v>
      </c>
      <c r="N66" s="559">
        <f ca="1">N65*N64</f>
        <v>-0.00048681056722376737</v>
      </c>
      <c r="O66" s="1"/>
      <c r="P66" s="530"/>
      <c r="Q66" s="530"/>
      <c r="R66" s="1"/>
      <c r="S66" s="530"/>
      <c r="T66" s="530"/>
      <c r="U66" s="537" t="s">
        <v>1422</v>
      </c>
      <c r="V66" s="561">
        <f>EXP(V65*(1-(28/V63)^(1/2)))</f>
        <v>1.0824397132913168</v>
      </c>
      <c r="W66" s="558" t="s">
        <v>1423</v>
      </c>
      <c r="X66" s="559">
        <f ca="1">X65*X64</f>
        <v>-0.00048681056722376737</v>
      </c>
      <c r="Y66" s="1"/>
      <c r="Z66" s="530"/>
      <c r="AA66" s="530"/>
      <c r="AB66" s="1"/>
      <c r="AC66" s="530"/>
      <c r="AD66" s="530"/>
      <c r="AE66" s="537" t="s">
        <v>1422</v>
      </c>
      <c r="AF66" s="561">
        <f>EXP(AF65*(1-(28/AF63)^(1/2)))</f>
        <v>1.1168996332990913</v>
      </c>
      <c r="AG66" s="558" t="s">
        <v>1423</v>
      </c>
      <c r="AH66" s="559">
        <f ca="1">AH65*AH64</f>
        <v>-0.00048681056722376737</v>
      </c>
      <c r="AI66" s="1"/>
      <c r="AJ66" s="530"/>
      <c r="AK66" s="530"/>
      <c r="AL66" s="1"/>
      <c r="AM66" s="530"/>
    </row>
    <row r="67" spans="1:39" ht="18" x14ac:dyDescent="0.35">
      <c r="A67" s="537" t="s">
        <v>1424</v>
      </c>
      <c r="B67" s="561">
        <f>EXP(B65*(1-(0)^(1/2)))</f>
        <v>1.2840254166877414</v>
      </c>
      <c r="C67" s="562" t="s">
        <v>1415</v>
      </c>
      <c r="D67" s="559">
        <f>VLOOKUP(D56,F56:I58,4,FALSE())</f>
        <v>1.0</v>
      </c>
      <c r="E67" s="1"/>
      <c r="F67" s="530"/>
      <c r="G67" s="530"/>
      <c r="H67" s="1"/>
      <c r="I67" s="530"/>
      <c r="J67" s="530"/>
      <c r="K67" s="537" t="s">
        <v>1424</v>
      </c>
      <c r="L67" s="561">
        <f>EXP(L65*(1-(0)^(1/2)))</f>
        <v>1.2840254166877414</v>
      </c>
      <c r="M67" s="562" t="s">
        <v>1415</v>
      </c>
      <c r="N67" s="559">
        <f>VLOOKUP(N56,P56:S58,4,FALSE())</f>
        <v>1.0</v>
      </c>
      <c r="O67" s="1"/>
      <c r="P67" s="530"/>
      <c r="Q67" s="530"/>
      <c r="R67" s="1"/>
      <c r="S67" s="530"/>
      <c r="T67" s="530"/>
      <c r="U67" s="537" t="s">
        <v>1424</v>
      </c>
      <c r="V67" s="561">
        <f>EXP(V65*(1-(0)^(1/2)))</f>
        <v>1.2840254166877414</v>
      </c>
      <c r="W67" s="562" t="s">
        <v>1415</v>
      </c>
      <c r="X67" s="559">
        <f>VLOOKUP(X56,Z56:AC58,4,FALSE())</f>
        <v>1.0</v>
      </c>
      <c r="Y67" s="1"/>
      <c r="Z67" s="530"/>
      <c r="AA67" s="530"/>
      <c r="AB67" s="1"/>
      <c r="AC67" s="530"/>
      <c r="AD67" s="530"/>
      <c r="AE67" s="537" t="s">
        <v>1424</v>
      </c>
      <c r="AF67" s="561">
        <f>EXP(AF65*(1-(0)^(1/2)))</f>
        <v>1.2840254166877414</v>
      </c>
      <c r="AG67" s="562" t="s">
        <v>1415</v>
      </c>
      <c r="AH67" s="559">
        <f>VLOOKUP(AH56,AJ56:AM58,4,FALSE())</f>
        <v>1.0</v>
      </c>
      <c r="AI67" s="1"/>
      <c r="AJ67" s="530"/>
      <c r="AK67" s="530"/>
      <c r="AL67" s="1"/>
      <c r="AM67" s="530"/>
    </row>
    <row r="68" spans="1:39" ht="18" x14ac:dyDescent="0.35">
      <c r="A68" s="558" t="s">
        <v>1425</v>
      </c>
      <c r="B68" s="561">
        <f>0.8*(1-B66/B67)</f>
        <v>0.48606141394258584</v>
      </c>
      <c r="C68" s="537" t="s">
        <v>1417</v>
      </c>
      <c r="D68" s="559">
        <f>D67*(B58+10)*D57/30</f>
        <v>1.0</v>
      </c>
      <c r="E68" s="1"/>
      <c r="F68" s="530"/>
      <c r="G68" s="530"/>
      <c r="H68" s="1"/>
      <c r="I68" s="530"/>
      <c r="J68" s="530"/>
      <c r="K68" s="558" t="s">
        <v>1425</v>
      </c>
      <c r="L68" s="561">
        <f>0.8*(1-L66/L67)</f>
        <v>0.1716553749853633</v>
      </c>
      <c r="M68" s="537" t="s">
        <v>1417</v>
      </c>
      <c r="N68" s="559">
        <f>N67*(L58+10)*N57/30</f>
        <v>15.0</v>
      </c>
      <c r="O68" s="1"/>
      <c r="P68" s="530"/>
      <c r="Q68" s="530"/>
      <c r="R68" s="1"/>
      <c r="S68" s="530"/>
      <c r="T68" s="530"/>
      <c r="U68" s="558" t="s">
        <v>1425</v>
      </c>
      <c r="V68" s="561">
        <f>0.8*(1-V66/V67)</f>
        <v>0.12559608292890836</v>
      </c>
      <c r="W68" s="537" t="s">
        <v>1417</v>
      </c>
      <c r="X68" s="559">
        <f>X67*(V58+10)*X57/30</f>
        <v>30.0</v>
      </c>
      <c r="Y68" s="1"/>
      <c r="Z68" s="530"/>
      <c r="AA68" s="530"/>
      <c r="AB68" s="1"/>
      <c r="AC68" s="530"/>
      <c r="AD68" s="530"/>
      <c r="AE68" s="558" t="s">
        <v>1425</v>
      </c>
      <c r="AF68" s="561">
        <f>0.8*(1-AF66/AF67)</f>
        <v>0.10412615277960216</v>
      </c>
      <c r="AG68" s="537" t="s">
        <v>1417</v>
      </c>
      <c r="AH68" s="559">
        <f>AH67*(AF58+10)*AH57/30</f>
        <v>45.0</v>
      </c>
      <c r="AI68" s="1"/>
      <c r="AJ68" s="530"/>
      <c r="AK68" s="530"/>
      <c r="AL68" s="1"/>
      <c r="AM68" s="530"/>
    </row>
    <row r="69" spans="1:39" ht="18" x14ac:dyDescent="0.35">
      <c r="A69" s="558" t="s">
        <v>1426</v>
      </c>
      <c r="B69" s="561">
        <f>1.4*(1-B66/B67)</f>
        <v>0.8506074743995252</v>
      </c>
      <c r="C69" s="537" t="s">
        <v>1419</v>
      </c>
      <c r="D69" s="559">
        <f>D67*(B58+10)*D58/30</f>
        <v>10000.0</v>
      </c>
      <c r="E69" s="1"/>
      <c r="F69" s="530"/>
      <c r="G69" s="530"/>
      <c r="H69" s="1"/>
      <c r="I69" s="530"/>
      <c r="J69" s="530"/>
      <c r="K69" s="558" t="s">
        <v>1426</v>
      </c>
      <c r="L69" s="561">
        <f>1.4*(1-L66/L67)</f>
        <v>0.3003969062243857</v>
      </c>
      <c r="M69" s="537" t="s">
        <v>1419</v>
      </c>
      <c r="N69" s="559">
        <f>N67*(L58+10)*N58/30</f>
        <v>10000.0</v>
      </c>
      <c r="O69" s="1"/>
      <c r="P69" s="530"/>
      <c r="Q69" s="530"/>
      <c r="R69" s="1"/>
      <c r="S69" s="530"/>
      <c r="T69" s="530"/>
      <c r="U69" s="558" t="s">
        <v>1426</v>
      </c>
      <c r="V69" s="561">
        <f>1.4*(1-V66/V67)</f>
        <v>0.21979314512558962</v>
      </c>
      <c r="W69" s="537" t="s">
        <v>1419</v>
      </c>
      <c r="X69" s="559">
        <f>X67*(V58+10)*X58/30</f>
        <v>10000.0</v>
      </c>
      <c r="Y69" s="1"/>
      <c r="Z69" s="530"/>
      <c r="AA69" s="530"/>
      <c r="AB69" s="1"/>
      <c r="AC69" s="530"/>
      <c r="AD69" s="530"/>
      <c r="AE69" s="558" t="s">
        <v>1426</v>
      </c>
      <c r="AF69" s="561">
        <f>1.4*(1-AF66/AF67)</f>
        <v>0.18222076736430376</v>
      </c>
      <c r="AG69" s="537" t="s">
        <v>1419</v>
      </c>
      <c r="AH69" s="559">
        <f>AH67*(AF58+10)*AH58/30</f>
        <v>10000.0</v>
      </c>
      <c r="AI69" s="1"/>
      <c r="AJ69" s="530"/>
      <c r="AK69" s="530"/>
      <c r="AL69" s="1"/>
      <c r="AM69" s="530"/>
    </row>
    <row r="70" spans="1:39" ht="18" x14ac:dyDescent="0.35">
      <c r="A70" s="563" t="s">
        <v>1427</v>
      </c>
      <c r="B70" s="564">
        <f>IF(D55&lt;=45,B68,B69)</f>
        <v>0.48606141394258584</v>
      </c>
      <c r="C70" s="565" t="s">
        <v>1428</v>
      </c>
      <c r="D70" s="566">
        <f ca="1">B77/100</f>
        <v>0.48133150958246945</v>
      </c>
      <c r="E70" s="1"/>
      <c r="F70" s="530"/>
      <c r="G70" s="530"/>
      <c r="H70" s="1"/>
      <c r="I70" s="530"/>
      <c r="J70" s="530"/>
      <c r="K70" s="563" t="s">
        <v>1427</v>
      </c>
      <c r="L70" s="564">
        <f>IF(N55&lt;=45,L68,L69)</f>
        <v>0.1716553749853633</v>
      </c>
      <c r="M70" s="565" t="s">
        <v>1428</v>
      </c>
      <c r="N70" s="566">
        <f ca="1">L77/100</f>
        <v>0.48133150958246945</v>
      </c>
      <c r="O70" s="1"/>
      <c r="P70" s="530"/>
      <c r="Q70" s="530"/>
      <c r="R70" s="1"/>
      <c r="S70" s="530"/>
      <c r="T70" s="530"/>
      <c r="U70" s="563" t="s">
        <v>1427</v>
      </c>
      <c r="V70" s="564">
        <f>IF(X55&lt;=45,V68,V69)</f>
        <v>0.12559608292890836</v>
      </c>
      <c r="W70" s="565" t="s">
        <v>1428</v>
      </c>
      <c r="X70" s="566">
        <f ca="1">V77/100</f>
        <v>0.48133150958246945</v>
      </c>
      <c r="Y70" s="1"/>
      <c r="Z70" s="530"/>
      <c r="AA70" s="530"/>
      <c r="AB70" s="1"/>
      <c r="AC70" s="530"/>
      <c r="AD70" s="530"/>
      <c r="AE70" s="563" t="s">
        <v>1427</v>
      </c>
      <c r="AF70" s="564">
        <f>IF(AH55&lt;=45,AF68,AF69)</f>
        <v>0.10412615277960216</v>
      </c>
      <c r="AG70" s="565" t="s">
        <v>1428</v>
      </c>
      <c r="AH70" s="566">
        <f ca="1">AF77/100</f>
        <v>0.48133150958246945</v>
      </c>
      <c r="AI70" s="1"/>
      <c r="AJ70" s="530"/>
      <c r="AK70" s="530"/>
      <c r="AL70" s="1"/>
      <c r="AM70" s="530"/>
    </row>
    <row r="71" spans="1:39" x14ac:dyDescent="0.25">
      <c r="A71" s="830" t="s">
        <v>1429</v>
      </c>
      <c r="B71" s="830"/>
      <c r="C71" s="537" t="s">
        <v>298</v>
      </c>
      <c r="D71" s="559">
        <v>40</v>
      </c>
      <c r="E71" s="1"/>
      <c r="F71" s="530"/>
      <c r="G71" s="530"/>
      <c r="H71" s="1"/>
      <c r="I71" s="1"/>
      <c r="J71" s="1"/>
      <c r="K71" s="830" t="s">
        <v>1429</v>
      </c>
      <c r="L71" s="830"/>
      <c r="M71" s="537" t="s">
        <v>298</v>
      </c>
      <c r="N71" s="559">
        <v>40</v>
      </c>
      <c r="O71" s="1"/>
      <c r="P71" s="530"/>
      <c r="Q71" s="530"/>
      <c r="R71" s="1"/>
      <c r="S71" s="1"/>
      <c r="T71" s="1"/>
      <c r="U71" s="830" t="s">
        <v>1429</v>
      </c>
      <c r="V71" s="830"/>
      <c r="W71" s="537" t="s">
        <v>298</v>
      </c>
      <c r="X71" s="559">
        <v>40</v>
      </c>
      <c r="Y71" s="1"/>
      <c r="Z71" s="530"/>
      <c r="AA71" s="530"/>
      <c r="AB71" s="1"/>
      <c r="AC71" s="1"/>
      <c r="AD71" s="1"/>
      <c r="AE71" s="830" t="s">
        <v>1429</v>
      </c>
      <c r="AF71" s="830"/>
      <c r="AG71" s="537" t="s">
        <v>298</v>
      </c>
      <c r="AH71" s="559">
        <v>40</v>
      </c>
      <c r="AI71" s="1"/>
      <c r="AJ71" s="530"/>
      <c r="AK71" s="530"/>
      <c r="AL71" s="1"/>
      <c r="AM71" s="1"/>
    </row>
    <row r="72" spans="1:39" ht="18" x14ac:dyDescent="0.35">
      <c r="A72" s="567" t="s">
        <v>1430</v>
      </c>
      <c r="B72" s="557">
        <f>B73*0.75</f>
        <v>1.5</v>
      </c>
      <c r="C72" s="537" t="s">
        <v>299</v>
      </c>
      <c r="D72" s="559">
        <f ca="1">116*D70^3-282*D70^2+220*D70-4.8</f>
        <v>48.69489366630147</v>
      </c>
      <c r="E72" s="530"/>
      <c r="F72" s="530"/>
      <c r="G72" s="530"/>
      <c r="H72" s="530"/>
      <c r="I72" s="530"/>
      <c r="J72" s="530"/>
      <c r="K72" s="567" t="s">
        <v>1430</v>
      </c>
      <c r="L72" s="557">
        <f>L73*0.75</f>
        <v>1.5</v>
      </c>
      <c r="M72" s="537" t="s">
        <v>299</v>
      </c>
      <c r="N72" s="559">
        <f ca="1">116*N70^3-282*N70^2+220*N70-4.8</f>
        <v>48.69489366630147</v>
      </c>
      <c r="O72" s="530"/>
      <c r="P72" s="530"/>
      <c r="Q72" s="530"/>
      <c r="R72" s="530"/>
      <c r="S72" s="530"/>
      <c r="T72" s="530"/>
      <c r="U72" s="567" t="s">
        <v>1430</v>
      </c>
      <c r="V72" s="557">
        <f>V73*0.75</f>
        <v>1.5</v>
      </c>
      <c r="W72" s="537" t="s">
        <v>299</v>
      </c>
      <c r="X72" s="559">
        <f ca="1">116*X70^3-282*X70^2+220*X70-4.8</f>
        <v>48.69489366630147</v>
      </c>
      <c r="Y72" s="530"/>
      <c r="Z72" s="530"/>
      <c r="AA72" s="530"/>
      <c r="AB72" s="530"/>
      <c r="AC72" s="530"/>
      <c r="AD72" s="530"/>
      <c r="AE72" s="567" t="s">
        <v>1430</v>
      </c>
      <c r="AF72" s="557">
        <f>AF73*0.75</f>
        <v>1.5</v>
      </c>
      <c r="AG72" s="537" t="s">
        <v>299</v>
      </c>
      <c r="AH72" s="559">
        <f ca="1">116*AH70^3-282*AH70^2+220*AH70-4.8</f>
        <v>48.69489366630147</v>
      </c>
      <c r="AI72" s="530"/>
      <c r="AJ72" s="530"/>
      <c r="AK72" s="530"/>
      <c r="AL72" s="530"/>
      <c r="AM72" s="530"/>
    </row>
    <row r="73" spans="1:39" ht="18" x14ac:dyDescent="0.35">
      <c r="A73" s="558" t="s">
        <v>1431</v>
      </c>
      <c r="B73" s="559">
        <f>4.45-0.035*B57</f>
        <v>2.0</v>
      </c>
      <c r="C73" s="537" t="s">
        <v>300</v>
      </c>
      <c r="D73" s="559">
        <f ca="1">2.5*D70^3-8.8*D70+40.7</f>
        <v>36.743069952638386</v>
      </c>
      <c r="E73" s="530"/>
      <c r="F73" s="530"/>
      <c r="G73" s="530"/>
      <c r="H73" s="530"/>
      <c r="I73" s="530"/>
      <c r="J73" s="530"/>
      <c r="K73" s="558" t="s">
        <v>1431</v>
      </c>
      <c r="L73" s="559">
        <f>4.45-0.035*L57</f>
        <v>2.0</v>
      </c>
      <c r="M73" s="537" t="s">
        <v>300</v>
      </c>
      <c r="N73" s="559">
        <f ca="1">2.5*N70^3-8.8*N70+40.7</f>
        <v>36.743069952638386</v>
      </c>
      <c r="O73" s="530"/>
      <c r="P73" s="530"/>
      <c r="Q73" s="530"/>
      <c r="R73" s="530"/>
      <c r="S73" s="530"/>
      <c r="T73" s="530"/>
      <c r="U73" s="558" t="s">
        <v>1431</v>
      </c>
      <c r="V73" s="559">
        <f>4.45-0.035*V57</f>
        <v>2.0</v>
      </c>
      <c r="W73" s="537" t="s">
        <v>300</v>
      </c>
      <c r="X73" s="559">
        <f ca="1">2.5*X70^3-8.8*X70+40.7</f>
        <v>36.743069952638386</v>
      </c>
      <c r="Y73" s="530"/>
      <c r="Z73" s="530"/>
      <c r="AA73" s="530"/>
      <c r="AB73" s="530"/>
      <c r="AC73" s="530"/>
      <c r="AD73" s="530"/>
      <c r="AE73" s="558" t="s">
        <v>1431</v>
      </c>
      <c r="AF73" s="559">
        <f>4.45-0.035*AF57</f>
        <v>2.0</v>
      </c>
      <c r="AG73" s="537" t="s">
        <v>300</v>
      </c>
      <c r="AH73" s="559">
        <f ca="1">2.5*AH70^3-8.8*AH70+40.7</f>
        <v>36.743069952638386</v>
      </c>
      <c r="AI73" s="530"/>
      <c r="AJ73" s="530"/>
      <c r="AK73" s="530"/>
      <c r="AL73" s="530"/>
      <c r="AM73" s="530"/>
    </row>
    <row r="74" spans="1:39" ht="18" x14ac:dyDescent="0.35">
      <c r="A74" s="558" t="s">
        <v>1432</v>
      </c>
      <c r="B74" s="559">
        <f>B73*1.25</f>
        <v>2.5</v>
      </c>
      <c r="C74" s="537" t="s">
        <v>301</v>
      </c>
      <c r="D74" s="559">
        <f ca="1">-75*D70^3+585*D70^2+496*D70-6.8</f>
        <v>359.1096245823906</v>
      </c>
      <c r="E74" s="530"/>
      <c r="F74" s="530"/>
      <c r="G74" s="530"/>
      <c r="H74" s="530"/>
      <c r="I74" s="530"/>
      <c r="J74" s="530"/>
      <c r="K74" s="558" t="s">
        <v>1432</v>
      </c>
      <c r="L74" s="559">
        <f>L73*1.25</f>
        <v>2.5</v>
      </c>
      <c r="M74" s="537" t="s">
        <v>301</v>
      </c>
      <c r="N74" s="559">
        <f ca="1">-75*N70^3+585*N70^2+496*N70-6.8</f>
        <v>359.1096245823906</v>
      </c>
      <c r="O74" s="530"/>
      <c r="P74" s="530"/>
      <c r="Q74" s="530"/>
      <c r="R74" s="530"/>
      <c r="S74" s="530"/>
      <c r="T74" s="530"/>
      <c r="U74" s="558" t="s">
        <v>1432</v>
      </c>
      <c r="V74" s="559">
        <f>V73*1.25</f>
        <v>2.5</v>
      </c>
      <c r="W74" s="537" t="s">
        <v>301</v>
      </c>
      <c r="X74" s="559">
        <f ca="1">-75*X70^3+585*X70^2+496*X70-6.8</f>
        <v>359.1096245823906</v>
      </c>
      <c r="Y74" s="530"/>
      <c r="Z74" s="530"/>
      <c r="AA74" s="530"/>
      <c r="AB74" s="530"/>
      <c r="AC74" s="530"/>
      <c r="AD74" s="530"/>
      <c r="AE74" s="558" t="s">
        <v>1432</v>
      </c>
      <c r="AF74" s="559">
        <f>AF73*1.25</f>
        <v>2.5</v>
      </c>
      <c r="AG74" s="537" t="s">
        <v>301</v>
      </c>
      <c r="AH74" s="559">
        <f ca="1">-75*AH70^3+585*AH70^2+496*AH70-6.8</f>
        <v>359.1096245823906</v>
      </c>
      <c r="AI74" s="530"/>
      <c r="AJ74" s="530"/>
      <c r="AK74" s="530"/>
      <c r="AL74" s="530"/>
      <c r="AM74" s="530"/>
    </row>
    <row r="75" spans="1:39" ht="18" x14ac:dyDescent="0.35">
      <c r="A75" s="558" t="s">
        <v>1433</v>
      </c>
      <c r="B75" s="559">
        <f>IF(B59&lt;5,B72,IF(B59&lt;10,B73,B74))</f>
        <v>2.5</v>
      </c>
      <c r="C75" s="537" t="s">
        <v>1434</v>
      </c>
      <c r="D75" s="559">
        <f ca="1">-169*D70^4+88*D70^3+584*D70^2-39*D70+0.8</f>
        <v>118.07133286618307</v>
      </c>
      <c r="E75" s="530"/>
      <c r="F75" s="530"/>
      <c r="G75" s="530"/>
      <c r="H75" s="530"/>
      <c r="I75" s="530"/>
      <c r="J75" s="530"/>
      <c r="K75" s="558" t="s">
        <v>1433</v>
      </c>
      <c r="L75" s="559">
        <f>IF(L59&lt;5,L72,IF(L59&lt;10,L73,L74))</f>
        <v>2.5</v>
      </c>
      <c r="M75" s="537" t="s">
        <v>1434</v>
      </c>
      <c r="N75" s="559">
        <f ca="1">-169*N70^4+88*N70^3+584*N70^2-39*N70+0.8</f>
        <v>118.07133286618307</v>
      </c>
      <c r="O75" s="530"/>
      <c r="P75" s="530"/>
      <c r="Q75" s="530"/>
      <c r="R75" s="530"/>
      <c r="S75" s="530"/>
      <c r="T75" s="530"/>
      <c r="U75" s="558" t="s">
        <v>1433</v>
      </c>
      <c r="V75" s="559">
        <f>IF(V59&lt;5,V72,IF(V59&lt;10,V73,V74))</f>
        <v>2.5</v>
      </c>
      <c r="W75" s="537" t="s">
        <v>1434</v>
      </c>
      <c r="X75" s="559">
        <f ca="1">-169*X70^4+88*X70^3+584*X70^2-39*X70+0.8</f>
        <v>118.07133286618307</v>
      </c>
      <c r="Y75" s="530"/>
      <c r="Z75" s="530"/>
      <c r="AA75" s="530"/>
      <c r="AB75" s="530"/>
      <c r="AC75" s="530"/>
      <c r="AD75" s="530"/>
      <c r="AE75" s="558" t="s">
        <v>1433</v>
      </c>
      <c r="AF75" s="559">
        <f>IF(AF59&lt;5,AF72,IF(AF59&lt;10,AF73,AF74))</f>
        <v>2.5</v>
      </c>
      <c r="AG75" s="537" t="s">
        <v>1434</v>
      </c>
      <c r="AH75" s="559">
        <f ca="1">-169*AH70^4+88*AH70^3+584*AH70^2-39*AH70+0.8</f>
        <v>118.07133286618307</v>
      </c>
      <c r="AI75" s="530"/>
      <c r="AJ75" s="530"/>
      <c r="AK75" s="530"/>
      <c r="AL75" s="530"/>
      <c r="AM75" s="530"/>
    </row>
    <row r="76" spans="1:39" ht="18" x14ac:dyDescent="0.35">
      <c r="A76" s="562" t="s">
        <v>1435</v>
      </c>
      <c r="B76" s="566">
        <f>1+EXP(-7.8+0.1*B57)</f>
        <v>1.4493289641172216</v>
      </c>
      <c r="C76" s="565" t="s">
        <v>1436</v>
      </c>
      <c r="D76" s="559">
        <f ca="1">((D68/100)^3+D71*(D68/100)^2+D72*(D68/100))/((D68/100)^3+D73*(D68/100)^2+D74*(D68/100)+D75)</f>
        <v>0.004035223606504626</v>
      </c>
      <c r="E76" s="530"/>
      <c r="F76" s="530"/>
      <c r="G76" s="530"/>
      <c r="H76" s="530"/>
      <c r="I76" s="530"/>
      <c r="J76" s="530"/>
      <c r="K76" s="562" t="s">
        <v>1435</v>
      </c>
      <c r="L76" s="566">
        <f>1+EXP(-7.8+0.1*L57)</f>
        <v>1.4493289641172216</v>
      </c>
      <c r="M76" s="565" t="s">
        <v>1436</v>
      </c>
      <c r="N76" s="559">
        <f ca="1">((N68/100)^3+N71*(N68/100)^2+N72*(N68/100))/((N68/100)^3+N73*(N68/100)^2+N74*(N68/100)+N75)</f>
        <v>0.04750657063802422</v>
      </c>
      <c r="O76" s="530"/>
      <c r="P76" s="530"/>
      <c r="Q76" s="530"/>
      <c r="R76" s="530"/>
      <c r="S76" s="530"/>
      <c r="T76" s="530"/>
      <c r="U76" s="562" t="s">
        <v>1435</v>
      </c>
      <c r="V76" s="566">
        <f>1+EXP(-7.8+0.1*V57)</f>
        <v>1.4493289641172216</v>
      </c>
      <c r="W76" s="565" t="s">
        <v>1436</v>
      </c>
      <c r="X76" s="559">
        <f ca="1">((X68/100)^3+X71*(X68/100)^2+X72*(X68/100))/((X68/100)^3+X73*(X68/100)^2+X74*(X68/100)+X75)</f>
        <v>0.07958287327823162</v>
      </c>
      <c r="Y76" s="530"/>
      <c r="Z76" s="530"/>
      <c r="AA76" s="530"/>
      <c r="AB76" s="530"/>
      <c r="AC76" s="530"/>
      <c r="AD76" s="530"/>
      <c r="AE76" s="562" t="s">
        <v>1435</v>
      </c>
      <c r="AF76" s="566">
        <f>1+EXP(-7.8+0.1*AF57)</f>
        <v>1.4493289641172216</v>
      </c>
      <c r="AG76" s="565" t="s">
        <v>1436</v>
      </c>
      <c r="AH76" s="559">
        <f ca="1">((AH68/100)^3+AH71*(AH68/100)^2+AH72*(AH68/100))/((AH68/100)^3+AH73*(AH68/100)^2+AH74*(AH68/100)+AH75)</f>
        <v>0.10481751462404523</v>
      </c>
      <c r="AI76" s="530"/>
      <c r="AJ76" s="530"/>
      <c r="AK76" s="530"/>
      <c r="AL76" s="530"/>
      <c r="AM76" s="530"/>
    </row>
    <row r="77" spans="1:39" ht="18" x14ac:dyDescent="0.35">
      <c r="A77" s="565" t="s">
        <v>1428</v>
      </c>
      <c r="B77" s="566">
        <f ca="1">B76*2*B55/(B56)</f>
        <v>48.133150958246944</v>
      </c>
      <c r="C77" s="568" t="s">
        <v>1437</v>
      </c>
      <c r="D77" s="569">
        <f ca="1">((D69/100)^3+D71*(D69/100)^2+D72*(D69/100))/((D69/100)^3+D73*(D69/100)^2+D74*(D69/100)+D75)</f>
        <v>1.001004486281775</v>
      </c>
      <c r="E77" s="530"/>
      <c r="F77" s="530"/>
      <c r="G77" s="530"/>
      <c r="H77" s="530"/>
      <c r="I77" s="530"/>
      <c r="J77" s="530"/>
      <c r="K77" s="565" t="s">
        <v>1428</v>
      </c>
      <c r="L77" s="566">
        <f ca="1">L76*2*L55/(L56)</f>
        <v>48.133150958246944</v>
      </c>
      <c r="M77" s="568" t="s">
        <v>1437</v>
      </c>
      <c r="N77" s="569">
        <f ca="1">((N69/100)^3+N71*(N69/100)^2+N72*(N69/100))/((N69/100)^3+N73*(N69/100)^2+N74*(N69/100)+N75)</f>
        <v>1.001004486281775</v>
      </c>
      <c r="O77" s="530"/>
      <c r="P77" s="530"/>
      <c r="Q77" s="530"/>
      <c r="R77" s="530"/>
      <c r="S77" s="530"/>
      <c r="T77" s="530"/>
      <c r="U77" s="565" t="s">
        <v>1428</v>
      </c>
      <c r="V77" s="566">
        <f ca="1">V76*2*V55/(V56)</f>
        <v>48.133150958246944</v>
      </c>
      <c r="W77" s="568" t="s">
        <v>1437</v>
      </c>
      <c r="X77" s="569">
        <f ca="1">((X69/100)^3+X71*(X69/100)^2+X72*(X69/100))/((X69/100)^3+X73*(X69/100)^2+X74*(X69/100)+X75)</f>
        <v>1.001004486281775</v>
      </c>
      <c r="Y77" s="530"/>
      <c r="Z77" s="530"/>
      <c r="AA77" s="530"/>
      <c r="AB77" s="530"/>
      <c r="AC77" s="530"/>
      <c r="AD77" s="530"/>
      <c r="AE77" s="565" t="s">
        <v>1428</v>
      </c>
      <c r="AF77" s="566">
        <f ca="1">AF76*2*AF55/(AF56)</f>
        <v>48.133150958246944</v>
      </c>
      <c r="AG77" s="568" t="s">
        <v>1437</v>
      </c>
      <c r="AH77" s="569">
        <f ca="1">((AH69/100)^3+AH71*(AH69/100)^2+AH72*(AH69/100))/((AH69/100)^3+AH73*(AH69/100)^2+AH74*(AH69/100)+AH75)</f>
        <v>1.001004486281775</v>
      </c>
      <c r="AI77" s="530"/>
      <c r="AJ77" s="530"/>
      <c r="AK77" s="530"/>
      <c r="AL77" s="530"/>
      <c r="AM77" s="530"/>
    </row>
    <row r="78" spans="1:39" ht="18" x14ac:dyDescent="0.35">
      <c r="A78" s="558" t="s">
        <v>1438</v>
      </c>
      <c r="B78" s="570">
        <f ca="1">(42+B77)/(20+B77)</f>
        <v>1.3228971461114714</v>
      </c>
      <c r="C78" s="571" t="s">
        <v>1439</v>
      </c>
      <c r="D78" s="572">
        <f ca="1">D66*(D77-D76)</f>
        <v>-0.0004853351722676095</v>
      </c>
      <c r="E78" s="530"/>
      <c r="F78" s="530"/>
      <c r="G78" s="530"/>
      <c r="H78" s="530"/>
      <c r="I78" s="530"/>
      <c r="J78" s="530"/>
      <c r="K78" s="558" t="s">
        <v>1438</v>
      </c>
      <c r="L78" s="570">
        <f ca="1">(42+L77)/(20+L77)</f>
        <v>1.3228971461114714</v>
      </c>
      <c r="M78" s="571" t="s">
        <v>1439</v>
      </c>
      <c r="N78" s="572">
        <f ca="1">N66*(N77-N76)</f>
        <v>-0.0004641728611612142</v>
      </c>
      <c r="O78" s="530"/>
      <c r="P78" s="530"/>
      <c r="Q78" s="530"/>
      <c r="R78" s="530"/>
      <c r="S78" s="530"/>
      <c r="T78" s="530"/>
      <c r="U78" s="558" t="s">
        <v>1438</v>
      </c>
      <c r="V78" s="570">
        <f ca="1">(42+V77)/(20+V77)</f>
        <v>1.3228971461114714</v>
      </c>
      <c r="W78" s="571" t="s">
        <v>1439</v>
      </c>
      <c r="X78" s="572">
        <f ca="1">X66*(X77-X76)</f>
        <v>-0.00044855777807849365</v>
      </c>
      <c r="Y78" s="530"/>
      <c r="Z78" s="530"/>
      <c r="AA78" s="530"/>
      <c r="AB78" s="530"/>
      <c r="AC78" s="530"/>
      <c r="AD78" s="530"/>
      <c r="AE78" s="558" t="s">
        <v>1438</v>
      </c>
      <c r="AF78" s="570">
        <f ca="1">(42+AF77)/(20+AF77)</f>
        <v>1.3228971461114714</v>
      </c>
      <c r="AG78" s="571" t="s">
        <v>1439</v>
      </c>
      <c r="AH78" s="572">
        <f ca="1">AH66*(AH77-AH76)</f>
        <v>-0.0004362732880112498</v>
      </c>
      <c r="AI78" s="530"/>
      <c r="AJ78" s="530"/>
      <c r="AK78" s="530"/>
      <c r="AL78" s="530"/>
      <c r="AM78" s="530"/>
    </row>
    <row r="79" spans="1:39" ht="18" x14ac:dyDescent="0.35">
      <c r="A79" s="558" t="s">
        <v>1440</v>
      </c>
      <c r="B79" s="566">
        <f ca="1">B75*B78</f>
        <v>3.3072428652786785</v>
      </c>
      <c r="C79" s="530"/>
      <c r="D79" s="530"/>
      <c r="E79" s="530"/>
      <c r="F79" s="530"/>
      <c r="G79" s="530"/>
      <c r="H79" s="530"/>
      <c r="I79" s="530"/>
      <c r="J79" s="530"/>
      <c r="K79" s="558" t="s">
        <v>1440</v>
      </c>
      <c r="L79" s="566">
        <f ca="1">L75*L78</f>
        <v>3.3072428652786785</v>
      </c>
      <c r="M79" s="530"/>
      <c r="N79" s="530"/>
      <c r="O79" s="530"/>
      <c r="P79" s="530"/>
      <c r="Q79" s="530"/>
      <c r="R79" s="530"/>
      <c r="S79" s="530"/>
      <c r="T79" s="530"/>
      <c r="U79" s="558" t="s">
        <v>1440</v>
      </c>
      <c r="V79" s="566">
        <f ca="1">V75*V78</f>
        <v>3.3072428652786785</v>
      </c>
      <c r="W79" s="530"/>
      <c r="X79" s="530"/>
      <c r="Y79" s="530"/>
      <c r="Z79" s="530"/>
      <c r="AA79" s="530"/>
      <c r="AB79" s="530"/>
      <c r="AC79" s="530"/>
      <c r="AD79" s="530"/>
      <c r="AE79" s="558" t="s">
        <v>1440</v>
      </c>
      <c r="AF79" s="566">
        <f ca="1">AF75*AF78</f>
        <v>3.3072428652786785</v>
      </c>
      <c r="AG79" s="530"/>
      <c r="AH79" s="530"/>
      <c r="AI79" s="530"/>
      <c r="AJ79" s="530"/>
      <c r="AK79" s="530"/>
      <c r="AL79" s="530"/>
      <c r="AM79" s="530"/>
    </row>
    <row r="80" spans="1:39" ht="18" x14ac:dyDescent="0.35">
      <c r="A80" s="558" t="s">
        <v>1441</v>
      </c>
      <c r="B80" s="566">
        <f ca="1">0.45*B75*B78</f>
        <v>1.4882592893754052</v>
      </c>
      <c r="C80" s="530"/>
      <c r="D80" s="530"/>
      <c r="E80" s="530"/>
      <c r="F80" s="530"/>
      <c r="G80" s="530"/>
      <c r="H80" s="530"/>
      <c r="I80" s="530"/>
      <c r="J80" s="530"/>
      <c r="K80" s="558" t="s">
        <v>1441</v>
      </c>
      <c r="L80" s="566">
        <f ca="1">0.45*L75*L78</f>
        <v>1.4882592893754052</v>
      </c>
      <c r="M80" s="530"/>
      <c r="N80" s="530"/>
      <c r="O80" s="530"/>
      <c r="P80" s="530"/>
      <c r="Q80" s="530"/>
      <c r="R80" s="530"/>
      <c r="S80" s="530"/>
      <c r="T80" s="530"/>
      <c r="U80" s="558" t="s">
        <v>1441</v>
      </c>
      <c r="V80" s="566">
        <f ca="1">0.45*V75*V78</f>
        <v>1.4882592893754052</v>
      </c>
      <c r="W80" s="530"/>
      <c r="X80" s="530"/>
      <c r="Y80" s="530"/>
      <c r="Z80" s="530"/>
      <c r="AA80" s="530"/>
      <c r="AB80" s="530"/>
      <c r="AC80" s="530"/>
      <c r="AD80" s="530"/>
      <c r="AE80" s="558" t="s">
        <v>1441</v>
      </c>
      <c r="AF80" s="566">
        <f ca="1">0.45*AF75*AF78</f>
        <v>1.4882592893754052</v>
      </c>
      <c r="AG80" s="530"/>
      <c r="AH80" s="530"/>
      <c r="AI80" s="530"/>
      <c r="AJ80" s="530"/>
      <c r="AK80" s="530"/>
      <c r="AL80" s="530"/>
      <c r="AM80" s="530"/>
    </row>
    <row r="81" spans="1:39" ht="18" x14ac:dyDescent="0.35">
      <c r="A81" s="563" t="s">
        <v>1442</v>
      </c>
      <c r="B81" s="573">
        <f ca="1">IF(D55&lt;50,B79,B80)</f>
        <v>3.3072428652786785</v>
      </c>
      <c r="C81" s="530"/>
      <c r="D81" s="530"/>
      <c r="E81" s="530"/>
      <c r="F81" s="530"/>
      <c r="G81" s="530"/>
      <c r="H81" s="530"/>
      <c r="I81" s="530"/>
      <c r="J81" s="530"/>
      <c r="K81" s="563" t="s">
        <v>1442</v>
      </c>
      <c r="L81" s="573">
        <f ca="1">IF(N55&lt;50,L79,L80)</f>
        <v>3.3072428652786785</v>
      </c>
      <c r="M81" s="530"/>
      <c r="N81" s="530"/>
      <c r="O81" s="530"/>
      <c r="P81" s="530"/>
      <c r="Q81" s="530"/>
      <c r="R81" s="530"/>
      <c r="S81" s="530"/>
      <c r="T81" s="530"/>
      <c r="U81" s="563" t="s">
        <v>1442</v>
      </c>
      <c r="V81" s="573">
        <f ca="1">IF(X55&lt;50,V79,V80)</f>
        <v>3.3072428652786785</v>
      </c>
      <c r="W81" s="530"/>
      <c r="X81" s="530"/>
      <c r="Y81" s="530"/>
      <c r="Z81" s="530"/>
      <c r="AA81" s="530"/>
      <c r="AB81" s="530"/>
      <c r="AC81" s="530"/>
      <c r="AD81" s="530"/>
      <c r="AE81" s="563" t="s">
        <v>1442</v>
      </c>
      <c r="AF81" s="573">
        <f ca="1">IF(AH55&lt;50,AF79,AF80)</f>
        <v>3.3072428652786785</v>
      </c>
      <c r="AG81" s="530"/>
      <c r="AH81" s="530"/>
      <c r="AI81" s="530"/>
      <c r="AJ81" s="530"/>
      <c r="AK81" s="530"/>
      <c r="AL81" s="530"/>
      <c r="AM81" s="530"/>
    </row>
    <row r="82" spans="1:39" x14ac:dyDescent="0.25">
      <c r="A82" s="830" t="s">
        <v>1443</v>
      </c>
      <c r="B82" s="830"/>
      <c r="C82" s="530"/>
      <c r="D82" s="530"/>
      <c r="E82" s="530"/>
      <c r="F82" s="530"/>
      <c r="G82" s="530"/>
      <c r="H82" s="530"/>
      <c r="I82" s="530"/>
      <c r="J82" s="530"/>
      <c r="K82" s="830" t="s">
        <v>1443</v>
      </c>
      <c r="L82" s="830"/>
      <c r="M82" s="530"/>
      <c r="N82" s="530"/>
      <c r="O82" s="530"/>
      <c r="P82" s="530"/>
      <c r="Q82" s="530"/>
      <c r="R82" s="530"/>
      <c r="S82" s="530"/>
      <c r="T82" s="530"/>
      <c r="U82" s="830" t="s">
        <v>1443</v>
      </c>
      <c r="V82" s="830"/>
      <c r="W82" s="530"/>
      <c r="X82" s="530"/>
      <c r="Y82" s="530"/>
      <c r="Z82" s="530"/>
      <c r="AA82" s="530"/>
      <c r="AB82" s="530"/>
      <c r="AC82" s="530"/>
      <c r="AD82" s="530"/>
      <c r="AE82" s="830" t="s">
        <v>1443</v>
      </c>
      <c r="AF82" s="830"/>
      <c r="AG82" s="530"/>
      <c r="AH82" s="530"/>
      <c r="AI82" s="530"/>
      <c r="AJ82" s="530"/>
      <c r="AK82" s="530"/>
      <c r="AL82" s="530"/>
      <c r="AM82" s="530"/>
    </row>
    <row r="83" spans="1:39" ht="18" x14ac:dyDescent="0.35">
      <c r="A83" s="567" t="s">
        <v>1444</v>
      </c>
      <c r="B83" s="557">
        <v>0.4</v>
      </c>
      <c r="C83" s="530"/>
      <c r="D83" s="530"/>
      <c r="E83" s="530"/>
      <c r="F83" s="530"/>
      <c r="G83" s="530"/>
      <c r="H83" s="530"/>
      <c r="I83" s="530"/>
      <c r="J83" s="530"/>
      <c r="K83" s="567" t="s">
        <v>1444</v>
      </c>
      <c r="L83" s="557">
        <v>0.4</v>
      </c>
      <c r="M83" s="530"/>
      <c r="N83" s="530"/>
      <c r="O83" s="530"/>
      <c r="P83" s="530"/>
      <c r="Q83" s="530"/>
      <c r="R83" s="530"/>
      <c r="S83" s="530"/>
      <c r="T83" s="530"/>
      <c r="U83" s="567" t="s">
        <v>1444</v>
      </c>
      <c r="V83" s="557">
        <v>0.4</v>
      </c>
      <c r="W83" s="530"/>
      <c r="X83" s="530"/>
      <c r="Y83" s="530"/>
      <c r="Z83" s="530"/>
      <c r="AA83" s="530"/>
      <c r="AB83" s="530"/>
      <c r="AC83" s="530"/>
      <c r="AD83" s="530"/>
      <c r="AE83" s="567" t="s">
        <v>1444</v>
      </c>
      <c r="AF83" s="557">
        <v>0.4</v>
      </c>
      <c r="AG83" s="530"/>
      <c r="AH83" s="530"/>
      <c r="AI83" s="530"/>
      <c r="AJ83" s="530"/>
      <c r="AK83" s="530"/>
      <c r="AL83" s="530"/>
      <c r="AM83" s="530"/>
    </row>
    <row r="84" spans="1:39" ht="18" x14ac:dyDescent="0.35">
      <c r="A84" s="565" t="s">
        <v>1445</v>
      </c>
      <c r="B84" s="570">
        <f>(B64-B63+20)/(B64-B63+70)</f>
        <v>0.9975084711979271</v>
      </c>
      <c r="C84" s="530"/>
      <c r="D84" s="530"/>
      <c r="E84" s="530"/>
      <c r="F84" s="530"/>
      <c r="G84" s="530"/>
      <c r="H84" s="530"/>
      <c r="I84" s="530"/>
      <c r="J84" s="530"/>
      <c r="K84" s="565" t="s">
        <v>1445</v>
      </c>
      <c r="L84" s="570">
        <f>(L64-L63+20)/(L64-L63+70)</f>
        <v>0.9975049900199601</v>
      </c>
      <c r="M84" s="530"/>
      <c r="N84" s="530"/>
      <c r="O84" s="530"/>
      <c r="P84" s="530"/>
      <c r="Q84" s="530"/>
      <c r="R84" s="530"/>
      <c r="S84" s="530"/>
      <c r="T84" s="530"/>
      <c r="U84" s="565" t="s">
        <v>1445</v>
      </c>
      <c r="V84" s="570">
        <f>(V64-V63+20)/(V64-V63+70)</f>
        <v>0.9975012493753124</v>
      </c>
      <c r="W84" s="530"/>
      <c r="X84" s="530"/>
      <c r="Y84" s="530"/>
      <c r="Z84" s="530"/>
      <c r="AA84" s="530"/>
      <c r="AB84" s="530"/>
      <c r="AC84" s="530"/>
      <c r="AD84" s="530"/>
      <c r="AE84" s="565" t="s">
        <v>1445</v>
      </c>
      <c r="AF84" s="570">
        <f>(AF64-AF63+20)/(AF64-AF63+70)</f>
        <v>0.9974974974974975</v>
      </c>
      <c r="AG84" s="530"/>
      <c r="AH84" s="530"/>
      <c r="AI84" s="530"/>
      <c r="AJ84" s="530"/>
      <c r="AK84" s="530"/>
      <c r="AL84" s="530"/>
      <c r="AM84" s="530"/>
    </row>
    <row r="85" spans="1:39" ht="18" x14ac:dyDescent="0.35">
      <c r="A85" s="565" t="s">
        <v>1428</v>
      </c>
      <c r="B85" s="566">
        <f ca="1">IF(B77/100&lt;0.05,0.05,IF(B77/100&gt;1.6,1.6,B77/100))</f>
        <v>0.48133150958246945</v>
      </c>
      <c r="C85" s="530"/>
      <c r="D85" s="530"/>
      <c r="E85" s="530"/>
      <c r="F85" s="530"/>
      <c r="G85" s="530"/>
      <c r="H85" s="530"/>
      <c r="I85" s="530"/>
      <c r="J85" s="530"/>
      <c r="K85" s="565" t="s">
        <v>1428</v>
      </c>
      <c r="L85" s="566">
        <f ca="1">IF(L77/100&lt;0.05,0.05,IF(L77/100&gt;1.6,1.6,L77/100))</f>
        <v>0.48133150958246945</v>
      </c>
      <c r="M85" s="530"/>
      <c r="N85" s="530"/>
      <c r="O85" s="530"/>
      <c r="P85" s="530"/>
      <c r="Q85" s="530"/>
      <c r="R85" s="530"/>
      <c r="S85" s="530"/>
      <c r="T85" s="530"/>
      <c r="U85" s="565" t="s">
        <v>1428</v>
      </c>
      <c r="V85" s="566">
        <f ca="1">IF(V77/100&lt;0.05,0.05,IF(V77/100&gt;1.6,1.6,V77/100))</f>
        <v>0.48133150958246945</v>
      </c>
      <c r="W85" s="530"/>
      <c r="X85" s="530"/>
      <c r="Y85" s="530"/>
      <c r="Z85" s="530"/>
      <c r="AA85" s="530"/>
      <c r="AB85" s="530"/>
      <c r="AC85" s="530"/>
      <c r="AD85" s="530"/>
      <c r="AE85" s="565" t="s">
        <v>1428</v>
      </c>
      <c r="AF85" s="566">
        <f ca="1">IF(AF77/100&lt;0.05,0.05,IF(AF77/100&gt;1.6,1.6,AF77/100))</f>
        <v>0.48133150958246945</v>
      </c>
      <c r="AG85" s="530"/>
      <c r="AH85" s="530"/>
      <c r="AI85" s="530"/>
      <c r="AJ85" s="530"/>
      <c r="AK85" s="530"/>
      <c r="AL85" s="530"/>
      <c r="AM85" s="530"/>
    </row>
    <row r="86" spans="1:39" x14ac:dyDescent="0.25">
      <c r="A86" s="537" t="s">
        <v>298</v>
      </c>
      <c r="B86" s="560">
        <f ca="1">42*(B85)^3-350*(B85)^2+588*(B85)+113</f>
        <v>319.6185454745605</v>
      </c>
      <c r="C86" s="530"/>
      <c r="D86" s="530"/>
      <c r="E86" s="530"/>
      <c r="F86" s="530"/>
      <c r="G86" s="530"/>
      <c r="H86" s="530"/>
      <c r="I86" s="530"/>
      <c r="J86" s="530"/>
      <c r="K86" s="537" t="s">
        <v>298</v>
      </c>
      <c r="L86" s="560">
        <f ca="1">42*(L85)^3-350*(L85)^2+588*(L85)+113</f>
        <v>319.6185454745605</v>
      </c>
      <c r="M86" s="530"/>
      <c r="N86" s="530"/>
      <c r="O86" s="530"/>
      <c r="P86" s="530"/>
      <c r="Q86" s="530"/>
      <c r="R86" s="530"/>
      <c r="S86" s="530"/>
      <c r="T86" s="530"/>
      <c r="U86" s="537" t="s">
        <v>298</v>
      </c>
      <c r="V86" s="560">
        <f ca="1">42*(V85)^3-350*(V85)^2+588*(V85)+113</f>
        <v>319.6185454745605</v>
      </c>
      <c r="W86" s="530"/>
      <c r="X86" s="530"/>
      <c r="Y86" s="530"/>
      <c r="Z86" s="530"/>
      <c r="AA86" s="530"/>
      <c r="AB86" s="530"/>
      <c r="AC86" s="530"/>
      <c r="AD86" s="530"/>
      <c r="AE86" s="537" t="s">
        <v>298</v>
      </c>
      <c r="AF86" s="560">
        <f ca="1">42*(AF85)^3-350*(AF85)^2+588*(AF85)+113</f>
        <v>319.6185454745605</v>
      </c>
      <c r="AG86" s="530"/>
      <c r="AH86" s="530"/>
      <c r="AI86" s="530"/>
      <c r="AJ86" s="530"/>
      <c r="AK86" s="530"/>
      <c r="AL86" s="530"/>
      <c r="AM86" s="530"/>
    </row>
    <row r="87" spans="1:39" x14ac:dyDescent="0.25">
      <c r="A87" s="537" t="s">
        <v>299</v>
      </c>
      <c r="B87" s="560">
        <f ca="1">768*(B85)^3-3060*(B85)^2+3234*(B85)-23</f>
        <v>910.3286735072495</v>
      </c>
      <c r="C87" s="530"/>
      <c r="D87" s="530"/>
      <c r="E87" s="530"/>
      <c r="F87" s="530"/>
      <c r="G87" s="530"/>
      <c r="H87" s="530"/>
      <c r="I87" s="530"/>
      <c r="J87" s="530"/>
      <c r="K87" s="537" t="s">
        <v>299</v>
      </c>
      <c r="L87" s="560">
        <f ca="1">768*(L85)^3-3060*(L85)^2+3234*(L85)-23</f>
        <v>910.3286735072495</v>
      </c>
      <c r="M87" s="530"/>
      <c r="N87" s="530"/>
      <c r="O87" s="530"/>
      <c r="P87" s="530"/>
      <c r="Q87" s="530"/>
      <c r="R87" s="530"/>
      <c r="S87" s="530"/>
      <c r="T87" s="530"/>
      <c r="U87" s="537" t="s">
        <v>299</v>
      </c>
      <c r="V87" s="560">
        <f ca="1">768*(V85)^3-3060*(V85)^2+3234*(V85)-23</f>
        <v>910.3286735072495</v>
      </c>
      <c r="W87" s="530"/>
      <c r="X87" s="530"/>
      <c r="Y87" s="530"/>
      <c r="Z87" s="530"/>
      <c r="AA87" s="530"/>
      <c r="AB87" s="530"/>
      <c r="AC87" s="530"/>
      <c r="AD87" s="530"/>
      <c r="AE87" s="537" t="s">
        <v>299</v>
      </c>
      <c r="AF87" s="560">
        <f ca="1">768*(AF85)^3-3060*(AF85)^2+3234*(AF85)-23</f>
        <v>910.3286735072495</v>
      </c>
      <c r="AG87" s="530"/>
      <c r="AH87" s="530"/>
      <c r="AI87" s="530"/>
      <c r="AJ87" s="530"/>
      <c r="AK87" s="530"/>
      <c r="AL87" s="530"/>
      <c r="AM87" s="530"/>
    </row>
    <row r="88" spans="1:39" x14ac:dyDescent="0.25">
      <c r="A88" s="537" t="s">
        <v>300</v>
      </c>
      <c r="B88" s="560">
        <f ca="1">-200*(B85)^3+13*(B85)^2+1090*(B85)+183</f>
        <v>688.3602067752827</v>
      </c>
      <c r="C88" s="530"/>
      <c r="D88" s="530"/>
      <c r="E88" s="530"/>
      <c r="F88" s="530"/>
      <c r="G88" s="530"/>
      <c r="H88" s="530"/>
      <c r="I88" s="530"/>
      <c r="J88" s="530"/>
      <c r="K88" s="537" t="s">
        <v>300</v>
      </c>
      <c r="L88" s="560">
        <f ca="1">-200*(L85)^3+13*(L85)^2+1090*(L85)+183</f>
        <v>688.3602067752827</v>
      </c>
      <c r="M88" s="530"/>
      <c r="N88" s="530"/>
      <c r="O88" s="530"/>
      <c r="P88" s="530"/>
      <c r="Q88" s="530"/>
      <c r="R88" s="530"/>
      <c r="S88" s="530"/>
      <c r="T88" s="530"/>
      <c r="U88" s="537" t="s">
        <v>300</v>
      </c>
      <c r="V88" s="560">
        <f ca="1">-200*(V85)^3+13*(V85)^2+1090*(V85)+183</f>
        <v>688.3602067752827</v>
      </c>
      <c r="W88" s="530"/>
      <c r="X88" s="530"/>
      <c r="Y88" s="530"/>
      <c r="Z88" s="530"/>
      <c r="AA88" s="530"/>
      <c r="AB88" s="530"/>
      <c r="AC88" s="530"/>
      <c r="AD88" s="530"/>
      <c r="AE88" s="537" t="s">
        <v>300</v>
      </c>
      <c r="AF88" s="560">
        <f ca="1">-200*(AF85)^3+13*(AF85)^2+1090*(AF85)+183</f>
        <v>688.3602067752827</v>
      </c>
      <c r="AG88" s="530"/>
      <c r="AH88" s="530"/>
      <c r="AI88" s="530"/>
      <c r="AJ88" s="530"/>
      <c r="AK88" s="530"/>
      <c r="AL88" s="530"/>
      <c r="AM88" s="530"/>
    </row>
    <row r="89" spans="1:39" x14ac:dyDescent="0.25">
      <c r="A89" s="537" t="s">
        <v>301</v>
      </c>
      <c r="B89" s="560">
        <f ca="1">7579*(B85)^3-31916*(B85)^2+35343*(B85)+1931</f>
        <v>12393.571344869408</v>
      </c>
      <c r="C89" s="530"/>
      <c r="D89" s="530"/>
      <c r="E89" s="530"/>
      <c r="F89" s="530"/>
      <c r="G89" s="530"/>
      <c r="H89" s="530"/>
      <c r="I89" s="530"/>
      <c r="J89" s="530"/>
      <c r="K89" s="537" t="s">
        <v>301</v>
      </c>
      <c r="L89" s="560">
        <f ca="1">7579*(L85)^3-31916*(L85)^2+35343*(L85)+1931</f>
        <v>12393.571344869408</v>
      </c>
      <c r="M89" s="530"/>
      <c r="N89" s="530"/>
      <c r="O89" s="530"/>
      <c r="P89" s="530"/>
      <c r="Q89" s="530"/>
      <c r="R89" s="530"/>
      <c r="S89" s="530"/>
      <c r="T89" s="530"/>
      <c r="U89" s="537" t="s">
        <v>301</v>
      </c>
      <c r="V89" s="560">
        <f ca="1">7579*(V85)^3-31916*(V85)^2+35343*(V85)+1931</f>
        <v>12393.571344869408</v>
      </c>
      <c r="W89" s="530"/>
      <c r="X89" s="530"/>
      <c r="Y89" s="530"/>
      <c r="Z89" s="530"/>
      <c r="AA89" s="530"/>
      <c r="AB89" s="530"/>
      <c r="AC89" s="530"/>
      <c r="AD89" s="530"/>
      <c r="AE89" s="537" t="s">
        <v>301</v>
      </c>
      <c r="AF89" s="560">
        <f ca="1">7579*(AF85)^3-31916*(AF85)^2+35343*(AF85)+1931</f>
        <v>12393.571344869408</v>
      </c>
      <c r="AG89" s="530"/>
      <c r="AH89" s="530"/>
      <c r="AI89" s="530"/>
      <c r="AJ89" s="530"/>
      <c r="AK89" s="530"/>
      <c r="AL89" s="530"/>
      <c r="AM89" s="530"/>
    </row>
    <row r="90" spans="1:39" ht="18" x14ac:dyDescent="0.35">
      <c r="A90" s="565" t="s">
        <v>1446</v>
      </c>
      <c r="B90" s="574">
        <f ca="1">(B63^2+B86*B63+B87)/(B63^2+B88*B63+B89)</f>
        <v>0.11278734266004668</v>
      </c>
      <c r="C90" s="530"/>
      <c r="D90" s="530"/>
      <c r="E90" s="530"/>
      <c r="F90" s="530"/>
      <c r="G90" s="530"/>
      <c r="H90" s="530"/>
      <c r="I90" s="530"/>
      <c r="J90" s="530"/>
      <c r="K90" s="565" t="s">
        <v>1446</v>
      </c>
      <c r="L90" s="574">
        <f ca="1">(L63^2+L86*L63+L87)/(L63^2+L88*L63+L89)</f>
        <v>0.3358106956470834</v>
      </c>
      <c r="M90" s="530"/>
      <c r="N90" s="530"/>
      <c r="O90" s="530"/>
      <c r="P90" s="530"/>
      <c r="Q90" s="530"/>
      <c r="R90" s="530"/>
      <c r="S90" s="530"/>
      <c r="T90" s="530"/>
      <c r="U90" s="565" t="s">
        <v>1446</v>
      </c>
      <c r="V90" s="574">
        <f ca="1">(V63^2+V86*V63+V87)/(V63^2+V88*V63+V89)</f>
        <v>0.41342814266491845</v>
      </c>
      <c r="W90" s="530"/>
      <c r="X90" s="530"/>
      <c r="Y90" s="530"/>
      <c r="Z90" s="530"/>
      <c r="AA90" s="530"/>
      <c r="AB90" s="530"/>
      <c r="AC90" s="530"/>
      <c r="AD90" s="530"/>
      <c r="AE90" s="565" t="s">
        <v>1446</v>
      </c>
      <c r="AF90" s="574">
        <f ca="1">(AF63^2+AF86*AF63+AF87)/(AF63^2+AF88*AF63+AF89)</f>
        <v>0.4581908445395466</v>
      </c>
      <c r="AG90" s="530"/>
      <c r="AH90" s="530"/>
      <c r="AI90" s="530"/>
      <c r="AJ90" s="530"/>
      <c r="AK90" s="530"/>
      <c r="AL90" s="530"/>
      <c r="AM90" s="530"/>
    </row>
    <row r="91" spans="1:39" ht="18" x14ac:dyDescent="0.35">
      <c r="A91" s="575" t="s">
        <v>1447</v>
      </c>
      <c r="B91" s="576">
        <f ca="1">(B64^2+B86*B64+B87)/(B64^2+B88*B64+B89)</f>
        <v>0.9821491525690959</v>
      </c>
      <c r="C91" s="530"/>
      <c r="D91" s="530"/>
      <c r="E91" s="530"/>
      <c r="F91" s="530"/>
      <c r="G91" s="530"/>
      <c r="H91" s="530"/>
      <c r="I91" s="530"/>
      <c r="J91" s="530"/>
      <c r="K91" s="575" t="s">
        <v>1447</v>
      </c>
      <c r="L91" s="576">
        <f ca="1">(L64^2+L86*L64+L87)/(L64^2+L88*L64+L89)</f>
        <v>0.9821491525690959</v>
      </c>
      <c r="M91" s="530"/>
      <c r="N91" s="530"/>
      <c r="O91" s="530"/>
      <c r="P91" s="530"/>
      <c r="Q91" s="530"/>
      <c r="R91" s="530"/>
      <c r="S91" s="530"/>
      <c r="T91" s="530"/>
      <c r="U91" s="575" t="s">
        <v>1447</v>
      </c>
      <c r="V91" s="576">
        <f ca="1">(V64^2+V86*V64+V87)/(V64^2+V88*V64+V89)</f>
        <v>0.9821491525690959</v>
      </c>
      <c r="W91" s="530"/>
      <c r="X91" s="530"/>
      <c r="Y91" s="530"/>
      <c r="Z91" s="530"/>
      <c r="AA91" s="530"/>
      <c r="AB91" s="530"/>
      <c r="AC91" s="530"/>
      <c r="AD91" s="530"/>
      <c r="AE91" s="575" t="s">
        <v>1447</v>
      </c>
      <c r="AF91" s="576">
        <f ca="1">(AF64^2+AF86*AF64+AF87)/(AF64^2+AF88*AF64+AF89)</f>
        <v>0.9821491525690959</v>
      </c>
      <c r="AG91" s="530"/>
      <c r="AH91" s="530"/>
      <c r="AI91" s="530"/>
      <c r="AJ91" s="530"/>
      <c r="AK91" s="530"/>
      <c r="AL91" s="530"/>
      <c r="AM91" s="530"/>
    </row>
    <row r="92" spans="1:39" ht="18" x14ac:dyDescent="0.35">
      <c r="A92" s="571" t="s">
        <v>1448</v>
      </c>
      <c r="B92" s="577">
        <f ca="1">B70+B81*(B91-B90)+B83*B84</f>
        <v>3.7602554455892188</v>
      </c>
      <c r="C92" s="530"/>
      <c r="D92" s="530"/>
      <c r="E92" s="530"/>
      <c r="F92" s="530"/>
      <c r="G92" s="530"/>
      <c r="H92" s="530"/>
      <c r="I92" s="530"/>
      <c r="J92" s="530"/>
      <c r="K92" s="571" t="s">
        <v>1448</v>
      </c>
      <c r="L92" s="577">
        <f ca="1">L70+L81*(L91-L90)+L83*L84</f>
        <v>2.7082556212039037</v>
      </c>
      <c r="M92" s="530"/>
      <c r="N92" s="530"/>
      <c r="O92" s="530"/>
      <c r="P92" s="530"/>
      <c r="Q92" s="530"/>
      <c r="R92" s="530"/>
      <c r="S92" s="530"/>
      <c r="T92" s="530"/>
      <c r="U92" s="571" t="s">
        <v>1448</v>
      </c>
      <c r="V92" s="577">
        <f ca="1">V70+V81*(V91-V90)+V83*V84</f>
        <v>2.4054950850187087</v>
      </c>
      <c r="W92" s="530"/>
      <c r="X92" s="530"/>
      <c r="Y92" s="530"/>
      <c r="Z92" s="530"/>
      <c r="AA92" s="530"/>
      <c r="AB92" s="530"/>
      <c r="AC92" s="530"/>
      <c r="AD92" s="530"/>
      <c r="AE92" s="571" t="s">
        <v>1448</v>
      </c>
      <c r="AF92" s="577">
        <f ca="1">AF70+AF81*(AF91-AF90)+AF83*AF84</f>
        <v>2.235982527712816</v>
      </c>
      <c r="AG92" s="530"/>
      <c r="AH92" s="530"/>
      <c r="AI92" s="530"/>
      <c r="AJ92" s="530"/>
      <c r="AK92" s="530"/>
      <c r="AL92" s="530"/>
      <c r="AM92" s="530"/>
    </row>
  </sheetData>
  <mergeCells count="79">
    <mergeCell ref="N2:O4"/>
    <mergeCell ref="A6:D6"/>
    <mergeCell ref="F6:I6"/>
    <mergeCell ref="K6:N6"/>
    <mergeCell ref="P6:S6"/>
    <mergeCell ref="U6:X6"/>
    <mergeCell ref="Z6:AC6"/>
    <mergeCell ref="AE6:AH6"/>
    <mergeCell ref="AJ6:AM6"/>
    <mergeCell ref="AO6:AR6"/>
    <mergeCell ref="AT6:AW6"/>
    <mergeCell ref="AY6:BB6"/>
    <mergeCell ref="BD6:BG6"/>
    <mergeCell ref="BI6:BL6"/>
    <mergeCell ref="BN6:BQ6"/>
    <mergeCell ref="A12:B12"/>
    <mergeCell ref="C12:D12"/>
    <mergeCell ref="K12:L12"/>
    <mergeCell ref="M12:N12"/>
    <mergeCell ref="U12:V12"/>
    <mergeCell ref="AY12:AZ12"/>
    <mergeCell ref="BA12:BB12"/>
    <mergeCell ref="BI12:BJ12"/>
    <mergeCell ref="BK12:BL12"/>
    <mergeCell ref="A13:B13"/>
    <mergeCell ref="K13:L13"/>
    <mergeCell ref="U13:V13"/>
    <mergeCell ref="AE13:AF13"/>
    <mergeCell ref="AO13:AP13"/>
    <mergeCell ref="AY13:AZ13"/>
    <mergeCell ref="BI13:BJ13"/>
    <mergeCell ref="W12:X12"/>
    <mergeCell ref="AE12:AF12"/>
    <mergeCell ref="AG12:AH12"/>
    <mergeCell ref="AO12:AP12"/>
    <mergeCell ref="AQ12:AR12"/>
    <mergeCell ref="AY23:AZ23"/>
    <mergeCell ref="BI23:BJ23"/>
    <mergeCell ref="A34:B34"/>
    <mergeCell ref="K34:L34"/>
    <mergeCell ref="U34:V34"/>
    <mergeCell ref="AE34:AF34"/>
    <mergeCell ref="AO34:AP34"/>
    <mergeCell ref="AY34:AZ34"/>
    <mergeCell ref="BI34:BJ34"/>
    <mergeCell ref="A23:B23"/>
    <mergeCell ref="K23:L23"/>
    <mergeCell ref="U23:V23"/>
    <mergeCell ref="AE23:AF23"/>
    <mergeCell ref="AO23:AP23"/>
    <mergeCell ref="N49:O51"/>
    <mergeCell ref="A54:D54"/>
    <mergeCell ref="F54:I54"/>
    <mergeCell ref="K54:N54"/>
    <mergeCell ref="P54:S54"/>
    <mergeCell ref="U54:X54"/>
    <mergeCell ref="Z54:AC54"/>
    <mergeCell ref="AE54:AH54"/>
    <mergeCell ref="AJ54:AM54"/>
    <mergeCell ref="A60:B60"/>
    <mergeCell ref="C60:D60"/>
    <mergeCell ref="K60:L60"/>
    <mergeCell ref="M60:N60"/>
    <mergeCell ref="U60:V60"/>
    <mergeCell ref="W60:X60"/>
    <mergeCell ref="AE60:AF60"/>
    <mergeCell ref="AG60:AH60"/>
    <mergeCell ref="A82:B82"/>
    <mergeCell ref="K82:L82"/>
    <mergeCell ref="U82:V82"/>
    <mergeCell ref="AE82:AF82"/>
    <mergeCell ref="A61:B61"/>
    <mergeCell ref="K61:L61"/>
    <mergeCell ref="U61:V61"/>
    <mergeCell ref="AE61:AF61"/>
    <mergeCell ref="A71:B71"/>
    <mergeCell ref="K71:L71"/>
    <mergeCell ref="U71:V71"/>
    <mergeCell ref="AE71:AF71"/>
  </mergeCells>
  <dataValidations count="1">
    <dataValidation type="list" allowBlank="1" showInputMessage="1" showErrorMessage="1" sqref="D8 N8 X8 AH8 AR8 BB8 BL8 D56 N56 X56 AH56" xr:uid="{00000000-0002-0000-0F00-000000000000}">
      <formula1>$F$8:$F$10</formula1>
      <formula2>0</formula2>
    </dataValidation>
  </dataValidations>
  <pageMargins left="0.51180555555555596" right="0.51180555555555596" top="0.78749999999999998" bottom="0.78749999999999998" header="0.511811023622047" footer="0.511811023622047"/>
  <pageSetup paperSize="9" scale="14"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116"/>
  <sheetViews>
    <sheetView showGridLines="0" view="pageBreakPreview" zoomScale="70" zoomScaleNormal="100" zoomScaleSheetLayoutView="70" zoomScalePageLayoutView="70" workbookViewId="0">
      <selection activeCell="B116" sqref="B116:W116"/>
    </sheetView>
  </sheetViews>
  <sheetFormatPr defaultColWidth="8.5703125" defaultRowHeight="15" x14ac:dyDescent="0.25"/>
  <cols>
    <col min="1" max="1" width="2" customWidth="1"/>
    <col min="2" max="2" width="42" customWidth="1"/>
    <col min="3" max="23" width="11" customWidth="1"/>
  </cols>
  <sheetData>
    <row r="1" spans="2:23" ht="18.75" x14ac:dyDescent="0.3">
      <c r="B1" s="838" t="s">
        <v>1450</v>
      </c>
      <c r="C1" s="838"/>
      <c r="D1" s="838"/>
      <c r="E1" s="838"/>
      <c r="F1" s="838"/>
      <c r="G1" s="838"/>
      <c r="H1" s="838"/>
      <c r="I1" s="838"/>
      <c r="J1" s="838"/>
      <c r="K1" s="838"/>
      <c r="L1" s="838"/>
      <c r="M1" s="838"/>
      <c r="N1" s="838"/>
      <c r="O1" s="838"/>
      <c r="P1" s="838"/>
      <c r="Q1" s="838"/>
      <c r="R1" s="838"/>
      <c r="S1" s="838"/>
      <c r="T1" s="838"/>
      <c r="U1" s="838"/>
      <c r="V1" s="838"/>
      <c r="W1" s="838"/>
    </row>
    <row r="2" spans="2:23" ht="25.5" customHeight="1" x14ac:dyDescent="0.25">
      <c r="B2" s="837" t="s">
        <v>1451</v>
      </c>
      <c r="C2" s="837"/>
      <c r="D2" s="837"/>
      <c r="E2" s="837"/>
      <c r="F2" s="837"/>
      <c r="G2" s="837"/>
      <c r="H2" s="837"/>
      <c r="I2" s="837"/>
      <c r="J2" s="837"/>
      <c r="K2" s="837"/>
      <c r="L2" s="837"/>
      <c r="M2" s="837"/>
      <c r="N2" s="837"/>
      <c r="O2" s="837"/>
      <c r="P2" s="837"/>
      <c r="Q2" s="837"/>
      <c r="R2" s="837"/>
      <c r="S2" s="837"/>
      <c r="T2" s="837"/>
      <c r="U2" s="837"/>
      <c r="V2" s="837"/>
      <c r="W2" s="837"/>
    </row>
    <row r="3" spans="2:23" ht="25.5" customHeight="1" x14ac:dyDescent="0.25">
      <c r="B3" s="837" t="s">
        <v>1452</v>
      </c>
      <c r="C3" s="837"/>
      <c r="D3" s="837"/>
      <c r="E3" s="837"/>
      <c r="F3" s="837"/>
      <c r="G3" s="837"/>
      <c r="H3" s="837"/>
      <c r="I3" s="837"/>
      <c r="J3" s="837"/>
      <c r="K3" s="837"/>
      <c r="L3" s="837"/>
      <c r="M3" s="837"/>
      <c r="N3" s="837"/>
      <c r="O3" s="837"/>
      <c r="P3" s="837"/>
      <c r="Q3" s="837"/>
      <c r="R3" s="837"/>
      <c r="S3" s="837"/>
      <c r="T3" s="837"/>
      <c r="U3" s="837"/>
      <c r="V3" s="837"/>
      <c r="W3" s="837"/>
    </row>
    <row r="4" spans="2:23" ht="25.5" customHeight="1" x14ac:dyDescent="0.25">
      <c r="B4" s="837" t="s">
        <v>1453</v>
      </c>
      <c r="C4" s="837"/>
      <c r="D4" s="837"/>
      <c r="E4" s="837"/>
      <c r="F4" s="837"/>
      <c r="G4" s="837"/>
      <c r="H4" s="837"/>
      <c r="I4" s="837"/>
      <c r="J4" s="837"/>
      <c r="K4" s="837"/>
      <c r="L4" s="837"/>
      <c r="M4" s="837"/>
      <c r="N4" s="837"/>
      <c r="O4" s="837"/>
      <c r="P4" s="837"/>
      <c r="Q4" s="837"/>
      <c r="R4" s="837"/>
      <c r="S4" s="837"/>
      <c r="T4" s="837"/>
      <c r="U4" s="837"/>
      <c r="V4" s="837"/>
      <c r="W4" s="837"/>
    </row>
    <row r="5" spans="2:23" ht="25.5" customHeight="1" x14ac:dyDescent="0.25">
      <c r="B5" s="837" t="s">
        <v>1454</v>
      </c>
      <c r="C5" s="837"/>
      <c r="D5" s="837"/>
      <c r="E5" s="837"/>
      <c r="F5" s="837"/>
      <c r="G5" s="837"/>
      <c r="H5" s="837"/>
      <c r="I5" s="837"/>
      <c r="J5" s="837"/>
      <c r="K5" s="837"/>
      <c r="L5" s="837"/>
      <c r="M5" s="837"/>
      <c r="N5" s="837"/>
      <c r="O5" s="837"/>
      <c r="P5" s="837"/>
      <c r="Q5" s="837"/>
      <c r="R5" s="837"/>
      <c r="S5" s="837"/>
      <c r="T5" s="837"/>
      <c r="U5" s="837"/>
      <c r="V5" s="837"/>
      <c r="W5" s="837"/>
    </row>
    <row r="6" spans="2:23" ht="25.5" customHeight="1" x14ac:dyDescent="0.25">
      <c r="B6" s="837" t="s">
        <v>1455</v>
      </c>
      <c r="C6" s="837"/>
      <c r="D6" s="837"/>
      <c r="E6" s="837"/>
      <c r="F6" s="837"/>
      <c r="G6" s="837"/>
      <c r="H6" s="837"/>
      <c r="I6" s="837"/>
      <c r="J6" s="837"/>
      <c r="K6" s="837"/>
      <c r="L6" s="837"/>
      <c r="M6" s="837"/>
      <c r="N6" s="837"/>
      <c r="O6" s="837"/>
      <c r="P6" s="837"/>
      <c r="Q6" s="837"/>
      <c r="R6" s="837"/>
      <c r="S6" s="837"/>
      <c r="T6" s="837"/>
      <c r="U6" s="837"/>
      <c r="V6" s="837"/>
      <c r="W6" s="837"/>
    </row>
    <row r="7" spans="2:23" ht="25.5" customHeight="1" x14ac:dyDescent="0.25">
      <c r="B7" s="837" t="s">
        <v>1456</v>
      </c>
      <c r="C7" s="837"/>
      <c r="D7" s="837"/>
      <c r="E7" s="837"/>
      <c r="F7" s="837"/>
      <c r="G7" s="837"/>
      <c r="H7" s="837"/>
      <c r="I7" s="837"/>
      <c r="J7" s="837"/>
      <c r="K7" s="837"/>
      <c r="L7" s="837"/>
      <c r="M7" s="837"/>
      <c r="N7" s="837"/>
      <c r="O7" s="837"/>
      <c r="P7" s="837"/>
      <c r="Q7" s="837"/>
      <c r="R7" s="837"/>
      <c r="S7" s="837"/>
      <c r="T7" s="837"/>
      <c r="U7" s="837"/>
      <c r="V7" s="837"/>
      <c r="W7" s="837"/>
    </row>
    <row r="9" spans="2:23" x14ac:dyDescent="0.25">
      <c r="B9" s="836" t="s">
        <v>1457</v>
      </c>
      <c r="C9" s="836"/>
      <c r="D9" s="836"/>
      <c r="E9" s="836"/>
      <c r="F9" s="836"/>
      <c r="G9" s="836"/>
      <c r="H9" s="836"/>
      <c r="I9" s="836"/>
      <c r="J9" s="836"/>
      <c r="K9" s="836"/>
      <c r="L9" s="836"/>
      <c r="M9" s="836"/>
      <c r="N9" s="836"/>
      <c r="O9" s="836"/>
      <c r="P9" s="836"/>
      <c r="Q9" s="836"/>
      <c r="R9" s="836"/>
      <c r="S9" s="836"/>
      <c r="T9" s="836"/>
      <c r="U9" s="836"/>
      <c r="V9" s="836"/>
      <c r="W9" s="836"/>
    </row>
    <row r="10" spans="2:23" x14ac:dyDescent="0.25">
      <c r="B10" s="578" t="s">
        <v>1458</v>
      </c>
      <c r="C10" s="579" t="s">
        <v>404</v>
      </c>
      <c r="D10" s="579" t="s">
        <v>405</v>
      </c>
      <c r="E10" s="579" t="s">
        <v>406</v>
      </c>
      <c r="F10" s="579" t="s">
        <v>407</v>
      </c>
      <c r="G10" s="579" t="s">
        <v>408</v>
      </c>
      <c r="H10" s="579" t="s">
        <v>409</v>
      </c>
      <c r="I10" s="579" t="s">
        <v>410</v>
      </c>
      <c r="J10" s="579" t="s">
        <v>411</v>
      </c>
      <c r="K10" s="579" t="s">
        <v>412</v>
      </c>
      <c r="L10" s="579" t="s">
        <v>413</v>
      </c>
      <c r="M10" s="579" t="s">
        <v>414</v>
      </c>
      <c r="N10" s="579" t="s">
        <v>415</v>
      </c>
      <c r="O10" s="579" t="s">
        <v>416</v>
      </c>
      <c r="P10" s="579" t="s">
        <v>417</v>
      </c>
      <c r="Q10" s="579" t="s">
        <v>418</v>
      </c>
      <c r="R10" s="579" t="s">
        <v>419</v>
      </c>
      <c r="S10" s="579" t="s">
        <v>420</v>
      </c>
      <c r="T10" s="579" t="s">
        <v>421</v>
      </c>
      <c r="U10" s="579" t="s">
        <v>422</v>
      </c>
      <c r="V10" s="579" t="s">
        <v>423</v>
      </c>
      <c r="W10" s="579" t="s">
        <v>424</v>
      </c>
    </row>
    <row r="11" spans="2:23" x14ac:dyDescent="0.25">
      <c r="B11" s="578" t="s">
        <v>1459</v>
      </c>
      <c r="C11" s="580">
        <f>((1-1)/20)*(Geometria!$L$29/100)</f>
        <v>0.0</v>
      </c>
      <c r="D11" s="580">
        <f>((2-1)/20)*(Geometria!$L$29/100)</f>
        <v>0.3925</v>
      </c>
      <c r="E11" s="580">
        <f>((3-1)/20)*(Geometria!$L$29/100)</f>
        <v>0.785</v>
      </c>
      <c r="F11" s="580">
        <f>((4-1)/20)*(Geometria!$L$29/100)</f>
        <v>1.1775</v>
      </c>
      <c r="G11" s="580">
        <f>((5-1)/20)*(Geometria!$L$29/100)</f>
        <v>1.57</v>
      </c>
      <c r="H11" s="580">
        <f>((6-1)/20)*(Geometria!$L$29/100)</f>
        <v>1.9625</v>
      </c>
      <c r="I11" s="580">
        <f>((7-1)/20)*(Geometria!$L$29/100)</f>
        <v>2.355</v>
      </c>
      <c r="J11" s="580">
        <f>((8-1)/20)*(Geometria!$L$29/100)</f>
        <v>2.7474999999999996</v>
      </c>
      <c r="K11" s="580">
        <f>((9-1)/20)*(Geometria!$L$29/100)</f>
        <v>3.14</v>
      </c>
      <c r="L11" s="580">
        <f>((10-1)/20)*(Geometria!$L$29/100)</f>
        <v>3.5324999999999998</v>
      </c>
      <c r="M11" s="580">
        <f>((11-1)/20)*(Geometria!$L$29/100)</f>
        <v>3.925</v>
      </c>
      <c r="N11" s="580">
        <f>((12-1)/20)*(Geometria!$L$29/100)</f>
        <v>4.3175</v>
      </c>
      <c r="O11" s="580">
        <f>((13-1)/20)*(Geometria!$L$29/100)</f>
        <v>4.71</v>
      </c>
      <c r="P11" s="580">
        <f>((14-1)/20)*(Geometria!$L$29/100)</f>
        <v>5.1025</v>
      </c>
      <c r="Q11" s="580">
        <f>((15-1)/20)*(Geometria!$L$29/100)</f>
        <v>5.494999999999999</v>
      </c>
      <c r="R11" s="580">
        <f>((16-1)/20)*(Geometria!$L$29/100)</f>
        <v>5.887499999999999</v>
      </c>
      <c r="S11" s="580">
        <f>((17-1)/20)*(Geometria!$L$29/100)</f>
        <v>6.28</v>
      </c>
      <c r="T11" s="580">
        <f>((18-1)/20)*(Geometria!$L$29/100)</f>
        <v>6.672499999999999</v>
      </c>
      <c r="U11" s="580">
        <f>((19-1)/20)*(Geometria!$L$29/100)</f>
        <v>7.0649999999999995</v>
      </c>
      <c r="V11" s="580">
        <f>((20-1)/20)*(Geometria!$L$29/100)</f>
        <v>7.4575</v>
      </c>
      <c r="W11" s="580">
        <f>((21-1)/20)*(Geometria!$L$29/100)</f>
        <v>7.85</v>
      </c>
    </row>
    <row r="12" spans="2:23" x14ac:dyDescent="0.25">
      <c r="B12" s="578" t="s">
        <v>968</v>
      </c>
      <c r="C12" s="581">
        <f t="shared" ref="C12:W12" si="0">C11*100</f>
        <v>0.0</v>
      </c>
      <c r="D12" s="581">
        <f t="shared" si="0"/>
        <v>39.25</v>
      </c>
      <c r="E12" s="581">
        <f t="shared" si="0"/>
        <v>78.5</v>
      </c>
      <c r="F12" s="581">
        <f t="shared" si="0"/>
        <v>117.75</v>
      </c>
      <c r="G12" s="581">
        <f t="shared" si="0"/>
        <v>157.0</v>
      </c>
      <c r="H12" s="581">
        <f t="shared" si="0"/>
        <v>196.25</v>
      </c>
      <c r="I12" s="581">
        <f t="shared" si="0"/>
        <v>235.5</v>
      </c>
      <c r="J12" s="581">
        <f t="shared" si="0"/>
        <v>274.74999999999994</v>
      </c>
      <c r="K12" s="581">
        <f t="shared" si="0"/>
        <v>314.0</v>
      </c>
      <c r="L12" s="581">
        <f t="shared" si="0"/>
        <v>353.25</v>
      </c>
      <c r="M12" s="581">
        <f t="shared" si="0"/>
        <v>392.5</v>
      </c>
      <c r="N12" s="581">
        <f t="shared" si="0"/>
        <v>431.75</v>
      </c>
      <c r="O12" s="581">
        <f t="shared" si="0"/>
        <v>471.0</v>
      </c>
      <c r="P12" s="581">
        <f t="shared" si="0"/>
        <v>510.25</v>
      </c>
      <c r="Q12" s="581">
        <f t="shared" si="0"/>
        <v>549.4999999999999</v>
      </c>
      <c r="R12" s="581">
        <f t="shared" si="0"/>
        <v>588.7499999999999</v>
      </c>
      <c r="S12" s="581">
        <f t="shared" si="0"/>
        <v>628.0</v>
      </c>
      <c r="T12" s="581">
        <f t="shared" si="0"/>
        <v>667.25</v>
      </c>
      <c r="U12" s="581">
        <f t="shared" si="0"/>
        <v>706.5</v>
      </c>
      <c r="V12" s="581">
        <f t="shared" si="0"/>
        <v>745.75</v>
      </c>
      <c r="W12" s="581">
        <f t="shared" si="0"/>
        <v>785.0</v>
      </c>
    </row>
    <row r="14" spans="2:23" x14ac:dyDescent="0.25">
      <c r="B14" s="836" t="s">
        <v>1460</v>
      </c>
      <c r="C14" s="836"/>
      <c r="D14" s="836"/>
      <c r="E14" s="836"/>
      <c r="F14" s="836"/>
      <c r="G14" s="836"/>
      <c r="H14" s="836"/>
      <c r="I14" s="836"/>
      <c r="J14" s="836"/>
      <c r="K14" s="836"/>
      <c r="L14" s="836"/>
      <c r="M14" s="836"/>
      <c r="N14" s="836"/>
      <c r="O14" s="836"/>
      <c r="P14" s="836"/>
      <c r="Q14" s="836"/>
      <c r="R14" s="836"/>
      <c r="S14" s="836"/>
      <c r="T14" s="836"/>
      <c r="U14" s="836"/>
      <c r="V14" s="836"/>
      <c r="W14" s="836"/>
    </row>
    <row r="15" spans="2:23" x14ac:dyDescent="0.25">
      <c r="B15" s="578" t="s">
        <v>1461</v>
      </c>
      <c r="C15" s="582">
        <f ca="1">(Geometria!$M$198*(Geometria!$L$29/100)*C$11/2)-(Geometria!$M$198*C$11^2/2)</f>
        <v>0.0</v>
      </c>
      <c r="D15" s="582">
        <f ca="1">(Geometria!$M$198*(Geometria!$L$29/100)*D$11/2)-(Geometria!$M$198*D$11^2/2)</f>
        <v>7.793320546874999</v>
      </c>
      <c r="E15" s="582">
        <f ca="1">(Geometria!$M$198*(Geometria!$L$29/100)*E$11/2)-(Geometria!$M$198*E$11^2/2)</f>
        <v>14.7662915625</v>
      </c>
      <c r="F15" s="582">
        <f ca="1">(Geometria!$M$198*(Geometria!$L$29/100)*F$11/2)-(Geometria!$M$198*F$11^2/2)</f>
        <v>20.918913046874998</v>
      </c>
      <c r="G15" s="582">
        <f ca="1">(Geometria!$M$198*(Geometria!$L$29/100)*G$11/2)-(Geometria!$M$198*G$11^2/2)</f>
        <v>26.251184999999996</v>
      </c>
      <c r="H15" s="582">
        <f ca="1">(Geometria!$M$198*(Geometria!$L$29/100)*H$11/2)-(Geometria!$M$198*H$11^2/2)</f>
        <v>30.76310742187499</v>
      </c>
      <c r="I15" s="582">
        <f ca="1">(Geometria!$M$198*(Geometria!$L$29/100)*I$11/2)-(Geometria!$M$198*I$11^2/2)</f>
        <v>34.454680312499995</v>
      </c>
      <c r="J15" s="582">
        <f ca="1">(Geometria!$M$198*(Geometria!$L$29/100)*J$11/2)-(Geometria!$M$198*J$11^2/2)</f>
        <v>37.32590367187499</v>
      </c>
      <c r="K15" s="582">
        <f ca="1">(Geometria!$M$198*(Geometria!$L$29/100)*K$11/2)-(Geometria!$M$198*K$11^2/2)</f>
        <v>39.37677749999999</v>
      </c>
      <c r="L15" s="582">
        <f ca="1">(Geometria!$M$198*(Geometria!$L$29/100)*L$11/2)-(Geometria!$M$198*L$11^2/2)</f>
        <v>40.60730179687499</v>
      </c>
      <c r="M15" s="582">
        <f ca="1">(Geometria!$M$198*(Geometria!$L$29/100)*M$11/2)-(Geometria!$M$198*M$11^2/2)</f>
        <v>41.017476562499986</v>
      </c>
      <c r="N15" s="582">
        <f ca="1">(Geometria!$M$198*(Geometria!$L$29/100)*N$11/2)-(Geometria!$M$198*N$11^2/2)</f>
        <v>40.60730179687498</v>
      </c>
      <c r="O15" s="582">
        <f ca="1">(Geometria!$M$198*(Geometria!$L$29/100)*O$11/2)-(Geometria!$M$198*O$11^2/2)</f>
        <v>39.37677749999999</v>
      </c>
      <c r="P15" s="582">
        <f ca="1">(Geometria!$M$198*(Geometria!$L$29/100)*P$11/2)-(Geometria!$M$198*P$11^2/2)</f>
        <v>37.32590367187498</v>
      </c>
      <c r="Q15" s="582">
        <f ca="1">(Geometria!$M$198*(Geometria!$L$29/100)*Q$11/2)-(Geometria!$M$198*Q$11^2/2)</f>
        <v>34.45468031249999</v>
      </c>
      <c r="R15" s="582">
        <f ca="1">(Geometria!$M$198*(Geometria!$L$29/100)*R$11/2)-(Geometria!$M$198*R$11^2/2)</f>
        <v>30.76310742187499</v>
      </c>
      <c r="S15" s="582">
        <f ca="1">(Geometria!$M$198*(Geometria!$L$29/100)*S$11/2)-(Geometria!$M$198*S$11^2/2)</f>
        <v>26.25118499999998</v>
      </c>
      <c r="T15" s="582">
        <f ca="1">(Geometria!$M$198*(Geometria!$L$29/100)*T$11/2)-(Geometria!$M$198*T$11^2/2)</f>
        <v>20.918913046875005</v>
      </c>
      <c r="U15" s="582">
        <f ca="1">(Geometria!$M$198*(Geometria!$L$29/100)*U$11/2)-(Geometria!$M$198*U$11^2/2)</f>
        <v>14.766291562499987</v>
      </c>
      <c r="V15" s="582">
        <f ca="1">(Geometria!$M$198*(Geometria!$L$29/100)*V$11/2)-(Geometria!$M$198*V$11^2/2)</f>
        <v>7.793320546875009</v>
      </c>
      <c r="W15" s="582">
        <f ca="1">(Geometria!$M$198*(Geometria!$L$29/100)*W$11/2)-(Geometria!$M$198*W$11^2/2)</f>
        <v>0.0</v>
      </c>
    </row>
    <row r="16" spans="2:23" x14ac:dyDescent="0.25">
      <c r="B16" s="578" t="s">
        <v>1462</v>
      </c>
      <c r="C16" s="582">
        <f>(Geometria!$M$199*(Geometria!$L$29/100)*C$11/2)-(Geometria!$M$199*C$11^2/2)</f>
        <v>0.0</v>
      </c>
      <c r="D16" s="582">
        <f>(Geometria!$M$199*(Geometria!$L$29/100)*D$11/2)-(Geometria!$M$199*D$11^2/2)</f>
        <v>28.77034168554687</v>
      </c>
      <c r="E16" s="582">
        <f>(Geometria!$M$199*(Geometria!$L$29/100)*E$11/2)-(Geometria!$M$199*E$11^2/2)</f>
        <v>54.5122263515625</v>
      </c>
      <c r="F16" s="582">
        <f>(Geometria!$M$199*(Geometria!$L$29/100)*F$11/2)-(Geometria!$M$199*F$11^2/2)</f>
        <v>77.22565399804685</v>
      </c>
      <c r="G16" s="582">
        <f>(Geometria!$M$199*(Geometria!$L$29/100)*G$11/2)-(Geometria!$M$199*G$11^2/2)</f>
        <v>96.910624625</v>
      </c>
      <c r="H16" s="582">
        <f>(Geometria!$M$199*(Geometria!$L$29/100)*H$11/2)-(Geometria!$M$199*H$11^2/2)</f>
        <v>113.56713823242185</v>
      </c>
      <c r="I16" s="582">
        <f>(Geometria!$M$199*(Geometria!$L$29/100)*I$11/2)-(Geometria!$M$199*I$11^2/2)</f>
        <v>127.19519482031245</v>
      </c>
      <c r="J16" s="582">
        <f>(Geometria!$M$199*(Geometria!$L$29/100)*J$11/2)-(Geometria!$M$199*J$11^2/2)</f>
        <v>137.79479438867185</v>
      </c>
      <c r="K16" s="582">
        <f>(Geometria!$M$199*(Geometria!$L$29/100)*K$11/2)-(Geometria!$M$199*K$11^2/2)</f>
        <v>145.36593693749998</v>
      </c>
      <c r="L16" s="582">
        <f>(Geometria!$M$199*(Geometria!$L$29/100)*L$11/2)-(Geometria!$M$199*L$11^2/2)</f>
        <v>149.90862246679686</v>
      </c>
      <c r="M16" s="582">
        <f>(Geometria!$M$199*(Geometria!$L$29/100)*M$11/2)-(Geometria!$M$199*M$11^2/2)</f>
        <v>151.42285097656247</v>
      </c>
      <c r="N16" s="582">
        <f>(Geometria!$M$199*(Geometria!$L$29/100)*N$11/2)-(Geometria!$M$199*N$11^2/2)</f>
        <v>149.9086224667968</v>
      </c>
      <c r="O16" s="582">
        <f>(Geometria!$M$199*(Geometria!$L$29/100)*O$11/2)-(Geometria!$M$199*O$11^2/2)</f>
        <v>145.36593693749992</v>
      </c>
      <c r="P16" s="582">
        <f>(Geometria!$M$199*(Geometria!$L$29/100)*P$11/2)-(Geometria!$M$199*P$11^2/2)</f>
        <v>137.79479438867185</v>
      </c>
      <c r="Q16" s="582">
        <f>(Geometria!$M$199*(Geometria!$L$29/100)*Q$11/2)-(Geometria!$M$199*Q$11^2/2)</f>
        <v>127.19519482031251</v>
      </c>
      <c r="R16" s="582">
        <f>(Geometria!$M$199*(Geometria!$L$29/100)*R$11/2)-(Geometria!$M$199*R$11^2/2)</f>
        <v>113.56713823242188</v>
      </c>
      <c r="S16" s="582">
        <f>(Geometria!$M$199*(Geometria!$L$29/100)*S$11/2)-(Geometria!$M$199*S$11^2/2)</f>
        <v>96.91062462499997</v>
      </c>
      <c r="T16" s="582">
        <f>(Geometria!$M$199*(Geometria!$L$29/100)*T$11/2)-(Geometria!$M$199*T$11^2/2)</f>
        <v>77.22565399804688</v>
      </c>
      <c r="U16" s="582">
        <f>(Geometria!$M$199*(Geometria!$L$29/100)*U$11/2)-(Geometria!$M$199*U$11^2/2)</f>
        <v>54.512226351562504</v>
      </c>
      <c r="V16" s="582">
        <f>(Geometria!$M$199*(Geometria!$L$29/100)*V$11/2)-(Geometria!$M$199*V$11^2/2)</f>
        <v>28.770341685546896</v>
      </c>
      <c r="W16" s="582">
        <f>(Geometria!$M$199*(Geometria!$L$29/100)*W$11/2)-(Geometria!$M$199*W$11^2/2)</f>
        <v>0.0</v>
      </c>
    </row>
    <row r="17" spans="2:23" x14ac:dyDescent="0.25">
      <c r="B17" s="578" t="s">
        <v>1463</v>
      </c>
      <c r="C17" s="582">
        <f>(Geometria!$M$200*(Geometria!$L$29/100)*C$11/2)-(Geometria!$M$200*C$11^2/2)</f>
        <v>0.0</v>
      </c>
      <c r="D17" s="582">
        <f>(Geometria!$M$200*(Geometria!$L$29/100)*D$11/2)-(Geometria!$M$200*D$11^2/2)</f>
        <v>18.372112892968754</v>
      </c>
      <c r="E17" s="582">
        <f>(Geometria!$M$200*(Geometria!$L$29/100)*E$11/2)-(Geometria!$M$200*E$11^2/2)</f>
        <v>34.810319165625</v>
      </c>
      <c r="F17" s="582">
        <f>(Geometria!$M$200*(Geometria!$L$29/100)*F$11/2)-(Geometria!$M$200*F$11^2/2)</f>
        <v>49.31461881796876</v>
      </c>
      <c r="G17" s="582">
        <f>(Geometria!$M$200*(Geometria!$L$29/100)*G$11/2)-(Geometria!$M$200*G$11^2/2)</f>
        <v>61.88501185000001</v>
      </c>
      <c r="H17" s="582">
        <f>(Geometria!$M$200*(Geometria!$L$29/100)*H$11/2)-(Geometria!$M$200*H$11^2/2)</f>
        <v>72.52149826171876</v>
      </c>
      <c r="I17" s="582">
        <f>(Geometria!$M$200*(Geometria!$L$29/100)*I$11/2)-(Geometria!$M$200*I$11^2/2)</f>
        <v>81.224078053125</v>
      </c>
      <c r="J17" s="582">
        <f>(Geometria!$M$200*(Geometria!$L$29/100)*J$11/2)-(Geometria!$M$200*J$11^2/2)</f>
        <v>87.99275122421878</v>
      </c>
      <c r="K17" s="582">
        <f>(Geometria!$M$200*(Geometria!$L$29/100)*K$11/2)-(Geometria!$M$200*K$11^2/2)</f>
        <v>92.82751777500002</v>
      </c>
      <c r="L17" s="582">
        <f>(Geometria!$M$200*(Geometria!$L$29/100)*L$11/2)-(Geometria!$M$200*L$11^2/2)</f>
        <v>95.72837770546876</v>
      </c>
      <c r="M17" s="582">
        <f>(Geometria!$M$200*(Geometria!$L$29/100)*M$11/2)-(Geometria!$M$200*M$11^2/2)</f>
        <v>96.69533101562503</v>
      </c>
      <c r="N17" s="582">
        <f>(Geometria!$M$200*(Geometria!$L$29/100)*N$11/2)-(Geometria!$M$200*N$11^2/2)</f>
        <v>95.72837770546877</v>
      </c>
      <c r="O17" s="582">
        <f>(Geometria!$M$200*(Geometria!$L$29/100)*O$11/2)-(Geometria!$M$200*O$11^2/2)</f>
        <v>92.82751777499999</v>
      </c>
      <c r="P17" s="582">
        <f>(Geometria!$M$200*(Geometria!$L$29/100)*P$11/2)-(Geometria!$M$200*P$11^2/2)</f>
        <v>87.99275122421875</v>
      </c>
      <c r="Q17" s="582">
        <f>(Geometria!$M$200*(Geometria!$L$29/100)*Q$11/2)-(Geometria!$M$200*Q$11^2/2)</f>
        <v>81.22407805312506</v>
      </c>
      <c r="R17" s="582">
        <f>(Geometria!$M$200*(Geometria!$L$29/100)*R$11/2)-(Geometria!$M$200*R$11^2/2)</f>
        <v>72.52149826171876</v>
      </c>
      <c r="S17" s="582">
        <f>(Geometria!$M$200*(Geometria!$L$29/100)*S$11/2)-(Geometria!$M$200*S$11^2/2)</f>
        <v>61.88501185000001</v>
      </c>
      <c r="T17" s="582">
        <f>(Geometria!$M$200*(Geometria!$L$29/100)*T$11/2)-(Geometria!$M$200*T$11^2/2)</f>
        <v>49.31461881796878</v>
      </c>
      <c r="U17" s="582">
        <f>(Geometria!$M$200*(Geometria!$L$29/100)*U$11/2)-(Geometria!$M$200*U$11^2/2)</f>
        <v>34.810319165625</v>
      </c>
      <c r="V17" s="582">
        <f>(Geometria!$M$200*(Geometria!$L$29/100)*V$11/2)-(Geometria!$M$200*V$11^2/2)</f>
        <v>18.3721128929688</v>
      </c>
      <c r="W17" s="582">
        <f>(Geometria!$M$200*(Geometria!$L$29/100)*W$11/2)-(Geometria!$M$200*W$11^2/2)</f>
        <v>0.0</v>
      </c>
    </row>
    <row r="18" spans="2:23" x14ac:dyDescent="0.25">
      <c r="B18" s="578" t="s">
        <v>1464</v>
      </c>
      <c r="C18" s="582">
        <f>(Geometria!$M$201*(Geometria!$L$29/100)*C$11/2)-(Geometria!$M$201*C$11^2/2)</f>
        <v>0.0</v>
      </c>
      <c r="D18" s="582">
        <f>(Geometria!$M$201*(Geometria!$L$29/100)*D$11/2)-(Geometria!$M$201*D$11^2/2)</f>
        <v>8.543381914062499</v>
      </c>
      <c r="E18" s="582">
        <f>(Geometria!$M$201*(Geometria!$L$29/100)*E$11/2)-(Geometria!$M$201*E$11^2/2)</f>
        <v>16.187460468749997</v>
      </c>
      <c r="F18" s="582">
        <f>(Geometria!$M$201*(Geometria!$L$29/100)*F$11/2)-(Geometria!$M$201*F$11^2/2)</f>
        <v>22.932235664062496</v>
      </c>
      <c r="G18" s="582">
        <f>(Geometria!$M$201*(Geometria!$L$29/100)*G$11/2)-(Geometria!$M$201*G$11^2/2)</f>
        <v>28.777707499999998</v>
      </c>
      <c r="H18" s="582">
        <f>(Geometria!$M$201*(Geometria!$L$29/100)*H$11/2)-(Geometria!$M$201*H$11^2/2)</f>
        <v>33.723875976562496</v>
      </c>
      <c r="I18" s="582">
        <f>(Geometria!$M$201*(Geometria!$L$29/100)*I$11/2)-(Geometria!$M$201*I$11^2/2)</f>
        <v>37.77074109374999</v>
      </c>
      <c r="J18" s="582">
        <f>(Geometria!$M$201*(Geometria!$L$29/100)*J$11/2)-(Geometria!$M$201*J$11^2/2)</f>
        <v>40.918302851562494</v>
      </c>
      <c r="K18" s="582">
        <f>(Geometria!$M$201*(Geometria!$L$29/100)*K$11/2)-(Geometria!$M$201*K$11^2/2)</f>
        <v>43.166561249999994</v>
      </c>
      <c r="L18" s="582">
        <f>(Geometria!$M$201*(Geometria!$L$29/100)*L$11/2)-(Geometria!$M$201*L$11^2/2)</f>
        <v>44.5155162890625</v>
      </c>
      <c r="M18" s="582">
        <f>(Geometria!$M$201*(Geometria!$L$29/100)*M$11/2)-(Geometria!$M$201*M$11^2/2)</f>
        <v>44.965167968749995</v>
      </c>
      <c r="N18" s="582">
        <f>(Geometria!$M$201*(Geometria!$L$29/100)*N$11/2)-(Geometria!$M$201*N$11^2/2)</f>
        <v>44.51551628906249</v>
      </c>
      <c r="O18" s="582">
        <f>(Geometria!$M$201*(Geometria!$L$29/100)*O$11/2)-(Geometria!$M$201*O$11^2/2)</f>
        <v>43.16656124999999</v>
      </c>
      <c r="P18" s="582">
        <f>(Geometria!$M$201*(Geometria!$L$29/100)*P$11/2)-(Geometria!$M$201*P$11^2/2)</f>
        <v>40.91830285156249</v>
      </c>
      <c r="Q18" s="582">
        <f>(Geometria!$M$201*(Geometria!$L$29/100)*Q$11/2)-(Geometria!$M$201*Q$11^2/2)</f>
        <v>37.770741093750004</v>
      </c>
      <c r="R18" s="582">
        <f>(Geometria!$M$201*(Geometria!$L$29/100)*R$11/2)-(Geometria!$M$201*R$11^2/2)</f>
        <v>33.723875976562525</v>
      </c>
      <c r="S18" s="582">
        <f>(Geometria!$M$201*(Geometria!$L$29/100)*S$11/2)-(Geometria!$M$201*S$11^2/2)</f>
        <v>28.77770749999999</v>
      </c>
      <c r="T18" s="582">
        <f>(Geometria!$M$201*(Geometria!$L$29/100)*T$11/2)-(Geometria!$M$201*T$11^2/2)</f>
        <v>22.932235664062517</v>
      </c>
      <c r="U18" s="582">
        <f>(Geometria!$M$201*(Geometria!$L$29/100)*U$11/2)-(Geometria!$M$201*U$11^2/2)</f>
        <v>16.187460468750004</v>
      </c>
      <c r="V18" s="582">
        <f>(Geometria!$M$201*(Geometria!$L$29/100)*V$11/2)-(Geometria!$M$201*V$11^2/2)</f>
        <v>8.543381914062508</v>
      </c>
      <c r="W18" s="582">
        <f>(Geometria!$M$201*(Geometria!$L$29/100)*W$11/2)-(Geometria!$M$201*W$11^2/2)</f>
        <v>0.0</v>
      </c>
    </row>
    <row r="19" spans="2:23" x14ac:dyDescent="0.25">
      <c r="B19" s="578" t="s">
        <v>1465</v>
      </c>
      <c r="C19" s="582">
        <f>(Geometria!$M$202*(Geometria!$L$29/100)*C$11/2)-(Geometria!$M$202*C$11^2/2)</f>
        <v>0.0</v>
      </c>
      <c r="D19" s="582">
        <f>(Geometria!$M$202*(Geometria!$L$29/100)*D$11/2)-(Geometria!$M$202*D$11^2/2)</f>
        <v>0.0</v>
      </c>
      <c r="E19" s="582">
        <f>(Geometria!$M$202*(Geometria!$L$29/100)*E$11/2)-(Geometria!$M$202*E$11^2/2)</f>
        <v>0.0</v>
      </c>
      <c r="F19" s="582">
        <f>(Geometria!$M$202*(Geometria!$L$29/100)*F$11/2)-(Geometria!$M$202*F$11^2/2)</f>
        <v>0.0</v>
      </c>
      <c r="G19" s="582">
        <f>(Geometria!$M$202*(Geometria!$L$29/100)*G$11/2)-(Geometria!$M$202*G$11^2/2)</f>
        <v>0.0</v>
      </c>
      <c r="H19" s="582">
        <f>(Geometria!$M$202*(Geometria!$L$29/100)*H$11/2)-(Geometria!$M$202*H$11^2/2)</f>
        <v>0.0</v>
      </c>
      <c r="I19" s="582">
        <f>(Geometria!$M$202*(Geometria!$L$29/100)*I$11/2)-(Geometria!$M$202*I$11^2/2)</f>
        <v>0.0</v>
      </c>
      <c r="J19" s="582">
        <f>(Geometria!$M$202*(Geometria!$L$29/100)*J$11/2)-(Geometria!$M$202*J$11^2/2)</f>
        <v>0.0</v>
      </c>
      <c r="K19" s="582">
        <f>(Geometria!$M$202*(Geometria!$L$29/100)*K$11/2)-(Geometria!$M$202*K$11^2/2)</f>
        <v>0.0</v>
      </c>
      <c r="L19" s="582">
        <f>(Geometria!$M$202*(Geometria!$L$29/100)*L$11/2)-(Geometria!$M$202*L$11^2/2)</f>
        <v>0.0</v>
      </c>
      <c r="M19" s="582">
        <f>(Geometria!$M$202*(Geometria!$L$29/100)*M$11/2)-(Geometria!$M$202*M$11^2/2)</f>
        <v>0.0</v>
      </c>
      <c r="N19" s="582">
        <f>(Geometria!$M$202*(Geometria!$L$29/100)*N$11/2)-(Geometria!$M$202*N$11^2/2)</f>
        <v>0.0</v>
      </c>
      <c r="O19" s="582">
        <f>(Geometria!$M$202*(Geometria!$L$29/100)*O$11/2)-(Geometria!$M$202*O$11^2/2)</f>
        <v>0.0</v>
      </c>
      <c r="P19" s="582">
        <f>(Geometria!$M$202*(Geometria!$L$29/100)*P$11/2)-(Geometria!$M$202*P$11^2/2)</f>
        <v>0.0</v>
      </c>
      <c r="Q19" s="582">
        <f>(Geometria!$M$202*(Geometria!$L$29/100)*Q$11/2)-(Geometria!$M$202*Q$11^2/2)</f>
        <v>0.0</v>
      </c>
      <c r="R19" s="582">
        <f>(Geometria!$M$202*(Geometria!$L$29/100)*R$11/2)-(Geometria!$M$202*R$11^2/2)</f>
        <v>0.0</v>
      </c>
      <c r="S19" s="582">
        <f>(Geometria!$M$202*(Geometria!$L$29/100)*S$11/2)-(Geometria!$M$202*S$11^2/2)</f>
        <v>0.0</v>
      </c>
      <c r="T19" s="582">
        <f>(Geometria!$M$202*(Geometria!$L$29/100)*T$11/2)-(Geometria!$M$202*T$11^2/2)</f>
        <v>0.0</v>
      </c>
      <c r="U19" s="582">
        <f>(Geometria!$M$202*(Geometria!$L$29/100)*U$11/2)-(Geometria!$M$202*U$11^2/2)</f>
        <v>0.0</v>
      </c>
      <c r="V19" s="582">
        <f>(Geometria!$M$202*(Geometria!$L$29/100)*V$11/2)-(Geometria!$M$202*V$11^2/2)</f>
        <v>0.0</v>
      </c>
      <c r="W19" s="582">
        <f>(Geometria!$M$202*(Geometria!$L$29/100)*W$11/2)-(Geometria!$M$202*W$11^2/2)</f>
        <v>0.0</v>
      </c>
    </row>
    <row r="20" spans="2:23" x14ac:dyDescent="0.25">
      <c r="B20" s="578" t="s">
        <v>1466</v>
      </c>
      <c r="C20" s="582">
        <f>(Geometria!$M$203*(Geometria!$L$29/100)*C$11/2)-(Geometria!$M$203*C$11^2/2)</f>
        <v>0.0</v>
      </c>
      <c r="D20" s="582">
        <f>(Geometria!$M$203*(Geometria!$L$29/100)*D$11/2)-(Geometria!$M$203*D$11^2/2)</f>
        <v>213.5845478515625</v>
      </c>
      <c r="E20" s="582">
        <f>(Geometria!$M$203*(Geometria!$L$29/100)*E$11/2)-(Geometria!$M$203*E$11^2/2)</f>
        <v>404.68651171875</v>
      </c>
      <c r="F20" s="582">
        <f>(Geometria!$M$203*(Geometria!$L$29/100)*F$11/2)-(Geometria!$M$203*F$11^2/2)</f>
        <v>573.3058916015625</v>
      </c>
      <c r="G20" s="582">
        <f>(Geometria!$M$203*(Geometria!$L$29/100)*G$11/2)-(Geometria!$M$203*G$11^2/2)</f>
        <v>719.4426875</v>
      </c>
      <c r="H20" s="582">
        <f>(Geometria!$M$203*(Geometria!$L$29/100)*H$11/2)-(Geometria!$M$203*H$11^2/2)</f>
        <v>843.0968994140626</v>
      </c>
      <c r="I20" s="582">
        <f>(Geometria!$M$203*(Geometria!$L$29/100)*I$11/2)-(Geometria!$M$203*I$11^2/2)</f>
        <v>944.26852734375</v>
      </c>
      <c r="J20" s="582">
        <f>(Geometria!$M$203*(Geometria!$L$29/100)*J$11/2)-(Geometria!$M$203*J$11^2/2)</f>
        <v>1022.9575712890626</v>
      </c>
      <c r="K20" s="582">
        <f>(Geometria!$M$203*(Geometria!$L$29/100)*K$11/2)-(Geometria!$M$203*K$11^2/2)</f>
        <v>1079.1640312499999</v>
      </c>
      <c r="L20" s="582">
        <f>(Geometria!$M$203*(Geometria!$L$29/100)*L$11/2)-(Geometria!$M$203*L$11^2/2)</f>
        <v>1112.8879072265627</v>
      </c>
      <c r="M20" s="582">
        <f>(Geometria!$M$203*(Geometria!$L$29/100)*M$11/2)-(Geometria!$M$203*M$11^2/2)</f>
        <v>1124.1291992187503</v>
      </c>
      <c r="N20" s="582">
        <f>(Geometria!$M$203*(Geometria!$L$29/100)*N$11/2)-(Geometria!$M$203*N$11^2/2)</f>
        <v>1112.8879072265622</v>
      </c>
      <c r="O20" s="582">
        <f>(Geometria!$M$203*(Geometria!$L$29/100)*O$11/2)-(Geometria!$M$203*O$11^2/2)</f>
        <v>1079.1640312499999</v>
      </c>
      <c r="P20" s="582">
        <f>(Geometria!$M$203*(Geometria!$L$29/100)*P$11/2)-(Geometria!$M$203*P$11^2/2)</f>
        <v>1022.9575712890626</v>
      </c>
      <c r="Q20" s="582">
        <f>(Geometria!$M$203*(Geometria!$L$29/100)*Q$11/2)-(Geometria!$M$203*Q$11^2/2)</f>
        <v>944.2685273437505</v>
      </c>
      <c r="R20" s="582">
        <f>(Geometria!$M$203*(Geometria!$L$29/100)*R$11/2)-(Geometria!$M$203*R$11^2/2)</f>
        <v>843.0968994140626</v>
      </c>
      <c r="S20" s="582">
        <f>(Geometria!$M$203*(Geometria!$L$29/100)*S$11/2)-(Geometria!$M$203*S$11^2/2)</f>
        <v>719.4426874999999</v>
      </c>
      <c r="T20" s="582">
        <f>(Geometria!$M$203*(Geometria!$L$29/100)*T$11/2)-(Geometria!$M$203*T$11^2/2)</f>
        <v>573.305891601563</v>
      </c>
      <c r="U20" s="582">
        <f>(Geometria!$M$203*(Geometria!$L$29/100)*U$11/2)-(Geometria!$M$203*U$11^2/2)</f>
        <v>404.68651171875035</v>
      </c>
      <c r="V20" s="582">
        <f>(Geometria!$M$203*(Geometria!$L$29/100)*V$11/2)-(Geometria!$M$203*V$11^2/2)</f>
        <v>213.584547851563</v>
      </c>
      <c r="W20" s="582">
        <f>(Geometria!$M$203*(Geometria!$L$29/100)*W$11/2)-(Geometria!$M$203*W$11^2/2)</f>
        <v>0.0</v>
      </c>
    </row>
    <row r="22" spans="2:23" x14ac:dyDescent="0.25">
      <c r="B22" s="836" t="s">
        <v>1467</v>
      </c>
      <c r="C22" s="836"/>
      <c r="D22" s="836"/>
      <c r="E22" s="836"/>
      <c r="F22" s="836"/>
      <c r="G22" s="836"/>
      <c r="H22" s="836"/>
      <c r="I22" s="836"/>
      <c r="J22" s="836"/>
      <c r="K22" s="836"/>
      <c r="L22" s="836"/>
      <c r="M22" s="836"/>
      <c r="N22" s="836"/>
      <c r="O22" s="836"/>
      <c r="P22" s="836"/>
      <c r="Q22" s="836"/>
      <c r="R22" s="836"/>
      <c r="S22" s="836"/>
      <c r="T22" s="836"/>
      <c r="U22" s="836"/>
      <c r="V22" s="836"/>
      <c r="W22" s="836"/>
    </row>
    <row r="23" spans="2:23" x14ac:dyDescent="0.25">
      <c r="B23" s="578" t="s">
        <v>1468</v>
      </c>
      <c r="C23" s="583">
        <f>Geometria!$L$298</f>
        <v>11.2</v>
      </c>
    </row>
    <row r="24" spans="2:23" x14ac:dyDescent="0.25">
      <c r="B24" s="578" t="s">
        <v>1469</v>
      </c>
      <c r="C24" s="583">
        <f>Geometria!$L$300</f>
        <v>0.0</v>
      </c>
    </row>
    <row r="25" spans="2:23" x14ac:dyDescent="0.25">
      <c r="B25" s="578" t="s">
        <v>1470</v>
      </c>
      <c r="C25" s="583">
        <f ca="1">Geometria!$L$299</f>
        <v>18.75</v>
      </c>
    </row>
    <row r="26" spans="2:23" x14ac:dyDescent="0.25">
      <c r="B26" s="578" t="s">
        <v>1471</v>
      </c>
      <c r="C26" s="583">
        <f ca="1">Geometria!$L$301</f>
        <v>30.0</v>
      </c>
    </row>
    <row r="27" spans="2:23" x14ac:dyDescent="0.25">
      <c r="B27" s="578" t="s">
        <v>1472</v>
      </c>
      <c r="C27" s="583">
        <f ca="1">Geometria!$L$48</f>
        <v>1800.0</v>
      </c>
    </row>
    <row r="28" spans="2:23" x14ac:dyDescent="0.25">
      <c r="B28" s="578" t="s">
        <v>1473</v>
      </c>
      <c r="C28" s="583">
        <f ca="1">Geometria!$L$49</f>
        <v>540000.0</v>
      </c>
    </row>
    <row r="29" spans="2:23" x14ac:dyDescent="0.25">
      <c r="B29" s="578" t="s">
        <v>1474</v>
      </c>
      <c r="C29" s="583">
        <f ca="1">Geometria!$M$49</f>
        <v>2598580.8739038864</v>
      </c>
    </row>
    <row r="30" spans="2:23" x14ac:dyDescent="0.25">
      <c r="B30" s="578" t="s">
        <v>1475</v>
      </c>
      <c r="C30" s="583">
        <f>Geometria!$N$236</f>
        <v>146.3</v>
      </c>
    </row>
    <row r="31" spans="2:23" x14ac:dyDescent="0.25">
      <c r="B31" s="578" t="s">
        <v>1476</v>
      </c>
      <c r="C31" s="583">
        <f>Geometria!$L$283</f>
        <v>1.2</v>
      </c>
    </row>
    <row r="32" spans="2:23" x14ac:dyDescent="0.25">
      <c r="B32" s="578" t="s">
        <v>1477</v>
      </c>
      <c r="C32" s="583">
        <f>Geometria!$L$293</f>
        <v>2.601276671445056</v>
      </c>
    </row>
    <row r="33" spans="2:3" x14ac:dyDescent="0.25">
      <c r="B33" s="578" t="s">
        <v>1478</v>
      </c>
      <c r="C33" s="583">
        <f>Geometria!$L$304</f>
        <v>142.49872332855495</v>
      </c>
    </row>
    <row r="34" spans="2:3" x14ac:dyDescent="0.25">
      <c r="B34" s="578" t="s">
        <v>1479</v>
      </c>
      <c r="C34" s="583">
        <f>Geometria!$L$307</f>
        <v>1595.9857012798152</v>
      </c>
    </row>
    <row r="35" spans="2:3" x14ac:dyDescent="0.25">
      <c r="B35" s="578" t="s">
        <v>1480</v>
      </c>
      <c r="C35" s="583">
        <f ca="1">Geometria!$L$308</f>
        <v>299.2473189899654</v>
      </c>
    </row>
    <row r="36" spans="2:3" x14ac:dyDescent="0.25">
      <c r="B36" s="578" t="s">
        <v>1481</v>
      </c>
      <c r="C36" s="583">
        <f>Geometria!$L$317</f>
        <v>6.036816105203689</v>
      </c>
    </row>
    <row r="37" spans="2:3" x14ac:dyDescent="0.25">
      <c r="B37" s="578" t="s">
        <v>1482</v>
      </c>
      <c r="C37" s="583">
        <f ca="1">Geometria!$L$344</f>
        <v>-10.617090839925885</v>
      </c>
    </row>
    <row r="38" spans="2:3" x14ac:dyDescent="0.25">
      <c r="B38" s="578" t="s">
        <v>1483</v>
      </c>
      <c r="C38" s="583">
        <f>Geometria!$Q$308</f>
        <v>5.050762722761053</v>
      </c>
    </row>
    <row r="39" spans="2:3" x14ac:dyDescent="0.25">
      <c r="B39" s="578" t="s">
        <v>1484</v>
      </c>
      <c r="C39" s="583">
        <f ca="1">Geometria!$N$332</f>
        <v>2.4758069056368184</v>
      </c>
    </row>
    <row r="40" spans="2:3" x14ac:dyDescent="0.25">
      <c r="B40" s="578" t="s">
        <v>1485</v>
      </c>
      <c r="C40" s="583">
        <f ca="1">Geometria!$Q$332</f>
        <v>2.4758069056368184</v>
      </c>
    </row>
    <row r="41" spans="2:3" x14ac:dyDescent="0.25">
      <c r="B41" s="578" t="s">
        <v>1486</v>
      </c>
      <c r="C41" s="583">
        <f ca="1">Geometria!$Q$334</f>
        <v>1.5488539282372031</v>
      </c>
    </row>
    <row r="42" spans="2:3" x14ac:dyDescent="0.25">
      <c r="B42" s="578" t="s">
        <v>1487</v>
      </c>
      <c r="C42" s="583">
        <f ca="1">Geometria!$Q$335</f>
        <v>2.354322145278393</v>
      </c>
    </row>
    <row r="43" spans="2:3" x14ac:dyDescent="0.25">
      <c r="B43" s="578" t="s">
        <v>1488</v>
      </c>
      <c r="C43" s="583">
        <f ca="1">Geometria!$Q$336</f>
        <v>1.843747692401422</v>
      </c>
    </row>
    <row r="44" spans="2:3" x14ac:dyDescent="0.25">
      <c r="B44" s="578" t="s">
        <v>1489</v>
      </c>
      <c r="C44" s="583">
        <f ca="1">Geometria!$Q$337</f>
        <v>1.6689068828178346</v>
      </c>
    </row>
    <row r="45" spans="2:3" x14ac:dyDescent="0.25">
      <c r="B45" s="578" t="s">
        <v>1490</v>
      </c>
      <c r="C45" s="583">
        <f ca="1">Geometria!$Q$338</f>
        <v>1.561101004021444</v>
      </c>
    </row>
    <row r="46" spans="2:3" x14ac:dyDescent="0.25">
      <c r="B46" s="578" t="s">
        <v>228</v>
      </c>
      <c r="C46" s="583">
        <f>Geometria!$L$77</f>
        <v>0.4</v>
      </c>
    </row>
    <row r="47" spans="2:3" x14ac:dyDescent="0.25">
      <c r="B47" s="578" t="s">
        <v>1491</v>
      </c>
      <c r="C47" s="583">
        <f ca="1">Geometria!$P$347</f>
        <v>2.237903452818409</v>
      </c>
    </row>
    <row r="48" spans="2:3" x14ac:dyDescent="0.25">
      <c r="B48" s="578" t="s">
        <v>352</v>
      </c>
      <c r="C48" s="583">
        <f ca="1">Geometria!$P$348</f>
        <v>2.171875</v>
      </c>
    </row>
    <row r="49" spans="2:23" x14ac:dyDescent="0.25">
      <c r="B49" s="578" t="s">
        <v>354</v>
      </c>
      <c r="C49" s="583">
        <f ca="1">Geometria!$P$349</f>
        <v>3.9999999999999996</v>
      </c>
    </row>
    <row r="50" spans="2:23" x14ac:dyDescent="0.25">
      <c r="B50" s="578" t="s">
        <v>356</v>
      </c>
      <c r="C50" s="583">
        <f ca="1">Geometria!$P$350</f>
        <v>0.006222222222222222</v>
      </c>
    </row>
    <row r="51" spans="2:23" x14ac:dyDescent="0.25">
      <c r="B51" s="578" t="s">
        <v>1492</v>
      </c>
      <c r="C51" s="583">
        <f ca="1">(Geometria!$M$30-Geometria!$L$277)/100</f>
        <v>0.4011243101658781</v>
      </c>
    </row>
    <row r="52" spans="2:23" x14ac:dyDescent="0.25">
      <c r="B52" s="578" t="s">
        <v>2216</v>
      </c>
      <c r="C52" s="583">
        <f ca="1">(IF(Geometria!$M$19="1 - Retângular",Geometria!$L$27,Geometria!$L$70)-Geometria!$R$267-Geometria!$M$30)/100</f>
        <v>0.08637568983412194</v>
      </c>
    </row>
    <row r="54" spans="2:23" x14ac:dyDescent="0.25">
      <c r="B54" s="836" t="s">
        <v>1493</v>
      </c>
      <c r="C54" s="836"/>
      <c r="D54" s="836"/>
      <c r="E54" s="836"/>
      <c r="F54" s="836"/>
      <c r="G54" s="836"/>
      <c r="H54" s="836"/>
      <c r="I54" s="836"/>
      <c r="J54" s="836"/>
      <c r="K54" s="836"/>
      <c r="L54" s="836"/>
      <c r="M54" s="836"/>
      <c r="N54" s="836"/>
      <c r="O54" s="836"/>
      <c r="P54" s="836"/>
      <c r="Q54" s="836"/>
      <c r="R54" s="836"/>
      <c r="S54" s="836"/>
      <c r="T54" s="836"/>
      <c r="U54" s="836"/>
      <c r="V54" s="836"/>
      <c r="W54" s="836"/>
    </row>
    <row r="55" spans="2:23" x14ac:dyDescent="0.25">
      <c r="B55" s="578" t="s">
        <v>1494</v>
      </c>
      <c r="C55" s="584">
        <f t="shared" ref="C55:W55" ca="1" si="1">($C$34/($C$27/100^2)+(($C$35-C$15)/($C$28/100^4))*$C$25/100)</f>
        <v>19257.119138706104</v>
      </c>
      <c r="D55" s="584">
        <f t="shared" ca="1" si="1"/>
        <v>18986.5177308285</v>
      </c>
      <c r="E55" s="584">
        <f t="shared" ca="1" si="1"/>
        <v>18744.40068167485</v>
      </c>
      <c r="F55" s="584">
        <f t="shared" ca="1" si="1"/>
        <v>18530.767991245168</v>
      </c>
      <c r="G55" s="584">
        <f t="shared" ca="1" si="1"/>
        <v>18345.619659539436</v>
      </c>
      <c r="H55" s="584">
        <f t="shared" ca="1" si="1"/>
        <v>18188.955686557667</v>
      </c>
      <c r="I55" s="584">
        <f t="shared" ca="1" si="1"/>
        <v>18060.776072299854</v>
      </c>
      <c r="J55" s="584">
        <f t="shared" ca="1" si="1"/>
        <v>17961.080816766</v>
      </c>
      <c r="K55" s="584">
        <f t="shared" ca="1" si="1"/>
        <v>17889.8699199561</v>
      </c>
      <c r="L55" s="584">
        <f t="shared" ca="1" si="1"/>
        <v>17847.14338187017</v>
      </c>
      <c r="M55" s="584">
        <f t="shared" ca="1" si="1"/>
        <v>17832.901202508187</v>
      </c>
      <c r="N55" s="584">
        <f t="shared" ca="1" si="1"/>
        <v>17847.14338187017</v>
      </c>
      <c r="O55" s="584">
        <f t="shared" ca="1" si="1"/>
        <v>17889.8699199561</v>
      </c>
      <c r="P55" s="584">
        <f t="shared" ca="1" si="1"/>
        <v>17961.080816766</v>
      </c>
      <c r="Q55" s="584">
        <f t="shared" ca="1" si="1"/>
        <v>18060.776072299854</v>
      </c>
      <c r="R55" s="584">
        <f t="shared" ca="1" si="1"/>
        <v>18188.955686557667</v>
      </c>
      <c r="S55" s="584">
        <f t="shared" ca="1" si="1"/>
        <v>18345.619659539436</v>
      </c>
      <c r="T55" s="584">
        <f t="shared" ca="1" si="1"/>
        <v>18530.767991245168</v>
      </c>
      <c r="U55" s="584">
        <f t="shared" ca="1" si="1"/>
        <v>18744.40068167485</v>
      </c>
      <c r="V55" s="584">
        <f t="shared" ca="1" si="1"/>
        <v>18986.5177308285</v>
      </c>
      <c r="W55" s="584">
        <f t="shared" ca="1" si="1"/>
        <v>19257.119138706104</v>
      </c>
    </row>
    <row r="56" spans="2:23" x14ac:dyDescent="0.25">
      <c r="B56" s="578" t="s">
        <v>1495</v>
      </c>
      <c r="C56" s="584">
        <f t="shared" ref="C56:W56" ca="1" si="2">($C$34/($C$27/100^2)+((-$C$35+C$15)/($C$28/100^4))*$C$26/100)</f>
        <v>-7758.263825665768</v>
      </c>
      <c r="D56" s="584">
        <f t="shared" ca="1" si="2"/>
        <v>-7325.301573061601</v>
      </c>
      <c r="E56" s="584">
        <f t="shared" ca="1" si="2"/>
        <v>-6937.914294415768</v>
      </c>
      <c r="F56" s="584">
        <f t="shared" ca="1" si="2"/>
        <v>-6596.101989728271</v>
      </c>
      <c r="G56" s="584">
        <f t="shared" ca="1" si="2"/>
        <v>-6299.864658999102</v>
      </c>
      <c r="H56" s="584">
        <f t="shared" ca="1" si="2"/>
        <v>-6049.2023022282665</v>
      </c>
      <c r="I56" s="584">
        <f t="shared" ca="1" si="2"/>
        <v>-5844.114919415768</v>
      </c>
      <c r="J56" s="584">
        <f t="shared" ca="1" si="2"/>
        <v>-5684.6025105616045</v>
      </c>
      <c r="K56" s="584">
        <f t="shared" ca="1" si="2"/>
        <v>-5570.665075665769</v>
      </c>
      <c r="L56" s="584">
        <f t="shared" ca="1" si="2"/>
        <v>-5502.302614728271</v>
      </c>
      <c r="M56" s="584">
        <f t="shared" ca="1" si="2"/>
        <v>-5479.515127749104</v>
      </c>
      <c r="N56" s="584">
        <f t="shared" ca="1" si="2"/>
        <v>-5502.302614728271</v>
      </c>
      <c r="O56" s="584">
        <f t="shared" ca="1" si="2"/>
        <v>-5570.665075665769</v>
      </c>
      <c r="P56" s="584">
        <f t="shared" ca="1" si="2"/>
        <v>-5684.6025105616045</v>
      </c>
      <c r="Q56" s="584">
        <f t="shared" ca="1" si="2"/>
        <v>-5844.114919415768</v>
      </c>
      <c r="R56" s="584">
        <f t="shared" ca="1" si="2"/>
        <v>-6049.2023022282665</v>
      </c>
      <c r="S56" s="584">
        <f t="shared" ca="1" si="2"/>
        <v>-6299.864658999104</v>
      </c>
      <c r="T56" s="584">
        <f t="shared" ca="1" si="2"/>
        <v>-6596.101989728271</v>
      </c>
      <c r="U56" s="584">
        <f t="shared" ca="1" si="2"/>
        <v>-6937.914294415768</v>
      </c>
      <c r="V56" s="584">
        <f t="shared" ca="1" si="2"/>
        <v>-7325.301573061601</v>
      </c>
      <c r="W56" s="584">
        <f t="shared" ca="1" si="2"/>
        <v>-7758.263825665768</v>
      </c>
    </row>
    <row r="57" spans="2:23" x14ac:dyDescent="0.25">
      <c r="B57" s="578" t="s">
        <v>1496</v>
      </c>
      <c r="C57" s="584">
        <f t="shared" ref="C57:W57" ca="1" si="3">$C$36*C55/10000</f>
        <v>11.62516869563672</v>
      </c>
      <c r="D57" s="584">
        <f t="shared" ca="1" si="3"/>
        <v>11.461811601920088</v>
      </c>
      <c r="E57" s="584">
        <f t="shared" ca="1" si="3"/>
        <v>11.315649991752576</v>
      </c>
      <c r="F57" s="584">
        <f t="shared" ca="1" si="3"/>
        <v>11.186683865134185</v>
      </c>
      <c r="G57" s="584">
        <f t="shared" ca="1" si="3"/>
        <v>11.07491322206491</v>
      </c>
      <c r="H57" s="584">
        <f t="shared" ca="1" si="3"/>
        <v>10.980338062544755</v>
      </c>
      <c r="I57" s="584">
        <f t="shared" ca="1" si="3"/>
        <v>10.902958386573719</v>
      </c>
      <c r="J57" s="584">
        <f t="shared" ca="1" si="3"/>
        <v>10.842774194151803</v>
      </c>
      <c r="K57" s="584">
        <f t="shared" ca="1" si="3"/>
        <v>10.799785485279003</v>
      </c>
      <c r="L57" s="584">
        <f t="shared" ca="1" si="3"/>
        <v>10.773992259955328</v>
      </c>
      <c r="M57" s="584">
        <f t="shared" ca="1" si="3"/>
        <v>10.765394518180766</v>
      </c>
      <c r="N57" s="584">
        <f t="shared" ca="1" si="3"/>
        <v>10.773992259955328</v>
      </c>
      <c r="O57" s="584">
        <f t="shared" ca="1" si="3"/>
        <v>10.799785485279003</v>
      </c>
      <c r="P57" s="584">
        <f t="shared" ca="1" si="3"/>
        <v>10.842774194151803</v>
      </c>
      <c r="Q57" s="584">
        <f t="shared" ca="1" si="3"/>
        <v>10.902958386573719</v>
      </c>
      <c r="R57" s="584">
        <f t="shared" ca="1" si="3"/>
        <v>10.980338062544755</v>
      </c>
      <c r="S57" s="584">
        <f t="shared" ca="1" si="3"/>
        <v>11.07491322206491</v>
      </c>
      <c r="T57" s="584">
        <f t="shared" ca="1" si="3"/>
        <v>11.186683865134185</v>
      </c>
      <c r="U57" s="584">
        <f t="shared" ca="1" si="3"/>
        <v>11.315649991752576</v>
      </c>
      <c r="V57" s="584">
        <f t="shared" ca="1" si="3"/>
        <v>11.461811601920088</v>
      </c>
      <c r="W57" s="584">
        <f t="shared" ca="1" si="3"/>
        <v>11.62516869563672</v>
      </c>
    </row>
    <row r="58" spans="2:23" x14ac:dyDescent="0.25">
      <c r="B58" s="578" t="s">
        <v>1497</v>
      </c>
      <c r="C58" s="584">
        <f t="shared" ref="C58:W58" ca="1" si="4">$C$36*C56/10000</f>
        <v>-4.683521201119829</v>
      </c>
      <c r="D58" s="584">
        <f t="shared" ca="1" si="4"/>
        <v>-4.422149851173219</v>
      </c>
      <c r="E58" s="584">
        <f t="shared" ca="1" si="4"/>
        <v>-4.1882912749052</v>
      </c>
      <c r="F58" s="584">
        <f t="shared" ca="1" si="4"/>
        <v>-3.9819454723157732</v>
      </c>
      <c r="G58" s="584">
        <f t="shared" ca="1" si="4"/>
        <v>-3.803112443404933</v>
      </c>
      <c r="H58" s="584">
        <f t="shared" ca="1" si="4"/>
        <v>-3.6517921881726836</v>
      </c>
      <c r="I58" s="584">
        <f t="shared" ca="1" si="4"/>
        <v>-3.527984706619027</v>
      </c>
      <c r="J58" s="584">
        <f t="shared" ca="1" si="4"/>
        <v>-3.4316899987439617</v>
      </c>
      <c r="K58" s="584">
        <f t="shared" ca="1" si="4"/>
        <v>-3.3629080645474847</v>
      </c>
      <c r="L58" s="584">
        <f t="shared" ca="1" si="4"/>
        <v>-3.3216389040295997</v>
      </c>
      <c r="M58" s="584">
        <f t="shared" ca="1" si="4"/>
        <v>-3.3078825171903046</v>
      </c>
      <c r="N58" s="584">
        <f t="shared" ca="1" si="4"/>
        <v>-3.3216389040295997</v>
      </c>
      <c r="O58" s="584">
        <f t="shared" ca="1" si="4"/>
        <v>-3.3629080645474847</v>
      </c>
      <c r="P58" s="584">
        <f t="shared" ca="1" si="4"/>
        <v>-3.4316899987439617</v>
      </c>
      <c r="Q58" s="584">
        <f t="shared" ca="1" si="4"/>
        <v>-3.527984706619027</v>
      </c>
      <c r="R58" s="584">
        <f t="shared" ca="1" si="4"/>
        <v>-3.6517921881726836</v>
      </c>
      <c r="S58" s="584">
        <f t="shared" ca="1" si="4"/>
        <v>-3.8031124434049337</v>
      </c>
      <c r="T58" s="584">
        <f t="shared" ca="1" si="4"/>
        <v>-3.9819454723157732</v>
      </c>
      <c r="U58" s="584">
        <f t="shared" ca="1" si="4"/>
        <v>-4.1882912749052</v>
      </c>
      <c r="V58" s="584">
        <f t="shared" ca="1" si="4"/>
        <v>-4.422149851173219</v>
      </c>
      <c r="W58" s="584">
        <f t="shared" ca="1" si="4"/>
        <v>-4.683521201119829</v>
      </c>
    </row>
    <row r="59" spans="2:23" x14ac:dyDescent="0.25">
      <c r="B59" s="578" t="s">
        <v>1498</v>
      </c>
      <c r="C59" s="584">
        <f t="shared" ref="C59:W59" ca="1" si="5">$C$30-$C$31-$C$32-C57</f>
        <v>130.87355463291826</v>
      </c>
      <c r="D59" s="584">
        <f t="shared" ca="1" si="5"/>
        <v>131.03691172663488</v>
      </c>
      <c r="E59" s="584">
        <f t="shared" ca="1" si="5"/>
        <v>131.1830733368024</v>
      </c>
      <c r="F59" s="584">
        <f t="shared" ca="1" si="5"/>
        <v>131.31203946342077</v>
      </c>
      <c r="G59" s="584">
        <f t="shared" ca="1" si="5"/>
        <v>131.42381010649007</v>
      </c>
      <c r="H59" s="584">
        <f t="shared" ca="1" si="5"/>
        <v>131.51838526601023</v>
      </c>
      <c r="I59" s="584">
        <f t="shared" ca="1" si="5"/>
        <v>131.59576494198126</v>
      </c>
      <c r="J59" s="584">
        <f t="shared" ca="1" si="5"/>
        <v>131.65594913440316</v>
      </c>
      <c r="K59" s="584">
        <f t="shared" ca="1" si="5"/>
        <v>131.69893784327598</v>
      </c>
      <c r="L59" s="584">
        <f t="shared" ca="1" si="5"/>
        <v>131.72473106859965</v>
      </c>
      <c r="M59" s="584">
        <f t="shared" ca="1" si="5"/>
        <v>131.73332881037422</v>
      </c>
      <c r="N59" s="584">
        <f t="shared" ca="1" si="5"/>
        <v>131.72473106859965</v>
      </c>
      <c r="O59" s="584">
        <f t="shared" ca="1" si="5"/>
        <v>131.69893784327598</v>
      </c>
      <c r="P59" s="584">
        <f t="shared" ca="1" si="5"/>
        <v>131.65594913440316</v>
      </c>
      <c r="Q59" s="584">
        <f t="shared" ca="1" si="5"/>
        <v>131.59576494198126</v>
      </c>
      <c r="R59" s="584">
        <f t="shared" ca="1" si="5"/>
        <v>131.51838526601023</v>
      </c>
      <c r="S59" s="584">
        <f t="shared" ca="1" si="5"/>
        <v>131.42381010649007</v>
      </c>
      <c r="T59" s="584">
        <f t="shared" ca="1" si="5"/>
        <v>131.31203946342077</v>
      </c>
      <c r="U59" s="584">
        <f t="shared" ca="1" si="5"/>
        <v>131.1830733368024</v>
      </c>
      <c r="V59" s="584">
        <f t="shared" ca="1" si="5"/>
        <v>131.03691172663488</v>
      </c>
      <c r="W59" s="584">
        <f t="shared" ca="1" si="5"/>
        <v>130.87355463291826</v>
      </c>
    </row>
    <row r="60" spans="2:23" x14ac:dyDescent="0.25">
      <c r="B60" s="578" t="s">
        <v>1499</v>
      </c>
      <c r="C60" s="584">
        <f t="shared" ref="C60:W60" ca="1" si="6">$C$30-$C$31-$C$32-C58</f>
        <v>147.1822445296748</v>
      </c>
      <c r="D60" s="584">
        <f t="shared" ca="1" si="6"/>
        <v>146.9208731797282</v>
      </c>
      <c r="E60" s="584">
        <f t="shared" ca="1" si="6"/>
        <v>146.68701460346017</v>
      </c>
      <c r="F60" s="584">
        <f t="shared" ca="1" si="6"/>
        <v>146.48066880087075</v>
      </c>
      <c r="G60" s="584">
        <f t="shared" ca="1" si="6"/>
        <v>146.3018357719599</v>
      </c>
      <c r="H60" s="584">
        <f t="shared" ca="1" si="6"/>
        <v>146.15051551672767</v>
      </c>
      <c r="I60" s="584">
        <f t="shared" ca="1" si="6"/>
        <v>146.026708035174</v>
      </c>
      <c r="J60" s="584">
        <f t="shared" ca="1" si="6"/>
        <v>145.93041332729894</v>
      </c>
      <c r="K60" s="584">
        <f t="shared" ca="1" si="6"/>
        <v>145.86163139310247</v>
      </c>
      <c r="L60" s="584">
        <f t="shared" ca="1" si="6"/>
        <v>145.82036223258459</v>
      </c>
      <c r="M60" s="584">
        <f t="shared" ca="1" si="6"/>
        <v>145.80660584574528</v>
      </c>
      <c r="N60" s="584">
        <f t="shared" ca="1" si="6"/>
        <v>145.82036223258459</v>
      </c>
      <c r="O60" s="584">
        <f t="shared" ca="1" si="6"/>
        <v>145.86163139310247</v>
      </c>
      <c r="P60" s="584">
        <f t="shared" ca="1" si="6"/>
        <v>145.93041332729894</v>
      </c>
      <c r="Q60" s="584">
        <f t="shared" ca="1" si="6"/>
        <v>146.026708035174</v>
      </c>
      <c r="R60" s="584">
        <f t="shared" ca="1" si="6"/>
        <v>146.15051551672767</v>
      </c>
      <c r="S60" s="584">
        <f t="shared" ca="1" si="6"/>
        <v>146.3018357719599</v>
      </c>
      <c r="T60" s="584">
        <f t="shared" ca="1" si="6"/>
        <v>146.48066880087075</v>
      </c>
      <c r="U60" s="584">
        <f t="shared" ca="1" si="6"/>
        <v>146.68701460346017</v>
      </c>
      <c r="V60" s="584">
        <f t="shared" ca="1" si="6"/>
        <v>146.9208731797282</v>
      </c>
      <c r="W60" s="584">
        <f t="shared" ca="1" si="6"/>
        <v>147.1822445296748</v>
      </c>
    </row>
    <row r="61" spans="2:23" x14ac:dyDescent="0.25">
      <c r="B61" s="578" t="s">
        <v>1500</v>
      </c>
      <c r="C61" s="585">
        <f t="shared" ref="C61:W61" ca="1" si="7">100-(C59*100)/$C$30</f>
        <v>10.544391911880894</v>
      </c>
      <c r="D61" s="585">
        <f t="shared" ca="1" si="7"/>
        <v>10.432732927795712</v>
      </c>
      <c r="E61" s="585">
        <f t="shared" ca="1" si="7"/>
        <v>10.332827520982633</v>
      </c>
      <c r="F61" s="585">
        <f t="shared" ca="1" si="7"/>
        <v>10.244675691441728</v>
      </c>
      <c r="G61" s="585">
        <f t="shared" ca="1" si="7"/>
        <v>10.168277439172883</v>
      </c>
      <c r="H61" s="585">
        <f t="shared" ca="1" si="7"/>
        <v>10.103632764176197</v>
      </c>
      <c r="I61" s="585">
        <f t="shared" ca="1" si="7"/>
        <v>10.050741666451643</v>
      </c>
      <c r="J61" s="585">
        <f t="shared" ca="1" si="7"/>
        <v>10.009604145999205</v>
      </c>
      <c r="K61" s="585">
        <f t="shared" ca="1" si="7"/>
        <v>9.980220202818884</v>
      </c>
      <c r="L61" s="585">
        <f t="shared" ca="1" si="7"/>
        <v>9.962589836910709</v>
      </c>
      <c r="M61" s="585">
        <f t="shared" ca="1" si="7"/>
        <v>9.956713048274636</v>
      </c>
      <c r="N61" s="585">
        <f t="shared" ca="1" si="7"/>
        <v>9.962589836910709</v>
      </c>
      <c r="O61" s="585">
        <f t="shared" ca="1" si="7"/>
        <v>9.980220202818884</v>
      </c>
      <c r="P61" s="585">
        <f t="shared" ca="1" si="7"/>
        <v>10.009604145999205</v>
      </c>
      <c r="Q61" s="585">
        <f t="shared" ca="1" si="7"/>
        <v>10.050741666451643</v>
      </c>
      <c r="R61" s="585">
        <f t="shared" ca="1" si="7"/>
        <v>10.103632764176197</v>
      </c>
      <c r="S61" s="585">
        <f t="shared" ca="1" si="7"/>
        <v>10.168277439172883</v>
      </c>
      <c r="T61" s="585">
        <f t="shared" ca="1" si="7"/>
        <v>10.244675691441728</v>
      </c>
      <c r="U61" s="585">
        <f t="shared" ca="1" si="7"/>
        <v>10.332827520982633</v>
      </c>
      <c r="V61" s="585">
        <f t="shared" ca="1" si="7"/>
        <v>10.432732927795712</v>
      </c>
      <c r="W61" s="585">
        <f t="shared" ca="1" si="7"/>
        <v>10.544391911880894</v>
      </c>
    </row>
    <row r="62" spans="2:23" x14ac:dyDescent="0.25">
      <c r="B62" s="578" t="s">
        <v>1501</v>
      </c>
      <c r="C62" s="585">
        <f t="shared" ref="C62:W62" ca="1" si="8">100-(C60*100)/$C$30</f>
        <v>-0.6030379560319687</v>
      </c>
      <c r="D62" s="585">
        <f t="shared" ca="1" si="8"/>
        <v>-0.42438358149568955</v>
      </c>
      <c r="E62" s="585">
        <f t="shared" ca="1" si="8"/>
        <v>-0.2645349305947775</v>
      </c>
      <c r="F62" s="585">
        <f t="shared" ca="1" si="8"/>
        <v>-0.12349200332928945</v>
      </c>
      <c r="G62" s="585">
        <f t="shared" ca="1" si="8"/>
        <v>-0.0012547996991685295</v>
      </c>
      <c r="H62" s="585">
        <f t="shared" ca="1" si="8"/>
        <v>0.10217668029551419</v>
      </c>
      <c r="I62" s="585">
        <f t="shared" ca="1" si="8"/>
        <v>0.18680243665481555</v>
      </c>
      <c r="J62" s="585">
        <f t="shared" ca="1" si="8"/>
        <v>0.25262246937872135</v>
      </c>
      <c r="K62" s="585">
        <f t="shared" ca="1" si="8"/>
        <v>0.29963677846721737</v>
      </c>
      <c r="L62" s="585">
        <f t="shared" ca="1" si="8"/>
        <v>0.3278453639203178</v>
      </c>
      <c r="M62" s="585">
        <f t="shared" ca="1" si="8"/>
        <v>0.3372482257380227</v>
      </c>
      <c r="N62" s="585">
        <f t="shared" ca="1" si="8"/>
        <v>0.3278453639203178</v>
      </c>
      <c r="O62" s="585">
        <f t="shared" ca="1" si="8"/>
        <v>0.29963677846721737</v>
      </c>
      <c r="P62" s="585">
        <f t="shared" ca="1" si="8"/>
        <v>0.25262246937872135</v>
      </c>
      <c r="Q62" s="585">
        <f t="shared" ca="1" si="8"/>
        <v>0.18680243665481555</v>
      </c>
      <c r="R62" s="585">
        <f t="shared" ca="1" si="8"/>
        <v>0.10217668029551419</v>
      </c>
      <c r="S62" s="585">
        <f t="shared" ca="1" si="8"/>
        <v>-0.0012547996991685295</v>
      </c>
      <c r="T62" s="585">
        <f t="shared" ca="1" si="8"/>
        <v>-0.12349200332928945</v>
      </c>
      <c r="U62" s="585">
        <f t="shared" ca="1" si="8"/>
        <v>-0.2645349305947775</v>
      </c>
      <c r="V62" s="585">
        <f t="shared" ca="1" si="8"/>
        <v>-0.42438358149568955</v>
      </c>
      <c r="W62" s="585">
        <f t="shared" ca="1" si="8"/>
        <v>-0.6030379560319687</v>
      </c>
    </row>
    <row r="64" spans="2:23" x14ac:dyDescent="0.25">
      <c r="B64" s="836" t="s">
        <v>1502</v>
      </c>
      <c r="C64" s="836"/>
      <c r="D64" s="836"/>
      <c r="E64" s="836"/>
      <c r="F64" s="836"/>
      <c r="G64" s="836"/>
      <c r="H64" s="836"/>
      <c r="I64" s="836"/>
      <c r="J64" s="836"/>
      <c r="K64" s="836"/>
      <c r="L64" s="836"/>
      <c r="M64" s="836"/>
      <c r="N64" s="836"/>
      <c r="O64" s="836"/>
      <c r="P64" s="836"/>
      <c r="Q64" s="836"/>
      <c r="R64" s="836"/>
      <c r="S64" s="836"/>
      <c r="T64" s="836"/>
      <c r="U64" s="836"/>
      <c r="V64" s="836"/>
      <c r="W64" s="836"/>
    </row>
    <row r="65" spans="2:23" x14ac:dyDescent="0.25">
      <c r="B65" s="578" t="s">
        <v>1503</v>
      </c>
      <c r="C65" s="582">
        <f t="shared" ref="C65:W65" ca="1" si="9">$C$23*C59+$C$24*C60</f>
        <v>1465.7838118886843</v>
      </c>
      <c r="D65" s="582">
        <f t="shared" ca="1" si="9"/>
        <v>1467.6134113383107</v>
      </c>
      <c r="E65" s="582">
        <f t="shared" ca="1" si="9"/>
        <v>1469.2504213721868</v>
      </c>
      <c r="F65" s="582">
        <f t="shared" ca="1" si="9"/>
        <v>1470.6948419903126</v>
      </c>
      <c r="G65" s="582">
        <f t="shared" ca="1" si="9"/>
        <v>1471.9466731926886</v>
      </c>
      <c r="H65" s="582">
        <f t="shared" ca="1" si="9"/>
        <v>1473.0059149793144</v>
      </c>
      <c r="I65" s="582">
        <f t="shared" ca="1" si="9"/>
        <v>1473.87256735019</v>
      </c>
      <c r="J65" s="582">
        <f t="shared" ca="1" si="9"/>
        <v>1474.5466303053154</v>
      </c>
      <c r="K65" s="582">
        <f t="shared" ca="1" si="9"/>
        <v>1475.028103844691</v>
      </c>
      <c r="L65" s="582">
        <f t="shared" ca="1" si="9"/>
        <v>1475.316987968316</v>
      </c>
      <c r="M65" s="582">
        <f t="shared" ca="1" si="9"/>
        <v>1475.413282676191</v>
      </c>
      <c r="N65" s="582">
        <f t="shared" ca="1" si="9"/>
        <v>1475.316987968316</v>
      </c>
      <c r="O65" s="582">
        <f t="shared" ca="1" si="9"/>
        <v>1475.028103844691</v>
      </c>
      <c r="P65" s="582">
        <f t="shared" ca="1" si="9"/>
        <v>1474.5466303053154</v>
      </c>
      <c r="Q65" s="582">
        <f t="shared" ca="1" si="9"/>
        <v>1473.87256735019</v>
      </c>
      <c r="R65" s="582">
        <f t="shared" ca="1" si="9"/>
        <v>1473.0059149793144</v>
      </c>
      <c r="S65" s="582">
        <f t="shared" ca="1" si="9"/>
        <v>1471.9466731926886</v>
      </c>
      <c r="T65" s="582">
        <f t="shared" ca="1" si="9"/>
        <v>1470.6948419903126</v>
      </c>
      <c r="U65" s="582">
        <f t="shared" ca="1" si="9"/>
        <v>1469.2504213721868</v>
      </c>
      <c r="V65" s="582">
        <f t="shared" ca="1" si="9"/>
        <v>1467.6134113383107</v>
      </c>
      <c r="W65" s="582">
        <f t="shared" ca="1" si="9"/>
        <v>1465.7838118886843</v>
      </c>
    </row>
    <row r="66" spans="2:23" x14ac:dyDescent="0.25">
      <c r="B66" s="578" t="s">
        <v>1504</v>
      </c>
      <c r="C66" s="582">
        <f t="shared" ref="C66:W66" ca="1" si="10">$C$23*C59*$C$25/100-$C$24*C60*$C$26/100</f>
        <v>274.8344647291283</v>
      </c>
      <c r="D66" s="582">
        <f t="shared" ca="1" si="10"/>
        <v>275.17751462593327</v>
      </c>
      <c r="E66" s="582">
        <f t="shared" ca="1" si="10"/>
        <v>275.484454007285</v>
      </c>
      <c r="F66" s="582">
        <f t="shared" ca="1" si="10"/>
        <v>275.7552828731836</v>
      </c>
      <c r="G66" s="582">
        <f t="shared" ca="1" si="10"/>
        <v>275.9900012236291</v>
      </c>
      <c r="H66" s="582">
        <f t="shared" ca="1" si="10"/>
        <v>276.18860905862147</v>
      </c>
      <c r="I66" s="582">
        <f t="shared" ca="1" si="10"/>
        <v>276.35110637816064</v>
      </c>
      <c r="J66" s="582">
        <f t="shared" ca="1" si="10"/>
        <v>276.47749318224663</v>
      </c>
      <c r="K66" s="582">
        <f t="shared" ca="1" si="10"/>
        <v>276.56776947087957</v>
      </c>
      <c r="L66" s="582">
        <f t="shared" ca="1" si="10"/>
        <v>276.6219352440592</v>
      </c>
      <c r="M66" s="582">
        <f t="shared" ca="1" si="10"/>
        <v>276.63999050178586</v>
      </c>
      <c r="N66" s="582">
        <f t="shared" ca="1" si="10"/>
        <v>276.6219352440592</v>
      </c>
      <c r="O66" s="582">
        <f t="shared" ca="1" si="10"/>
        <v>276.56776947087957</v>
      </c>
      <c r="P66" s="582">
        <f t="shared" ca="1" si="10"/>
        <v>276.47749318224663</v>
      </c>
      <c r="Q66" s="582">
        <f t="shared" ca="1" si="10"/>
        <v>276.35110637816064</v>
      </c>
      <c r="R66" s="582">
        <f t="shared" ca="1" si="10"/>
        <v>276.18860905862147</v>
      </c>
      <c r="S66" s="582">
        <f t="shared" ca="1" si="10"/>
        <v>275.9900012236291</v>
      </c>
      <c r="T66" s="582">
        <f t="shared" ca="1" si="10"/>
        <v>275.7552828731836</v>
      </c>
      <c r="U66" s="582">
        <f t="shared" ca="1" si="10"/>
        <v>275.484454007285</v>
      </c>
      <c r="V66" s="582">
        <f t="shared" ca="1" si="10"/>
        <v>275.17751462593327</v>
      </c>
      <c r="W66" s="582">
        <f t="shared" ca="1" si="10"/>
        <v>274.8344647291283</v>
      </c>
    </row>
    <row r="67" spans="2:23" x14ac:dyDescent="0.25">
      <c r="B67" s="578" t="s">
        <v>1505</v>
      </c>
      <c r="C67" s="584">
        <f t="shared" ref="C67:W67" ca="1" si="11">(C65/($C$27/100^2)+(C66-C$15)/($C$28/100^4)*$C$25/100)*$C$39</f>
        <v>43787.385245365294</v>
      </c>
      <c r="D67" s="584">
        <f t="shared" ca="1" si="11"/>
        <v>43172.084067170945</v>
      </c>
      <c r="E67" s="584">
        <f t="shared" ca="1" si="11"/>
        <v>42621.55143404969</v>
      </c>
      <c r="F67" s="584">
        <f t="shared" ca="1" si="11"/>
        <v>42135.7873460015</v>
      </c>
      <c r="G67" s="584">
        <f t="shared" ca="1" si="11"/>
        <v>41714.79180302643</v>
      </c>
      <c r="H67" s="584">
        <f t="shared" ca="1" si="11"/>
        <v>41358.56480512445</v>
      </c>
      <c r="I67" s="584">
        <f t="shared" ca="1" si="11"/>
        <v>41067.10635229553</v>
      </c>
      <c r="J67" s="584">
        <f t="shared" ca="1" si="11"/>
        <v>40840.41644453972</v>
      </c>
      <c r="K67" s="584">
        <f t="shared" ca="1" si="11"/>
        <v>40678.495081857</v>
      </c>
      <c r="L67" s="584">
        <f t="shared" ca="1" si="11"/>
        <v>40581.34226424736</v>
      </c>
      <c r="M67" s="584">
        <f t="shared" ca="1" si="11"/>
        <v>40548.95799171082</v>
      </c>
      <c r="N67" s="584">
        <f t="shared" ca="1" si="11"/>
        <v>40581.34226424736</v>
      </c>
      <c r="O67" s="584">
        <f t="shared" ca="1" si="11"/>
        <v>40678.495081857</v>
      </c>
      <c r="P67" s="584">
        <f t="shared" ca="1" si="11"/>
        <v>40840.41644453972</v>
      </c>
      <c r="Q67" s="584">
        <f t="shared" ca="1" si="11"/>
        <v>41067.10635229553</v>
      </c>
      <c r="R67" s="584">
        <f t="shared" ca="1" si="11"/>
        <v>41358.56480512445</v>
      </c>
      <c r="S67" s="584">
        <f t="shared" ca="1" si="11"/>
        <v>41714.79180302643</v>
      </c>
      <c r="T67" s="584">
        <f t="shared" ca="1" si="11"/>
        <v>42135.7873460015</v>
      </c>
      <c r="U67" s="584">
        <f t="shared" ca="1" si="11"/>
        <v>42621.55143404969</v>
      </c>
      <c r="V67" s="584">
        <f t="shared" ca="1" si="11"/>
        <v>43172.084067170945</v>
      </c>
      <c r="W67" s="584">
        <f t="shared" ca="1" si="11"/>
        <v>43787.385245365294</v>
      </c>
    </row>
    <row r="68" spans="2:23" x14ac:dyDescent="0.25">
      <c r="B68" s="578" t="s">
        <v>1506</v>
      </c>
      <c r="C68" s="584">
        <f t="shared" ref="C68:W68" ca="1" si="12">((C$16*$C$41+C$17*$C$42)*$C$25/100)/($C$28/100^4)</f>
        <v>0.0</v>
      </c>
      <c r="D68" s="584">
        <f t="shared" ca="1" si="12"/>
        <v>3049.1294783283624</v>
      </c>
      <c r="E68" s="584">
        <f t="shared" ca="1" si="12"/>
        <v>5777.29795893795</v>
      </c>
      <c r="F68" s="584">
        <f t="shared" ca="1" si="12"/>
        <v>8184.505441828763</v>
      </c>
      <c r="G68" s="584">
        <f t="shared" ca="1" si="12"/>
        <v>10270.7519270008</v>
      </c>
      <c r="H68" s="584">
        <f t="shared" ca="1" si="12"/>
        <v>12036.037414454062</v>
      </c>
      <c r="I68" s="584">
        <f t="shared" ca="1" si="12"/>
        <v>13480.361904188545</v>
      </c>
      <c r="J68" s="584">
        <f t="shared" ca="1" si="12"/>
        <v>14603.725396204265</v>
      </c>
      <c r="K68" s="584">
        <f t="shared" ca="1" si="12"/>
        <v>15406.1278905012</v>
      </c>
      <c r="L68" s="584">
        <f t="shared" ca="1" si="12"/>
        <v>15887.569387079362</v>
      </c>
      <c r="M68" s="584">
        <f t="shared" ca="1" si="12"/>
        <v>16048.04988593875</v>
      </c>
      <c r="N68" s="584">
        <f t="shared" ca="1" si="12"/>
        <v>15887.569387079358</v>
      </c>
      <c r="O68" s="584">
        <f t="shared" ca="1" si="12"/>
        <v>15406.127890501195</v>
      </c>
      <c r="P68" s="584">
        <f t="shared" ca="1" si="12"/>
        <v>14603.72539620426</v>
      </c>
      <c r="Q68" s="584">
        <f t="shared" ca="1" si="12"/>
        <v>13480.361904188556</v>
      </c>
      <c r="R68" s="584">
        <f t="shared" ca="1" si="12"/>
        <v>12036.037414454064</v>
      </c>
      <c r="S68" s="584">
        <f t="shared" ca="1" si="12"/>
        <v>10270.7519270008</v>
      </c>
      <c r="T68" s="584">
        <f t="shared" ca="1" si="12"/>
        <v>8184.505441828765</v>
      </c>
      <c r="U68" s="584">
        <f t="shared" ca="1" si="12"/>
        <v>5777.29795893795</v>
      </c>
      <c r="V68" s="584">
        <f t="shared" ca="1" si="12"/>
        <v>3049.129478328368</v>
      </c>
      <c r="W68" s="584">
        <f t="shared" ca="1" si="12"/>
        <v>0.0</v>
      </c>
    </row>
    <row r="69" spans="2:23" x14ac:dyDescent="0.25">
      <c r="B69" s="578" t="s">
        <v>1507</v>
      </c>
      <c r="C69" s="584">
        <f t="shared" ref="C69:W69" ca="1" si="13">((C$19*$C$43+C$18*$C$44)*$C$51)/($C$29/100^4)</f>
        <v>0.0</v>
      </c>
      <c r="D69" s="584">
        <f t="shared" ca="1" si="13"/>
        <v>220.0922105508589</v>
      </c>
      <c r="E69" s="584">
        <f t="shared" ca="1" si="13"/>
        <v>417.01681999110104</v>
      </c>
      <c r="F69" s="584">
        <f t="shared" ca="1" si="13"/>
        <v>590.7738283207265</v>
      </c>
      <c r="G69" s="584">
        <f t="shared" ca="1" si="13"/>
        <v>741.3632355397353</v>
      </c>
      <c r="H69" s="584">
        <f t="shared" ca="1" si="13"/>
        <v>868.7850416481272</v>
      </c>
      <c r="I69" s="584">
        <f t="shared" ca="1" si="13"/>
        <v>973.0392466459023</v>
      </c>
      <c r="J69" s="584">
        <f t="shared" ca="1" si="13"/>
        <v>1054.125850533061</v>
      </c>
      <c r="K69" s="584">
        <f t="shared" ca="1" si="13"/>
        <v>1112.0448533096028</v>
      </c>
      <c r="L69" s="584">
        <f t="shared" ca="1" si="13"/>
        <v>1146.796254975528</v>
      </c>
      <c r="M69" s="584">
        <f t="shared" ca="1" si="13"/>
        <v>1158.3800555308362</v>
      </c>
      <c r="N69" s="584">
        <f t="shared" ca="1" si="13"/>
        <v>1146.7962549755277</v>
      </c>
      <c r="O69" s="584">
        <f t="shared" ca="1" si="13"/>
        <v>1112.0448533096026</v>
      </c>
      <c r="P69" s="584">
        <f t="shared" ca="1" si="13"/>
        <v>1054.1258505330607</v>
      </c>
      <c r="Q69" s="584">
        <f t="shared" ca="1" si="13"/>
        <v>973.0392466459028</v>
      </c>
      <c r="R69" s="584">
        <f t="shared" ca="1" si="13"/>
        <v>868.785041648128</v>
      </c>
      <c r="S69" s="584">
        <f t="shared" ca="1" si="13"/>
        <v>741.363235539735</v>
      </c>
      <c r="T69" s="584">
        <f t="shared" ca="1" si="13"/>
        <v>590.773828320727</v>
      </c>
      <c r="U69" s="584">
        <f t="shared" ca="1" si="13"/>
        <v>417.0168199911012</v>
      </c>
      <c r="V69" s="584">
        <f t="shared" ca="1" si="13"/>
        <v>220.0922105508591</v>
      </c>
      <c r="W69" s="584">
        <f t="shared" ca="1" si="13"/>
        <v>0.0</v>
      </c>
    </row>
    <row r="70" spans="2:23" x14ac:dyDescent="0.25">
      <c r="B70" s="578" t="s">
        <v>1508</v>
      </c>
      <c r="C70" s="584">
        <f t="shared" ref="C70:W70" ca="1" si="14">$C$46*((C$20*$C$51)/($C$29/100^4))*$C$45</f>
        <v>0.0</v>
      </c>
      <c r="D70" s="584">
        <f t="shared" ca="1" si="14"/>
        <v>2058.7497984796087</v>
      </c>
      <c r="E70" s="584">
        <f t="shared" ca="1" si="14"/>
        <v>3900.7890918561006</v>
      </c>
      <c r="F70" s="584">
        <f t="shared" ca="1" si="14"/>
        <v>5526.117880129476</v>
      </c>
      <c r="G70" s="584">
        <f t="shared" ca="1" si="14"/>
        <v>6934.7361632997345</v>
      </c>
      <c r="H70" s="584">
        <f t="shared" ca="1" si="14"/>
        <v>8126.643941366877</v>
      </c>
      <c r="I70" s="584">
        <f t="shared" ca="1" si="14"/>
        <v>9101.841214330901</v>
      </c>
      <c r="J70" s="584">
        <f t="shared" ca="1" si="14"/>
        <v>9860.327982191811</v>
      </c>
      <c r="K70" s="584">
        <f t="shared" ca="1" si="14"/>
        <v>10402.104244949602</v>
      </c>
      <c r="L70" s="584">
        <f t="shared" ca="1" si="14"/>
        <v>10727.17000260428</v>
      </c>
      <c r="M70" s="584">
        <f t="shared" ca="1" si="14"/>
        <v>10835.525255155839</v>
      </c>
      <c r="N70" s="584">
        <f t="shared" ca="1" si="14"/>
        <v>10727.170002604276</v>
      </c>
      <c r="O70" s="584">
        <f t="shared" ca="1" si="14"/>
        <v>10402.104244949602</v>
      </c>
      <c r="P70" s="584">
        <f t="shared" ca="1" si="14"/>
        <v>9860.327982191811</v>
      </c>
      <c r="Q70" s="584">
        <f t="shared" ca="1" si="14"/>
        <v>9101.841214330907</v>
      </c>
      <c r="R70" s="584">
        <f t="shared" ca="1" si="14"/>
        <v>8126.643941366877</v>
      </c>
      <c r="S70" s="584">
        <f t="shared" ca="1" si="14"/>
        <v>6934.7361632997345</v>
      </c>
      <c r="T70" s="584">
        <f t="shared" ca="1" si="14"/>
        <v>5526.117880129482</v>
      </c>
      <c r="U70" s="584">
        <f t="shared" ca="1" si="14"/>
        <v>3900.789091856104</v>
      </c>
      <c r="V70" s="584">
        <f t="shared" ca="1" si="14"/>
        <v>2058.7497984796137</v>
      </c>
      <c r="W70" s="584">
        <f t="shared" ca="1" si="14"/>
        <v>0.0</v>
      </c>
    </row>
    <row r="71" spans="2:23" x14ac:dyDescent="0.25">
      <c r="B71" s="578" t="s">
        <v>1509</v>
      </c>
      <c r="C71" s="584">
        <f t="shared" ref="C71:W71" ca="1" si="15">$C$38*(C67-C68-C69-C70)/100^2</f>
        <v>22.11596931244684</v>
      </c>
      <c r="D71" s="584">
        <f t="shared" ca="1" si="15"/>
        <v>19.11416330940877</v>
      </c>
      <c r="E71" s="584">
        <f t="shared" ca="1" si="15"/>
        <v>16.42833688563786</v>
      </c>
      <c r="F71" s="584">
        <f t="shared" ca="1" si="15"/>
        <v>14.058490041134114</v>
      </c>
      <c r="G71" s="584">
        <f t="shared" ca="1" si="15"/>
        <v>12.004622775897545</v>
      </c>
      <c r="H71" s="584">
        <f t="shared" ca="1" si="15"/>
        <v>10.266735089928137</v>
      </c>
      <c r="I71" s="584">
        <f t="shared" ca="1" si="15"/>
        <v>8.844826983225886</v>
      </c>
      <c r="J71" s="584">
        <f t="shared" ca="1" si="15"/>
        <v>7.738898455790803</v>
      </c>
      <c r="K71" s="584">
        <f t="shared" ca="1" si="15"/>
        <v>6.9489495076228955</v>
      </c>
      <c r="L71" s="584">
        <f t="shared" ca="1" si="15"/>
        <v>6.474980138722142</v>
      </c>
      <c r="M71" s="584">
        <f t="shared" ca="1" si="15"/>
        <v>6.31699034908856</v>
      </c>
      <c r="N71" s="584">
        <f t="shared" ca="1" si="15"/>
        <v>6.474980138722146</v>
      </c>
      <c r="O71" s="584">
        <f t="shared" ca="1" si="15"/>
        <v>6.948949507622898</v>
      </c>
      <c r="P71" s="584">
        <f t="shared" ca="1" si="15"/>
        <v>7.738898455790806</v>
      </c>
      <c r="Q71" s="584">
        <f t="shared" ca="1" si="15"/>
        <v>8.844826983225879</v>
      </c>
      <c r="R71" s="584">
        <f t="shared" ca="1" si="15"/>
        <v>10.266735089928137</v>
      </c>
      <c r="S71" s="584">
        <f t="shared" ca="1" si="15"/>
        <v>12.004622775897545</v>
      </c>
      <c r="T71" s="584">
        <f t="shared" ca="1" si="15"/>
        <v>14.05849004113411</v>
      </c>
      <c r="U71" s="584">
        <f t="shared" ca="1" si="15"/>
        <v>16.42833688563786</v>
      </c>
      <c r="V71" s="584">
        <f t="shared" ca="1" si="15"/>
        <v>19.114163309408763</v>
      </c>
      <c r="W71" s="584">
        <f t="shared" ca="1" si="15"/>
        <v>22.11596931244684</v>
      </c>
    </row>
    <row r="72" spans="2:23" x14ac:dyDescent="0.25">
      <c r="B72" s="578" t="s">
        <v>1510</v>
      </c>
      <c r="C72" s="584">
        <f t="shared" ref="C72:W72" ca="1" si="16">(C65/($C$27/100^2)+(-C66+C$15)/($C$28/100^4)*$C$26/100)*$C$40</f>
        <v>-17640.960962161553</v>
      </c>
      <c r="D72" s="584">
        <f t="shared" ca="1" si="16"/>
        <v>-16591.049572189328</v>
      </c>
      <c r="E72" s="584">
        <f t="shared" ca="1" si="16"/>
        <v>-15651.655170635226</v>
      </c>
      <c r="F72" s="584">
        <f t="shared" ca="1" si="16"/>
        <v>-14822.777757499245</v>
      </c>
      <c r="G72" s="584">
        <f t="shared" ca="1" si="16"/>
        <v>-14104.417332781402</v>
      </c>
      <c r="H72" s="584">
        <f t="shared" ca="1" si="16"/>
        <v>-13496.573896481696</v>
      </c>
      <c r="I72" s="584">
        <f t="shared" ca="1" si="16"/>
        <v>-12999.247448600114</v>
      </c>
      <c r="J72" s="584">
        <f t="shared" ca="1" si="16"/>
        <v>-12612.437989136653</v>
      </c>
      <c r="K72" s="584">
        <f t="shared" ca="1" si="16"/>
        <v>-12336.145518091325</v>
      </c>
      <c r="L72" s="584">
        <f t="shared" ca="1" si="16"/>
        <v>-12170.37003546413</v>
      </c>
      <c r="M72" s="584">
        <f t="shared" ca="1" si="16"/>
        <v>-12115.111541255072</v>
      </c>
      <c r="N72" s="584">
        <f t="shared" ca="1" si="16"/>
        <v>-12170.37003546413</v>
      </c>
      <c r="O72" s="584">
        <f t="shared" ca="1" si="16"/>
        <v>-12336.145518091325</v>
      </c>
      <c r="P72" s="584">
        <f t="shared" ca="1" si="16"/>
        <v>-12612.437989136653</v>
      </c>
      <c r="Q72" s="584">
        <f t="shared" ca="1" si="16"/>
        <v>-12999.247448600114</v>
      </c>
      <c r="R72" s="584">
        <f t="shared" ca="1" si="16"/>
        <v>-13496.573896481696</v>
      </c>
      <c r="S72" s="584">
        <f t="shared" ca="1" si="16"/>
        <v>-14104.417332781406</v>
      </c>
      <c r="T72" s="584">
        <f t="shared" ca="1" si="16"/>
        <v>-14822.777757499245</v>
      </c>
      <c r="U72" s="584">
        <f t="shared" ca="1" si="16"/>
        <v>-15651.655170635226</v>
      </c>
      <c r="V72" s="584">
        <f t="shared" ca="1" si="16"/>
        <v>-16591.049572189328</v>
      </c>
      <c r="W72" s="584">
        <f t="shared" ca="1" si="16"/>
        <v>-17640.960962161553</v>
      </c>
    </row>
    <row r="73" spans="2:23" x14ac:dyDescent="0.25">
      <c r="B73" s="578" t="s">
        <v>1511</v>
      </c>
      <c r="C73" s="584">
        <f t="shared" ref="C73:W73" ca="1" si="17">((C$16*$C$41+C$17*$C$42)*$C$26/100)/($C$28/100^4)</f>
        <v>0.0</v>
      </c>
      <c r="D73" s="584">
        <f t="shared" ca="1" si="17"/>
        <v>4878.607165325379</v>
      </c>
      <c r="E73" s="584">
        <f t="shared" ca="1" si="17"/>
        <v>9243.676734300721</v>
      </c>
      <c r="F73" s="584">
        <f t="shared" ca="1" si="17"/>
        <v>13095.20870692602</v>
      </c>
      <c r="G73" s="584">
        <f t="shared" ca="1" si="17"/>
        <v>16433.20308320128</v>
      </c>
      <c r="H73" s="584">
        <f t="shared" ca="1" si="17"/>
        <v>19257.6598631265</v>
      </c>
      <c r="I73" s="584">
        <f t="shared" ca="1" si="17"/>
        <v>21568.579046701674</v>
      </c>
      <c r="J73" s="584">
        <f t="shared" ca="1" si="17"/>
        <v>23365.960633926825</v>
      </c>
      <c r="K73" s="584">
        <f t="shared" ca="1" si="17"/>
        <v>24649.804624801916</v>
      </c>
      <c r="L73" s="584">
        <f t="shared" ca="1" si="17"/>
        <v>25420.11101932698</v>
      </c>
      <c r="M73" s="584">
        <f t="shared" ca="1" si="17"/>
        <v>25676.879817502</v>
      </c>
      <c r="N73" s="584">
        <f t="shared" ca="1" si="17"/>
        <v>25420.111019326978</v>
      </c>
      <c r="O73" s="584">
        <f t="shared" ca="1" si="17"/>
        <v>24649.804624801913</v>
      </c>
      <c r="P73" s="584">
        <f t="shared" ca="1" si="17"/>
        <v>23365.960633926814</v>
      </c>
      <c r="Q73" s="584">
        <f t="shared" ca="1" si="17"/>
        <v>21568.57904670169</v>
      </c>
      <c r="R73" s="584">
        <f t="shared" ca="1" si="17"/>
        <v>19257.659863126504</v>
      </c>
      <c r="S73" s="584">
        <f t="shared" ca="1" si="17"/>
        <v>16433.20308320128</v>
      </c>
      <c r="T73" s="584">
        <f t="shared" ca="1" si="17"/>
        <v>13095.208706926023</v>
      </c>
      <c r="U73" s="584">
        <f t="shared" ca="1" si="17"/>
        <v>9243.676734300721</v>
      </c>
      <c r="V73" s="584">
        <f t="shared" ca="1" si="17"/>
        <v>4878.607165325388</v>
      </c>
      <c r="W73" s="584">
        <f t="shared" ca="1" si="17"/>
        <v>0.0</v>
      </c>
    </row>
    <row r="74" spans="2:23" x14ac:dyDescent="0.25">
      <c r="B74" s="578" t="s">
        <v>1512</v>
      </c>
      <c r="C74" s="584">
        <f t="shared" ref="C74:W74" ca="1" si="18">((C$19*$C$43+C$18*$C$44)*$C$52)/($C$29/100^4)</f>
        <v>0.0</v>
      </c>
      <c r="D74" s="584">
        <f t="shared" ca="1" si="18"/>
        <v>47.39332927886055</v>
      </c>
      <c r="E74" s="584">
        <f t="shared" ca="1" si="18"/>
        <v>89.79788705468314</v>
      </c>
      <c r="F74" s="584">
        <f t="shared" ca="1" si="18"/>
        <v>127.21367332746779</v>
      </c>
      <c r="G74" s="584">
        <f t="shared" ca="1" si="18"/>
        <v>159.6406880972145</v>
      </c>
      <c r="H74" s="584">
        <f t="shared" ca="1" si="18"/>
        <v>187.07893136392323</v>
      </c>
      <c r="I74" s="584">
        <f t="shared" ca="1" si="18"/>
        <v>209.52840312759395</v>
      </c>
      <c r="J74" s="584">
        <f t="shared" ca="1" si="18"/>
        <v>226.98910338822685</v>
      </c>
      <c r="K74" s="584">
        <f t="shared" ca="1" si="18"/>
        <v>239.4610321458217</v>
      </c>
      <c r="L74" s="584">
        <f t="shared" ca="1" si="18"/>
        <v>246.94418940037863</v>
      </c>
      <c r="M74" s="584">
        <f t="shared" ca="1" si="18"/>
        <v>249.43857515189762</v>
      </c>
      <c r="N74" s="584">
        <f t="shared" ca="1" si="18"/>
        <v>246.9441894003786</v>
      </c>
      <c r="O74" s="584">
        <f t="shared" ca="1" si="18"/>
        <v>239.46103214582166</v>
      </c>
      <c r="P74" s="584">
        <f t="shared" ca="1" si="18"/>
        <v>226.98910338822677</v>
      </c>
      <c r="Q74" s="584">
        <f t="shared" ca="1" si="18"/>
        <v>209.52840312759406</v>
      </c>
      <c r="R74" s="584">
        <f t="shared" ca="1" si="18"/>
        <v>187.0789313639234</v>
      </c>
      <c r="S74" s="584">
        <f t="shared" ca="1" si="18"/>
        <v>159.64068809721442</v>
      </c>
      <c r="T74" s="584">
        <f t="shared" ca="1" si="18"/>
        <v>127.2136733274679</v>
      </c>
      <c r="U74" s="584">
        <f t="shared" ca="1" si="18"/>
        <v>89.79788705468319</v>
      </c>
      <c r="V74" s="584">
        <f t="shared" ca="1" si="18"/>
        <v>47.39332927886059</v>
      </c>
      <c r="W74" s="584">
        <f t="shared" ca="1" si="18"/>
        <v>0.0</v>
      </c>
    </row>
    <row r="75" spans="2:23" x14ac:dyDescent="0.25">
      <c r="B75" s="578" t="s">
        <v>1513</v>
      </c>
      <c r="C75" s="584">
        <f t="shared" ref="C75:W75" ca="1" si="19">$C$46*((C$20*$C$52)/($C$29/100^4))*$C$45</f>
        <v>0.0</v>
      </c>
      <c r="D75" s="584">
        <f t="shared" ca="1" si="19"/>
        <v>443.3187656115852</v>
      </c>
      <c r="E75" s="584">
        <f t="shared" ca="1" si="19"/>
        <v>839.9723980008986</v>
      </c>
      <c r="F75" s="584">
        <f t="shared" ca="1" si="19"/>
        <v>1189.9608971679397</v>
      </c>
      <c r="G75" s="584">
        <f t="shared" ca="1" si="19"/>
        <v>1493.2842631127085</v>
      </c>
      <c r="H75" s="584">
        <f t="shared" ca="1" si="19"/>
        <v>1749.9424958352054</v>
      </c>
      <c r="I75" s="584">
        <f t="shared" ca="1" si="19"/>
        <v>1959.9355953354295</v>
      </c>
      <c r="J75" s="584">
        <f t="shared" ca="1" si="19"/>
        <v>2123.2635616133825</v>
      </c>
      <c r="K75" s="584">
        <f t="shared" ca="1" si="19"/>
        <v>2239.926394669062</v>
      </c>
      <c r="L75" s="584">
        <f t="shared" ca="1" si="19"/>
        <v>2309.9240945024712</v>
      </c>
      <c r="M75" s="584">
        <f t="shared" ca="1" si="19"/>
        <v>2333.2566611136076</v>
      </c>
      <c r="N75" s="584">
        <f t="shared" ca="1" si="19"/>
        <v>2309.92409450247</v>
      </c>
      <c r="O75" s="584">
        <f t="shared" ca="1" si="19"/>
        <v>2239.926394669062</v>
      </c>
      <c r="P75" s="584">
        <f t="shared" ca="1" si="19"/>
        <v>2123.2635616133825</v>
      </c>
      <c r="Q75" s="584">
        <f t="shared" ca="1" si="19"/>
        <v>1959.935595335431</v>
      </c>
      <c r="R75" s="584">
        <f t="shared" ca="1" si="19"/>
        <v>1749.9424958352054</v>
      </c>
      <c r="S75" s="584">
        <f t="shared" ca="1" si="19"/>
        <v>1493.284263112708</v>
      </c>
      <c r="T75" s="584">
        <f t="shared" ca="1" si="19"/>
        <v>1189.9608971679404</v>
      </c>
      <c r="U75" s="584">
        <f t="shared" ca="1" si="19"/>
        <v>839.9723980008991</v>
      </c>
      <c r="V75" s="584">
        <f t="shared" ca="1" si="19"/>
        <v>443.3187656115863</v>
      </c>
      <c r="W75" s="584">
        <f t="shared" ca="1" si="19"/>
        <v>0.0</v>
      </c>
    </row>
    <row r="76" spans="2:23" x14ac:dyDescent="0.25">
      <c r="B76" s="578" t="s">
        <v>1514</v>
      </c>
      <c r="C76" s="584">
        <f t="shared" ref="C76:W76" ca="1" si="20">$C$38*ABS(-C72-C73-C74-C75)/100^2</f>
        <v>8.910030802136854</v>
      </c>
      <c r="D76" s="584">
        <f t="shared" ca="1" si="20"/>
        <v>5.667829714459353</v>
      </c>
      <c r="E76" s="584">
        <f t="shared" ca="1" si="20"/>
        <v>2.7669129518005326</v>
      </c>
      <c r="F76" s="584">
        <f t="shared" ca="1" si="20"/>
        <v>0.20728051416039467</v>
      </c>
      <c r="G76" s="584">
        <f t="shared" ca="1" si="20"/>
        <v>2.011067598461055</v>
      </c>
      <c r="H76" s="584">
        <f t="shared" ca="1" si="20"/>
        <v>3.8881313860638183</v>
      </c>
      <c r="I76" s="584">
        <f t="shared" ca="1" si="20"/>
        <v>5.423910848647894</v>
      </c>
      <c r="J76" s="584">
        <f t="shared" ca="1" si="20"/>
        <v>6.6184059862133</v>
      </c>
      <c r="K76" s="584">
        <f t="shared" ca="1" si="20"/>
        <v>7.47161679876001</v>
      </c>
      <c r="L76" s="584">
        <f t="shared" ca="1" si="20"/>
        <v>7.98354328628804</v>
      </c>
      <c r="M76" s="584">
        <f t="shared" ca="1" si="20"/>
        <v>8.154185448797378</v>
      </c>
      <c r="N76" s="584">
        <f t="shared" ca="1" si="20"/>
        <v>7.983543286288038</v>
      </c>
      <c r="O76" s="584">
        <f t="shared" ca="1" si="20"/>
        <v>7.4716167987600075</v>
      </c>
      <c r="P76" s="584">
        <f t="shared" ca="1" si="20"/>
        <v>6.618405986213294</v>
      </c>
      <c r="Q76" s="584">
        <f t="shared" ca="1" si="20"/>
        <v>5.423910848647903</v>
      </c>
      <c r="R76" s="584">
        <f t="shared" ca="1" si="20"/>
        <v>3.8881313860638205</v>
      </c>
      <c r="S76" s="584">
        <f t="shared" ca="1" si="20"/>
        <v>2.011067598461053</v>
      </c>
      <c r="T76" s="584">
        <f t="shared" ca="1" si="20"/>
        <v>0.20728051416039248</v>
      </c>
      <c r="U76" s="584">
        <f t="shared" ca="1" si="20"/>
        <v>2.766912951800532</v>
      </c>
      <c r="V76" s="584">
        <f t="shared" ca="1" si="20"/>
        <v>5.667829714459347</v>
      </c>
      <c r="W76" s="584">
        <f t="shared" ca="1" si="20"/>
        <v>8.910030802136854</v>
      </c>
    </row>
    <row r="77" spans="2:23" x14ac:dyDescent="0.25">
      <c r="B77" s="578" t="s">
        <v>2217</v>
      </c>
      <c r="C77" s="584">
        <f ca="1">C59/Geometria!$L$88</f>
        <v>0.6888081822785171</v>
      </c>
      <c r="D77" s="584">
        <f ca="1">D59/Geometria!$L$88</f>
        <v>0.6896679564559731</v>
      </c>
      <c r="E77" s="584">
        <f ca="1">E59/Geometria!$L$88</f>
        <v>0.6904372280884338</v>
      </c>
      <c r="F77" s="584">
        <f ca="1">F59/Geometria!$L$88</f>
        <v>0.6911159971758988</v>
      </c>
      <c r="G77" s="584">
        <f ca="1">G59/Geometria!$L$88</f>
        <v>0.6917042637183688</v>
      </c>
      <c r="H77" s="584">
        <f ca="1">H59/Geometria!$L$88</f>
        <v>0.6922020277158433</v>
      </c>
      <c r="I77" s="584">
        <f ca="1">I59/Geometria!$L$88</f>
        <v>0.6926092891683224</v>
      </c>
      <c r="J77" s="584">
        <f ca="1">J59/Geometria!$L$88</f>
        <v>0.692926048075806</v>
      </c>
      <c r="K77" s="584">
        <f ca="1">K59/Geometria!$L$88</f>
        <v>0.6931523044382947</v>
      </c>
      <c r="L77" s="584">
        <f ca="1">L59/Geometria!$L$88</f>
        <v>0.6932880582557877</v>
      </c>
      <c r="M77" s="584">
        <f ca="1">M59/Geometria!$L$88</f>
        <v>0.6933333095282853</v>
      </c>
      <c r="N77" s="584">
        <f ca="1">N59/Geometria!$L$88</f>
        <v>0.6932880582557877</v>
      </c>
      <c r="O77" s="584">
        <f ca="1">O59/Geometria!$L$88</f>
        <v>0.6931523044382947</v>
      </c>
      <c r="P77" s="584">
        <f ca="1">P59/Geometria!$L$88</f>
        <v>0.692926048075806</v>
      </c>
      <c r="Q77" s="584">
        <f ca="1">Q59/Geometria!$L$88</f>
        <v>0.6926092891683224</v>
      </c>
      <c r="R77" s="584">
        <f ca="1">R59/Geometria!$L$88</f>
        <v>0.6922020277158433</v>
      </c>
      <c r="S77" s="584">
        <f ca="1">S59/Geometria!$L$88</f>
        <v>0.6917042637183688</v>
      </c>
      <c r="T77" s="584">
        <f ca="1">T59/Geometria!$L$88</f>
        <v>0.6911159971758988</v>
      </c>
      <c r="U77" s="584">
        <f ca="1">U59/Geometria!$L$88</f>
        <v>0.6904372280884338</v>
      </c>
      <c r="V77" s="584">
        <f ca="1">V59/Geometria!$L$88</f>
        <v>0.6896679564559731</v>
      </c>
      <c r="W77" s="584">
        <f ca="1">W59/Geometria!$L$88</f>
        <v>0.6888081822785171</v>
      </c>
    </row>
    <row r="78" spans="2:23" x14ac:dyDescent="0.25">
      <c r="B78" s="578" t="s">
        <v>2218</v>
      </c>
      <c r="C78" s="584">
        <f ca="1">C60/Geometria!$L$88</f>
        <v>0.7746433922614463</v>
      </c>
      <c r="D78" s="584">
        <f ca="1">D60/Geometria!$L$88</f>
        <v>0.7732677535775169</v>
      </c>
      <c r="E78" s="584">
        <f ca="1">E60/Geometria!$L$88</f>
        <v>0.7720369189655798</v>
      </c>
      <c r="F78" s="584">
        <f ca="1">F60/Geometria!$L$88</f>
        <v>0.7709508884256355</v>
      </c>
      <c r="G78" s="584">
        <f ca="1">G60/Geometria!$L$88</f>
        <v>0.7700096619576837</v>
      </c>
      <c r="H78" s="584">
        <f ca="1">H60/Geometria!$L$88</f>
        <v>0.7692132395617246</v>
      </c>
      <c r="I78" s="584">
        <f ca="1">I60/Geometria!$L$88</f>
        <v>0.768561621237758</v>
      </c>
      <c r="J78" s="584">
        <f ca="1">J60/Geometria!$L$88</f>
        <v>0.7680548069857839</v>
      </c>
      <c r="K78" s="584">
        <f ca="1">K60/Geometria!$L$88</f>
        <v>0.7676927968058025</v>
      </c>
      <c r="L78" s="584">
        <f ca="1">L60/Geometria!$L$88</f>
        <v>0.7674755906978136</v>
      </c>
      <c r="M78" s="584">
        <f ca="1">M60/Geometria!$L$88</f>
        <v>0.7674031886618172</v>
      </c>
      <c r="N78" s="584">
        <f ca="1">N60/Geometria!$L$88</f>
        <v>0.7674755906978136</v>
      </c>
      <c r="O78" s="584">
        <f ca="1">O60/Geometria!$L$88</f>
        <v>0.7676927968058025</v>
      </c>
      <c r="P78" s="584">
        <f ca="1">P60/Geometria!$L$88</f>
        <v>0.7680548069857839</v>
      </c>
      <c r="Q78" s="584">
        <f ca="1">Q60/Geometria!$L$88</f>
        <v>0.768561621237758</v>
      </c>
      <c r="R78" s="584">
        <f ca="1">R60/Geometria!$L$88</f>
        <v>0.7692132395617246</v>
      </c>
      <c r="S78" s="584">
        <f ca="1">S60/Geometria!$L$88</f>
        <v>0.7700096619576837</v>
      </c>
      <c r="T78" s="584">
        <f ca="1">T60/Geometria!$L$88</f>
        <v>0.7709508884256355</v>
      </c>
      <c r="U78" s="584">
        <f ca="1">U60/Geometria!$L$88</f>
        <v>0.7720369189655798</v>
      </c>
      <c r="V78" s="584">
        <f ca="1">V60/Geometria!$L$88</f>
        <v>0.7732677535775169</v>
      </c>
      <c r="W78" s="584">
        <f ca="1">W60/Geometria!$L$88</f>
        <v>0.7746433922614463</v>
      </c>
    </row>
    <row r="79" spans="2:23" x14ac:dyDescent="0.25">
      <c r="B79" s="578" t="s">
        <v>1515</v>
      </c>
      <c r="C79" s="584">
        <f ca="1">IF(C77&lt;=INDEX(Geometria!$O$357:$O$360,1),0,INDEX(Geometria!$P$357:$P$360,MIN(MATCH(C77,Geometria!$O$357:$O$360,1),3))+(C77-INDEX(Geometria!$O$357:$O$360,MIN(MATCH(C77,Geometria!$O$357:$O$360,1),3)))*(INDEX(Geometria!$P$357:$P$360,MIN(MATCH(C77,Geometria!$O$357:$O$360,1),3)+1)-INDEX(Geometria!$P$357:$P$360,MIN(MATCH(C77,Geometria!$O$357:$O$360,1),3)))/(INDEX(Geometria!$O$357:$O$360,MIN(MATCH(C77,Geometria!$O$357:$O$360,1),3)+1)-INDEX(Geometria!$O$357:$O$360,MIN(MATCH(C77,Geometria!$O$357:$O$360,1),3))))</f>
        <v>2.3656981873422063</v>
      </c>
      <c r="D79" s="584">
        <f ca="1">IF(D77&lt;=INDEX(Geometria!$O$357:$O$360,1),0,INDEX(Geometria!$P$357:$P$360,MIN(MATCH(D77,Geometria!$O$357:$O$360,1),3))+(D77-INDEX(Geometria!$O$357:$O$360,MIN(MATCH(D77,Geometria!$O$357:$O$360,1),3)))*(INDEX(Geometria!$P$357:$P$360,MIN(MATCH(D77,Geometria!$O$357:$O$360,1),3)+1)-INDEX(Geometria!$P$357:$P$360,MIN(MATCH(D77,Geometria!$O$357:$O$360,1),3)))/(INDEX(Geometria!$O$357:$O$360,MIN(MATCH(D77,Geometria!$O$357:$O$360,1),3)+1)-INDEX(Geometria!$O$357:$O$360,MIN(MATCH(D77,Geometria!$O$357:$O$360,1),3))))</f>
        <v>2.376015477471678</v>
      </c>
      <c r="E79" s="584">
        <f ca="1">IF(E77&lt;=INDEX(Geometria!$O$357:$O$360,1),0,INDEX(Geometria!$P$357:$P$360,MIN(MATCH(E77,Geometria!$O$357:$O$360,1),3))+(E77-INDEX(Geometria!$O$357:$O$360,MIN(MATCH(E77,Geometria!$O$357:$O$360,1),3)))*(INDEX(Geometria!$P$357:$P$360,MIN(MATCH(E77,Geometria!$O$357:$O$360,1),3)+1)-INDEX(Geometria!$P$357:$P$360,MIN(MATCH(E77,Geometria!$O$357:$O$360,1),3)))/(INDEX(Geometria!$O$357:$O$360,MIN(MATCH(E77,Geometria!$O$357:$O$360,1),3)+1)-INDEX(Geometria!$O$357:$O$360,MIN(MATCH(E77,Geometria!$O$357:$O$360,1),3))))</f>
        <v>2.385246737061206</v>
      </c>
      <c r="F79" s="584">
        <f ca="1">IF(F77&lt;=INDEX(Geometria!$O$357:$O$360,1),0,INDEX(Geometria!$P$357:$P$360,MIN(MATCH(F77,Geometria!$O$357:$O$360,1),3))+(F77-INDEX(Geometria!$O$357:$O$360,MIN(MATCH(F77,Geometria!$O$357:$O$360,1),3)))*(INDEX(Geometria!$P$357:$P$360,MIN(MATCH(F77,Geometria!$O$357:$O$360,1),3)+1)-INDEX(Geometria!$P$357:$P$360,MIN(MATCH(F77,Geometria!$O$357:$O$360,1),3)))/(INDEX(Geometria!$O$357:$O$360,MIN(MATCH(F77,Geometria!$O$357:$O$360,1),3)+1)-INDEX(Geometria!$O$357:$O$360,MIN(MATCH(F77,Geometria!$O$357:$O$360,1),3))))</f>
        <v>2.393391966110786</v>
      </c>
      <c r="G79" s="584">
        <f ca="1">IF(G77&lt;=INDEX(Geometria!$O$357:$O$360,1),0,INDEX(Geometria!$P$357:$P$360,MIN(MATCH(G77,Geometria!$O$357:$O$360,1),3))+(G77-INDEX(Geometria!$O$357:$O$360,MIN(MATCH(G77,Geometria!$O$357:$O$360,1),3)))*(INDEX(Geometria!$P$357:$P$360,MIN(MATCH(G77,Geometria!$O$357:$O$360,1),3)+1)-INDEX(Geometria!$P$357:$P$360,MIN(MATCH(G77,Geometria!$O$357:$O$360,1),3)))/(INDEX(Geometria!$O$357:$O$360,MIN(MATCH(G77,Geometria!$O$357:$O$360,1),3)+1)-INDEX(Geometria!$O$357:$O$360,MIN(MATCH(G77,Geometria!$O$357:$O$360,1),3))))</f>
        <v>2.400451164620426</v>
      </c>
      <c r="H79" s="584">
        <f ca="1">IF(H77&lt;=INDEX(Geometria!$O$357:$O$360,1),0,INDEX(Geometria!$P$357:$P$360,MIN(MATCH(H77,Geometria!$O$357:$O$360,1),3))+(H77-INDEX(Geometria!$O$357:$O$360,MIN(MATCH(H77,Geometria!$O$357:$O$360,1),3)))*(INDEX(Geometria!$P$357:$P$360,MIN(MATCH(H77,Geometria!$O$357:$O$360,1),3)+1)-INDEX(Geometria!$P$357:$P$360,MIN(MATCH(H77,Geometria!$O$357:$O$360,1),3)))/(INDEX(Geometria!$O$357:$O$360,MIN(MATCH(H77,Geometria!$O$357:$O$360,1),3)+1)-INDEX(Geometria!$O$357:$O$360,MIN(MATCH(H77,Geometria!$O$357:$O$360,1),3))))</f>
        <v>2.40642433259012</v>
      </c>
      <c r="I79" s="584">
        <f ca="1">IF(I77&lt;=INDEX(Geometria!$O$357:$O$360,1),0,INDEX(Geometria!$P$357:$P$360,MIN(MATCH(I77,Geometria!$O$357:$O$360,1),3))+(I77-INDEX(Geometria!$O$357:$O$360,MIN(MATCH(I77,Geometria!$O$357:$O$360,1),3)))*(INDEX(Geometria!$P$357:$P$360,MIN(MATCH(I77,Geometria!$O$357:$O$360,1),3)+1)-INDEX(Geometria!$P$357:$P$360,MIN(MATCH(I77,Geometria!$O$357:$O$360,1),3)))/(INDEX(Geometria!$O$357:$O$360,MIN(MATCH(I77,Geometria!$O$357:$O$360,1),3)+1)-INDEX(Geometria!$O$357:$O$360,MIN(MATCH(I77,Geometria!$O$357:$O$360,1),3))))</f>
        <v>2.4113114700198697</v>
      </c>
      <c r="J79" s="584">
        <f ca="1">IF(J77&lt;=INDEX(Geometria!$O$357:$O$360,1),0,INDEX(Geometria!$P$357:$P$360,MIN(MATCH(J77,Geometria!$O$357:$O$360,1),3))+(J77-INDEX(Geometria!$O$357:$O$360,MIN(MATCH(J77,Geometria!$O$357:$O$360,1),3)))*(INDEX(Geometria!$P$357:$P$360,MIN(MATCH(J77,Geometria!$O$357:$O$360,1),3)+1)-INDEX(Geometria!$P$357:$P$360,MIN(MATCH(J77,Geometria!$O$357:$O$360,1),3)))/(INDEX(Geometria!$O$357:$O$360,MIN(MATCH(J77,Geometria!$O$357:$O$360,1),3)+1)-INDEX(Geometria!$O$357:$O$360,MIN(MATCH(J77,Geometria!$O$357:$O$360,1),3))))</f>
        <v>2.415112576909673</v>
      </c>
      <c r="K79" s="584">
        <f ca="1">IF(K77&lt;=INDEX(Geometria!$O$357:$O$360,1),0,INDEX(Geometria!$P$357:$P$360,MIN(MATCH(K77,Geometria!$O$357:$O$360,1),3))+(K77-INDEX(Geometria!$O$357:$O$360,MIN(MATCH(K77,Geometria!$O$357:$O$360,1),3)))*(INDEX(Geometria!$P$357:$P$360,MIN(MATCH(K77,Geometria!$O$357:$O$360,1),3)+1)-INDEX(Geometria!$P$357:$P$360,MIN(MATCH(K77,Geometria!$O$357:$O$360,1),3)))/(INDEX(Geometria!$O$357:$O$360,MIN(MATCH(K77,Geometria!$O$357:$O$360,1),3)+1)-INDEX(Geometria!$O$357:$O$360,MIN(MATCH(K77,Geometria!$O$357:$O$360,1),3))))</f>
        <v>2.4178276532595366</v>
      </c>
      <c r="L79" s="584">
        <f ca="1">IF(L77&lt;=INDEX(Geometria!$O$357:$O$360,1),0,INDEX(Geometria!$P$357:$P$360,MIN(MATCH(L77,Geometria!$O$357:$O$360,1),3))+(L77-INDEX(Geometria!$O$357:$O$360,MIN(MATCH(L77,Geometria!$O$357:$O$360,1),3)))*(INDEX(Geometria!$P$357:$P$360,MIN(MATCH(L77,Geometria!$O$357:$O$360,1),3)+1)-INDEX(Geometria!$P$357:$P$360,MIN(MATCH(L77,Geometria!$O$357:$O$360,1),3)))/(INDEX(Geometria!$O$357:$O$360,MIN(MATCH(L77,Geometria!$O$357:$O$360,1),3)+1)-INDEX(Geometria!$O$357:$O$360,MIN(MATCH(L77,Geometria!$O$357:$O$360,1),3))))</f>
        <v>2.4194566990694524</v>
      </c>
      <c r="M79" s="584">
        <f ca="1">IF(M77&lt;=INDEX(Geometria!$O$357:$O$360,1),0,INDEX(Geometria!$P$357:$P$360,MIN(MATCH(M77,Geometria!$O$357:$O$360,1),3))+(M77-INDEX(Geometria!$O$357:$O$360,MIN(MATCH(M77,Geometria!$O$357:$O$360,1),3)))*(INDEX(Geometria!$P$357:$P$360,MIN(MATCH(M77,Geometria!$O$357:$O$360,1),3)+1)-INDEX(Geometria!$P$357:$P$360,MIN(MATCH(M77,Geometria!$O$357:$O$360,1),3)))/(INDEX(Geometria!$O$357:$O$360,MIN(MATCH(M77,Geometria!$O$357:$O$360,1),3)+1)-INDEX(Geometria!$O$357:$O$360,MIN(MATCH(M77,Geometria!$O$357:$O$360,1),3))))</f>
        <v>2.4199997143394243</v>
      </c>
      <c r="N79" s="584">
        <f ca="1">IF(N77&lt;=INDEX(Geometria!$O$357:$O$360,1),0,INDEX(Geometria!$P$357:$P$360,MIN(MATCH(N77,Geometria!$O$357:$O$360,1),3))+(N77-INDEX(Geometria!$O$357:$O$360,MIN(MATCH(N77,Geometria!$O$357:$O$360,1),3)))*(INDEX(Geometria!$P$357:$P$360,MIN(MATCH(N77,Geometria!$O$357:$O$360,1),3)+1)-INDEX(Geometria!$P$357:$P$360,MIN(MATCH(N77,Geometria!$O$357:$O$360,1),3)))/(INDEX(Geometria!$O$357:$O$360,MIN(MATCH(N77,Geometria!$O$357:$O$360,1),3)+1)-INDEX(Geometria!$O$357:$O$360,MIN(MATCH(N77,Geometria!$O$357:$O$360,1),3))))</f>
        <v>2.4194566990694524</v>
      </c>
      <c r="O79" s="584">
        <f ca="1">IF(O77&lt;=INDEX(Geometria!$O$357:$O$360,1),0,INDEX(Geometria!$P$357:$P$360,MIN(MATCH(O77,Geometria!$O$357:$O$360,1),3))+(O77-INDEX(Geometria!$O$357:$O$360,MIN(MATCH(O77,Geometria!$O$357:$O$360,1),3)))*(INDEX(Geometria!$P$357:$P$360,MIN(MATCH(O77,Geometria!$O$357:$O$360,1),3)+1)-INDEX(Geometria!$P$357:$P$360,MIN(MATCH(O77,Geometria!$O$357:$O$360,1),3)))/(INDEX(Geometria!$O$357:$O$360,MIN(MATCH(O77,Geometria!$O$357:$O$360,1),3)+1)-INDEX(Geometria!$O$357:$O$360,MIN(MATCH(O77,Geometria!$O$357:$O$360,1),3))))</f>
        <v>2.4178276532595366</v>
      </c>
      <c r="P79" s="584">
        <f ca="1">IF(P77&lt;=INDEX(Geometria!$O$357:$O$360,1),0,INDEX(Geometria!$P$357:$P$360,MIN(MATCH(P77,Geometria!$O$357:$O$360,1),3))+(P77-INDEX(Geometria!$O$357:$O$360,MIN(MATCH(P77,Geometria!$O$357:$O$360,1),3)))*(INDEX(Geometria!$P$357:$P$360,MIN(MATCH(P77,Geometria!$O$357:$O$360,1),3)+1)-INDEX(Geometria!$P$357:$P$360,MIN(MATCH(P77,Geometria!$O$357:$O$360,1),3)))/(INDEX(Geometria!$O$357:$O$360,MIN(MATCH(P77,Geometria!$O$357:$O$360,1),3)+1)-INDEX(Geometria!$O$357:$O$360,MIN(MATCH(P77,Geometria!$O$357:$O$360,1),3))))</f>
        <v>2.415112576909673</v>
      </c>
      <c r="Q79" s="584">
        <f ca="1">IF(Q77&lt;=INDEX(Geometria!$O$357:$O$360,1),0,INDEX(Geometria!$P$357:$P$360,MIN(MATCH(Q77,Geometria!$O$357:$O$360,1),3))+(Q77-INDEX(Geometria!$O$357:$O$360,MIN(MATCH(Q77,Geometria!$O$357:$O$360,1),3)))*(INDEX(Geometria!$P$357:$P$360,MIN(MATCH(Q77,Geometria!$O$357:$O$360,1),3)+1)-INDEX(Geometria!$P$357:$P$360,MIN(MATCH(Q77,Geometria!$O$357:$O$360,1),3)))/(INDEX(Geometria!$O$357:$O$360,MIN(MATCH(Q77,Geometria!$O$357:$O$360,1),3)+1)-INDEX(Geometria!$O$357:$O$360,MIN(MATCH(Q77,Geometria!$O$357:$O$360,1),3))))</f>
        <v>2.4113114700198697</v>
      </c>
      <c r="R79" s="584">
        <f ca="1">IF(R77&lt;=INDEX(Geometria!$O$357:$O$360,1),0,INDEX(Geometria!$P$357:$P$360,MIN(MATCH(R77,Geometria!$O$357:$O$360,1),3))+(R77-INDEX(Geometria!$O$357:$O$360,MIN(MATCH(R77,Geometria!$O$357:$O$360,1),3)))*(INDEX(Geometria!$P$357:$P$360,MIN(MATCH(R77,Geometria!$O$357:$O$360,1),3)+1)-INDEX(Geometria!$P$357:$P$360,MIN(MATCH(R77,Geometria!$O$357:$O$360,1),3)))/(INDEX(Geometria!$O$357:$O$360,MIN(MATCH(R77,Geometria!$O$357:$O$360,1),3)+1)-INDEX(Geometria!$O$357:$O$360,MIN(MATCH(R77,Geometria!$O$357:$O$360,1),3))))</f>
        <v>2.40642433259012</v>
      </c>
      <c r="S79" s="584">
        <f ca="1">IF(S77&lt;=INDEX(Geometria!$O$357:$O$360,1),0,INDEX(Geometria!$P$357:$P$360,MIN(MATCH(S77,Geometria!$O$357:$O$360,1),3))+(S77-INDEX(Geometria!$O$357:$O$360,MIN(MATCH(S77,Geometria!$O$357:$O$360,1),3)))*(INDEX(Geometria!$P$357:$P$360,MIN(MATCH(S77,Geometria!$O$357:$O$360,1),3)+1)-INDEX(Geometria!$P$357:$P$360,MIN(MATCH(S77,Geometria!$O$357:$O$360,1),3)))/(INDEX(Geometria!$O$357:$O$360,MIN(MATCH(S77,Geometria!$O$357:$O$360,1),3)+1)-INDEX(Geometria!$O$357:$O$360,MIN(MATCH(S77,Geometria!$O$357:$O$360,1),3))))</f>
        <v>2.400451164620426</v>
      </c>
      <c r="T79" s="584">
        <f ca="1">IF(T77&lt;=INDEX(Geometria!$O$357:$O$360,1),0,INDEX(Geometria!$P$357:$P$360,MIN(MATCH(T77,Geometria!$O$357:$O$360,1),3))+(T77-INDEX(Geometria!$O$357:$O$360,MIN(MATCH(T77,Geometria!$O$357:$O$360,1),3)))*(INDEX(Geometria!$P$357:$P$360,MIN(MATCH(T77,Geometria!$O$357:$O$360,1),3)+1)-INDEX(Geometria!$P$357:$P$360,MIN(MATCH(T77,Geometria!$O$357:$O$360,1),3)))/(INDEX(Geometria!$O$357:$O$360,MIN(MATCH(T77,Geometria!$O$357:$O$360,1),3)+1)-INDEX(Geometria!$O$357:$O$360,MIN(MATCH(T77,Geometria!$O$357:$O$360,1),3))))</f>
        <v>2.393391966110786</v>
      </c>
      <c r="U79" s="584">
        <f ca="1">IF(U77&lt;=INDEX(Geometria!$O$357:$O$360,1),0,INDEX(Geometria!$P$357:$P$360,MIN(MATCH(U77,Geometria!$O$357:$O$360,1),3))+(U77-INDEX(Geometria!$O$357:$O$360,MIN(MATCH(U77,Geometria!$O$357:$O$360,1),3)))*(INDEX(Geometria!$P$357:$P$360,MIN(MATCH(U77,Geometria!$O$357:$O$360,1),3)+1)-INDEX(Geometria!$P$357:$P$360,MIN(MATCH(U77,Geometria!$O$357:$O$360,1),3)))/(INDEX(Geometria!$O$357:$O$360,MIN(MATCH(U77,Geometria!$O$357:$O$360,1),3)+1)-INDEX(Geometria!$O$357:$O$360,MIN(MATCH(U77,Geometria!$O$357:$O$360,1),3))))</f>
        <v>2.385246737061206</v>
      </c>
      <c r="V79" s="584">
        <f ca="1">IF(V77&lt;=INDEX(Geometria!$O$357:$O$360,1),0,INDEX(Geometria!$P$357:$P$360,MIN(MATCH(V77,Geometria!$O$357:$O$360,1),3))+(V77-INDEX(Geometria!$O$357:$O$360,MIN(MATCH(V77,Geometria!$O$357:$O$360,1),3)))*(INDEX(Geometria!$P$357:$P$360,MIN(MATCH(V77,Geometria!$O$357:$O$360,1),3)+1)-INDEX(Geometria!$P$357:$P$360,MIN(MATCH(V77,Geometria!$O$357:$O$360,1),3)))/(INDEX(Geometria!$O$357:$O$360,MIN(MATCH(V77,Geometria!$O$357:$O$360,1),3)+1)-INDEX(Geometria!$O$357:$O$360,MIN(MATCH(V77,Geometria!$O$357:$O$360,1),3))))</f>
        <v>2.376015477471678</v>
      </c>
      <c r="W79" s="584">
        <f ca="1">IF(W77&lt;=INDEX(Geometria!$O$357:$O$360,1),0,INDEX(Geometria!$P$357:$P$360,MIN(MATCH(W77,Geometria!$O$357:$O$360,1),3))+(W77-INDEX(Geometria!$O$357:$O$360,MIN(MATCH(W77,Geometria!$O$357:$O$360,1),3)))*(INDEX(Geometria!$P$357:$P$360,MIN(MATCH(W77,Geometria!$O$357:$O$360,1),3)+1)-INDEX(Geometria!$P$357:$P$360,MIN(MATCH(W77,Geometria!$O$357:$O$360,1),3)))/(INDEX(Geometria!$O$357:$O$360,MIN(MATCH(W77,Geometria!$O$357:$O$360,1),3)+1)-INDEX(Geometria!$O$357:$O$360,MIN(MATCH(W77,Geometria!$O$357:$O$360,1),3))))</f>
        <v>2.3656981873422063</v>
      </c>
    </row>
    <row r="80" spans="2:23" x14ac:dyDescent="0.25">
      <c r="B80" s="578" t="s">
        <v>1516</v>
      </c>
      <c r="C80" s="584">
        <f ca="1">IF(C78&lt;=INDEX(Geometria!$O$357:$O$360,1),0,INDEX(Geometria!$P$357:$P$360,MIN(MATCH(C78,Geometria!$O$357:$O$360,1),3))+(C78-INDEX(Geometria!$O$357:$O$360,MIN(MATCH(C78,Geometria!$O$357:$O$360,1),3)))*(INDEX(Geometria!$P$357:$P$360,MIN(MATCH(C78,Geometria!$O$357:$O$360,1),3)+1)-INDEX(Geometria!$P$357:$P$360,MIN(MATCH(C78,Geometria!$O$357:$O$360,1),3)))/(INDEX(Geometria!$O$357:$O$360,MIN(MATCH(C78,Geometria!$O$357:$O$360,1),3)+1)-INDEX(Geometria!$O$357:$O$360,MIN(MATCH(C78,Geometria!$O$357:$O$360,1),3))))</f>
        <v>3.2464339226144627</v>
      </c>
      <c r="D80" s="584">
        <f ca="1">IF(D78&lt;=INDEX(Geometria!$O$357:$O$360,1),0,INDEX(Geometria!$P$357:$P$360,MIN(MATCH(D78,Geometria!$O$357:$O$360,1),3))+(D78-INDEX(Geometria!$O$357:$O$360,MIN(MATCH(D78,Geometria!$O$357:$O$360,1),3)))*(INDEX(Geometria!$P$357:$P$360,MIN(MATCH(D78,Geometria!$O$357:$O$360,1),3)+1)-INDEX(Geometria!$P$357:$P$360,MIN(MATCH(D78,Geometria!$O$357:$O$360,1),3)))/(INDEX(Geometria!$O$357:$O$360,MIN(MATCH(D78,Geometria!$O$357:$O$360,1),3)+1)-INDEX(Geometria!$O$357:$O$360,MIN(MATCH(D78,Geometria!$O$357:$O$360,1),3))))</f>
        <v>3.2326775357751685</v>
      </c>
      <c r="E80" s="584">
        <f ca="1">IF(E78&lt;=INDEX(Geometria!$O$357:$O$360,1),0,INDEX(Geometria!$P$357:$P$360,MIN(MATCH(E78,Geometria!$O$357:$O$360,1),3))+(E78-INDEX(Geometria!$O$357:$O$360,MIN(MATCH(E78,Geometria!$O$357:$O$360,1),3)))*(INDEX(Geometria!$P$357:$P$360,MIN(MATCH(E78,Geometria!$O$357:$O$360,1),3)+1)-INDEX(Geometria!$P$357:$P$360,MIN(MATCH(E78,Geometria!$O$357:$O$360,1),3)))/(INDEX(Geometria!$O$357:$O$360,MIN(MATCH(E78,Geometria!$O$357:$O$360,1),3)+1)-INDEX(Geometria!$O$357:$O$360,MIN(MATCH(E78,Geometria!$O$357:$O$360,1),3))))</f>
        <v>3.2203691896557975</v>
      </c>
      <c r="F80" s="584">
        <f ca="1">IF(F78&lt;=INDEX(Geometria!$O$357:$O$360,1),0,INDEX(Geometria!$P$357:$P$360,MIN(MATCH(F78,Geometria!$O$357:$O$360,1),3))+(F78-INDEX(Geometria!$O$357:$O$360,MIN(MATCH(F78,Geometria!$O$357:$O$360,1),3)))*(INDEX(Geometria!$P$357:$P$360,MIN(MATCH(F78,Geometria!$O$357:$O$360,1),3)+1)-INDEX(Geometria!$P$357:$P$360,MIN(MATCH(F78,Geometria!$O$357:$O$360,1),3)))/(INDEX(Geometria!$O$357:$O$360,MIN(MATCH(F78,Geometria!$O$357:$O$360,1),3)+1)-INDEX(Geometria!$O$357:$O$360,MIN(MATCH(F78,Geometria!$O$357:$O$360,1),3))))</f>
        <v>3.209508884256355</v>
      </c>
      <c r="G80" s="584">
        <f ca="1">IF(G78&lt;=INDEX(Geometria!$O$357:$O$360,1),0,INDEX(Geometria!$P$357:$P$360,MIN(MATCH(G78,Geometria!$O$357:$O$360,1),3))+(G78-INDEX(Geometria!$O$357:$O$360,MIN(MATCH(G78,Geometria!$O$357:$O$360,1),3)))*(INDEX(Geometria!$P$357:$P$360,MIN(MATCH(G78,Geometria!$O$357:$O$360,1),3)+1)-INDEX(Geometria!$P$357:$P$360,MIN(MATCH(G78,Geometria!$O$357:$O$360,1),3)))/(INDEX(Geometria!$O$357:$O$360,MIN(MATCH(G78,Geometria!$O$357:$O$360,1),3)+1)-INDEX(Geometria!$O$357:$O$360,MIN(MATCH(G78,Geometria!$O$357:$O$360,1),3))))</f>
        <v>3.200096619576837</v>
      </c>
      <c r="H80" s="584">
        <f ca="1">IF(H78&lt;=INDEX(Geometria!$O$357:$O$360,1),0,INDEX(Geometria!$P$357:$P$360,MIN(MATCH(H78,Geometria!$O$357:$O$360,1),3))+(H78-INDEX(Geometria!$O$357:$O$360,MIN(MATCH(H78,Geometria!$O$357:$O$360,1),3)))*(INDEX(Geometria!$P$357:$P$360,MIN(MATCH(H78,Geometria!$O$357:$O$360,1),3)+1)-INDEX(Geometria!$P$357:$P$360,MIN(MATCH(H78,Geometria!$O$357:$O$360,1),3)))/(INDEX(Geometria!$O$357:$O$360,MIN(MATCH(H78,Geometria!$O$357:$O$360,1),3)+1)-INDEX(Geometria!$O$357:$O$360,MIN(MATCH(H78,Geometria!$O$357:$O$360,1),3))))</f>
        <v>3.1921323956172456</v>
      </c>
      <c r="I80" s="584">
        <f ca="1">IF(I78&lt;=INDEX(Geometria!$O$357:$O$360,1),0,INDEX(Geometria!$P$357:$P$360,MIN(MATCH(I78,Geometria!$O$357:$O$360,1),3))+(I78-INDEX(Geometria!$O$357:$O$360,MIN(MATCH(I78,Geometria!$O$357:$O$360,1),3)))*(INDEX(Geometria!$P$357:$P$360,MIN(MATCH(I78,Geometria!$O$357:$O$360,1),3)+1)-INDEX(Geometria!$P$357:$P$360,MIN(MATCH(I78,Geometria!$O$357:$O$360,1),3)))/(INDEX(Geometria!$O$357:$O$360,MIN(MATCH(I78,Geometria!$O$357:$O$360,1),3)+1)-INDEX(Geometria!$O$357:$O$360,MIN(MATCH(I78,Geometria!$O$357:$O$360,1),3))))</f>
        <v>3.1856162123775795</v>
      </c>
      <c r="J80" s="584">
        <f ca="1">IF(J78&lt;=INDEX(Geometria!$O$357:$O$360,1),0,INDEX(Geometria!$P$357:$P$360,MIN(MATCH(J78,Geometria!$O$357:$O$360,1),3))+(J78-INDEX(Geometria!$O$357:$O$360,MIN(MATCH(J78,Geometria!$O$357:$O$360,1),3)))*(INDEX(Geometria!$P$357:$P$360,MIN(MATCH(J78,Geometria!$O$357:$O$360,1),3)+1)-INDEX(Geometria!$P$357:$P$360,MIN(MATCH(J78,Geometria!$O$357:$O$360,1),3)))/(INDEX(Geometria!$O$357:$O$360,MIN(MATCH(J78,Geometria!$O$357:$O$360,1),3)+1)-INDEX(Geometria!$O$357:$O$360,MIN(MATCH(J78,Geometria!$O$357:$O$360,1),3))))</f>
        <v>3.1805480698578386</v>
      </c>
      <c r="K80" s="584">
        <f ca="1">IF(K78&lt;=INDEX(Geometria!$O$357:$O$360,1),0,INDEX(Geometria!$P$357:$P$360,MIN(MATCH(K78,Geometria!$O$357:$O$360,1),3))+(K78-INDEX(Geometria!$O$357:$O$360,MIN(MATCH(K78,Geometria!$O$357:$O$360,1),3)))*(INDEX(Geometria!$P$357:$P$360,MIN(MATCH(K78,Geometria!$O$357:$O$360,1),3)+1)-INDEX(Geometria!$P$357:$P$360,MIN(MATCH(K78,Geometria!$O$357:$O$360,1),3)))/(INDEX(Geometria!$O$357:$O$360,MIN(MATCH(K78,Geometria!$O$357:$O$360,1),3)+1)-INDEX(Geometria!$O$357:$O$360,MIN(MATCH(K78,Geometria!$O$357:$O$360,1),3))))</f>
        <v>3.176927968058025</v>
      </c>
      <c r="L80" s="584">
        <f ca="1">IF(L78&lt;=INDEX(Geometria!$O$357:$O$360,1),0,INDEX(Geometria!$P$357:$P$360,MIN(MATCH(L78,Geometria!$O$357:$O$360,1),3))+(L78-INDEX(Geometria!$O$357:$O$360,MIN(MATCH(L78,Geometria!$O$357:$O$360,1),3)))*(INDEX(Geometria!$P$357:$P$360,MIN(MATCH(L78,Geometria!$O$357:$O$360,1),3)+1)-INDEX(Geometria!$P$357:$P$360,MIN(MATCH(L78,Geometria!$O$357:$O$360,1),3)))/(INDEX(Geometria!$O$357:$O$360,MIN(MATCH(L78,Geometria!$O$357:$O$360,1),3)+1)-INDEX(Geometria!$O$357:$O$360,MIN(MATCH(L78,Geometria!$O$357:$O$360,1),3))))</f>
        <v>3.1747559069781355</v>
      </c>
      <c r="M80" s="584">
        <f ca="1">IF(M78&lt;=INDEX(Geometria!$O$357:$O$360,1),0,INDEX(Geometria!$P$357:$P$360,MIN(MATCH(M78,Geometria!$O$357:$O$360,1),3))+(M78-INDEX(Geometria!$O$357:$O$360,MIN(MATCH(M78,Geometria!$O$357:$O$360,1),3)))*(INDEX(Geometria!$P$357:$P$360,MIN(MATCH(M78,Geometria!$O$357:$O$360,1),3)+1)-INDEX(Geometria!$P$357:$P$360,MIN(MATCH(M78,Geometria!$O$357:$O$360,1),3)))/(INDEX(Geometria!$O$357:$O$360,MIN(MATCH(M78,Geometria!$O$357:$O$360,1),3)+1)-INDEX(Geometria!$O$357:$O$360,MIN(MATCH(M78,Geometria!$O$357:$O$360,1),3))))</f>
        <v>3.174031886618172</v>
      </c>
      <c r="N80" s="584">
        <f ca="1">IF(N78&lt;=INDEX(Geometria!$O$357:$O$360,1),0,INDEX(Geometria!$P$357:$P$360,MIN(MATCH(N78,Geometria!$O$357:$O$360,1),3))+(N78-INDEX(Geometria!$O$357:$O$360,MIN(MATCH(N78,Geometria!$O$357:$O$360,1),3)))*(INDEX(Geometria!$P$357:$P$360,MIN(MATCH(N78,Geometria!$O$357:$O$360,1),3)+1)-INDEX(Geometria!$P$357:$P$360,MIN(MATCH(N78,Geometria!$O$357:$O$360,1),3)))/(INDEX(Geometria!$O$357:$O$360,MIN(MATCH(N78,Geometria!$O$357:$O$360,1),3)+1)-INDEX(Geometria!$O$357:$O$360,MIN(MATCH(N78,Geometria!$O$357:$O$360,1),3))))</f>
        <v>3.1747559069781355</v>
      </c>
      <c r="O80" s="584">
        <f ca="1">IF(O78&lt;=INDEX(Geometria!$O$357:$O$360,1),0,INDEX(Geometria!$P$357:$P$360,MIN(MATCH(O78,Geometria!$O$357:$O$360,1),3))+(O78-INDEX(Geometria!$O$357:$O$360,MIN(MATCH(O78,Geometria!$O$357:$O$360,1),3)))*(INDEX(Geometria!$P$357:$P$360,MIN(MATCH(O78,Geometria!$O$357:$O$360,1),3)+1)-INDEX(Geometria!$P$357:$P$360,MIN(MATCH(O78,Geometria!$O$357:$O$360,1),3)))/(INDEX(Geometria!$O$357:$O$360,MIN(MATCH(O78,Geometria!$O$357:$O$360,1),3)+1)-INDEX(Geometria!$O$357:$O$360,MIN(MATCH(O78,Geometria!$O$357:$O$360,1),3))))</f>
        <v>3.176927968058025</v>
      </c>
      <c r="P80" s="584">
        <f ca="1">IF(P78&lt;=INDEX(Geometria!$O$357:$O$360,1),0,INDEX(Geometria!$P$357:$P$360,MIN(MATCH(P78,Geometria!$O$357:$O$360,1),3))+(P78-INDEX(Geometria!$O$357:$O$360,MIN(MATCH(P78,Geometria!$O$357:$O$360,1),3)))*(INDEX(Geometria!$P$357:$P$360,MIN(MATCH(P78,Geometria!$O$357:$O$360,1),3)+1)-INDEX(Geometria!$P$357:$P$360,MIN(MATCH(P78,Geometria!$O$357:$O$360,1),3)))/(INDEX(Geometria!$O$357:$O$360,MIN(MATCH(P78,Geometria!$O$357:$O$360,1),3)+1)-INDEX(Geometria!$O$357:$O$360,MIN(MATCH(P78,Geometria!$O$357:$O$360,1),3))))</f>
        <v>3.1805480698578386</v>
      </c>
      <c r="Q80" s="584">
        <f ca="1">IF(Q78&lt;=INDEX(Geometria!$O$357:$O$360,1),0,INDEX(Geometria!$P$357:$P$360,MIN(MATCH(Q78,Geometria!$O$357:$O$360,1),3))+(Q78-INDEX(Geometria!$O$357:$O$360,MIN(MATCH(Q78,Geometria!$O$357:$O$360,1),3)))*(INDEX(Geometria!$P$357:$P$360,MIN(MATCH(Q78,Geometria!$O$357:$O$360,1),3)+1)-INDEX(Geometria!$P$357:$P$360,MIN(MATCH(Q78,Geometria!$O$357:$O$360,1),3)))/(INDEX(Geometria!$O$357:$O$360,MIN(MATCH(Q78,Geometria!$O$357:$O$360,1),3)+1)-INDEX(Geometria!$O$357:$O$360,MIN(MATCH(Q78,Geometria!$O$357:$O$360,1),3))))</f>
        <v>3.1856162123775795</v>
      </c>
      <c r="R80" s="584">
        <f ca="1">IF(R78&lt;=INDEX(Geometria!$O$357:$O$360,1),0,INDEX(Geometria!$P$357:$P$360,MIN(MATCH(R78,Geometria!$O$357:$O$360,1),3))+(R78-INDEX(Geometria!$O$357:$O$360,MIN(MATCH(R78,Geometria!$O$357:$O$360,1),3)))*(INDEX(Geometria!$P$357:$P$360,MIN(MATCH(R78,Geometria!$O$357:$O$360,1),3)+1)-INDEX(Geometria!$P$357:$P$360,MIN(MATCH(R78,Geometria!$O$357:$O$360,1),3)))/(INDEX(Geometria!$O$357:$O$360,MIN(MATCH(R78,Geometria!$O$357:$O$360,1),3)+1)-INDEX(Geometria!$O$357:$O$360,MIN(MATCH(R78,Geometria!$O$357:$O$360,1),3))))</f>
        <v>3.1921323956172456</v>
      </c>
      <c r="S80" s="584">
        <f ca="1">IF(S78&lt;=INDEX(Geometria!$O$357:$O$360,1),0,INDEX(Geometria!$P$357:$P$360,MIN(MATCH(S78,Geometria!$O$357:$O$360,1),3))+(S78-INDEX(Geometria!$O$357:$O$360,MIN(MATCH(S78,Geometria!$O$357:$O$360,1),3)))*(INDEX(Geometria!$P$357:$P$360,MIN(MATCH(S78,Geometria!$O$357:$O$360,1),3)+1)-INDEX(Geometria!$P$357:$P$360,MIN(MATCH(S78,Geometria!$O$357:$O$360,1),3)))/(INDEX(Geometria!$O$357:$O$360,MIN(MATCH(S78,Geometria!$O$357:$O$360,1),3)+1)-INDEX(Geometria!$O$357:$O$360,MIN(MATCH(S78,Geometria!$O$357:$O$360,1),3))))</f>
        <v>3.200096619576837</v>
      </c>
      <c r="T80" s="584">
        <f ca="1">IF(T78&lt;=INDEX(Geometria!$O$357:$O$360,1),0,INDEX(Geometria!$P$357:$P$360,MIN(MATCH(T78,Geometria!$O$357:$O$360,1),3))+(T78-INDEX(Geometria!$O$357:$O$360,MIN(MATCH(T78,Geometria!$O$357:$O$360,1),3)))*(INDEX(Geometria!$P$357:$P$360,MIN(MATCH(T78,Geometria!$O$357:$O$360,1),3)+1)-INDEX(Geometria!$P$357:$P$360,MIN(MATCH(T78,Geometria!$O$357:$O$360,1),3)))/(INDEX(Geometria!$O$357:$O$360,MIN(MATCH(T78,Geometria!$O$357:$O$360,1),3)+1)-INDEX(Geometria!$O$357:$O$360,MIN(MATCH(T78,Geometria!$O$357:$O$360,1),3))))</f>
        <v>3.209508884256355</v>
      </c>
      <c r="U80" s="584">
        <f ca="1">IF(U78&lt;=INDEX(Geometria!$O$357:$O$360,1),0,INDEX(Geometria!$P$357:$P$360,MIN(MATCH(U78,Geometria!$O$357:$O$360,1),3))+(U78-INDEX(Geometria!$O$357:$O$360,MIN(MATCH(U78,Geometria!$O$357:$O$360,1),3)))*(INDEX(Geometria!$P$357:$P$360,MIN(MATCH(U78,Geometria!$O$357:$O$360,1),3)+1)-INDEX(Geometria!$P$357:$P$360,MIN(MATCH(U78,Geometria!$O$357:$O$360,1),3)))/(INDEX(Geometria!$O$357:$O$360,MIN(MATCH(U78,Geometria!$O$357:$O$360,1),3)+1)-INDEX(Geometria!$O$357:$O$360,MIN(MATCH(U78,Geometria!$O$357:$O$360,1),3))))</f>
        <v>3.2203691896557975</v>
      </c>
      <c r="V80" s="584">
        <f ca="1">IF(V78&lt;=INDEX(Geometria!$O$357:$O$360,1),0,INDEX(Geometria!$P$357:$P$360,MIN(MATCH(V78,Geometria!$O$357:$O$360,1),3))+(V78-INDEX(Geometria!$O$357:$O$360,MIN(MATCH(V78,Geometria!$O$357:$O$360,1),3)))*(INDEX(Geometria!$P$357:$P$360,MIN(MATCH(V78,Geometria!$O$357:$O$360,1),3)+1)-INDEX(Geometria!$P$357:$P$360,MIN(MATCH(V78,Geometria!$O$357:$O$360,1),3)))/(INDEX(Geometria!$O$357:$O$360,MIN(MATCH(V78,Geometria!$O$357:$O$360,1),3)+1)-INDEX(Geometria!$O$357:$O$360,MIN(MATCH(V78,Geometria!$O$357:$O$360,1),3))))</f>
        <v>3.2326775357751685</v>
      </c>
      <c r="W80" s="584">
        <f ca="1">IF(W78&lt;=INDEX(Geometria!$O$357:$O$360,1),0,INDEX(Geometria!$P$357:$P$360,MIN(MATCH(W78,Geometria!$O$357:$O$360,1),3))+(W78-INDEX(Geometria!$O$357:$O$360,MIN(MATCH(W78,Geometria!$O$357:$O$360,1),3)))*(INDEX(Geometria!$P$357:$P$360,MIN(MATCH(W78,Geometria!$O$357:$O$360,1),3)+1)-INDEX(Geometria!$P$357:$P$360,MIN(MATCH(W78,Geometria!$O$357:$O$360,1),3)))/(INDEX(Geometria!$O$357:$O$360,MIN(MATCH(W78,Geometria!$O$357:$O$360,1),3)+1)-INDEX(Geometria!$O$357:$O$360,MIN(MATCH(W78,Geometria!$O$357:$O$360,1),3))))</f>
        <v>3.2464339226144627</v>
      </c>
    </row>
    <row r="81" spans="2:23" x14ac:dyDescent="0.25">
      <c r="B81" s="578" t="s">
        <v>1517</v>
      </c>
      <c r="C81" s="584">
        <f t="shared" ref="C81:W81" ca="1" si="21">2.5*C79</f>
        <v>5.9142454683555155</v>
      </c>
      <c r="D81" s="584">
        <f t="shared" ca="1" si="21"/>
        <v>5.940038693679195</v>
      </c>
      <c r="E81" s="584">
        <f t="shared" ca="1" si="21"/>
        <v>5.963116842653014</v>
      </c>
      <c r="F81" s="584">
        <f t="shared" ca="1" si="21"/>
        <v>5.983479915276964</v>
      </c>
      <c r="G81" s="584">
        <f t="shared" ca="1" si="21"/>
        <v>6.001127911551065</v>
      </c>
      <c r="H81" s="584">
        <f t="shared" ca="1" si="21"/>
        <v>6.0160608314753</v>
      </c>
      <c r="I81" s="584">
        <f t="shared" ca="1" si="21"/>
        <v>6.028278675049674</v>
      </c>
      <c r="J81" s="584">
        <f t="shared" ca="1" si="21"/>
        <v>6.0377814422741825</v>
      </c>
      <c r="K81" s="584">
        <f t="shared" ca="1" si="21"/>
        <v>6.044569133148841</v>
      </c>
      <c r="L81" s="584">
        <f t="shared" ca="1" si="21"/>
        <v>6.048641747673631</v>
      </c>
      <c r="M81" s="584">
        <f t="shared" ca="1" si="21"/>
        <v>6.0499992858485605</v>
      </c>
      <c r="N81" s="584">
        <f t="shared" ca="1" si="21"/>
        <v>6.048641747673631</v>
      </c>
      <c r="O81" s="584">
        <f t="shared" ca="1" si="21"/>
        <v>6.044569133148841</v>
      </c>
      <c r="P81" s="584">
        <f t="shared" ca="1" si="21"/>
        <v>6.0377814422741825</v>
      </c>
      <c r="Q81" s="584">
        <f t="shared" ca="1" si="21"/>
        <v>6.028278675049674</v>
      </c>
      <c r="R81" s="584">
        <f t="shared" ca="1" si="21"/>
        <v>6.0160608314753</v>
      </c>
      <c r="S81" s="584">
        <f t="shared" ca="1" si="21"/>
        <v>6.001127911551065</v>
      </c>
      <c r="T81" s="584">
        <f t="shared" ca="1" si="21"/>
        <v>5.983479915276964</v>
      </c>
      <c r="U81" s="584">
        <f t="shared" ca="1" si="21"/>
        <v>5.963116842653014</v>
      </c>
      <c r="V81" s="584">
        <f t="shared" ca="1" si="21"/>
        <v>5.940038693679195</v>
      </c>
      <c r="W81" s="584">
        <f t="shared" ca="1" si="21"/>
        <v>5.9142454683555155</v>
      </c>
    </row>
    <row r="82" spans="2:23" x14ac:dyDescent="0.25">
      <c r="B82" s="578" t="s">
        <v>1518</v>
      </c>
      <c r="C82" s="584">
        <f t="shared" ref="C82:W82" ca="1" si="22">2.5*C80</f>
        <v>8.116084806536158</v>
      </c>
      <c r="D82" s="584">
        <f t="shared" ca="1" si="22"/>
        <v>8.081693839437921</v>
      </c>
      <c r="E82" s="584">
        <f t="shared" ca="1" si="22"/>
        <v>8.050922974139494</v>
      </c>
      <c r="F82" s="584">
        <f t="shared" ca="1" si="22"/>
        <v>8.023772210640887</v>
      </c>
      <c r="G82" s="584">
        <f t="shared" ca="1" si="22"/>
        <v>8.000241548942093</v>
      </c>
      <c r="H82" s="584">
        <f t="shared" ca="1" si="22"/>
        <v>7.980330989043114</v>
      </c>
      <c r="I82" s="584">
        <f t="shared" ca="1" si="22"/>
        <v>7.964040530943949</v>
      </c>
      <c r="J82" s="584">
        <f t="shared" ca="1" si="22"/>
        <v>7.951370174644596</v>
      </c>
      <c r="K82" s="584">
        <f t="shared" ca="1" si="22"/>
        <v>7.942319920145062</v>
      </c>
      <c r="L82" s="584">
        <f t="shared" ca="1" si="22"/>
        <v>7.936889767445338</v>
      </c>
      <c r="M82" s="584">
        <f t="shared" ca="1" si="22"/>
        <v>7.93507971654543</v>
      </c>
      <c r="N82" s="584">
        <f t="shared" ca="1" si="22"/>
        <v>7.936889767445338</v>
      </c>
      <c r="O82" s="584">
        <f t="shared" ca="1" si="22"/>
        <v>7.942319920145062</v>
      </c>
      <c r="P82" s="584">
        <f t="shared" ca="1" si="22"/>
        <v>7.951370174644596</v>
      </c>
      <c r="Q82" s="584">
        <f t="shared" ca="1" si="22"/>
        <v>7.964040530943949</v>
      </c>
      <c r="R82" s="584">
        <f t="shared" ca="1" si="22"/>
        <v>7.980330989043114</v>
      </c>
      <c r="S82" s="584">
        <f t="shared" ca="1" si="22"/>
        <v>8.000241548942093</v>
      </c>
      <c r="T82" s="584">
        <f t="shared" ca="1" si="22"/>
        <v>8.023772210640887</v>
      </c>
      <c r="U82" s="584">
        <f t="shared" ca="1" si="22"/>
        <v>8.050922974139494</v>
      </c>
      <c r="V82" s="584">
        <f t="shared" ca="1" si="22"/>
        <v>8.081693839437921</v>
      </c>
      <c r="W82" s="584">
        <f t="shared" ca="1" si="22"/>
        <v>8.116084806536158</v>
      </c>
    </row>
    <row r="83" spans="2:23" x14ac:dyDescent="0.25">
      <c r="B83" s="578" t="s">
        <v>362</v>
      </c>
      <c r="C83" s="584">
        <f t="shared" ref="C83:W83" ca="1" si="23">-LN(1-C81/100)</f>
        <v>0.06096353734309168</v>
      </c>
      <c r="D83" s="584">
        <f t="shared" ca="1" si="23"/>
        <v>0.06123772084358104</v>
      </c>
      <c r="E83" s="584">
        <f t="shared" ca="1" si="23"/>
        <v>0.06148310666231105</v>
      </c>
      <c r="F83" s="584">
        <f t="shared" ca="1" si="23"/>
        <v>0.06169967357737323</v>
      </c>
      <c r="G83" s="584">
        <f t="shared" ca="1" si="23"/>
        <v>0.06188740284913062</v>
      </c>
      <c r="H83" s="584">
        <f t="shared" ca="1" si="23"/>
        <v>0.06204627822561634</v>
      </c>
      <c r="I83" s="584">
        <f t="shared" ca="1" si="23"/>
        <v>0.062176285947219405</v>
      </c>
      <c r="J83" s="584">
        <f t="shared" ca="1" si="23"/>
        <v>0.06227741475065473</v>
      </c>
      <c r="K83" s="584">
        <f t="shared" ca="1" si="23"/>
        <v>0.062349655872214</v>
      </c>
      <c r="L83" s="584">
        <f t="shared" ca="1" si="23"/>
        <v>0.062393003050296554</v>
      </c>
      <c r="M83" s="584">
        <f t="shared" ca="1" si="23"/>
        <v>0.062407452527218056</v>
      </c>
      <c r="N83" s="584">
        <f t="shared" ca="1" si="23"/>
        <v>0.062393003050296554</v>
      </c>
      <c r="O83" s="584">
        <f t="shared" ca="1" si="23"/>
        <v>0.062349655872214</v>
      </c>
      <c r="P83" s="584">
        <f t="shared" ca="1" si="23"/>
        <v>0.06227741475065473</v>
      </c>
      <c r="Q83" s="584">
        <f t="shared" ca="1" si="23"/>
        <v>0.062176285947219405</v>
      </c>
      <c r="R83" s="584">
        <f t="shared" ca="1" si="23"/>
        <v>0.06204627822561634</v>
      </c>
      <c r="S83" s="584">
        <f t="shared" ca="1" si="23"/>
        <v>0.06188740284913062</v>
      </c>
      <c r="T83" s="584">
        <f t="shared" ca="1" si="23"/>
        <v>0.06169967357737323</v>
      </c>
      <c r="U83" s="584">
        <f t="shared" ca="1" si="23"/>
        <v>0.06148310666231105</v>
      </c>
      <c r="V83" s="584">
        <f t="shared" ca="1" si="23"/>
        <v>0.06123772084358104</v>
      </c>
      <c r="W83" s="584">
        <f t="shared" ca="1" si="23"/>
        <v>0.06096353734309168</v>
      </c>
    </row>
    <row r="84" spans="2:23" x14ac:dyDescent="0.25">
      <c r="B84" s="578" t="s">
        <v>364</v>
      </c>
      <c r="C84" s="584">
        <f t="shared" ref="C84:W84" ca="1" si="24">-LN(1-C82/100)</f>
        <v>0.08464419704345601</v>
      </c>
      <c r="D84" s="584">
        <f t="shared" ca="1" si="24"/>
        <v>0.08426997993937282</v>
      </c>
      <c r="E84" s="584">
        <f t="shared" ca="1" si="24"/>
        <v>0.08393527277106018</v>
      </c>
      <c r="F84" s="584">
        <f t="shared" ca="1" si="24"/>
        <v>0.08364003592235032</v>
      </c>
      <c r="G84" s="584">
        <f t="shared" ca="1" si="24"/>
        <v>0.083384234474477</v>
      </c>
      <c r="H84" s="584">
        <f t="shared" ca="1" si="24"/>
        <v>0.08316783819228794</v>
      </c>
      <c r="I84" s="584">
        <f t="shared" ca="1" si="24"/>
        <v>0.08299082151231749</v>
      </c>
      <c r="J84" s="584">
        <f t="shared" ca="1" si="24"/>
        <v>0.08285316353271231</v>
      </c>
      <c r="K84" s="584">
        <f t="shared" ca="1" si="24"/>
        <v>0.08275484800499909</v>
      </c>
      <c r="L84" s="584">
        <f t="shared" ca="1" si="24"/>
        <v>0.0826958633276893</v>
      </c>
      <c r="M84" s="584">
        <f t="shared" ca="1" si="24"/>
        <v>0.08267620254171464</v>
      </c>
      <c r="N84" s="584">
        <f t="shared" ca="1" si="24"/>
        <v>0.0826958633276893</v>
      </c>
      <c r="O84" s="584">
        <f t="shared" ca="1" si="24"/>
        <v>0.08275484800499909</v>
      </c>
      <c r="P84" s="584">
        <f t="shared" ca="1" si="24"/>
        <v>0.08285316353271231</v>
      </c>
      <c r="Q84" s="584">
        <f t="shared" ca="1" si="24"/>
        <v>0.08299082151231749</v>
      </c>
      <c r="R84" s="584">
        <f t="shared" ca="1" si="24"/>
        <v>0.08316783819228794</v>
      </c>
      <c r="S84" s="584">
        <f t="shared" ca="1" si="24"/>
        <v>0.083384234474477</v>
      </c>
      <c r="T84" s="584">
        <f t="shared" ca="1" si="24"/>
        <v>0.08364003592235032</v>
      </c>
      <c r="U84" s="584">
        <f t="shared" ca="1" si="24"/>
        <v>0.08393527277106018</v>
      </c>
      <c r="V84" s="584">
        <f t="shared" ca="1" si="24"/>
        <v>0.08426997993937282</v>
      </c>
      <c r="W84" s="584">
        <f t="shared" ca="1" si="24"/>
        <v>0.08464419704345601</v>
      </c>
    </row>
    <row r="85" spans="2:23" ht="27" x14ac:dyDescent="0.25">
      <c r="B85" s="586" t="s">
        <v>1519</v>
      </c>
      <c r="C85" s="584">
        <f t="shared" ref="C85:W85" ca="1" si="25">1+C83</f>
        <v>1.0609635373430917</v>
      </c>
      <c r="D85" s="584">
        <f t="shared" ca="1" si="25"/>
        <v>1.061237720843581</v>
      </c>
      <c r="E85" s="584">
        <f t="shared" ca="1" si="25"/>
        <v>1.061483106662311</v>
      </c>
      <c r="F85" s="584">
        <f t="shared" ca="1" si="25"/>
        <v>1.0616996735773732</v>
      </c>
      <c r="G85" s="584">
        <f t="shared" ca="1" si="25"/>
        <v>1.0618874028491305</v>
      </c>
      <c r="H85" s="584">
        <f t="shared" ca="1" si="25"/>
        <v>1.0620462782256164</v>
      </c>
      <c r="I85" s="584">
        <f t="shared" ca="1" si="25"/>
        <v>1.0621762859472195</v>
      </c>
      <c r="J85" s="584">
        <f t="shared" ca="1" si="25"/>
        <v>1.0622774147506546</v>
      </c>
      <c r="K85" s="584">
        <f t="shared" ca="1" si="25"/>
        <v>1.062349655872214</v>
      </c>
      <c r="L85" s="584">
        <f t="shared" ca="1" si="25"/>
        <v>1.0623930030502966</v>
      </c>
      <c r="M85" s="584">
        <f t="shared" ca="1" si="25"/>
        <v>1.062407452527218</v>
      </c>
      <c r="N85" s="584">
        <f t="shared" ca="1" si="25"/>
        <v>1.0623930030502966</v>
      </c>
      <c r="O85" s="584">
        <f t="shared" ca="1" si="25"/>
        <v>1.062349655872214</v>
      </c>
      <c r="P85" s="584">
        <f t="shared" ca="1" si="25"/>
        <v>1.0622774147506546</v>
      </c>
      <c r="Q85" s="584">
        <f t="shared" ca="1" si="25"/>
        <v>1.0621762859472195</v>
      </c>
      <c r="R85" s="584">
        <f t="shared" ca="1" si="25"/>
        <v>1.0620462782256164</v>
      </c>
      <c r="S85" s="584">
        <f t="shared" ca="1" si="25"/>
        <v>1.0618874028491305</v>
      </c>
      <c r="T85" s="584">
        <f t="shared" ca="1" si="25"/>
        <v>1.0616996735773732</v>
      </c>
      <c r="U85" s="584">
        <f t="shared" ca="1" si="25"/>
        <v>1.061483106662311</v>
      </c>
      <c r="V85" s="584">
        <f t="shared" ca="1" si="25"/>
        <v>1.061237720843581</v>
      </c>
      <c r="W85" s="584">
        <f t="shared" ca="1" si="25"/>
        <v>1.0609635373430917</v>
      </c>
    </row>
    <row r="86" spans="2:23" x14ac:dyDescent="0.25">
      <c r="B86" s="586" t="s">
        <v>1520</v>
      </c>
      <c r="C86" s="584">
        <f t="shared" ref="C86:W86" ca="1" si="26">1+C84</f>
        <v>1.084644197043456</v>
      </c>
      <c r="D86" s="584">
        <f t="shared" ca="1" si="26"/>
        <v>1.084269979939373</v>
      </c>
      <c r="E86" s="584">
        <f t="shared" ca="1" si="26"/>
        <v>1.0839352727710603</v>
      </c>
      <c r="F86" s="584">
        <f t="shared" ca="1" si="26"/>
        <v>1.0836400359223504</v>
      </c>
      <c r="G86" s="584">
        <f t="shared" ca="1" si="26"/>
        <v>1.083384234474477</v>
      </c>
      <c r="H86" s="584">
        <f t="shared" ca="1" si="26"/>
        <v>1.083167838192288</v>
      </c>
      <c r="I86" s="584">
        <f t="shared" ca="1" si="26"/>
        <v>1.0829908215123174</v>
      </c>
      <c r="J86" s="584">
        <f t="shared" ca="1" si="26"/>
        <v>1.0828531635327123</v>
      </c>
      <c r="K86" s="584">
        <f t="shared" ca="1" si="26"/>
        <v>1.082754848004999</v>
      </c>
      <c r="L86" s="584">
        <f t="shared" ca="1" si="26"/>
        <v>1.0826958633276893</v>
      </c>
      <c r="M86" s="584">
        <f t="shared" ca="1" si="26"/>
        <v>1.0826762025417147</v>
      </c>
      <c r="N86" s="584">
        <f t="shared" ca="1" si="26"/>
        <v>1.0826958633276893</v>
      </c>
      <c r="O86" s="584">
        <f t="shared" ca="1" si="26"/>
        <v>1.082754848004999</v>
      </c>
      <c r="P86" s="584">
        <f t="shared" ca="1" si="26"/>
        <v>1.0828531635327123</v>
      </c>
      <c r="Q86" s="584">
        <f t="shared" ca="1" si="26"/>
        <v>1.0829908215123174</v>
      </c>
      <c r="R86" s="584">
        <f t="shared" ca="1" si="26"/>
        <v>1.083167838192288</v>
      </c>
      <c r="S86" s="584">
        <f t="shared" ca="1" si="26"/>
        <v>1.083384234474477</v>
      </c>
      <c r="T86" s="584">
        <f t="shared" ca="1" si="26"/>
        <v>1.0836400359223504</v>
      </c>
      <c r="U86" s="584">
        <f t="shared" ca="1" si="26"/>
        <v>1.0839352727710603</v>
      </c>
      <c r="V86" s="584">
        <f t="shared" ca="1" si="26"/>
        <v>1.084269979939373</v>
      </c>
      <c r="W86" s="584">
        <f t="shared" ca="1" si="26"/>
        <v>1.084644197043456</v>
      </c>
    </row>
    <row r="87" spans="2:23" x14ac:dyDescent="0.25">
      <c r="B87" s="578" t="s">
        <v>1521</v>
      </c>
      <c r="C87" s="584">
        <f t="shared" ref="C87:W87" ca="1" si="27">C59*C83</f>
        <v>7.978514835087061</v>
      </c>
      <c r="D87" s="584">
        <f t="shared" ca="1" si="27"/>
        <v>8.024401820520637</v>
      </c>
      <c r="E87" s="584">
        <f t="shared" ca="1" si="27"/>
        <v>8.065542890256395</v>
      </c>
      <c r="F87" s="584">
        <f t="shared" ca="1" si="27"/>
        <v>8.101909971672214</v>
      </c>
      <c r="G87" s="584">
        <f t="shared" ca="1" si="27"/>
        <v>8.133478280027996</v>
      </c>
      <c r="H87" s="584">
        <f t="shared" ca="1" si="27"/>
        <v>8.160226323998671</v>
      </c>
      <c r="I87" s="584">
        <f t="shared" ca="1" si="27"/>
        <v>8.182135910475697</v>
      </c>
      <c r="J87" s="584">
        <f t="shared" ca="1" si="27"/>
        <v>8.199192148634328</v>
      </c>
      <c r="K87" s="584">
        <f t="shared" ca="1" si="27"/>
        <v>8.211383453264359</v>
      </c>
      <c r="L87" s="584">
        <f t="shared" ca="1" si="27"/>
        <v>8.218701547362631</v>
      </c>
      <c r="M87" s="584">
        <f t="shared" ca="1" si="27"/>
        <v>8.221141463985836</v>
      </c>
      <c r="N87" s="584">
        <f t="shared" ca="1" si="27"/>
        <v>8.218701547362631</v>
      </c>
      <c r="O87" s="584">
        <f t="shared" ca="1" si="27"/>
        <v>8.211383453264359</v>
      </c>
      <c r="P87" s="584">
        <f t="shared" ca="1" si="27"/>
        <v>8.199192148634328</v>
      </c>
      <c r="Q87" s="584">
        <f t="shared" ca="1" si="27"/>
        <v>8.182135910475697</v>
      </c>
      <c r="R87" s="584">
        <f t="shared" ca="1" si="27"/>
        <v>8.160226323998671</v>
      </c>
      <c r="S87" s="584">
        <f t="shared" ca="1" si="27"/>
        <v>8.133478280027996</v>
      </c>
      <c r="T87" s="584">
        <f t="shared" ca="1" si="27"/>
        <v>8.101909971672214</v>
      </c>
      <c r="U87" s="584">
        <f t="shared" ca="1" si="27"/>
        <v>8.065542890256395</v>
      </c>
      <c r="V87" s="584">
        <f t="shared" ca="1" si="27"/>
        <v>8.024401820520637</v>
      </c>
      <c r="W87" s="584">
        <f t="shared" ca="1" si="27"/>
        <v>7.978514835087061</v>
      </c>
    </row>
    <row r="88" spans="2:23" x14ac:dyDescent="0.25">
      <c r="B88" s="578" t="s">
        <v>1522</v>
      </c>
      <c r="C88" s="584">
        <f t="shared" ref="C88:W88" ca="1" si="28">C60*C84</f>
        <v>12.458122907267917</v>
      </c>
      <c r="D88" s="584">
        <f t="shared" ca="1" si="28"/>
        <v>12.381019035530835</v>
      </c>
      <c r="E88" s="584">
        <f t="shared" ca="1" si="28"/>
        <v>12.312214582713917</v>
      </c>
      <c r="F88" s="584">
        <f t="shared" ca="1" si="28"/>
        <v>12.25164840043473</v>
      </c>
      <c r="G88" s="584">
        <f t="shared" ca="1" si="28"/>
        <v>12.199266578055532</v>
      </c>
      <c r="H88" s="584">
        <f t="shared" ca="1" si="28"/>
        <v>12.155022426214675</v>
      </c>
      <c r="I88" s="584">
        <f t="shared" ca="1" si="28"/>
        <v>12.118876462578424</v>
      </c>
      <c r="J88" s="584">
        <f t="shared" ca="1" si="28"/>
        <v>12.090796399802999</v>
      </c>
      <c r="K88" s="584">
        <f t="shared" ca="1" si="28"/>
        <v>12.070757135697399</v>
      </c>
      <c r="L88" s="584">
        <f t="shared" ca="1" si="28"/>
        <v>12.05874074557996</v>
      </c>
      <c r="M88" s="584">
        <f t="shared" ca="1" si="28"/>
        <v>12.05473647682279</v>
      </c>
      <c r="N88" s="584">
        <f t="shared" ca="1" si="28"/>
        <v>12.05874074557996</v>
      </c>
      <c r="O88" s="584">
        <f t="shared" ca="1" si="28"/>
        <v>12.070757135697399</v>
      </c>
      <c r="P88" s="584">
        <f t="shared" ca="1" si="28"/>
        <v>12.090796399802999</v>
      </c>
      <c r="Q88" s="584">
        <f t="shared" ca="1" si="28"/>
        <v>12.118876462578424</v>
      </c>
      <c r="R88" s="584">
        <f t="shared" ca="1" si="28"/>
        <v>12.155022426214675</v>
      </c>
      <c r="S88" s="584">
        <f t="shared" ca="1" si="28"/>
        <v>12.199266578055532</v>
      </c>
      <c r="T88" s="584">
        <f t="shared" ca="1" si="28"/>
        <v>12.25164840043473</v>
      </c>
      <c r="U88" s="584">
        <f t="shared" ca="1" si="28"/>
        <v>12.312214582713917</v>
      </c>
      <c r="V88" s="584">
        <f t="shared" ca="1" si="28"/>
        <v>12.381019035530835</v>
      </c>
      <c r="W88" s="584">
        <f t="shared" ca="1" si="28"/>
        <v>12.458122907267917</v>
      </c>
    </row>
    <row r="89" spans="2:23" ht="27" x14ac:dyDescent="0.25">
      <c r="B89" s="586" t="s">
        <v>1523</v>
      </c>
      <c r="C89" s="584">
        <f t="shared" ref="C89:W89" ca="1" si="29">($C$37-C71-C87)/(C85+$C$47*$C$38*$C$48*$C$50)</f>
        <v>-33.54300991410302</v>
      </c>
      <c r="D89" s="584">
        <f t="shared" ca="1" si="29"/>
        <v>-31.100548505569606</v>
      </c>
      <c r="E89" s="584">
        <f t="shared" ca="1" si="29"/>
        <v>-28.91619120090181</v>
      </c>
      <c r="F89" s="584">
        <f t="shared" ca="1" si="29"/>
        <v>-26.989603512228726</v>
      </c>
      <c r="G89" s="584">
        <f t="shared" ca="1" si="29"/>
        <v>-25.32049041319154</v>
      </c>
      <c r="H89" s="584">
        <f t="shared" ca="1" si="29"/>
        <v>-23.908596297635277</v>
      </c>
      <c r="I89" s="584">
        <f t="shared" ca="1" si="29"/>
        <v>-22.753704943847826</v>
      </c>
      <c r="J89" s="584">
        <f t="shared" ca="1" si="29"/>
        <v>-21.855639484329053</v>
      </c>
      <c r="K89" s="584">
        <f t="shared" ca="1" si="29"/>
        <v>-21.21426238107587</v>
      </c>
      <c r="L89" s="584">
        <f t="shared" ca="1" si="29"/>
        <v>-20.829475406371603</v>
      </c>
      <c r="M89" s="584">
        <f t="shared" ca="1" si="29"/>
        <v>-20.701219629070614</v>
      </c>
      <c r="N89" s="584">
        <f t="shared" ca="1" si="29"/>
        <v>-20.82947540637161</v>
      </c>
      <c r="O89" s="584">
        <f t="shared" ca="1" si="29"/>
        <v>-21.21426238107587</v>
      </c>
      <c r="P89" s="584">
        <f t="shared" ca="1" si="29"/>
        <v>-21.855639484329053</v>
      </c>
      <c r="Q89" s="584">
        <f t="shared" ca="1" si="29"/>
        <v>-22.75370494384782</v>
      </c>
      <c r="R89" s="584">
        <f t="shared" ca="1" si="29"/>
        <v>-23.908596297635277</v>
      </c>
      <c r="S89" s="584">
        <f t="shared" ca="1" si="29"/>
        <v>-25.32049041319154</v>
      </c>
      <c r="T89" s="584">
        <f t="shared" ca="1" si="29"/>
        <v>-26.98960351222872</v>
      </c>
      <c r="U89" s="584">
        <f t="shared" ca="1" si="29"/>
        <v>-28.91619120090181</v>
      </c>
      <c r="V89" s="584">
        <f t="shared" ca="1" si="29"/>
        <v>-31.1005485055696</v>
      </c>
      <c r="W89" s="584">
        <f t="shared" ca="1" si="29"/>
        <v>-33.54300991410302</v>
      </c>
    </row>
    <row r="90" spans="2:23" ht="27" x14ac:dyDescent="0.25">
      <c r="B90" s="586" t="s">
        <v>1524</v>
      </c>
      <c r="C90" s="584">
        <f t="shared" ref="C90:W90" ca="1" si="30">($C$37-C76-C88)/(C86+$C$47*$C$38*$C$49*$C$50)</f>
        <v>-23.41583760682966</v>
      </c>
      <c r="D90" s="584">
        <f t="shared" ca="1" si="30"/>
        <v>-20.99158336098237</v>
      </c>
      <c r="E90" s="584">
        <f t="shared" ca="1" si="30"/>
        <v>-18.82151983904855</v>
      </c>
      <c r="F90" s="584">
        <f t="shared" ca="1" si="30"/>
        <v>-16.905978168853764</v>
      </c>
      <c r="G90" s="584">
        <f t="shared" ca="1" si="30"/>
        <v>-18.192503932941275</v>
      </c>
      <c r="H90" s="584">
        <f t="shared" ca="1" si="30"/>
        <v>-19.53861605863886</v>
      </c>
      <c r="I90" s="584">
        <f t="shared" ca="1" si="30"/>
        <v>-20.64033704715356</v>
      </c>
      <c r="J90" s="584">
        <f t="shared" ca="1" si="30"/>
        <v>-21.497453012527682</v>
      </c>
      <c r="K90" s="584">
        <f t="shared" ca="1" si="30"/>
        <v>-22.10979756872813</v>
      </c>
      <c r="L90" s="584">
        <f t="shared" ca="1" si="30"/>
        <v>-22.477251852355156</v>
      </c>
      <c r="M90" s="584">
        <f t="shared" ca="1" si="30"/>
        <v>-22.599744538873466</v>
      </c>
      <c r="N90" s="584">
        <f t="shared" ca="1" si="30"/>
        <v>-22.477251852355153</v>
      </c>
      <c r="O90" s="584">
        <f t="shared" ca="1" si="30"/>
        <v>-22.109797568728126</v>
      </c>
      <c r="P90" s="584">
        <f t="shared" ca="1" si="30"/>
        <v>-21.497453012527682</v>
      </c>
      <c r="Q90" s="584">
        <f t="shared" ca="1" si="30"/>
        <v>-20.640337047153565</v>
      </c>
      <c r="R90" s="584">
        <f t="shared" ca="1" si="30"/>
        <v>-19.538616058638862</v>
      </c>
      <c r="S90" s="584">
        <f t="shared" ca="1" si="30"/>
        <v>-18.19250393294127</v>
      </c>
      <c r="T90" s="584">
        <f t="shared" ca="1" si="30"/>
        <v>-16.90597816885376</v>
      </c>
      <c r="U90" s="584">
        <f t="shared" ca="1" si="30"/>
        <v>-18.82151983904855</v>
      </c>
      <c r="V90" s="584">
        <f t="shared" ca="1" si="30"/>
        <v>-20.991583360982364</v>
      </c>
      <c r="W90" s="584">
        <f t="shared" ca="1" si="30"/>
        <v>-23.41583760682966</v>
      </c>
    </row>
    <row r="92" spans="2:23" x14ac:dyDescent="0.25">
      <c r="B92" s="836" t="s">
        <v>1525</v>
      </c>
      <c r="C92" s="836"/>
      <c r="D92" s="836"/>
      <c r="E92" s="836"/>
      <c r="F92" s="836"/>
      <c r="G92" s="836"/>
      <c r="H92" s="836"/>
      <c r="I92" s="836"/>
      <c r="J92" s="836"/>
      <c r="K92" s="836"/>
      <c r="L92" s="836"/>
      <c r="M92" s="836"/>
      <c r="N92" s="836"/>
      <c r="O92" s="836"/>
      <c r="P92" s="836"/>
      <c r="Q92" s="836"/>
      <c r="R92" s="836"/>
      <c r="S92" s="836"/>
      <c r="T92" s="836"/>
      <c r="U92" s="836"/>
      <c r="V92" s="836"/>
      <c r="W92" s="836"/>
    </row>
    <row r="93" spans="2:23" x14ac:dyDescent="0.25">
      <c r="B93" s="578" t="s">
        <v>1526</v>
      </c>
      <c r="C93" s="584">
        <f t="shared" ref="C93:W93" ca="1" si="31">C59-ABS(C89)</f>
        <v>97.33054471881525</v>
      </c>
      <c r="D93" s="584">
        <f t="shared" ca="1" si="31"/>
        <v>99.93636322106528</v>
      </c>
      <c r="E93" s="584">
        <f t="shared" ca="1" si="31"/>
        <v>102.2668821359006</v>
      </c>
      <c r="F93" s="584">
        <f t="shared" ca="1" si="31"/>
        <v>104.32243595119205</v>
      </c>
      <c r="G93" s="584">
        <f t="shared" ca="1" si="31"/>
        <v>106.10331969329853</v>
      </c>
      <c r="H93" s="584">
        <f t="shared" ca="1" si="31"/>
        <v>107.60978896837494</v>
      </c>
      <c r="I93" s="584">
        <f t="shared" ca="1" si="31"/>
        <v>108.84205999813344</v>
      </c>
      <c r="J93" s="584">
        <f t="shared" ca="1" si="31"/>
        <v>109.8003096500741</v>
      </c>
      <c r="K93" s="584">
        <f t="shared" ca="1" si="31"/>
        <v>110.48467546220012</v>
      </c>
      <c r="L93" s="584">
        <f t="shared" ca="1" si="31"/>
        <v>110.89525566222805</v>
      </c>
      <c r="M93" s="584">
        <f t="shared" ca="1" si="31"/>
        <v>111.03210918130361</v>
      </c>
      <c r="N93" s="584">
        <f t="shared" ca="1" si="31"/>
        <v>110.89525566222804</v>
      </c>
      <c r="O93" s="584">
        <f t="shared" ca="1" si="31"/>
        <v>110.48467546220012</v>
      </c>
      <c r="P93" s="584">
        <f t="shared" ca="1" si="31"/>
        <v>109.8003096500741</v>
      </c>
      <c r="Q93" s="584">
        <f t="shared" ca="1" si="31"/>
        <v>108.84205999813344</v>
      </c>
      <c r="R93" s="584">
        <f t="shared" ca="1" si="31"/>
        <v>107.60978896837494</v>
      </c>
      <c r="S93" s="584">
        <f t="shared" ca="1" si="31"/>
        <v>106.10331969329853</v>
      </c>
      <c r="T93" s="584">
        <f t="shared" ca="1" si="31"/>
        <v>104.32243595119206</v>
      </c>
      <c r="U93" s="584">
        <f t="shared" ca="1" si="31"/>
        <v>102.2668821359006</v>
      </c>
      <c r="V93" s="584">
        <f t="shared" ca="1" si="31"/>
        <v>99.93636322106528</v>
      </c>
      <c r="W93" s="584">
        <f t="shared" ca="1" si="31"/>
        <v>97.33054471881525</v>
      </c>
    </row>
    <row r="94" spans="2:23" x14ac:dyDescent="0.25">
      <c r="B94" s="578" t="s">
        <v>1527</v>
      </c>
      <c r="C94" s="584">
        <f t="shared" ref="C94:W94" ca="1" si="32">C60-ABS(C90)</f>
        <v>123.76640692284514</v>
      </c>
      <c r="D94" s="584">
        <f t="shared" ca="1" si="32"/>
        <v>125.92928981874583</v>
      </c>
      <c r="E94" s="584">
        <f t="shared" ca="1" si="32"/>
        <v>127.86549476441162</v>
      </c>
      <c r="F94" s="584">
        <f t="shared" ca="1" si="32"/>
        <v>129.574690632017</v>
      </c>
      <c r="G94" s="584">
        <f t="shared" ca="1" si="32"/>
        <v>128.10933183901864</v>
      </c>
      <c r="H94" s="584">
        <f t="shared" ca="1" si="32"/>
        <v>126.6118994580888</v>
      </c>
      <c r="I94" s="584">
        <f t="shared" ca="1" si="32"/>
        <v>125.38637098802045</v>
      </c>
      <c r="J94" s="584">
        <f t="shared" ca="1" si="32"/>
        <v>124.43296031477125</v>
      </c>
      <c r="K94" s="584">
        <f t="shared" ca="1" si="32"/>
        <v>123.75183382437434</v>
      </c>
      <c r="L94" s="584">
        <f t="shared" ca="1" si="32"/>
        <v>123.34311038022943</v>
      </c>
      <c r="M94" s="584">
        <f t="shared" ca="1" si="32"/>
        <v>123.20686130687182</v>
      </c>
      <c r="N94" s="584">
        <f t="shared" ca="1" si="32"/>
        <v>123.34311038022943</v>
      </c>
      <c r="O94" s="584">
        <f t="shared" ca="1" si="32"/>
        <v>123.75183382437434</v>
      </c>
      <c r="P94" s="584">
        <f t="shared" ca="1" si="32"/>
        <v>124.43296031477125</v>
      </c>
      <c r="Q94" s="584">
        <f t="shared" ca="1" si="32"/>
        <v>125.38637098802045</v>
      </c>
      <c r="R94" s="584">
        <f t="shared" ca="1" si="32"/>
        <v>126.6118994580888</v>
      </c>
      <c r="S94" s="584">
        <f t="shared" ca="1" si="32"/>
        <v>128.10933183901864</v>
      </c>
      <c r="T94" s="584">
        <f t="shared" ca="1" si="32"/>
        <v>129.574690632017</v>
      </c>
      <c r="U94" s="584">
        <f t="shared" ca="1" si="32"/>
        <v>127.86549476441162</v>
      </c>
      <c r="V94" s="584">
        <f t="shared" ca="1" si="32"/>
        <v>125.92928981874584</v>
      </c>
      <c r="W94" s="584">
        <f t="shared" ca="1" si="32"/>
        <v>123.76640692284514</v>
      </c>
    </row>
    <row r="95" spans="2:23" x14ac:dyDescent="0.25">
      <c r="B95" s="578" t="s">
        <v>1528</v>
      </c>
      <c r="C95" s="582">
        <f t="shared" ref="C95:W95" ca="1" si="33">100-(C93*100)/$C$30</f>
        <v>33.47194482651042</v>
      </c>
      <c r="D95" s="582">
        <f t="shared" ca="1" si="33"/>
        <v>31.690797524904127</v>
      </c>
      <c r="E95" s="582">
        <f t="shared" ca="1" si="33"/>
        <v>30.09782492419646</v>
      </c>
      <c r="F95" s="582">
        <f t="shared" ca="1" si="33"/>
        <v>28.692798392896748</v>
      </c>
      <c r="G95" s="582">
        <f t="shared" ca="1" si="33"/>
        <v>27.475516272523222</v>
      </c>
      <c r="H95" s="582">
        <f t="shared" ca="1" si="33"/>
        <v>26.445803849367778</v>
      </c>
      <c r="I95" s="582">
        <f t="shared" ca="1" si="33"/>
        <v>25.603513330052337</v>
      </c>
      <c r="J95" s="582">
        <f t="shared" ca="1" si="33"/>
        <v>24.948523820865276</v>
      </c>
      <c r="K95" s="582">
        <f t="shared" ca="1" si="33"/>
        <v>24.480741310867998</v>
      </c>
      <c r="L95" s="582">
        <f t="shared" ca="1" si="33"/>
        <v>24.200098658764162</v>
      </c>
      <c r="M95" s="582">
        <f t="shared" ca="1" si="33"/>
        <v>24.10655558352454</v>
      </c>
      <c r="N95" s="582">
        <f t="shared" ca="1" si="33"/>
        <v>24.200098658764162</v>
      </c>
      <c r="O95" s="582">
        <f t="shared" ca="1" si="33"/>
        <v>24.480741310867998</v>
      </c>
      <c r="P95" s="582">
        <f t="shared" ca="1" si="33"/>
        <v>24.948523820865276</v>
      </c>
      <c r="Q95" s="582">
        <f t="shared" ca="1" si="33"/>
        <v>25.603513330052337</v>
      </c>
      <c r="R95" s="582">
        <f t="shared" ca="1" si="33"/>
        <v>26.445803849367778</v>
      </c>
      <c r="S95" s="582">
        <f t="shared" ca="1" si="33"/>
        <v>27.475516272523222</v>
      </c>
      <c r="T95" s="582">
        <f t="shared" ca="1" si="33"/>
        <v>28.692798392896748</v>
      </c>
      <c r="U95" s="582">
        <f t="shared" ca="1" si="33"/>
        <v>30.09782492419646</v>
      </c>
      <c r="V95" s="582">
        <f t="shared" ca="1" si="33"/>
        <v>31.690797524904127</v>
      </c>
      <c r="W95" s="582">
        <f t="shared" ca="1" si="33"/>
        <v>33.47194482651042</v>
      </c>
    </row>
    <row r="96" spans="2:23" x14ac:dyDescent="0.25">
      <c r="B96" s="578" t="s">
        <v>1529</v>
      </c>
      <c r="C96" s="582">
        <f t="shared" ref="C96:W96" ca="1" si="34">100-(C94*100)/$C$30</f>
        <v>15.402319259846124</v>
      </c>
      <c r="D96" s="582">
        <f t="shared" ca="1" si="34"/>
        <v>13.92393040413819</v>
      </c>
      <c r="E96" s="582">
        <f t="shared" ca="1" si="34"/>
        <v>12.60048204756555</v>
      </c>
      <c r="F96" s="582">
        <f t="shared" ca="1" si="34"/>
        <v>11.43220052493713</v>
      </c>
      <c r="G96" s="582">
        <f t="shared" ca="1" si="34"/>
        <v>12.43381282363731</v>
      </c>
      <c r="H96" s="582">
        <f t="shared" ca="1" si="34"/>
        <v>13.457348285653595</v>
      </c>
      <c r="I96" s="582">
        <f t="shared" ca="1" si="34"/>
        <v>14.295030083376332</v>
      </c>
      <c r="J96" s="582">
        <f t="shared" ca="1" si="34"/>
        <v>14.946712019978648</v>
      </c>
      <c r="K96" s="582">
        <f t="shared" ca="1" si="34"/>
        <v>15.4122803661146</v>
      </c>
      <c r="L96" s="582">
        <f t="shared" ca="1" si="34"/>
        <v>15.691653875441276</v>
      </c>
      <c r="M96" s="582">
        <f t="shared" ca="1" si="34"/>
        <v>15.784783795713054</v>
      </c>
      <c r="N96" s="582">
        <f t="shared" ca="1" si="34"/>
        <v>15.691653875441276</v>
      </c>
      <c r="O96" s="582">
        <f t="shared" ca="1" si="34"/>
        <v>15.4122803661146</v>
      </c>
      <c r="P96" s="582">
        <f t="shared" ca="1" si="34"/>
        <v>14.946712019978648</v>
      </c>
      <c r="Q96" s="582">
        <f t="shared" ca="1" si="34"/>
        <v>14.295030083376332</v>
      </c>
      <c r="R96" s="582">
        <f t="shared" ca="1" si="34"/>
        <v>13.457348285653595</v>
      </c>
      <c r="S96" s="582">
        <f t="shared" ca="1" si="34"/>
        <v>12.43381282363731</v>
      </c>
      <c r="T96" s="582">
        <f t="shared" ca="1" si="34"/>
        <v>11.43220052493713</v>
      </c>
      <c r="U96" s="582">
        <f t="shared" ca="1" si="34"/>
        <v>12.60048204756555</v>
      </c>
      <c r="V96" s="582">
        <f t="shared" ca="1" si="34"/>
        <v>13.92393040413819</v>
      </c>
      <c r="W96" s="582">
        <f t="shared" ca="1" si="34"/>
        <v>15.402319259846124</v>
      </c>
    </row>
    <row r="98" spans="2:23" x14ac:dyDescent="0.25">
      <c r="B98" s="836" t="s">
        <v>1530</v>
      </c>
      <c r="C98" s="836"/>
      <c r="D98" s="836"/>
      <c r="E98" s="836"/>
      <c r="F98" s="836"/>
      <c r="G98" s="836"/>
      <c r="H98" s="836"/>
      <c r="I98" s="836"/>
      <c r="J98" s="836"/>
      <c r="K98" s="836"/>
      <c r="L98" s="836"/>
      <c r="M98" s="836"/>
      <c r="N98" s="836"/>
      <c r="O98" s="836"/>
      <c r="P98" s="836"/>
      <c r="Q98" s="836"/>
      <c r="R98" s="836"/>
      <c r="S98" s="836"/>
      <c r="T98" s="836"/>
      <c r="U98" s="836"/>
      <c r="V98" s="836"/>
      <c r="W98" s="836"/>
    </row>
    <row r="99" spans="2:23" x14ac:dyDescent="0.25">
      <c r="B99" s="578" t="s">
        <v>1531</v>
      </c>
      <c r="C99" s="587">
        <f t="shared" ref="C99:W99" ca="1" si="35">$C$23*C93+$C$24*C94</f>
        <v>1090.1021008507307</v>
      </c>
      <c r="D99" s="587">
        <f t="shared" ca="1" si="35"/>
        <v>1119.287268075931</v>
      </c>
      <c r="E99" s="587">
        <f t="shared" ca="1" si="35"/>
        <v>1145.3890799220867</v>
      </c>
      <c r="F99" s="587">
        <f t="shared" ca="1" si="35"/>
        <v>1168.4112826533508</v>
      </c>
      <c r="G99" s="587">
        <f t="shared" ca="1" si="35"/>
        <v>1188.3571805649435</v>
      </c>
      <c r="H99" s="587">
        <f t="shared" ca="1" si="35"/>
        <v>1205.2296364457993</v>
      </c>
      <c r="I99" s="587">
        <f t="shared" ca="1" si="35"/>
        <v>1219.0310719790943</v>
      </c>
      <c r="J99" s="587">
        <f t="shared" ca="1" si="35"/>
        <v>1229.7634680808299</v>
      </c>
      <c r="K99" s="587">
        <f t="shared" ca="1" si="35"/>
        <v>1237.4283651766411</v>
      </c>
      <c r="L99" s="587">
        <f t="shared" ca="1" si="35"/>
        <v>1242.026863416954</v>
      </c>
      <c r="M99" s="587">
        <f t="shared" ca="1" si="35"/>
        <v>1243.5596228306003</v>
      </c>
      <c r="N99" s="587">
        <f t="shared" ca="1" si="35"/>
        <v>1242.026863416954</v>
      </c>
      <c r="O99" s="587">
        <f t="shared" ca="1" si="35"/>
        <v>1237.4283651766411</v>
      </c>
      <c r="P99" s="587">
        <f t="shared" ca="1" si="35"/>
        <v>1229.7634680808299</v>
      </c>
      <c r="Q99" s="587">
        <f t="shared" ca="1" si="35"/>
        <v>1219.0310719790943</v>
      </c>
      <c r="R99" s="587">
        <f t="shared" ca="1" si="35"/>
        <v>1205.2296364457993</v>
      </c>
      <c r="S99" s="587">
        <f t="shared" ca="1" si="35"/>
        <v>1188.3571805649435</v>
      </c>
      <c r="T99" s="587">
        <f t="shared" ca="1" si="35"/>
        <v>1168.411282653351</v>
      </c>
      <c r="U99" s="587">
        <f t="shared" ca="1" si="35"/>
        <v>1145.3890799220867</v>
      </c>
      <c r="V99" s="587">
        <f t="shared" ca="1" si="35"/>
        <v>1119.287268075931</v>
      </c>
      <c r="W99" s="587">
        <f t="shared" ca="1" si="35"/>
        <v>1090.1021008507307</v>
      </c>
    </row>
    <row r="100" spans="2:23" x14ac:dyDescent="0.25">
      <c r="B100" s="578" t="s">
        <v>1532</v>
      </c>
      <c r="C100" s="587">
        <f t="shared" ref="C100:W100" ca="1" si="36">$C$23*C93*$C$25/100-$C$24*C94*$C$26/100</f>
        <v>204.39414390951202</v>
      </c>
      <c r="D100" s="587">
        <f t="shared" ca="1" si="36"/>
        <v>209.86636276423707</v>
      </c>
      <c r="E100" s="587">
        <f t="shared" ca="1" si="36"/>
        <v>214.76045248539126</v>
      </c>
      <c r="F100" s="587">
        <f t="shared" ca="1" si="36"/>
        <v>219.07711549750326</v>
      </c>
      <c r="G100" s="587">
        <f t="shared" ca="1" si="36"/>
        <v>222.8169713559269</v>
      </c>
      <c r="H100" s="587">
        <f t="shared" ca="1" si="36"/>
        <v>225.98055683358737</v>
      </c>
      <c r="I100" s="587">
        <f t="shared" ca="1" si="36"/>
        <v>228.5683259960802</v>
      </c>
      <c r="J100" s="587">
        <f t="shared" ca="1" si="36"/>
        <v>230.5806502651556</v>
      </c>
      <c r="K100" s="587">
        <f t="shared" ca="1" si="36"/>
        <v>232.01781847062023</v>
      </c>
      <c r="L100" s="587">
        <f t="shared" ca="1" si="36"/>
        <v>232.8800368906789</v>
      </c>
      <c r="M100" s="587">
        <f t="shared" ca="1" si="36"/>
        <v>233.16742928073757</v>
      </c>
      <c r="N100" s="587">
        <f t="shared" ca="1" si="36"/>
        <v>232.8800368906789</v>
      </c>
      <c r="O100" s="587">
        <f t="shared" ca="1" si="36"/>
        <v>232.01781847062023</v>
      </c>
      <c r="P100" s="587">
        <f t="shared" ca="1" si="36"/>
        <v>230.5806502651556</v>
      </c>
      <c r="Q100" s="587">
        <f t="shared" ca="1" si="36"/>
        <v>228.5683259960802</v>
      </c>
      <c r="R100" s="587">
        <f t="shared" ca="1" si="36"/>
        <v>225.98055683358737</v>
      </c>
      <c r="S100" s="587">
        <f t="shared" ca="1" si="36"/>
        <v>222.8169713559269</v>
      </c>
      <c r="T100" s="587">
        <f t="shared" ca="1" si="36"/>
        <v>219.0771154975033</v>
      </c>
      <c r="U100" s="587">
        <f t="shared" ca="1" si="36"/>
        <v>214.76045248539126</v>
      </c>
      <c r="V100" s="587">
        <f t="shared" ca="1" si="36"/>
        <v>209.86636276423707</v>
      </c>
      <c r="W100" s="587">
        <f t="shared" ca="1" si="36"/>
        <v>204.39414390951202</v>
      </c>
    </row>
    <row r="101" spans="2:23" ht="40.5" x14ac:dyDescent="0.25">
      <c r="B101" s="586" t="s">
        <v>1533</v>
      </c>
      <c r="C101" s="587">
        <f t="shared" ref="C101:W101" ca="1" si="37">$C$23*C59+$C$24*C60</f>
        <v>1465.7838118886843</v>
      </c>
      <c r="D101" s="587">
        <f t="shared" ca="1" si="37"/>
        <v>1467.6134113383107</v>
      </c>
      <c r="E101" s="587">
        <f t="shared" ca="1" si="37"/>
        <v>1469.2504213721868</v>
      </c>
      <c r="F101" s="587">
        <f t="shared" ca="1" si="37"/>
        <v>1470.6948419903126</v>
      </c>
      <c r="G101" s="587">
        <f t="shared" ca="1" si="37"/>
        <v>1471.9466731926886</v>
      </c>
      <c r="H101" s="587">
        <f t="shared" ca="1" si="37"/>
        <v>1473.0059149793144</v>
      </c>
      <c r="I101" s="587">
        <f t="shared" ca="1" si="37"/>
        <v>1473.87256735019</v>
      </c>
      <c r="J101" s="587">
        <f t="shared" ca="1" si="37"/>
        <v>1474.5466303053154</v>
      </c>
      <c r="K101" s="587">
        <f t="shared" ca="1" si="37"/>
        <v>1475.028103844691</v>
      </c>
      <c r="L101" s="587">
        <f t="shared" ca="1" si="37"/>
        <v>1475.316987968316</v>
      </c>
      <c r="M101" s="587">
        <f t="shared" ca="1" si="37"/>
        <v>1475.413282676191</v>
      </c>
      <c r="N101" s="587">
        <f t="shared" ca="1" si="37"/>
        <v>1475.316987968316</v>
      </c>
      <c r="O101" s="587">
        <f t="shared" ca="1" si="37"/>
        <v>1475.028103844691</v>
      </c>
      <c r="P101" s="587">
        <f t="shared" ca="1" si="37"/>
        <v>1474.5466303053154</v>
      </c>
      <c r="Q101" s="587">
        <f t="shared" ca="1" si="37"/>
        <v>1473.87256735019</v>
      </c>
      <c r="R101" s="587">
        <f t="shared" ca="1" si="37"/>
        <v>1473.0059149793144</v>
      </c>
      <c r="S101" s="587">
        <f t="shared" ca="1" si="37"/>
        <v>1471.9466731926886</v>
      </c>
      <c r="T101" s="587">
        <f t="shared" ca="1" si="37"/>
        <v>1470.6948419903126</v>
      </c>
      <c r="U101" s="587">
        <f t="shared" ca="1" si="37"/>
        <v>1469.2504213721868</v>
      </c>
      <c r="V101" s="587">
        <f t="shared" ca="1" si="37"/>
        <v>1467.6134113383107</v>
      </c>
      <c r="W101" s="587">
        <f t="shared" ca="1" si="37"/>
        <v>1465.7838118886843</v>
      </c>
    </row>
    <row r="102" spans="2:23" x14ac:dyDescent="0.25">
      <c r="B102" s="578" t="s">
        <v>1534</v>
      </c>
      <c r="C102" s="587">
        <f t="shared" ref="C102:W102" ca="1" si="38">$C$23*C59*$C$25/100-$C$24*C60*$C$26/100</f>
        <v>274.8344647291283</v>
      </c>
      <c r="D102" s="587">
        <f t="shared" ca="1" si="38"/>
        <v>275.17751462593327</v>
      </c>
      <c r="E102" s="587">
        <f t="shared" ca="1" si="38"/>
        <v>275.484454007285</v>
      </c>
      <c r="F102" s="587">
        <f t="shared" ca="1" si="38"/>
        <v>275.7552828731836</v>
      </c>
      <c r="G102" s="587">
        <f t="shared" ca="1" si="38"/>
        <v>275.9900012236291</v>
      </c>
      <c r="H102" s="587">
        <f t="shared" ca="1" si="38"/>
        <v>276.18860905862147</v>
      </c>
      <c r="I102" s="587">
        <f t="shared" ca="1" si="38"/>
        <v>276.35110637816064</v>
      </c>
      <c r="J102" s="587">
        <f t="shared" ca="1" si="38"/>
        <v>276.47749318224663</v>
      </c>
      <c r="K102" s="587">
        <f t="shared" ca="1" si="38"/>
        <v>276.56776947087957</v>
      </c>
      <c r="L102" s="587">
        <f t="shared" ca="1" si="38"/>
        <v>276.6219352440592</v>
      </c>
      <c r="M102" s="587">
        <f t="shared" ca="1" si="38"/>
        <v>276.63999050178586</v>
      </c>
      <c r="N102" s="587">
        <f t="shared" ca="1" si="38"/>
        <v>276.6219352440592</v>
      </c>
      <c r="O102" s="587">
        <f t="shared" ca="1" si="38"/>
        <v>276.56776947087957</v>
      </c>
      <c r="P102" s="587">
        <f t="shared" ca="1" si="38"/>
        <v>276.47749318224663</v>
      </c>
      <c r="Q102" s="587">
        <f t="shared" ca="1" si="38"/>
        <v>276.35110637816064</v>
      </c>
      <c r="R102" s="587">
        <f t="shared" ca="1" si="38"/>
        <v>276.18860905862147</v>
      </c>
      <c r="S102" s="587">
        <f t="shared" ca="1" si="38"/>
        <v>275.9900012236291</v>
      </c>
      <c r="T102" s="587">
        <f t="shared" ca="1" si="38"/>
        <v>275.7552828731836</v>
      </c>
      <c r="U102" s="587">
        <f t="shared" ca="1" si="38"/>
        <v>275.484454007285</v>
      </c>
      <c r="V102" s="587">
        <f t="shared" ca="1" si="38"/>
        <v>275.17751462593327</v>
      </c>
      <c r="W102" s="587">
        <f t="shared" ca="1" si="38"/>
        <v>274.8344647291283</v>
      </c>
    </row>
    <row r="104" spans="2:23" x14ac:dyDescent="0.25">
      <c r="B104" s="836" t="s">
        <v>1535</v>
      </c>
      <c r="C104" s="836"/>
      <c r="D104" s="836"/>
      <c r="E104" s="836"/>
      <c r="F104" s="836"/>
      <c r="G104" s="836"/>
      <c r="H104" s="836"/>
      <c r="I104" s="836"/>
      <c r="J104" s="836"/>
      <c r="K104" s="836"/>
      <c r="L104" s="836"/>
      <c r="M104" s="836"/>
      <c r="N104" s="836"/>
      <c r="O104" s="836"/>
      <c r="P104" s="836"/>
      <c r="Q104" s="836"/>
      <c r="R104" s="836"/>
      <c r="S104" s="836"/>
      <c r="T104" s="836"/>
      <c r="U104" s="836"/>
      <c r="V104" s="836"/>
      <c r="W104" s="836"/>
    </row>
    <row r="105" spans="2:23" x14ac:dyDescent="0.25">
      <c r="B105" s="578" t="s">
        <v>1536</v>
      </c>
      <c r="C105" s="578" t="s">
        <v>1537</v>
      </c>
      <c r="D105" s="578" t="s">
        <v>1538</v>
      </c>
      <c r="E105" s="578" t="s">
        <v>1539</v>
      </c>
    </row>
    <row r="106" spans="2:23" x14ac:dyDescent="0.25">
      <c r="B106" s="588" t="s">
        <v>1540</v>
      </c>
      <c r="C106" s="584">
        <f ca="1">M93</f>
        <v>111.03210918130361</v>
      </c>
      <c r="D106" s="589">
        <f ca="1">Geometria!$N$368</f>
        <v>111.03210918130361</v>
      </c>
      <c r="E106" s="590">
        <f t="shared" ref="E106:E113" ca="1" si="39">C106-D106</f>
        <v>0.0</v>
      </c>
    </row>
    <row r="107" spans="2:23" x14ac:dyDescent="0.25">
      <c r="B107" s="588" t="s">
        <v>1541</v>
      </c>
      <c r="C107" s="584">
        <f ca="1">M94</f>
        <v>123.20686130687182</v>
      </c>
      <c r="D107" s="589">
        <f ca="1">Geometria!$N$369</f>
        <v>123.20686130687182</v>
      </c>
      <c r="E107" s="590">
        <f t="shared" ca="1" si="39"/>
        <v>0.0</v>
      </c>
    </row>
    <row r="108" spans="2:23" x14ac:dyDescent="0.25">
      <c r="B108" s="588" t="s">
        <v>1542</v>
      </c>
      <c r="C108" s="584">
        <f ca="1">M95</f>
        <v>24.10655558352454</v>
      </c>
      <c r="D108" s="589">
        <f ca="1">Geometria!$O$368</f>
        <v>24.10655558352454</v>
      </c>
      <c r="E108" s="590">
        <f t="shared" ca="1" si="39"/>
        <v>0.0</v>
      </c>
    </row>
    <row r="109" spans="2:23" x14ac:dyDescent="0.25">
      <c r="B109" s="588" t="s">
        <v>1543</v>
      </c>
      <c r="C109" s="584">
        <f ca="1">M96</f>
        <v>15.784783795713054</v>
      </c>
      <c r="D109" s="589">
        <f ca="1">Geometria!$O$369</f>
        <v>15.784783795713054</v>
      </c>
      <c r="E109" s="590">
        <f t="shared" ca="1" si="39"/>
        <v>0.0</v>
      </c>
    </row>
    <row r="110" spans="2:23" x14ac:dyDescent="0.25">
      <c r="B110" s="588" t="s">
        <v>1544</v>
      </c>
      <c r="C110" s="584">
        <f ca="1">M99</f>
        <v>1243.5596228306003</v>
      </c>
      <c r="D110" s="589">
        <f ca="1">Geometria!$L$373</f>
        <v>1243.5596228306003</v>
      </c>
      <c r="E110" s="590">
        <f t="shared" ca="1" si="39"/>
        <v>0.0</v>
      </c>
    </row>
    <row r="111" spans="2:23" x14ac:dyDescent="0.25">
      <c r="B111" s="588" t="s">
        <v>1545</v>
      </c>
      <c r="C111" s="584">
        <f ca="1">M100</f>
        <v>233.16742928073757</v>
      </c>
      <c r="D111" s="589">
        <f ca="1">Geometria!$L$374</f>
        <v>233.16742928073757</v>
      </c>
      <c r="E111" s="590">
        <f t="shared" ca="1" si="39"/>
        <v>0.0</v>
      </c>
    </row>
    <row r="112" spans="2:23" x14ac:dyDescent="0.25">
      <c r="B112" s="588" t="s">
        <v>1546</v>
      </c>
      <c r="C112" s="584">
        <f ca="1">M101</f>
        <v>1475.413282676191</v>
      </c>
      <c r="D112" s="589">
        <f ca="1">Geometria!$L$906</f>
        <v>1475.413282676191</v>
      </c>
      <c r="E112" s="590">
        <f t="shared" ca="1" si="39"/>
        <v>0.0</v>
      </c>
    </row>
    <row r="113" spans="2:23" x14ac:dyDescent="0.25">
      <c r="B113" s="588" t="s">
        <v>1547</v>
      </c>
      <c r="C113" s="584">
        <f ca="1">M102</f>
        <v>276.63999050178586</v>
      </c>
      <c r="D113" s="589">
        <f ca="1">Geometria!$L$907</f>
        <v>276.63999050178586</v>
      </c>
      <c r="E113" s="590">
        <f t="shared" ca="1" si="39"/>
        <v>0.0</v>
      </c>
    </row>
    <row r="116" spans="2:23" x14ac:dyDescent="0.25">
      <c r="B116" s="835" t="s">
        <v>1548</v>
      </c>
      <c r="C116" s="835"/>
      <c r="D116" s="835"/>
      <c r="E116" s="835"/>
      <c r="F116" s="835"/>
      <c r="G116" s="835"/>
      <c r="H116" s="835"/>
      <c r="I116" s="835"/>
      <c r="J116" s="835"/>
      <c r="K116" s="835"/>
      <c r="L116" s="835"/>
      <c r="M116" s="835"/>
      <c r="N116" s="835"/>
      <c r="O116" s="835"/>
      <c r="P116" s="835"/>
      <c r="Q116" s="835"/>
      <c r="R116" s="835"/>
      <c r="S116" s="835"/>
      <c r="T116" s="835"/>
      <c r="U116" s="835"/>
      <c r="V116" s="835"/>
      <c r="W116" s="835"/>
    </row>
  </sheetData>
  <mergeCells count="16">
    <mergeCell ref="B1:W1"/>
    <mergeCell ref="B2:W2"/>
    <mergeCell ref="B3:W3"/>
    <mergeCell ref="B4:W4"/>
    <mergeCell ref="B5:W5"/>
    <mergeCell ref="B6:W6"/>
    <mergeCell ref="B7:W7"/>
    <mergeCell ref="B9:W9"/>
    <mergeCell ref="B14:W14"/>
    <mergeCell ref="B22:W22"/>
    <mergeCell ref="B116:W116"/>
    <mergeCell ref="B54:W54"/>
    <mergeCell ref="B64:W64"/>
    <mergeCell ref="B92:W92"/>
    <mergeCell ref="B98:W98"/>
    <mergeCell ref="B104:W104"/>
  </mergeCells>
  <pageMargins left="0.75" right="0.75" top="1" bottom="1" header="0.511811023622047" footer="0.511811023622047"/>
  <pageSetup paperSize="9" scale="31"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272"/>
  <sheetViews>
    <sheetView showGridLines="0" view="pageBreakPreview" topLeftCell="B1" zoomScaleNormal="100" workbookViewId="0">
      <selection activeCell="P271" sqref="P271"/>
    </sheetView>
  </sheetViews>
  <sheetFormatPr defaultColWidth="8.5703125" defaultRowHeight="15" x14ac:dyDescent="0.25"/>
  <cols>
    <col min="20" max="20" width="12.85546875" customWidth="1"/>
  </cols>
  <sheetData>
    <row r="1" spans="11:32" x14ac:dyDescent="0.25">
      <c r="AA1" t="s">
        <v>948</v>
      </c>
      <c r="AD1" t="s">
        <v>949</v>
      </c>
    </row>
    <row r="2" spans="11:32" x14ac:dyDescent="0.25">
      <c r="AA2">
        <f>Geometria!$L$29/25*0</f>
        <v>0.0</v>
      </c>
      <c r="AB2">
        <f ca="1">IF(AA2&gt;=Geometria!$L$21,$L$113,0)-(SUM($L$7:$L$11)*(AA2/100)+SUMPRODUCT(((($L$15:$L$24&lt;AA2)*(AA2-$L$15:$L$24))-(($M$15:$M$24&lt;AA2)*(AA2-$M$15:$M$24)))/100*($N$15:$N$24+$O$15:$O$24+$P$15:$P$24+$Q$15:$Q$24+$R$15:$R$24)))-SUMPRODUCT(($L$185:$L$194&lt;=AA2)*($M$185:$M$194+$N$185:$N$194+$O$185:$O$194+$P$185:$P$194+$Q$185:$Q$194))+IF(AA2&gt;(Geometria!$L$21+$L$109),$L$114,0)</f>
        <v>170.24245937499998</v>
      </c>
      <c r="AC2">
        <f t="shared" ref="AC2:AC27" si="0">AA2</f>
        <v>0.0</v>
      </c>
      <c r="AD2">
        <f>Geometria!$L$29/25*0</f>
        <v>0.0</v>
      </c>
      <c r="AE2">
        <f>IF(AD2&gt;=Geometria!$L$21,$L$149,0)-($L$12*(AD2/100)+SUMPRODUCT(((($L$15:$L$24&lt;AD2)*(AD2-$L$15:$L$24))-(($M$15:$M$24&lt;AD2)*(AD2-$M$15:$M$24)))/100*$S$15:$S$24))-SUMPRODUCT(($L$185:$L$194&lt;=AD2)*$R$185:$R$194)+IF(AD2&gt;(Geometria!$L$21+$L$109),$L$150,0)</f>
        <v>572.8046875000001</v>
      </c>
      <c r="AF2">
        <f t="shared" ref="AF2:AF27" si="1">AD2</f>
        <v>0.0</v>
      </c>
    </row>
    <row r="3" spans="11:32" x14ac:dyDescent="0.25">
      <c r="AA3">
        <f>Geometria!$L$29/25*1</f>
        <v>31.4</v>
      </c>
      <c r="AB3">
        <f ca="1">IF(AA3&gt;=Geometria!$L$21,$L$113,0)-(SUM($L$7:$L$11)*(AA3/100)+SUMPRODUCT(((($L$15:$L$24&lt;AA3)*(AA3-$L$15:$L$24))-(($M$15:$M$24&lt;AA3)*(AA3-$M$15:$M$24)))/100*($N$15:$N$24+$O$15:$O$24+$P$15:$P$24+$Q$15:$Q$24+$R$15:$R$24)))-SUMPRODUCT(($L$185:$L$194&lt;=AA3)*($M$185:$M$194+$N$185:$N$194+$O$185:$O$194+$P$185:$P$194+$Q$185:$Q$194))+IF(AA3&gt;(Geometria!$L$21+$L$109),$L$114,0)</f>
        <v>156.623062625</v>
      </c>
      <c r="AC3">
        <f t="shared" si="0"/>
        <v>31.4</v>
      </c>
      <c r="AD3">
        <f>Geometria!$L$29/25*1</f>
        <v>31.4</v>
      </c>
      <c r="AE3">
        <f>IF(AD3&gt;=Geometria!$L$21,$L$149,0)-($L$12*(AD3/100)+SUMPRODUCT(((($L$15:$L$24&lt;AD3)*(AD3-$L$15:$L$24))-(($M$15:$M$24&lt;AD3)*(AD3-$M$15:$M$24)))/100*$S$15:$S$24))-SUMPRODUCT(($L$185:$L$194&lt;=AD3)*$R$185:$R$194)+IF(AD3&gt;(Geometria!$L$21+$L$109),$L$150,0)</f>
        <v>526.9803125000001</v>
      </c>
      <c r="AF3">
        <f t="shared" si="1"/>
        <v>31.4</v>
      </c>
    </row>
    <row r="4" spans="11:32" x14ac:dyDescent="0.25">
      <c r="AA4">
        <f>Geometria!$L$29/25*2</f>
        <v>62.8</v>
      </c>
      <c r="AB4">
        <f ca="1">IF(AA4&gt;=Geometria!$L$21,$L$113,0)-(SUM($L$7:$L$11)*(AA4/100)+SUMPRODUCT(((($L$15:$L$24&lt;AA4)*(AA4-$L$15:$L$24))-(($M$15:$M$24&lt;AA4)*(AA4-$M$15:$M$24)))/100*($N$15:$N$24+$O$15:$O$24+$P$15:$P$24+$Q$15:$Q$24+$R$15:$R$24)))-SUMPRODUCT(($L$185:$L$194&lt;=AA4)*($M$185:$M$194+$N$185:$N$194+$O$185:$O$194+$P$185:$P$194+$Q$185:$Q$194))+IF(AA4&gt;(Geometria!$L$21+$L$109),$L$114,0)</f>
        <v>143.00366587499997</v>
      </c>
      <c r="AC4">
        <f t="shared" si="0"/>
        <v>62.8</v>
      </c>
      <c r="AD4">
        <f>Geometria!$L$29/25*2</f>
        <v>62.8</v>
      </c>
      <c r="AE4">
        <f>IF(AD4&gt;=Geometria!$L$21,$L$149,0)-($L$12*(AD4/100)+SUMPRODUCT(((($L$15:$L$24&lt;AD4)*(AD4-$L$15:$L$24))-(($M$15:$M$24&lt;AD4)*(AD4-$M$15:$M$24)))/100*$S$15:$S$24))-SUMPRODUCT(($L$185:$L$194&lt;=AD4)*$R$185:$R$194)+IF(AD4&gt;(Geometria!$L$21+$L$109),$L$150,0)</f>
        <v>481.1559375000001</v>
      </c>
      <c r="AF4">
        <f t="shared" si="1"/>
        <v>62.8</v>
      </c>
    </row>
    <row r="5" spans="11:32" x14ac:dyDescent="0.25">
      <c r="K5" t="s">
        <v>950</v>
      </c>
      <c r="L5" s="377">
        <f>Geometria!L29</f>
        <v>785.0</v>
      </c>
      <c r="AA5">
        <f>Geometria!$L$29/25*3</f>
        <v>94.19999999999999</v>
      </c>
      <c r="AB5">
        <f ca="1">IF(AA5&gt;=Geometria!$L$21,$L$113,0)-(SUM($L$7:$L$11)*(AA5/100)+SUMPRODUCT(((($L$15:$L$24&lt;AA5)*(AA5-$L$15:$L$24))-(($M$15:$M$24&lt;AA5)*(AA5-$M$15:$M$24)))/100*($N$15:$N$24+$O$15:$O$24+$P$15:$P$24+$Q$15:$Q$24+$R$15:$R$24)))-SUMPRODUCT(($L$185:$L$194&lt;=AA5)*($M$185:$M$194+$N$185:$N$194+$O$185:$O$194+$P$185:$P$194+$Q$185:$Q$194))+IF(AA5&gt;(Geometria!$L$21+$L$109),$L$114,0)</f>
        <v>129.384269125</v>
      </c>
      <c r="AC5">
        <f t="shared" si="0"/>
        <v>94.19999999999999</v>
      </c>
      <c r="AD5">
        <f>Geometria!$L$29/25*3</f>
        <v>94.19999999999999</v>
      </c>
      <c r="AE5">
        <f>IF(AD5&gt;=Geometria!$L$21,$L$149,0)-($L$12*(AD5/100)+SUMPRODUCT(((($L$15:$L$24&lt;AD5)*(AD5-$L$15:$L$24))-(($M$15:$M$24&lt;AD5)*(AD5-$M$15:$M$24)))/100*$S$15:$S$24))-SUMPRODUCT(($L$185:$L$194&lt;=AD5)*$R$185:$R$194)+IF(AD5&gt;(Geometria!$L$21+$L$109),$L$150,0)</f>
        <v>435.33156250000013</v>
      </c>
      <c r="AF5">
        <f t="shared" si="1"/>
        <v>94.19999999999999</v>
      </c>
    </row>
    <row r="6" spans="11:32" x14ac:dyDescent="0.25">
      <c r="AA6">
        <f>Geometria!$L$29/25*4</f>
        <v>125.6</v>
      </c>
      <c r="AB6">
        <f ca="1">IF(AA6&gt;=Geometria!$L$21,$L$113,0)-(SUM($L$7:$L$11)*(AA6/100)+SUMPRODUCT(((($L$15:$L$24&lt;AA6)*(AA6-$L$15:$L$24))-(($M$15:$M$24&lt;AA6)*(AA6-$M$15:$M$24)))/100*($N$15:$N$24+$O$15:$O$24+$P$15:$P$24+$Q$15:$Q$24+$R$15:$R$24)))-SUMPRODUCT(($L$185:$L$194&lt;=AA6)*($M$185:$M$194+$N$185:$N$194+$O$185:$O$194+$P$185:$P$194+$Q$185:$Q$194))+IF(AA6&gt;(Geometria!$L$21+$L$109),$L$114,0)</f>
        <v>115.76487237499998</v>
      </c>
      <c r="AC6">
        <f t="shared" si="0"/>
        <v>125.6</v>
      </c>
      <c r="AD6">
        <f>Geometria!$L$29/25*4</f>
        <v>125.6</v>
      </c>
      <c r="AE6">
        <f>IF(AD6&gt;=Geometria!$L$21,$L$149,0)-($L$12*(AD6/100)+SUMPRODUCT(((($L$15:$L$24&lt;AD6)*(AD6-$L$15:$L$24))-(($M$15:$M$24&lt;AD6)*(AD6-$M$15:$M$24)))/100*$S$15:$S$24))-SUMPRODUCT(($L$185:$L$194&lt;=AD6)*$R$185:$R$194)+IF(AD6&gt;(Geometria!$L$21+$L$109),$L$150,0)</f>
        <v>389.5071875000001</v>
      </c>
      <c r="AF6">
        <f t="shared" si="1"/>
        <v>125.6</v>
      </c>
    </row>
    <row r="7" spans="11:32" x14ac:dyDescent="0.25">
      <c r="K7" s="27" t="s">
        <v>202</v>
      </c>
      <c r="L7" s="97">
        <f ca="1">Geometria!M198</f>
        <v>5.325</v>
      </c>
      <c r="M7" s="98" t="s">
        <v>203</v>
      </c>
      <c r="N7" s="4" t="s">
        <v>204</v>
      </c>
      <c r="AA7">
        <f>Geometria!$L$29/25*5</f>
        <v>157.0</v>
      </c>
      <c r="AB7">
        <f ca="1">IF(AA7&gt;=Geometria!$L$21,$L$113,0)-(SUM($L$7:$L$11)*(AA7/100)+SUMPRODUCT(((($L$15:$L$24&lt;AA7)*(AA7-$L$15:$L$24))-(($M$15:$M$24&lt;AA7)*(AA7-$M$15:$M$24)))/100*($N$15:$N$24+$O$15:$O$24+$P$15:$P$24+$Q$15:$Q$24+$R$15:$R$24)))-SUMPRODUCT(($L$185:$L$194&lt;=AA7)*($M$185:$M$194+$N$185:$N$194+$O$185:$O$194+$P$185:$P$194+$Q$185:$Q$194))+IF(AA7&gt;(Geometria!$L$21+$L$109),$L$114,0)</f>
        <v>102.14547562499997</v>
      </c>
      <c r="AC7">
        <f t="shared" si="0"/>
        <v>157.0</v>
      </c>
      <c r="AD7">
        <f>Geometria!$L$29/25*5</f>
        <v>157.0</v>
      </c>
      <c r="AE7">
        <f>IF(AD7&gt;=Geometria!$L$21,$L$149,0)-($L$12*(AD7/100)+SUMPRODUCT(((($L$15:$L$24&lt;AD7)*(AD7-$L$15:$L$24))-(($M$15:$M$24&lt;AD7)*(AD7-$M$15:$M$24)))/100*$S$15:$S$24))-SUMPRODUCT(($L$185:$L$194&lt;=AD7)*$R$185:$R$194)+IF(AD7&gt;(Geometria!$L$21+$L$109),$L$150,0)</f>
        <v>343.68281250000007</v>
      </c>
      <c r="AF7">
        <f t="shared" si="1"/>
        <v>157.0</v>
      </c>
    </row>
    <row r="8" spans="11:32" x14ac:dyDescent="0.25">
      <c r="K8" s="27" t="s">
        <v>205</v>
      </c>
      <c r="L8" s="97">
        <f>Geometria!M199</f>
        <v>19.658125</v>
      </c>
      <c r="M8" s="98" t="s">
        <v>203</v>
      </c>
      <c r="N8" s="4" t="s">
        <v>206</v>
      </c>
      <c r="AA8">
        <f>Geometria!$L$29/25*6</f>
        <v>188.39999999999998</v>
      </c>
      <c r="AB8">
        <f ca="1">IF(AA8&gt;=Geometria!$L$21,$L$113,0)-(SUM($L$7:$L$11)*(AA8/100)+SUMPRODUCT(((($L$15:$L$24&lt;AA8)*(AA8-$L$15:$L$24))-(($M$15:$M$24&lt;AA8)*(AA8-$M$15:$M$24)))/100*($N$15:$N$24+$O$15:$O$24+$P$15:$P$24+$Q$15:$Q$24+$R$15:$R$24)))-SUMPRODUCT(($L$185:$L$194&lt;=AA8)*($M$185:$M$194+$N$185:$N$194+$O$185:$O$194+$P$185:$P$194+$Q$185:$Q$194))+IF(AA8&gt;(Geometria!$L$21+$L$109),$L$114,0)</f>
        <v>88.526078875</v>
      </c>
      <c r="AC8">
        <f t="shared" si="0"/>
        <v>188.39999999999998</v>
      </c>
      <c r="AD8">
        <f>Geometria!$L$29/25*6</f>
        <v>188.39999999999998</v>
      </c>
      <c r="AE8">
        <f>IF(AD8&gt;=Geometria!$L$21,$L$149,0)-($L$12*(AD8/100)+SUMPRODUCT(((($L$15:$L$24&lt;AD8)*(AD8-$L$15:$L$24))-(($M$15:$M$24&lt;AD8)*(AD8-$M$15:$M$24)))/100*$S$15:$S$24))-SUMPRODUCT(($L$185:$L$194&lt;=AD8)*$R$185:$R$194)+IF(AD8&gt;(Geometria!$L$21+$L$109),$L$150,0)</f>
        <v>297.85843750000015</v>
      </c>
      <c r="AF8">
        <f t="shared" si="1"/>
        <v>188.39999999999998</v>
      </c>
    </row>
    <row r="9" spans="11:32" x14ac:dyDescent="0.25">
      <c r="K9" s="27" t="s">
        <v>207</v>
      </c>
      <c r="L9" s="97">
        <f>Geometria!M200</f>
        <v>12.553250000000002</v>
      </c>
      <c r="M9" s="98" t="s">
        <v>203</v>
      </c>
      <c r="N9" s="4" t="s">
        <v>208</v>
      </c>
      <c r="AA9">
        <f>Geometria!$L$29/25*7</f>
        <v>219.79999999999998</v>
      </c>
      <c r="AB9">
        <f ca="1">IF(AA9&gt;=Geometria!$L$21,$L$113,0)-(SUM($L$7:$L$11)*(AA9/100)+SUMPRODUCT(((($L$15:$L$24&lt;AA9)*(AA9-$L$15:$L$24))-(($M$15:$M$24&lt;AA9)*(AA9-$M$15:$M$24)))/100*($N$15:$N$24+$O$15:$O$24+$P$15:$P$24+$Q$15:$Q$24+$R$15:$R$24)))-SUMPRODUCT(($L$185:$L$194&lt;=AA9)*($M$185:$M$194+$N$185:$N$194+$O$185:$O$194+$P$185:$P$194+$Q$185:$Q$194))+IF(AA9&gt;(Geometria!$L$21+$L$109),$L$114,0)</f>
        <v>74.90668212499999</v>
      </c>
      <c r="AC9">
        <f t="shared" si="0"/>
        <v>219.79999999999998</v>
      </c>
      <c r="AD9">
        <f>Geometria!$L$29/25*7</f>
        <v>219.79999999999998</v>
      </c>
      <c r="AE9">
        <f>IF(AD9&gt;=Geometria!$L$21,$L$149,0)-($L$12*(AD9/100)+SUMPRODUCT(((($L$15:$L$24&lt;AD9)*(AD9-$L$15:$L$24))-(($M$15:$M$24&lt;AD9)*(AD9-$M$15:$M$24)))/100*$S$15:$S$24))-SUMPRODUCT(($L$185:$L$194&lt;=AD9)*$R$185:$R$194)+IF(AD9&gt;(Geometria!$L$21+$L$109),$L$150,0)</f>
        <v>252.03406250000012</v>
      </c>
      <c r="AF9">
        <f t="shared" si="1"/>
        <v>219.79999999999998</v>
      </c>
    </row>
    <row r="10" spans="11:32" x14ac:dyDescent="0.25">
      <c r="K10" s="27" t="s">
        <v>209</v>
      </c>
      <c r="L10" s="97">
        <f>Geometria!M201</f>
        <v>5.8374999999999995</v>
      </c>
      <c r="M10" s="98" t="s">
        <v>203</v>
      </c>
      <c r="N10" s="4" t="s">
        <v>210</v>
      </c>
      <c r="AA10">
        <f>Geometria!$L$29/25*8</f>
        <v>251.2</v>
      </c>
      <c r="AB10">
        <f ca="1">IF(AA10&gt;=Geometria!$L$21,$L$113,0)-(SUM($L$7:$L$11)*(AA10/100)+SUMPRODUCT(((($L$15:$L$24&lt;AA10)*(AA10-$L$15:$L$24))-(($M$15:$M$24&lt;AA10)*(AA10-$M$15:$M$24)))/100*($N$15:$N$24+$O$15:$O$24+$P$15:$P$24+$Q$15:$Q$24+$R$15:$R$24)))-SUMPRODUCT(($L$185:$L$194&lt;=AA10)*($M$185:$M$194+$N$185:$N$194+$O$185:$O$194+$P$185:$P$194+$Q$185:$Q$194))+IF(AA10&gt;(Geometria!$L$21+$L$109),$L$114,0)</f>
        <v>61.28728537499998</v>
      </c>
      <c r="AC10">
        <f t="shared" si="0"/>
        <v>251.2</v>
      </c>
      <c r="AD10">
        <f>Geometria!$L$29/25*8</f>
        <v>251.2</v>
      </c>
      <c r="AE10">
        <f>IF(AD10&gt;=Geometria!$L$21,$L$149,0)-($L$12*(AD10/100)+SUMPRODUCT(((($L$15:$L$24&lt;AD10)*(AD10-$L$15:$L$24))-(($M$15:$M$24&lt;AD10)*(AD10-$M$15:$M$24)))/100*$S$15:$S$24))-SUMPRODUCT(($L$185:$L$194&lt;=AD10)*$R$185:$R$194)+IF(AD10&gt;(Geometria!$L$21+$L$109),$L$150,0)</f>
        <v>206.2096875000001</v>
      </c>
      <c r="AF10">
        <f t="shared" si="1"/>
        <v>251.2</v>
      </c>
    </row>
    <row r="11" spans="11:32" x14ac:dyDescent="0.25">
      <c r="K11" s="27" t="s">
        <v>211</v>
      </c>
      <c r="L11" s="97">
        <f>Geometria!M202</f>
        <v>0.0</v>
      </c>
      <c r="M11" s="98" t="s">
        <v>203</v>
      </c>
      <c r="N11" s="4" t="s">
        <v>212</v>
      </c>
      <c r="AA11">
        <f>Geometria!$L$29/25*9</f>
        <v>282.59999999999997</v>
      </c>
      <c r="AB11">
        <f ca="1">IF(AA11&gt;=Geometria!$L$21,$L$113,0)-(SUM($L$7:$L$11)*(AA11/100)+SUMPRODUCT(((($L$15:$L$24&lt;AA11)*(AA11-$L$15:$L$24))-(($M$15:$M$24&lt;AA11)*(AA11-$M$15:$M$24)))/100*($N$15:$N$24+$O$15:$O$24+$P$15:$P$24+$Q$15:$Q$24+$R$15:$R$24)))-SUMPRODUCT(($L$185:$L$194&lt;=AA11)*($M$185:$M$194+$N$185:$N$194+$O$185:$O$194+$P$185:$P$194+$Q$185:$Q$194))+IF(AA11&gt;(Geometria!$L$21+$L$109),$L$114,0)</f>
        <v>47.667888625</v>
      </c>
      <c r="AC11">
        <f t="shared" si="0"/>
        <v>282.59999999999997</v>
      </c>
      <c r="AD11">
        <f>Geometria!$L$29/25*9</f>
        <v>282.59999999999997</v>
      </c>
      <c r="AE11">
        <f>IF(AD11&gt;=Geometria!$L$21,$L$149,0)-($L$12*(AD11/100)+SUMPRODUCT(((($L$15:$L$24&lt;AD11)*(AD11-$L$15:$L$24))-(($M$15:$M$24&lt;AD11)*(AD11-$M$15:$M$24)))/100*$S$15:$S$24))-SUMPRODUCT(($L$185:$L$194&lt;=AD11)*$R$185:$R$194)+IF(AD11&gt;(Geometria!$L$21+$L$109),$L$150,0)</f>
        <v>160.38531250000017</v>
      </c>
      <c r="AF11">
        <f t="shared" si="1"/>
        <v>282.59999999999997</v>
      </c>
    </row>
    <row r="12" spans="11:32" x14ac:dyDescent="0.25">
      <c r="K12" s="30" t="s">
        <v>194</v>
      </c>
      <c r="L12" s="97">
        <f>Geometria!M203</f>
        <v>145.9375</v>
      </c>
      <c r="M12" s="99" t="s">
        <v>203</v>
      </c>
      <c r="N12" s="32" t="s">
        <v>213</v>
      </c>
      <c r="AA12">
        <f>Geometria!$L$29/25*10</f>
        <v>314.0</v>
      </c>
      <c r="AB12">
        <f ca="1">IF(AA12&gt;=Geometria!$L$21,$L$113,0)-(SUM($L$7:$L$11)*(AA12/100)+SUMPRODUCT(((($L$15:$L$24&lt;AA12)*(AA12-$L$15:$L$24))-(($M$15:$M$24&lt;AA12)*(AA12-$M$15:$M$24)))/100*($N$15:$N$24+$O$15:$O$24+$P$15:$P$24+$Q$15:$Q$24+$R$15:$R$24)))-SUMPRODUCT(($L$185:$L$194&lt;=AA12)*($M$185:$M$194+$N$185:$N$194+$O$185:$O$194+$P$185:$P$194+$Q$185:$Q$194))+IF(AA12&gt;(Geometria!$L$21+$L$109),$L$114,0)</f>
        <v>34.04849187499997</v>
      </c>
      <c r="AC12">
        <f t="shared" si="0"/>
        <v>314.0</v>
      </c>
      <c r="AD12">
        <f>Geometria!$L$29/25*10</f>
        <v>314.0</v>
      </c>
      <c r="AE12">
        <f>IF(AD12&gt;=Geometria!$L$21,$L$149,0)-($L$12*(AD12/100)+SUMPRODUCT(((($L$15:$L$24&lt;AD12)*(AD12-$L$15:$L$24))-(($M$15:$M$24&lt;AD12)*(AD12-$M$15:$M$24)))/100*$S$15:$S$24))-SUMPRODUCT(($L$185:$L$194&lt;=AD12)*$R$185:$R$194)+IF(AD12&gt;(Geometria!$L$21+$L$109),$L$150,0)</f>
        <v>114.56093750000008</v>
      </c>
      <c r="AF12">
        <f t="shared" si="1"/>
        <v>314.0</v>
      </c>
    </row>
    <row r="13" spans="11:32" x14ac:dyDescent="0.25">
      <c r="AA13">
        <f>Geometria!$L$29/25*11</f>
        <v>345.4</v>
      </c>
      <c r="AB13">
        <f ca="1">IF(AA13&gt;=Geometria!$L$21,$L$113,0)-(SUM($L$7:$L$11)*(AA13/100)+SUMPRODUCT(((($L$15:$L$24&lt;AA13)*(AA13-$L$15:$L$24))-(($M$15:$M$24&lt;AA13)*(AA13-$M$15:$M$24)))/100*($N$15:$N$24+$O$15:$O$24+$P$15:$P$24+$Q$15:$Q$24+$R$15:$R$24)))-SUMPRODUCT(($L$185:$L$194&lt;=AA13)*($M$185:$M$194+$N$185:$N$194+$O$185:$O$194+$P$185:$P$194+$Q$185:$Q$194))+IF(AA13&gt;(Geometria!$L$21+$L$109),$L$114,0)</f>
        <v>20.429095125000003</v>
      </c>
      <c r="AC13">
        <f t="shared" si="0"/>
        <v>345.4</v>
      </c>
      <c r="AD13">
        <f>Geometria!$L$29/25*11</f>
        <v>345.4</v>
      </c>
      <c r="AE13">
        <f>IF(AD13&gt;=Geometria!$L$21,$L$149,0)-($L$12*(AD13/100)+SUMPRODUCT(((($L$15:$L$24&lt;AD13)*(AD13-$L$15:$L$24))-(($M$15:$M$24&lt;AD13)*(AD13-$M$15:$M$24)))/100*$S$15:$S$24))-SUMPRODUCT(($L$185:$L$194&lt;=AD13)*$R$185:$R$194)+IF(AD13&gt;(Geometria!$L$21+$L$109),$L$150,0)</f>
        <v>68.73656250000016</v>
      </c>
      <c r="AF13">
        <f t="shared" si="1"/>
        <v>345.4</v>
      </c>
    </row>
    <row r="14" spans="11:32" ht="18" x14ac:dyDescent="0.35">
      <c r="K14" s="50" t="s">
        <v>186</v>
      </c>
      <c r="L14" s="378" t="s">
        <v>951</v>
      </c>
      <c r="M14" s="378" t="s">
        <v>952</v>
      </c>
      <c r="N14" s="378" t="s">
        <v>953</v>
      </c>
      <c r="O14" s="378" t="s">
        <v>954</v>
      </c>
      <c r="P14" s="378" t="s">
        <v>955</v>
      </c>
      <c r="Q14" s="378" t="s">
        <v>956</v>
      </c>
      <c r="R14" s="378" t="s">
        <v>957</v>
      </c>
      <c r="S14" s="87" t="s">
        <v>194</v>
      </c>
      <c r="T14" s="87" t="s">
        <v>224</v>
      </c>
      <c r="AA14">
        <f>Geometria!$L$29/25*12</f>
        <v>376.79999999999995</v>
      </c>
      <c r="AB14">
        <f ca="1">IF(AA14&gt;=Geometria!$L$21,$L$113,0)-(SUM($L$7:$L$11)*(AA14/100)+SUMPRODUCT(((($L$15:$L$24&lt;AA14)*(AA14-$L$15:$L$24))-(($M$15:$M$24&lt;AA14)*(AA14-$M$15:$M$24)))/100*($N$15:$N$24+$O$15:$O$24+$P$15:$P$24+$Q$15:$Q$24+$R$15:$R$24)))-SUMPRODUCT(($L$185:$L$194&lt;=AA14)*($M$185:$M$194+$N$185:$N$194+$O$185:$O$194+$P$185:$P$194+$Q$185:$Q$194))+IF(AA14&gt;(Geometria!$L$21+$L$109),$L$114,0)</f>
        <v>6.809698375000011</v>
      </c>
      <c r="AC14">
        <f t="shared" si="0"/>
        <v>376.79999999999995</v>
      </c>
      <c r="AD14">
        <f>Geometria!$L$29/25*12</f>
        <v>376.79999999999995</v>
      </c>
      <c r="AE14">
        <f>IF(AD14&gt;=Geometria!$L$21,$L$149,0)-($L$12*(AD14/100)+SUMPRODUCT(((($L$15:$L$24&lt;AD14)*(AD14-$L$15:$L$24))-(($M$15:$M$24&lt;AD14)*(AD14-$M$15:$M$24)))/100*$S$15:$S$24))-SUMPRODUCT(($L$185:$L$194&lt;=AD14)*$R$185:$R$194)+IF(AD14&gt;(Geometria!$L$21+$L$109),$L$150,0)</f>
        <v>22.912187500000186</v>
      </c>
      <c r="AF14">
        <f t="shared" si="1"/>
        <v>376.79999999999995</v>
      </c>
    </row>
    <row r="15" spans="11:32" x14ac:dyDescent="0.25">
      <c r="K15" s="87">
        <v>1</v>
      </c>
      <c r="L15" s="379">
        <f>Geometria!K98</f>
        <v>0.0</v>
      </c>
      <c r="M15" s="379">
        <f>Geometria!L98</f>
        <v>0.0</v>
      </c>
      <c r="N15" s="380">
        <f>Geometria!M98</f>
        <v>0.0</v>
      </c>
      <c r="O15" s="380">
        <f>Geometria!N98</f>
        <v>0.0</v>
      </c>
      <c r="P15" s="380">
        <f>Geometria!O98</f>
        <v>0.0</v>
      </c>
      <c r="Q15" s="380">
        <f>Geometria!P98</f>
        <v>0.0</v>
      </c>
      <c r="R15" s="380">
        <f>Geometria!Q98</f>
        <v>0.0</v>
      </c>
      <c r="S15" s="380">
        <f>Geometria!R98</f>
        <v>0.0</v>
      </c>
      <c r="T15" s="381">
        <f t="shared" ref="T15:T24" si="2">SUM(N15:S15)</f>
        <v>0.0</v>
      </c>
      <c r="AA15">
        <f>Geometria!$L$29/25*13</f>
        <v>408.2</v>
      </c>
      <c r="AB15">
        <f ca="1">IF(AA15&gt;=Geometria!$L$21,$L$113,0)-(SUM($L$7:$L$11)*(AA15/100)+SUMPRODUCT(((($L$15:$L$24&lt;AA15)*(AA15-$L$15:$L$24))-(($M$15:$M$24&lt;AA15)*(AA15-$M$15:$M$24)))/100*($N$15:$N$24+$O$15:$O$24+$P$15:$P$24+$Q$15:$Q$24+$R$15:$R$24)))-SUMPRODUCT(($L$185:$L$194&lt;=AA15)*($M$185:$M$194+$N$185:$N$194+$O$185:$O$194+$P$185:$P$194+$Q$185:$Q$194))+IF(AA15&gt;(Geometria!$L$21+$L$109),$L$114,0)</f>
        <v>-6.809698375000011</v>
      </c>
      <c r="AC15">
        <f t="shared" si="0"/>
        <v>408.2</v>
      </c>
      <c r="AD15">
        <f>Geometria!$L$29/25*13</f>
        <v>408.2</v>
      </c>
      <c r="AE15">
        <f>IF(AD15&gt;=Geometria!$L$21,$L$149,0)-($L$12*(AD15/100)+SUMPRODUCT(((($L$15:$L$24&lt;AD15)*(AD15-$L$15:$L$24))-(($M$15:$M$24&lt;AD15)*(AD15-$M$15:$M$24)))/100*$S$15:$S$24))-SUMPRODUCT(($L$185:$L$194&lt;=AD15)*$R$185:$R$194)+IF(AD15&gt;(Geometria!$L$21+$L$109),$L$150,0)</f>
        <v>-22.912187499999845</v>
      </c>
      <c r="AF15">
        <f t="shared" si="1"/>
        <v>408.2</v>
      </c>
    </row>
    <row r="16" spans="11:32" x14ac:dyDescent="0.25">
      <c r="K16" s="87">
        <v>2</v>
      </c>
      <c r="L16" s="379">
        <f>Geometria!K99</f>
        <v>0.0</v>
      </c>
      <c r="M16" s="379">
        <f>Geometria!L99</f>
        <v>0.0</v>
      </c>
      <c r="N16" s="380">
        <f>Geometria!M99</f>
        <v>0.0</v>
      </c>
      <c r="O16" s="380">
        <f>Geometria!N99</f>
        <v>0.0</v>
      </c>
      <c r="P16" s="380">
        <f>Geometria!O99</f>
        <v>0.0</v>
      </c>
      <c r="Q16" s="380">
        <f>Geometria!P99</f>
        <v>0.0</v>
      </c>
      <c r="R16" s="380">
        <f>Geometria!Q99</f>
        <v>0.0</v>
      </c>
      <c r="S16" s="380">
        <f>Geometria!R99</f>
        <v>0.0</v>
      </c>
      <c r="T16" s="381">
        <f t="shared" si="2"/>
        <v>0.0</v>
      </c>
      <c r="AA16">
        <f>Geometria!$L$29/25*14</f>
        <v>439.59999999999997</v>
      </c>
      <c r="AB16">
        <f ca="1">IF(AA16&gt;=Geometria!$L$21,$L$113,0)-(SUM($L$7:$L$11)*(AA16/100)+SUMPRODUCT(((($L$15:$L$24&lt;AA16)*(AA16-$L$15:$L$24))-(($M$15:$M$24&lt;AA16)*(AA16-$M$15:$M$24)))/100*($N$15:$N$24+$O$15:$O$24+$P$15:$P$24+$Q$15:$Q$24+$R$15:$R$24)))-SUMPRODUCT(($L$185:$L$194&lt;=AA16)*($M$185:$M$194+$N$185:$N$194+$O$185:$O$194+$P$185:$P$194+$Q$185:$Q$194))+IF(AA16&gt;(Geometria!$L$21+$L$109),$L$114,0)</f>
        <v>-20.429095125000003</v>
      </c>
      <c r="AC16">
        <f t="shared" si="0"/>
        <v>439.59999999999997</v>
      </c>
      <c r="AD16">
        <f>Geometria!$L$29/25*14</f>
        <v>439.59999999999997</v>
      </c>
      <c r="AE16">
        <f>IF(AD16&gt;=Geometria!$L$21,$L$149,0)-($L$12*(AD16/100)+SUMPRODUCT(((($L$15:$L$24&lt;AD16)*(AD16-$L$15:$L$24))-(($M$15:$M$24&lt;AD16)*(AD16-$M$15:$M$24)))/100*$S$15:$S$24))-SUMPRODUCT(($L$185:$L$194&lt;=AD16)*$R$185:$R$194)+IF(AD16&gt;(Geometria!$L$21+$L$109),$L$150,0)</f>
        <v>-68.73656249999988</v>
      </c>
      <c r="AF16">
        <f t="shared" si="1"/>
        <v>439.59999999999997</v>
      </c>
    </row>
    <row r="17" spans="11:32" x14ac:dyDescent="0.25">
      <c r="K17" s="87">
        <v>3</v>
      </c>
      <c r="L17" s="379">
        <f>Geometria!K100</f>
        <v>0.0</v>
      </c>
      <c r="M17" s="379">
        <f>Geometria!L100</f>
        <v>0.0</v>
      </c>
      <c r="N17" s="380">
        <f>Geometria!M100</f>
        <v>0.0</v>
      </c>
      <c r="O17" s="380">
        <f>Geometria!N100</f>
        <v>0.0</v>
      </c>
      <c r="P17" s="380">
        <f>Geometria!O100</f>
        <v>0.0</v>
      </c>
      <c r="Q17" s="380">
        <f>Geometria!P100</f>
        <v>0.0</v>
      </c>
      <c r="R17" s="380">
        <f>Geometria!Q100</f>
        <v>0.0</v>
      </c>
      <c r="S17" s="380">
        <f>Geometria!R100</f>
        <v>0.0</v>
      </c>
      <c r="T17" s="381">
        <f t="shared" si="2"/>
        <v>0.0</v>
      </c>
      <c r="AA17">
        <f>Geometria!$L$29/25*15</f>
        <v>471.0</v>
      </c>
      <c r="AB17">
        <f ca="1">IF(AA17&gt;=Geometria!$L$21,$L$113,0)-(SUM($L$7:$L$11)*(AA17/100)+SUMPRODUCT(((($L$15:$L$24&lt;AA17)*(AA17-$L$15:$L$24))-(($M$15:$M$24&lt;AA17)*(AA17-$M$15:$M$24)))/100*($N$15:$N$24+$O$15:$O$24+$P$15:$P$24+$Q$15:$Q$24+$R$15:$R$24)))-SUMPRODUCT(($L$185:$L$194&lt;=AA17)*($M$185:$M$194+$N$185:$N$194+$O$185:$O$194+$P$185:$P$194+$Q$185:$Q$194))+IF(AA17&gt;(Geometria!$L$21+$L$109),$L$114,0)</f>
        <v>-34.048491874999996</v>
      </c>
      <c r="AC17">
        <f t="shared" si="0"/>
        <v>471.0</v>
      </c>
      <c r="AD17">
        <f>Geometria!$L$29/25*15</f>
        <v>471.0</v>
      </c>
      <c r="AE17">
        <f>IF(AD17&gt;=Geometria!$L$21,$L$149,0)-($L$12*(AD17/100)+SUMPRODUCT(((($L$15:$L$24&lt;AD17)*(AD17-$L$15:$L$24))-(($M$15:$M$24&lt;AD17)*(AD17-$M$15:$M$24)))/100*$S$15:$S$24))-SUMPRODUCT(($L$185:$L$194&lt;=AD17)*$R$185:$R$194)+IF(AD17&gt;(Geometria!$L$21+$L$109),$L$150,0)</f>
        <v>-114.56093749999991</v>
      </c>
      <c r="AF17">
        <f t="shared" si="1"/>
        <v>471.0</v>
      </c>
    </row>
    <row r="18" spans="11:32" x14ac:dyDescent="0.25">
      <c r="K18" s="87">
        <v>4</v>
      </c>
      <c r="L18" s="379">
        <f>Geometria!K101</f>
        <v>0.0</v>
      </c>
      <c r="M18" s="379">
        <f>Geometria!L101</f>
        <v>0.0</v>
      </c>
      <c r="N18" s="380">
        <f>Geometria!M101</f>
        <v>0.0</v>
      </c>
      <c r="O18" s="380">
        <f>Geometria!N101</f>
        <v>0.0</v>
      </c>
      <c r="P18" s="380">
        <f>Geometria!O101</f>
        <v>0.0</v>
      </c>
      <c r="Q18" s="380">
        <f>Geometria!P101</f>
        <v>0.0</v>
      </c>
      <c r="R18" s="380">
        <f>Geometria!Q101</f>
        <v>0.0</v>
      </c>
      <c r="S18" s="380">
        <f>Geometria!R101</f>
        <v>0.0</v>
      </c>
      <c r="T18" s="381">
        <f t="shared" si="2"/>
        <v>0.0</v>
      </c>
      <c r="AA18">
        <f>Geometria!$L$29/25*16</f>
        <v>502.4</v>
      </c>
      <c r="AB18">
        <f ca="1">IF(AA18&gt;=Geometria!$L$21,$L$113,0)-(SUM($L$7:$L$11)*(AA18/100)+SUMPRODUCT(((($L$15:$L$24&lt;AA18)*(AA18-$L$15:$L$24))-(($M$15:$M$24&lt;AA18)*(AA18-$M$15:$M$24)))/100*($N$15:$N$24+$O$15:$O$24+$P$15:$P$24+$Q$15:$Q$24+$R$15:$R$24)))-SUMPRODUCT(($L$185:$L$194&lt;=AA18)*($M$185:$M$194+$N$185:$N$194+$O$185:$O$194+$P$185:$P$194+$Q$185:$Q$194))+IF(AA18&gt;(Geometria!$L$21+$L$109),$L$114,0)</f>
        <v>-47.66788862500002</v>
      </c>
      <c r="AC18">
        <f t="shared" si="0"/>
        <v>502.4</v>
      </c>
      <c r="AD18">
        <f>Geometria!$L$29/25*16</f>
        <v>502.4</v>
      </c>
      <c r="AE18">
        <f>IF(AD18&gt;=Geometria!$L$21,$L$149,0)-($L$12*(AD18/100)+SUMPRODUCT(((($L$15:$L$24&lt;AD18)*(AD18-$L$15:$L$24))-(($M$15:$M$24&lt;AD18)*(AD18-$M$15:$M$24)))/100*$S$15:$S$24))-SUMPRODUCT(($L$185:$L$194&lt;=AD18)*$R$185:$R$194)+IF(AD18&gt;(Geometria!$L$21+$L$109),$L$150,0)</f>
        <v>-160.38531249999994</v>
      </c>
      <c r="AF18">
        <f t="shared" si="1"/>
        <v>502.4</v>
      </c>
    </row>
    <row r="19" spans="11:32" x14ac:dyDescent="0.25">
      <c r="K19" s="87">
        <v>5</v>
      </c>
      <c r="L19" s="379">
        <f>Geometria!K102</f>
        <v>0.0</v>
      </c>
      <c r="M19" s="379">
        <f>Geometria!L102</f>
        <v>0.0</v>
      </c>
      <c r="N19" s="380">
        <f>Geometria!M102</f>
        <v>0.0</v>
      </c>
      <c r="O19" s="380">
        <f>Geometria!N102</f>
        <v>0.0</v>
      </c>
      <c r="P19" s="380">
        <f>Geometria!O102</f>
        <v>0.0</v>
      </c>
      <c r="Q19" s="380">
        <f>Geometria!P102</f>
        <v>0.0</v>
      </c>
      <c r="R19" s="380">
        <f>Geometria!Q102</f>
        <v>0.0</v>
      </c>
      <c r="S19" s="380">
        <f>Geometria!R102</f>
        <v>0.0</v>
      </c>
      <c r="T19" s="381">
        <f t="shared" si="2"/>
        <v>0.0</v>
      </c>
      <c r="AA19">
        <f>Geometria!$L$29/25*17</f>
        <v>533.8</v>
      </c>
      <c r="AB19">
        <f ca="1">IF(AA19&gt;=Geometria!$L$21,$L$113,0)-(SUM($L$7:$L$11)*(AA19/100)+SUMPRODUCT(((($L$15:$L$24&lt;AA19)*(AA19-$L$15:$L$24))-(($M$15:$M$24&lt;AA19)*(AA19-$M$15:$M$24)))/100*($N$15:$N$24+$O$15:$O$24+$P$15:$P$24+$Q$15:$Q$24+$R$15:$R$24)))-SUMPRODUCT(($L$185:$L$194&lt;=AA19)*($M$185:$M$194+$N$185:$N$194+$O$185:$O$194+$P$185:$P$194+$Q$185:$Q$194))+IF(AA19&gt;(Geometria!$L$21+$L$109),$L$114,0)</f>
        <v>-61.28728537499998</v>
      </c>
      <c r="AC19">
        <f t="shared" si="0"/>
        <v>533.8</v>
      </c>
      <c r="AD19">
        <f>Geometria!$L$29/25*17</f>
        <v>533.8</v>
      </c>
      <c r="AE19">
        <f>IF(AD19&gt;=Geometria!$L$21,$L$149,0)-($L$12*(AD19/100)+SUMPRODUCT(((($L$15:$L$24&lt;AD19)*(AD19-$L$15:$L$24))-(($M$15:$M$24&lt;AD19)*(AD19-$M$15:$M$24)))/100*$S$15:$S$24))-SUMPRODUCT(($L$185:$L$194&lt;=AD19)*$R$185:$R$194)+IF(AD19&gt;(Geometria!$L$21+$L$109),$L$150,0)</f>
        <v>-206.20968749999975</v>
      </c>
      <c r="AF19">
        <f t="shared" si="1"/>
        <v>533.8</v>
      </c>
    </row>
    <row r="20" spans="11:32" x14ac:dyDescent="0.25">
      <c r="K20" s="87">
        <v>6</v>
      </c>
      <c r="L20" s="379">
        <f>Geometria!K103</f>
        <v>0.0</v>
      </c>
      <c r="M20" s="379">
        <f>Geometria!L103</f>
        <v>0.0</v>
      </c>
      <c r="N20" s="380">
        <f>Geometria!M103</f>
        <v>0.0</v>
      </c>
      <c r="O20" s="380">
        <f>Geometria!N103</f>
        <v>0.0</v>
      </c>
      <c r="P20" s="380">
        <f>Geometria!O103</f>
        <v>0.0</v>
      </c>
      <c r="Q20" s="380">
        <f>Geometria!P103</f>
        <v>0.0</v>
      </c>
      <c r="R20" s="380">
        <f>Geometria!Q103</f>
        <v>0.0</v>
      </c>
      <c r="S20" s="380">
        <f>Geometria!R103</f>
        <v>0.0</v>
      </c>
      <c r="T20" s="381">
        <f t="shared" si="2"/>
        <v>0.0</v>
      </c>
      <c r="AA20">
        <f>Geometria!$L$29/25*18</f>
        <v>565.1999999999999</v>
      </c>
      <c r="AB20">
        <f ca="1">IF(AA20&gt;=Geometria!$L$21,$L$113,0)-(SUM($L$7:$L$11)*(AA20/100)+SUMPRODUCT(((($L$15:$L$24&lt;AA20)*(AA20-$L$15:$L$24))-(($M$15:$M$24&lt;AA20)*(AA20-$M$15:$M$24)))/100*($N$15:$N$24+$O$15:$O$24+$P$15:$P$24+$Q$15:$Q$24+$R$15:$R$24)))-SUMPRODUCT(($L$185:$L$194&lt;=AA20)*($M$185:$M$194+$N$185:$N$194+$O$185:$O$194+$P$185:$P$194+$Q$185:$Q$194))+IF(AA20&gt;(Geometria!$L$21+$L$109),$L$114,0)</f>
        <v>-74.90668212499997</v>
      </c>
      <c r="AC20">
        <f t="shared" si="0"/>
        <v>565.1999999999999</v>
      </c>
      <c r="AD20">
        <f>Geometria!$L$29/25*18</f>
        <v>565.1999999999999</v>
      </c>
      <c r="AE20">
        <f>IF(AD20&gt;=Geometria!$L$21,$L$149,0)-($L$12*(AD20/100)+SUMPRODUCT(((($L$15:$L$24&lt;AD20)*(AD20-$L$15:$L$24))-(($M$15:$M$24&lt;AD20)*(AD20-$M$15:$M$24)))/100*$S$15:$S$24))-SUMPRODUCT(($L$185:$L$194&lt;=AD20)*$R$185:$R$194)+IF(AD20&gt;(Geometria!$L$21+$L$109),$L$150,0)</f>
        <v>-252.03406249999978</v>
      </c>
      <c r="AF20">
        <f t="shared" si="1"/>
        <v>565.1999999999999</v>
      </c>
    </row>
    <row r="21" spans="11:32" x14ac:dyDescent="0.25">
      <c r="K21" s="87">
        <v>7</v>
      </c>
      <c r="L21" s="379">
        <f>Geometria!K104</f>
        <v>0.0</v>
      </c>
      <c r="M21" s="379">
        <f>Geometria!L104</f>
        <v>0.0</v>
      </c>
      <c r="N21" s="380">
        <f>Geometria!M104</f>
        <v>0.0</v>
      </c>
      <c r="O21" s="380">
        <f>Geometria!N104</f>
        <v>0.0</v>
      </c>
      <c r="P21" s="380">
        <f>Geometria!O104</f>
        <v>0.0</v>
      </c>
      <c r="Q21" s="380">
        <f>Geometria!P104</f>
        <v>0.0</v>
      </c>
      <c r="R21" s="380">
        <f>Geometria!Q104</f>
        <v>0.0</v>
      </c>
      <c r="S21" s="380">
        <f>Geometria!R104</f>
        <v>0.0</v>
      </c>
      <c r="T21" s="381">
        <f t="shared" si="2"/>
        <v>0.0</v>
      </c>
      <c r="AA21">
        <f>Geometria!$L$29/25*19</f>
        <v>596.6</v>
      </c>
      <c r="AB21">
        <f ca="1">IF(AA21&gt;=Geometria!$L$21,$L$113,0)-(SUM($L$7:$L$11)*(AA21/100)+SUMPRODUCT(((($L$15:$L$24&lt;AA21)*(AA21-$L$15:$L$24))-(($M$15:$M$24&lt;AA21)*(AA21-$M$15:$M$24)))/100*($N$15:$N$24+$O$15:$O$24+$P$15:$P$24+$Q$15:$Q$24+$R$15:$R$24)))-SUMPRODUCT(($L$185:$L$194&lt;=AA21)*($M$185:$M$194+$N$185:$N$194+$O$185:$O$194+$P$185:$P$194+$Q$185:$Q$194))+IF(AA21&gt;(Geometria!$L$21+$L$109),$L$114,0)</f>
        <v>-88.52607887500002</v>
      </c>
      <c r="AC21">
        <f t="shared" si="0"/>
        <v>596.6</v>
      </c>
      <c r="AD21">
        <f>Geometria!$L$29/25*19</f>
        <v>596.6</v>
      </c>
      <c r="AE21">
        <f>IF(AD21&gt;=Geometria!$L$21,$L$149,0)-($L$12*(AD21/100)+SUMPRODUCT(((($L$15:$L$24&lt;AD21)*(AD21-$L$15:$L$24))-(($M$15:$M$24&lt;AD21)*(AD21-$M$15:$M$24)))/100*$S$15:$S$24))-SUMPRODUCT(($L$185:$L$194&lt;=AD21)*$R$185:$R$194)+IF(AD21&gt;(Geometria!$L$21+$L$109),$L$150,0)</f>
        <v>-297.8584374999999</v>
      </c>
      <c r="AF21">
        <f t="shared" si="1"/>
        <v>596.6</v>
      </c>
    </row>
    <row r="22" spans="11:32" x14ac:dyDescent="0.25">
      <c r="K22" s="87">
        <v>8</v>
      </c>
      <c r="L22" s="379">
        <f>Geometria!K105</f>
        <v>0.0</v>
      </c>
      <c r="M22" s="379">
        <f>Geometria!L105</f>
        <v>0.0</v>
      </c>
      <c r="N22" s="380">
        <f>Geometria!M105</f>
        <v>0.0</v>
      </c>
      <c r="O22" s="380">
        <f>Geometria!N105</f>
        <v>0.0</v>
      </c>
      <c r="P22" s="380">
        <f>Geometria!O105</f>
        <v>0.0</v>
      </c>
      <c r="Q22" s="380">
        <f>Geometria!P105</f>
        <v>0.0</v>
      </c>
      <c r="R22" s="380">
        <f>Geometria!Q105</f>
        <v>0.0</v>
      </c>
      <c r="S22" s="380">
        <f>Geometria!R105</f>
        <v>0.0</v>
      </c>
      <c r="T22" s="381">
        <f t="shared" si="2"/>
        <v>0.0</v>
      </c>
      <c r="AA22">
        <f>Geometria!$L$29/25*20</f>
        <v>628.0</v>
      </c>
      <c r="AB22">
        <f ca="1">IF(AA22&gt;=Geometria!$L$21,$L$113,0)-(SUM($L$7:$L$11)*(AA22/100)+SUMPRODUCT(((($L$15:$L$24&lt;AA22)*(AA22-$L$15:$L$24))-(($M$15:$M$24&lt;AA22)*(AA22-$M$15:$M$24)))/100*($N$15:$N$24+$O$15:$O$24+$P$15:$P$24+$Q$15:$Q$24+$R$15:$R$24)))-SUMPRODUCT(($L$185:$L$194&lt;=AA22)*($M$185:$M$194+$N$185:$N$194+$O$185:$O$194+$P$185:$P$194+$Q$185:$Q$194))+IF(AA22&gt;(Geometria!$L$21+$L$109),$L$114,0)</f>
        <v>-102.14547562500005</v>
      </c>
      <c r="AC22">
        <f t="shared" si="0"/>
        <v>628.0</v>
      </c>
      <c r="AD22">
        <f>Geometria!$L$29/25*20</f>
        <v>628.0</v>
      </c>
      <c r="AE22">
        <f>IF(AD22&gt;=Geometria!$L$21,$L$149,0)-($L$12*(AD22/100)+SUMPRODUCT(((($L$15:$L$24&lt;AD22)*(AD22-$L$15:$L$24))-(($M$15:$M$24&lt;AD22)*(AD22-$M$15:$M$24)))/100*$S$15:$S$24))-SUMPRODUCT(($L$185:$L$194&lt;=AD22)*$R$185:$R$194)+IF(AD22&gt;(Geometria!$L$21+$L$109),$L$150,0)</f>
        <v>-343.68281249999995</v>
      </c>
      <c r="AF22">
        <f t="shared" si="1"/>
        <v>628.0</v>
      </c>
    </row>
    <row r="23" spans="11:32" x14ac:dyDescent="0.25">
      <c r="K23" s="87">
        <v>9</v>
      </c>
      <c r="L23" s="379">
        <f>Geometria!K106</f>
        <v>0.0</v>
      </c>
      <c r="M23" s="379">
        <f>Geometria!L106</f>
        <v>0.0</v>
      </c>
      <c r="N23" s="380">
        <f>Geometria!M106</f>
        <v>0.0</v>
      </c>
      <c r="O23" s="380">
        <f>Geometria!N106</f>
        <v>0.0</v>
      </c>
      <c r="P23" s="380">
        <f>Geometria!O106</f>
        <v>0.0</v>
      </c>
      <c r="Q23" s="380">
        <f>Geometria!P106</f>
        <v>0.0</v>
      </c>
      <c r="R23" s="380">
        <f>Geometria!Q106</f>
        <v>0.0</v>
      </c>
      <c r="S23" s="380">
        <f>Geometria!R106</f>
        <v>0.0</v>
      </c>
      <c r="T23" s="381">
        <f t="shared" si="2"/>
        <v>0.0</v>
      </c>
      <c r="AA23">
        <f>Geometria!$L$29/25*21</f>
        <v>659.4</v>
      </c>
      <c r="AB23">
        <f ca="1">IF(AA23&gt;=Geometria!$L$21,$L$113,0)-(SUM($L$7:$L$11)*(AA23/100)+SUMPRODUCT(((($L$15:$L$24&lt;AA23)*(AA23-$L$15:$L$24))-(($M$15:$M$24&lt;AA23)*(AA23-$M$15:$M$24)))/100*($N$15:$N$24+$O$15:$O$24+$P$15:$P$24+$Q$15:$Q$24+$R$15:$R$24)))-SUMPRODUCT(($L$185:$L$194&lt;=AA23)*($M$185:$M$194+$N$185:$N$194+$O$185:$O$194+$P$185:$P$194+$Q$185:$Q$194))+IF(AA23&gt;(Geometria!$L$21+$L$109),$L$114,0)</f>
        <v>-115.76487237499995</v>
      </c>
      <c r="AC23">
        <f t="shared" si="0"/>
        <v>659.4</v>
      </c>
      <c r="AD23">
        <f>Geometria!$L$29/25*21</f>
        <v>659.4</v>
      </c>
      <c r="AE23">
        <f>IF(AD23&gt;=Geometria!$L$21,$L$149,0)-($L$12*(AD23/100)+SUMPRODUCT(((($L$15:$L$24&lt;AD23)*(AD23-$L$15:$L$24))-(($M$15:$M$24&lt;AD23)*(AD23-$M$15:$M$24)))/100*$S$15:$S$24))-SUMPRODUCT(($L$185:$L$194&lt;=AD23)*$R$185:$R$194)+IF(AD23&gt;(Geometria!$L$21+$L$109),$L$150,0)</f>
        <v>-389.50718749999976</v>
      </c>
      <c r="AF23">
        <f t="shared" si="1"/>
        <v>659.4</v>
      </c>
    </row>
    <row r="24" spans="11:32" x14ac:dyDescent="0.25">
      <c r="K24" s="87">
        <v>10</v>
      </c>
      <c r="L24" s="379">
        <f>Geometria!K107</f>
        <v>0.0</v>
      </c>
      <c r="M24" s="379">
        <f>Geometria!L107</f>
        <v>0.0</v>
      </c>
      <c r="N24" s="380">
        <f>Geometria!M107</f>
        <v>0.0</v>
      </c>
      <c r="O24" s="380">
        <f>Geometria!N107</f>
        <v>0.0</v>
      </c>
      <c r="P24" s="380">
        <f>Geometria!O107</f>
        <v>0.0</v>
      </c>
      <c r="Q24" s="380">
        <f>Geometria!P107</f>
        <v>0.0</v>
      </c>
      <c r="R24" s="380">
        <f>Geometria!Q107</f>
        <v>0.0</v>
      </c>
      <c r="S24" s="380">
        <f>Geometria!R107</f>
        <v>0.0</v>
      </c>
      <c r="T24" s="381">
        <f t="shared" si="2"/>
        <v>0.0</v>
      </c>
      <c r="AA24">
        <f>Geometria!$L$29/25*22</f>
        <v>690.8</v>
      </c>
      <c r="AB24">
        <f ca="1">IF(AA24&gt;=Geometria!$L$21,$L$113,0)-(SUM($L$7:$L$11)*(AA24/100)+SUMPRODUCT(((($L$15:$L$24&lt;AA24)*(AA24-$L$15:$L$24))-(($M$15:$M$24&lt;AA24)*(AA24-$M$15:$M$24)))/100*($N$15:$N$24+$O$15:$O$24+$P$15:$P$24+$Q$15:$Q$24+$R$15:$R$24)))-SUMPRODUCT(($L$185:$L$194&lt;=AA24)*($M$185:$M$194+$N$185:$N$194+$O$185:$O$194+$P$185:$P$194+$Q$185:$Q$194))+IF(AA24&gt;(Geometria!$L$21+$L$109),$L$114,0)</f>
        <v>-129.38426912499997</v>
      </c>
      <c r="AC24">
        <f t="shared" si="0"/>
        <v>690.8</v>
      </c>
      <c r="AD24">
        <f>Geometria!$L$29/25*22</f>
        <v>690.8</v>
      </c>
      <c r="AE24">
        <f>IF(AD24&gt;=Geometria!$L$21,$L$149,0)-($L$12*(AD24/100)+SUMPRODUCT(((($L$15:$L$24&lt;AD24)*(AD24-$L$15:$L$24))-(($M$15:$M$24&lt;AD24)*(AD24-$M$15:$M$24)))/100*$S$15:$S$24))-SUMPRODUCT(($L$185:$L$194&lt;=AD24)*$R$185:$R$194)+IF(AD24&gt;(Geometria!$L$21+$L$109),$L$150,0)</f>
        <v>-435.3315624999998</v>
      </c>
      <c r="AF24">
        <f t="shared" si="1"/>
        <v>690.8</v>
      </c>
    </row>
    <row r="25" spans="11:32" x14ac:dyDescent="0.25">
      <c r="AA25">
        <f>Geometria!$L$29/25*23</f>
        <v>722.1999999999999</v>
      </c>
      <c r="AB25">
        <f ca="1">IF(AA25&gt;=Geometria!$L$21,$L$113,0)-(SUM($L$7:$L$11)*(AA25/100)+SUMPRODUCT(((($L$15:$L$24&lt;AA25)*(AA25-$L$15:$L$24))-(($M$15:$M$24&lt;AA25)*(AA25-$M$15:$M$24)))/100*($N$15:$N$24+$O$15:$O$24+$P$15:$P$24+$Q$15:$Q$24+$R$15:$R$24)))-SUMPRODUCT(($L$185:$L$194&lt;=AA25)*($M$185:$M$194+$N$185:$N$194+$O$185:$O$194+$P$185:$P$194+$Q$185:$Q$194))+IF(AA25&gt;(Geometria!$L$21+$L$109),$L$114,0)</f>
        <v>-143.003665875</v>
      </c>
      <c r="AC25">
        <f t="shared" si="0"/>
        <v>722.1999999999999</v>
      </c>
      <c r="AD25">
        <f>Geometria!$L$29/25*23</f>
        <v>722.1999999999999</v>
      </c>
      <c r="AE25">
        <f>IF(AD25&gt;=Geometria!$L$21,$L$149,0)-($L$12*(AD25/100)+SUMPRODUCT(((($L$15:$L$24&lt;AD25)*(AD25-$L$15:$L$24))-(($M$15:$M$24&lt;AD25)*(AD25-$M$15:$M$24)))/100*$S$15:$S$24))-SUMPRODUCT(($L$185:$L$194&lt;=AD25)*$R$185:$R$194)+IF(AD25&gt;(Geometria!$L$21+$L$109),$L$150,0)</f>
        <v>-481.1559374999998</v>
      </c>
      <c r="AF25">
        <f t="shared" si="1"/>
        <v>722.1999999999999</v>
      </c>
    </row>
    <row r="26" spans="11:32" x14ac:dyDescent="0.25">
      <c r="K26" t="s">
        <v>958</v>
      </c>
      <c r="AA26">
        <f>Geometria!$L$29/25*24</f>
        <v>753.5999999999999</v>
      </c>
      <c r="AB26">
        <f ca="1">IF(AA26&gt;=Geometria!$L$21,$L$113,0)-(SUM($L$7:$L$11)*(AA26/100)+SUMPRODUCT(((($L$15:$L$24&lt;AA26)*(AA26-$L$15:$L$24))-(($M$15:$M$24&lt;AA26)*(AA26-$M$15:$M$24)))/100*($N$15:$N$24+$O$15:$O$24+$P$15:$P$24+$Q$15:$Q$24+$R$15:$R$24)))-SUMPRODUCT(($L$185:$L$194&lt;=AA26)*($M$185:$M$194+$N$185:$N$194+$O$185:$O$194+$P$185:$P$194+$Q$185:$Q$194))+IF(AA26&gt;(Geometria!$L$21+$L$109),$L$114,0)</f>
        <v>-156.62306262499996</v>
      </c>
      <c r="AC26">
        <f t="shared" si="0"/>
        <v>753.5999999999999</v>
      </c>
      <c r="AD26">
        <f>Geometria!$L$29/25*24</f>
        <v>753.5999999999999</v>
      </c>
      <c r="AE26">
        <f>IF(AD26&gt;=Geometria!$L$21,$L$149,0)-($L$12*(AD26/100)+SUMPRODUCT(((($L$15:$L$24&lt;AD26)*(AD26-$L$15:$L$24))-(($M$15:$M$24&lt;AD26)*(AD26-$M$15:$M$24)))/100*$S$15:$S$24))-SUMPRODUCT(($L$185:$L$194&lt;=AD26)*$R$185:$R$194)+IF(AD26&gt;(Geometria!$L$21+$L$109),$L$150,0)</f>
        <v>-526.9803124999997</v>
      </c>
      <c r="AF26">
        <f t="shared" si="1"/>
        <v>753.5999999999999</v>
      </c>
    </row>
    <row r="27" spans="11:32" x14ac:dyDescent="0.25">
      <c r="K27" s="839"/>
      <c r="L27" s="839"/>
      <c r="M27" s="839" t="s">
        <v>959</v>
      </c>
      <c r="N27" s="839"/>
      <c r="O27" s="784" t="s">
        <v>224</v>
      </c>
      <c r="P27" s="784"/>
      <c r="AA27">
        <f>Geometria!$L$29/25*25</f>
        <v>785.0</v>
      </c>
      <c r="AB27">
        <f ca="1">IF(AA27&gt;=Geometria!$L$21,$L$113,0)-(SUM($L$7:$L$11)*(AA27/100)+SUMPRODUCT(((($L$15:$L$24&lt;AA27)*(AA27-$L$15:$L$24))-(($M$15:$M$24&lt;AA27)*(AA27-$M$15:$M$24)))/100*($N$15:$N$24+$O$15:$O$24+$P$15:$P$24+$Q$15:$Q$24+$R$15:$R$24)))-SUMPRODUCT(($L$185:$L$194&lt;=AA27)*($M$185:$M$194+$N$185:$N$194+$O$185:$O$194+$P$185:$P$194+$Q$185:$Q$194))+IF(AA27&gt;(Geometria!$L$21+$L$109),$L$114,0)</f>
        <v>-170.24245937499998</v>
      </c>
      <c r="AC27">
        <f t="shared" si="0"/>
        <v>785.0</v>
      </c>
      <c r="AD27">
        <f>Geometria!$L$29/25*25</f>
        <v>785.0</v>
      </c>
      <c r="AE27">
        <f>IF(AD27&gt;=Geometria!$L$21,$L$149,0)-($L$12*(AD27/100)+SUMPRODUCT(((($L$15:$L$24&lt;AD27)*(AD27-$L$15:$L$24))-(($M$15:$M$24&lt;AD27)*(AD27-$M$15:$M$24)))/100*$S$15:$S$24))-SUMPRODUCT(($L$185:$L$194&lt;=AD27)*$R$185:$R$194)+IF(AD27&gt;(Geometria!$L$21+$L$109),$L$150,0)</f>
        <v>-572.8046874999999</v>
      </c>
      <c r="AF27">
        <f t="shared" si="1"/>
        <v>785.0</v>
      </c>
    </row>
    <row r="28" spans="11:32" x14ac:dyDescent="0.25">
      <c r="K28" s="382" t="s">
        <v>32</v>
      </c>
      <c r="L28" s="383" t="s">
        <v>203</v>
      </c>
      <c r="M28" s="382" t="s">
        <v>32</v>
      </c>
      <c r="N28" s="383" t="s">
        <v>203</v>
      </c>
      <c r="O28" s="382" t="s">
        <v>32</v>
      </c>
      <c r="P28" s="383" t="s">
        <v>203</v>
      </c>
      <c r="AA28">
        <f>Geometria!$L$21+$L$109</f>
        <v>785.0</v>
      </c>
      <c r="AB28">
        <f ca="1">IF(AA28&gt;=Geometria!$L$21,$L$113,0)-(SUM($L$7:$L$11)*(AA28/100)+SUMPRODUCT(((($L$15:$L$24&lt;AA28)*(AA28-$L$15:$L$24))-(($M$15:$M$24&lt;AA28)*(AA28-$M$15:$M$24)))/100*($N$15:$N$24+$O$15:$O$24+$P$15:$P$24+$Q$15:$Q$24+$R$15:$R$24)))-SUMPRODUCT(($L$185:$L$194&lt;=AA28)*($M$185:$M$194+$N$185:$N$194+$O$185:$O$194+$P$185:$P$194+$Q$185:$Q$194))</f>
        <v>-170.24245937499998</v>
      </c>
      <c r="AC28">
        <f>AA28-0.0001</f>
        <v>784.9999</v>
      </c>
      <c r="AD28">
        <f>Geometria!$L$21+$L$109</f>
        <v>785.0</v>
      </c>
      <c r="AE28">
        <f>IF(AD28&gt;=Geometria!$L$21,$L$149,0)-($L$12*(AD28/100)+SUMPRODUCT(((($L$15:$L$24&lt;AD28)*(AD28-$L$15:$L$24))-(($M$15:$M$24&lt;AD28)*(AD28-$M$15:$M$24)))/100*$S$15:$S$24))-SUMPRODUCT(($L$185:$L$194&lt;=AD28)*$R$185:$R$194)</f>
        <v>-572.8046874999999</v>
      </c>
      <c r="AF28">
        <f>AD28-0.0001</f>
        <v>784.9999</v>
      </c>
    </row>
    <row r="29" spans="11:32" x14ac:dyDescent="0.25">
      <c r="K29" s="384">
        <v>0</v>
      </c>
      <c r="L29" s="385">
        <v>0</v>
      </c>
      <c r="M29" s="384">
        <f t="shared" ref="M29:M60" si="3">K29</f>
        <v>0.0</v>
      </c>
      <c r="N29" s="385">
        <v>0</v>
      </c>
      <c r="O29" s="384">
        <f t="shared" ref="O29:O60" si="4">K29</f>
        <v>0.0</v>
      </c>
      <c r="P29" s="385">
        <f t="shared" ref="P29:P60" si="5">N29+L29</f>
        <v>0.0</v>
      </c>
      <c r="Q29" s="384">
        <f t="shared" ref="Q29:Q60" si="6">K29</f>
        <v>0.0</v>
      </c>
      <c r="R29" s="385">
        <v>0</v>
      </c>
      <c r="AA29">
        <f>AA28</f>
        <v>785.0</v>
      </c>
      <c r="AB29">
        <f ca="1">AB28+$L$114</f>
        <v>0.0</v>
      </c>
      <c r="AC29">
        <f>AA28+0.0001</f>
        <v>785.0001</v>
      </c>
      <c r="AD29">
        <f>AD28</f>
        <v>785.0</v>
      </c>
      <c r="AE29">
        <f>AE28+$L$150</f>
        <v>0.0</v>
      </c>
      <c r="AF29">
        <f>AD28+0.0001</f>
        <v>785.0001</v>
      </c>
    </row>
    <row r="30" spans="11:32" x14ac:dyDescent="0.25">
      <c r="K30" s="386">
        <f>Geometria!K415</f>
        <v>-0.0</v>
      </c>
      <c r="L30" s="385">
        <f ca="1">SUM(L7:L11)</f>
        <v>43.373875</v>
      </c>
      <c r="M30" s="386">
        <f t="shared" si="3"/>
        <v>-0.0</v>
      </c>
      <c r="N30" s="385">
        <f>SUMPRODUCT(($L$15:$L$24&lt;=M30)*($M$15:$M$24&gt;M30)*($N$15:$N$24+$O$15:$O$24+$P$15:$P$24+$Q$15:$Q$24+$R$15:$R$24))</f>
        <v>0.0</v>
      </c>
      <c r="O30" s="386">
        <f t="shared" si="4"/>
        <v>-0.0</v>
      </c>
      <c r="P30" s="385">
        <f t="shared" ca="1" si="5"/>
        <v>43.373875</v>
      </c>
      <c r="Q30" s="386">
        <f t="shared" si="6"/>
        <v>-0.0</v>
      </c>
      <c r="R30" s="385">
        <f>SUMPRODUCT(($L$15:$L$24&lt;=Q30)*($M$15:$M$24&gt;Q30)*$S$15:$S$24)+$L$12</f>
        <v>145.9375</v>
      </c>
      <c r="AA30" s="377">
        <f>Geometria!$L$21</f>
        <v>0.0</v>
      </c>
      <c r="AB30">
        <f ca="1">-(SUM($L$7:$L$11)*(Geometria!$L$21/100)+SUMPRODUCT(((($L$15:$L$24&lt;Geometria!$L$21)*(Geometria!$L$21-$L$15:$L$24))-(($M$15:$M$24&lt;Geometria!$L$21)*(Geometria!$L$21-$M$15:$M$24)))/100*($N$15:$N$24+$O$15:$O$24+$P$15:$P$24+$Q$15:$Q$24+$R$15:$R$24)))-SUMPRODUCT(($L$185:$L$194&lt;=Geometria!$L$21)*($M$185:$M$194+$N$185:$N$194+$O$185:$O$194+$P$185:$P$194+$Q$185:$Q$194))</f>
        <v>-0.0</v>
      </c>
      <c r="AC30">
        <f>Geometria!$L$21-0.0001</f>
        <v>-0.0001</v>
      </c>
      <c r="AD30" s="377">
        <f>Geometria!$L$21</f>
        <v>0.0</v>
      </c>
      <c r="AE30">
        <f>-($L$12*(Geometria!$L$21/100)+SUMPRODUCT(((($L$15:$L$24&lt;Geometria!$L$21)*(Geometria!$L$21-$L$15:$L$24))-(($M$15:$M$24&lt;Geometria!$L$21)*(Geometria!$L$21-$M$15:$M$24)))/100*$S$15:$S$24))-SUMPRODUCT(($L$185:$L$194&lt;=Geometria!$L$21)*$R$185:$R$194)</f>
        <v>-0.0</v>
      </c>
      <c r="AF30">
        <f>Geometria!$L$21-0.0001</f>
        <v>-0.0001</v>
      </c>
    </row>
    <row r="31" spans="11:32" x14ac:dyDescent="0.25">
      <c r="K31" s="384">
        <f>($L$5/25)*1</f>
        <v>31.4</v>
      </c>
      <c r="L31" s="385">
        <f ca="1">L30</f>
        <v>43.373875</v>
      </c>
      <c r="M31" s="384">
        <f t="shared" si="3"/>
        <v>31.4</v>
      </c>
      <c r="N31" s="385">
        <f>N30</f>
        <v>0.0</v>
      </c>
      <c r="O31" s="384">
        <f t="shared" si="4"/>
        <v>31.4</v>
      </c>
      <c r="P31" s="385">
        <f t="shared" ca="1" si="5"/>
        <v>43.373875</v>
      </c>
      <c r="Q31" s="384">
        <f t="shared" si="6"/>
        <v>31.4</v>
      </c>
      <c r="R31" s="385">
        <f>R30</f>
        <v>145.9375</v>
      </c>
      <c r="AA31" s="377">
        <f>AA30</f>
        <v>0.0</v>
      </c>
      <c r="AB31">
        <f ca="1">AB30+$L$113</f>
        <v>170.24245937499998</v>
      </c>
      <c r="AC31">
        <f>AA30+0.0001</f>
        <v>0.0001</v>
      </c>
      <c r="AD31" s="377">
        <f>AD30</f>
        <v>0.0</v>
      </c>
      <c r="AE31">
        <f>AE30+$L$149</f>
        <v>572.8046875000001</v>
      </c>
      <c r="AF31">
        <f>AD30+0.0001</f>
        <v>0.0001</v>
      </c>
    </row>
    <row r="32" spans="11:32" x14ac:dyDescent="0.25">
      <c r="K32" s="384">
        <f>K31</f>
        <v>31.4</v>
      </c>
      <c r="L32" s="385">
        <v>0</v>
      </c>
      <c r="M32" s="384">
        <f t="shared" si="3"/>
        <v>31.4</v>
      </c>
      <c r="N32" s="385">
        <v>0</v>
      </c>
      <c r="O32" s="384">
        <f t="shared" si="4"/>
        <v>31.4</v>
      </c>
      <c r="P32" s="385">
        <f t="shared" si="5"/>
        <v>0.0</v>
      </c>
      <c r="Q32" s="384">
        <f t="shared" si="6"/>
        <v>31.4</v>
      </c>
      <c r="R32" s="385">
        <v>0</v>
      </c>
    </row>
    <row r="33" spans="11:18" x14ac:dyDescent="0.25">
      <c r="K33" s="384">
        <f>K32</f>
        <v>31.4</v>
      </c>
      <c r="L33" s="385">
        <f ca="1">L31</f>
        <v>43.373875</v>
      </c>
      <c r="M33" s="384">
        <f t="shared" si="3"/>
        <v>31.4</v>
      </c>
      <c r="N33" s="385">
        <f>SUMPRODUCT(($L$15:$L$24&lt;=M33)*($M$15:$M$24&gt;M33)*($N$15:$N$24+$O$15:$O$24+$P$15:$P$24+$Q$15:$Q$24+$R$15:$R$24))</f>
        <v>0.0</v>
      </c>
      <c r="O33" s="384">
        <f t="shared" si="4"/>
        <v>31.4</v>
      </c>
      <c r="P33" s="385">
        <f t="shared" ca="1" si="5"/>
        <v>43.373875</v>
      </c>
      <c r="Q33" s="384">
        <f t="shared" si="6"/>
        <v>31.4</v>
      </c>
      <c r="R33" s="385">
        <f>SUMPRODUCT(($L$15:$L$24&lt;=Q33)*($M$15:$M$24&gt;Q33)*$S$15:$S$24)+$L$12</f>
        <v>145.9375</v>
      </c>
    </row>
    <row r="34" spans="11:18" x14ac:dyDescent="0.25">
      <c r="K34" s="384">
        <f>($L$5/25)*2</f>
        <v>62.8</v>
      </c>
      <c r="L34" s="385">
        <f ca="1">L31</f>
        <v>43.373875</v>
      </c>
      <c r="M34" s="384">
        <f t="shared" si="3"/>
        <v>62.8</v>
      </c>
      <c r="N34" s="385">
        <f>N33</f>
        <v>0.0</v>
      </c>
      <c r="O34" s="384">
        <f t="shared" si="4"/>
        <v>62.8</v>
      </c>
      <c r="P34" s="385">
        <f t="shared" ca="1" si="5"/>
        <v>43.373875</v>
      </c>
      <c r="Q34" s="384">
        <f t="shared" si="6"/>
        <v>62.8</v>
      </c>
      <c r="R34" s="385">
        <f>R33</f>
        <v>145.9375</v>
      </c>
    </row>
    <row r="35" spans="11:18" x14ac:dyDescent="0.25">
      <c r="K35" s="384">
        <f>K34</f>
        <v>62.8</v>
      </c>
      <c r="L35" s="385">
        <v>0</v>
      </c>
      <c r="M35" s="384">
        <f t="shared" si="3"/>
        <v>62.8</v>
      </c>
      <c r="N35" s="385">
        <v>0</v>
      </c>
      <c r="O35" s="384">
        <f t="shared" si="4"/>
        <v>62.8</v>
      </c>
      <c r="P35" s="385">
        <f t="shared" si="5"/>
        <v>0.0</v>
      </c>
      <c r="Q35" s="384">
        <f t="shared" si="6"/>
        <v>62.8</v>
      </c>
      <c r="R35" s="385">
        <v>0</v>
      </c>
    </row>
    <row r="36" spans="11:18" x14ac:dyDescent="0.25">
      <c r="K36" s="384">
        <f>K35</f>
        <v>62.8</v>
      </c>
      <c r="L36" s="385">
        <f ca="1">L34</f>
        <v>43.373875</v>
      </c>
      <c r="M36" s="384">
        <f t="shared" si="3"/>
        <v>62.8</v>
      </c>
      <c r="N36" s="385">
        <f>SUMPRODUCT(($L$15:$L$24&lt;=M36)*($M$15:$M$24&gt;M36)*($N$15:$N$24+$O$15:$O$24+$P$15:$P$24+$Q$15:$Q$24+$R$15:$R$24))</f>
        <v>0.0</v>
      </c>
      <c r="O36" s="384">
        <f t="shared" si="4"/>
        <v>62.8</v>
      </c>
      <c r="P36" s="385">
        <f t="shared" ca="1" si="5"/>
        <v>43.373875</v>
      </c>
      <c r="Q36" s="384">
        <f t="shared" si="6"/>
        <v>62.8</v>
      </c>
      <c r="R36" s="385">
        <f>SUMPRODUCT(($L$15:$L$24&lt;=Q36)*($M$15:$M$24&gt;Q36)*$S$15:$S$24)+$L$12</f>
        <v>145.9375</v>
      </c>
    </row>
    <row r="37" spans="11:18" x14ac:dyDescent="0.25">
      <c r="K37" s="384">
        <f>($L$5/25)*3</f>
        <v>94.19999999999999</v>
      </c>
      <c r="L37" s="385">
        <f ca="1">L34</f>
        <v>43.373875</v>
      </c>
      <c r="M37" s="384">
        <f t="shared" si="3"/>
        <v>94.19999999999999</v>
      </c>
      <c r="N37" s="385">
        <f>N36</f>
        <v>0.0</v>
      </c>
      <c r="O37" s="384">
        <f t="shared" si="4"/>
        <v>94.19999999999999</v>
      </c>
      <c r="P37" s="385">
        <f t="shared" ca="1" si="5"/>
        <v>43.373875</v>
      </c>
      <c r="Q37" s="384">
        <f t="shared" si="6"/>
        <v>94.19999999999999</v>
      </c>
      <c r="R37" s="385">
        <f>R36</f>
        <v>145.9375</v>
      </c>
    </row>
    <row r="38" spans="11:18" x14ac:dyDescent="0.25">
      <c r="K38" s="384">
        <f>K37</f>
        <v>94.19999999999999</v>
      </c>
      <c r="L38" s="385">
        <v>0</v>
      </c>
      <c r="M38" s="384">
        <f t="shared" si="3"/>
        <v>94.19999999999999</v>
      </c>
      <c r="N38" s="385">
        <v>0</v>
      </c>
      <c r="O38" s="384">
        <f t="shared" si="4"/>
        <v>94.19999999999999</v>
      </c>
      <c r="P38" s="385">
        <f t="shared" si="5"/>
        <v>0.0</v>
      </c>
      <c r="Q38" s="384">
        <f t="shared" si="6"/>
        <v>94.19999999999999</v>
      </c>
      <c r="R38" s="385">
        <v>0</v>
      </c>
    </row>
    <row r="39" spans="11:18" x14ac:dyDescent="0.25">
      <c r="K39" s="384">
        <f>K38</f>
        <v>94.19999999999999</v>
      </c>
      <c r="L39" s="385">
        <f ca="1">L37</f>
        <v>43.373875</v>
      </c>
      <c r="M39" s="384">
        <f t="shared" si="3"/>
        <v>94.19999999999999</v>
      </c>
      <c r="N39" s="385">
        <f>SUMPRODUCT(($L$15:$L$24&lt;=M39)*($M$15:$M$24&gt;M39)*($N$15:$N$24+$O$15:$O$24+$P$15:$P$24+$Q$15:$Q$24+$R$15:$R$24))</f>
        <v>0.0</v>
      </c>
      <c r="O39" s="384">
        <f t="shared" si="4"/>
        <v>94.19999999999999</v>
      </c>
      <c r="P39" s="385">
        <f t="shared" ca="1" si="5"/>
        <v>43.373875</v>
      </c>
      <c r="Q39" s="384">
        <f t="shared" si="6"/>
        <v>94.19999999999999</v>
      </c>
      <c r="R39" s="385">
        <f>SUMPRODUCT(($L$15:$L$24&lt;=Q39)*($M$15:$M$24&gt;Q39)*$S$15:$S$24)+$L$12</f>
        <v>145.9375</v>
      </c>
    </row>
    <row r="40" spans="11:18" x14ac:dyDescent="0.25">
      <c r="K40" s="384">
        <f>($L$5/25)*4</f>
        <v>125.6</v>
      </c>
      <c r="L40" s="385">
        <f ca="1">L37</f>
        <v>43.373875</v>
      </c>
      <c r="M40" s="384">
        <f t="shared" si="3"/>
        <v>125.6</v>
      </c>
      <c r="N40" s="385">
        <f>N39</f>
        <v>0.0</v>
      </c>
      <c r="O40" s="384">
        <f t="shared" si="4"/>
        <v>125.6</v>
      </c>
      <c r="P40" s="385">
        <f t="shared" ca="1" si="5"/>
        <v>43.373875</v>
      </c>
      <c r="Q40" s="384">
        <f t="shared" si="6"/>
        <v>125.6</v>
      </c>
      <c r="R40" s="385">
        <f>R39</f>
        <v>145.9375</v>
      </c>
    </row>
    <row r="41" spans="11:18" x14ac:dyDescent="0.25">
      <c r="K41" s="384">
        <f>K40</f>
        <v>125.6</v>
      </c>
      <c r="L41" s="385">
        <v>0</v>
      </c>
      <c r="M41" s="384">
        <f t="shared" si="3"/>
        <v>125.6</v>
      </c>
      <c r="N41" s="385">
        <v>0</v>
      </c>
      <c r="O41" s="384">
        <f t="shared" si="4"/>
        <v>125.6</v>
      </c>
      <c r="P41" s="385">
        <f t="shared" si="5"/>
        <v>0.0</v>
      </c>
      <c r="Q41" s="384">
        <f t="shared" si="6"/>
        <v>125.6</v>
      </c>
      <c r="R41" s="385">
        <v>0</v>
      </c>
    </row>
    <row r="42" spans="11:18" x14ac:dyDescent="0.25">
      <c r="K42" s="384">
        <f>K41</f>
        <v>125.6</v>
      </c>
      <c r="L42" s="385">
        <f ca="1">L40</f>
        <v>43.373875</v>
      </c>
      <c r="M42" s="384">
        <f t="shared" si="3"/>
        <v>125.6</v>
      </c>
      <c r="N42" s="385">
        <f>SUMPRODUCT(($L$15:$L$24&lt;=M42)*($M$15:$M$24&gt;M42)*($N$15:$N$24+$O$15:$O$24+$P$15:$P$24+$Q$15:$Q$24+$R$15:$R$24))</f>
        <v>0.0</v>
      </c>
      <c r="O42" s="384">
        <f t="shared" si="4"/>
        <v>125.6</v>
      </c>
      <c r="P42" s="385">
        <f t="shared" ca="1" si="5"/>
        <v>43.373875</v>
      </c>
      <c r="Q42" s="384">
        <f t="shared" si="6"/>
        <v>125.6</v>
      </c>
      <c r="R42" s="385">
        <f>SUMPRODUCT(($L$15:$L$24&lt;=Q42)*($M$15:$M$24&gt;Q42)*$S$15:$S$24)+$L$12</f>
        <v>145.9375</v>
      </c>
    </row>
    <row r="43" spans="11:18" x14ac:dyDescent="0.25">
      <c r="K43" s="384">
        <f>($L$5/25)*5</f>
        <v>157.0</v>
      </c>
      <c r="L43" s="385">
        <f ca="1">L40</f>
        <v>43.373875</v>
      </c>
      <c r="M43" s="384">
        <f t="shared" si="3"/>
        <v>157.0</v>
      </c>
      <c r="N43" s="385">
        <f>N42</f>
        <v>0.0</v>
      </c>
      <c r="O43" s="384">
        <f t="shared" si="4"/>
        <v>157.0</v>
      </c>
      <c r="P43" s="385">
        <f t="shared" ca="1" si="5"/>
        <v>43.373875</v>
      </c>
      <c r="Q43" s="384">
        <f t="shared" si="6"/>
        <v>157.0</v>
      </c>
      <c r="R43" s="385">
        <f>R42</f>
        <v>145.9375</v>
      </c>
    </row>
    <row r="44" spans="11:18" x14ac:dyDescent="0.25">
      <c r="K44" s="384">
        <f>K43</f>
        <v>157.0</v>
      </c>
      <c r="L44" s="385">
        <v>0</v>
      </c>
      <c r="M44" s="384">
        <f t="shared" si="3"/>
        <v>157.0</v>
      </c>
      <c r="N44" s="385">
        <v>0</v>
      </c>
      <c r="O44" s="384">
        <f t="shared" si="4"/>
        <v>157.0</v>
      </c>
      <c r="P44" s="385">
        <f t="shared" si="5"/>
        <v>0.0</v>
      </c>
      <c r="Q44" s="384">
        <f t="shared" si="6"/>
        <v>157.0</v>
      </c>
      <c r="R44" s="385">
        <v>0</v>
      </c>
    </row>
    <row r="45" spans="11:18" x14ac:dyDescent="0.25">
      <c r="K45" s="384">
        <f>K44</f>
        <v>157.0</v>
      </c>
      <c r="L45" s="385">
        <f ca="1">L43</f>
        <v>43.373875</v>
      </c>
      <c r="M45" s="384">
        <f t="shared" si="3"/>
        <v>157.0</v>
      </c>
      <c r="N45" s="385">
        <f>SUMPRODUCT(($L$15:$L$24&lt;=M45)*($M$15:$M$24&gt;M45)*($N$15:$N$24+$O$15:$O$24+$P$15:$P$24+$Q$15:$Q$24+$R$15:$R$24))</f>
        <v>0.0</v>
      </c>
      <c r="O45" s="384">
        <f t="shared" si="4"/>
        <v>157.0</v>
      </c>
      <c r="P45" s="385">
        <f t="shared" ca="1" si="5"/>
        <v>43.373875</v>
      </c>
      <c r="Q45" s="384">
        <f t="shared" si="6"/>
        <v>157.0</v>
      </c>
      <c r="R45" s="385">
        <f>SUMPRODUCT(($L$15:$L$24&lt;=Q45)*($M$15:$M$24&gt;Q45)*$S$15:$S$24)+$L$12</f>
        <v>145.9375</v>
      </c>
    </row>
    <row r="46" spans="11:18" x14ac:dyDescent="0.25">
      <c r="K46" s="384">
        <f>($L$5/25)*6</f>
        <v>188.39999999999998</v>
      </c>
      <c r="L46" s="385">
        <f ca="1">L43</f>
        <v>43.373875</v>
      </c>
      <c r="M46" s="384">
        <f t="shared" si="3"/>
        <v>188.39999999999998</v>
      </c>
      <c r="N46" s="385">
        <f>N45</f>
        <v>0.0</v>
      </c>
      <c r="O46" s="384">
        <f t="shared" si="4"/>
        <v>188.39999999999998</v>
      </c>
      <c r="P46" s="385">
        <f t="shared" ca="1" si="5"/>
        <v>43.373875</v>
      </c>
      <c r="Q46" s="384">
        <f t="shared" si="6"/>
        <v>188.39999999999998</v>
      </c>
      <c r="R46" s="385">
        <f>R45</f>
        <v>145.9375</v>
      </c>
    </row>
    <row r="47" spans="11:18" x14ac:dyDescent="0.25">
      <c r="K47" s="384">
        <f>K46</f>
        <v>188.39999999999998</v>
      </c>
      <c r="L47" s="385">
        <v>0</v>
      </c>
      <c r="M47" s="384">
        <f t="shared" si="3"/>
        <v>188.39999999999998</v>
      </c>
      <c r="N47" s="385">
        <v>0</v>
      </c>
      <c r="O47" s="384">
        <f t="shared" si="4"/>
        <v>188.39999999999998</v>
      </c>
      <c r="P47" s="385">
        <f t="shared" si="5"/>
        <v>0.0</v>
      </c>
      <c r="Q47" s="384">
        <f t="shared" si="6"/>
        <v>188.39999999999998</v>
      </c>
      <c r="R47" s="385">
        <v>0</v>
      </c>
    </row>
    <row r="48" spans="11:18" x14ac:dyDescent="0.25">
      <c r="K48" s="384">
        <f>K47</f>
        <v>188.39999999999998</v>
      </c>
      <c r="L48" s="385">
        <f ca="1">L46</f>
        <v>43.373875</v>
      </c>
      <c r="M48" s="384">
        <f t="shared" si="3"/>
        <v>188.39999999999998</v>
      </c>
      <c r="N48" s="385">
        <f>SUMPRODUCT(($L$15:$L$24&lt;=M48)*($M$15:$M$24&gt;M48)*($N$15:$N$24+$O$15:$O$24+$P$15:$P$24+$Q$15:$Q$24+$R$15:$R$24))</f>
        <v>0.0</v>
      </c>
      <c r="O48" s="384">
        <f t="shared" si="4"/>
        <v>188.39999999999998</v>
      </c>
      <c r="P48" s="385">
        <f t="shared" ca="1" si="5"/>
        <v>43.373875</v>
      </c>
      <c r="Q48" s="384">
        <f t="shared" si="6"/>
        <v>188.39999999999998</v>
      </c>
      <c r="R48" s="385">
        <f>SUMPRODUCT(($L$15:$L$24&lt;=Q48)*($M$15:$M$24&gt;Q48)*$S$15:$S$24)+$L$12</f>
        <v>145.9375</v>
      </c>
    </row>
    <row r="49" spans="11:18" x14ac:dyDescent="0.25">
      <c r="K49" s="384">
        <f>($L$5/25)*7</f>
        <v>219.79999999999998</v>
      </c>
      <c r="L49" s="385">
        <f ca="1">L46</f>
        <v>43.373875</v>
      </c>
      <c r="M49" s="384">
        <f t="shared" si="3"/>
        <v>219.79999999999998</v>
      </c>
      <c r="N49" s="385">
        <f>N48</f>
        <v>0.0</v>
      </c>
      <c r="O49" s="384">
        <f t="shared" si="4"/>
        <v>219.79999999999998</v>
      </c>
      <c r="P49" s="385">
        <f t="shared" ca="1" si="5"/>
        <v>43.373875</v>
      </c>
      <c r="Q49" s="384">
        <f t="shared" si="6"/>
        <v>219.79999999999998</v>
      </c>
      <c r="R49" s="385">
        <f>R48</f>
        <v>145.9375</v>
      </c>
    </row>
    <row r="50" spans="11:18" x14ac:dyDescent="0.25">
      <c r="K50" s="384">
        <f>K49</f>
        <v>219.79999999999998</v>
      </c>
      <c r="L50" s="385">
        <v>0</v>
      </c>
      <c r="M50" s="384">
        <f t="shared" si="3"/>
        <v>219.79999999999998</v>
      </c>
      <c r="N50" s="385">
        <v>0</v>
      </c>
      <c r="O50" s="384">
        <f t="shared" si="4"/>
        <v>219.79999999999998</v>
      </c>
      <c r="P50" s="385">
        <f t="shared" si="5"/>
        <v>0.0</v>
      </c>
      <c r="Q50" s="384">
        <f t="shared" si="6"/>
        <v>219.79999999999998</v>
      </c>
      <c r="R50" s="385">
        <v>0</v>
      </c>
    </row>
    <row r="51" spans="11:18" x14ac:dyDescent="0.25">
      <c r="K51" s="384">
        <f>K50</f>
        <v>219.79999999999998</v>
      </c>
      <c r="L51" s="385">
        <f ca="1">L49</f>
        <v>43.373875</v>
      </c>
      <c r="M51" s="384">
        <f t="shared" si="3"/>
        <v>219.79999999999998</v>
      </c>
      <c r="N51" s="385">
        <f>SUMPRODUCT(($L$15:$L$24&lt;=M51)*($M$15:$M$24&gt;M51)*($N$15:$N$24+$O$15:$O$24+$P$15:$P$24+$Q$15:$Q$24+$R$15:$R$24))</f>
        <v>0.0</v>
      </c>
      <c r="O51" s="384">
        <f t="shared" si="4"/>
        <v>219.79999999999998</v>
      </c>
      <c r="P51" s="385">
        <f t="shared" ca="1" si="5"/>
        <v>43.373875</v>
      </c>
      <c r="Q51" s="384">
        <f t="shared" si="6"/>
        <v>219.79999999999998</v>
      </c>
      <c r="R51" s="385">
        <f>SUMPRODUCT(($L$15:$L$24&lt;=Q51)*($M$15:$M$24&gt;Q51)*$S$15:$S$24)+$L$12</f>
        <v>145.9375</v>
      </c>
    </row>
    <row r="52" spans="11:18" x14ac:dyDescent="0.25">
      <c r="K52" s="384">
        <f>($L$5/25)*8</f>
        <v>251.2</v>
      </c>
      <c r="L52" s="385">
        <f ca="1">L49</f>
        <v>43.373875</v>
      </c>
      <c r="M52" s="384">
        <f t="shared" si="3"/>
        <v>251.2</v>
      </c>
      <c r="N52" s="385">
        <f>N51</f>
        <v>0.0</v>
      </c>
      <c r="O52" s="384">
        <f t="shared" si="4"/>
        <v>251.2</v>
      </c>
      <c r="P52" s="385">
        <f t="shared" ca="1" si="5"/>
        <v>43.373875</v>
      </c>
      <c r="Q52" s="384">
        <f t="shared" si="6"/>
        <v>251.2</v>
      </c>
      <c r="R52" s="385">
        <f>R51</f>
        <v>145.9375</v>
      </c>
    </row>
    <row r="53" spans="11:18" x14ac:dyDescent="0.25">
      <c r="K53" s="384">
        <f>K52</f>
        <v>251.2</v>
      </c>
      <c r="L53" s="385">
        <v>0</v>
      </c>
      <c r="M53" s="384">
        <f t="shared" si="3"/>
        <v>251.2</v>
      </c>
      <c r="N53" s="385">
        <v>0</v>
      </c>
      <c r="O53" s="384">
        <f t="shared" si="4"/>
        <v>251.2</v>
      </c>
      <c r="P53" s="385">
        <f t="shared" si="5"/>
        <v>0.0</v>
      </c>
      <c r="Q53" s="384">
        <f t="shared" si="6"/>
        <v>251.2</v>
      </c>
      <c r="R53" s="385">
        <v>0</v>
      </c>
    </row>
    <row r="54" spans="11:18" x14ac:dyDescent="0.25">
      <c r="K54" s="384">
        <f>K53</f>
        <v>251.2</v>
      </c>
      <c r="L54" s="385">
        <f ca="1">L52</f>
        <v>43.373875</v>
      </c>
      <c r="M54" s="384">
        <f t="shared" si="3"/>
        <v>251.2</v>
      </c>
      <c r="N54" s="385">
        <f>SUMPRODUCT(($L$15:$L$24&lt;=M54)*($M$15:$M$24&gt;M54)*($N$15:$N$24+$O$15:$O$24+$P$15:$P$24+$Q$15:$Q$24+$R$15:$R$24))</f>
        <v>0.0</v>
      </c>
      <c r="O54" s="384">
        <f t="shared" si="4"/>
        <v>251.2</v>
      </c>
      <c r="P54" s="385">
        <f t="shared" ca="1" si="5"/>
        <v>43.373875</v>
      </c>
      <c r="Q54" s="384">
        <f t="shared" si="6"/>
        <v>251.2</v>
      </c>
      <c r="R54" s="385">
        <f>SUMPRODUCT(($L$15:$L$24&lt;=Q54)*($M$15:$M$24&gt;Q54)*$S$15:$S$24)+$L$12</f>
        <v>145.9375</v>
      </c>
    </row>
    <row r="55" spans="11:18" x14ac:dyDescent="0.25">
      <c r="K55" s="384">
        <f>($L$5/25)*9</f>
        <v>282.59999999999997</v>
      </c>
      <c r="L55" s="385">
        <f ca="1">L52</f>
        <v>43.373875</v>
      </c>
      <c r="M55" s="384">
        <f t="shared" si="3"/>
        <v>282.59999999999997</v>
      </c>
      <c r="N55" s="385">
        <f>N54</f>
        <v>0.0</v>
      </c>
      <c r="O55" s="384">
        <f t="shared" si="4"/>
        <v>282.59999999999997</v>
      </c>
      <c r="P55" s="385">
        <f t="shared" ca="1" si="5"/>
        <v>43.373875</v>
      </c>
      <c r="Q55" s="384">
        <f t="shared" si="6"/>
        <v>282.59999999999997</v>
      </c>
      <c r="R55" s="385">
        <f>R54</f>
        <v>145.9375</v>
      </c>
    </row>
    <row r="56" spans="11:18" x14ac:dyDescent="0.25">
      <c r="K56" s="384">
        <f>K55</f>
        <v>282.59999999999997</v>
      </c>
      <c r="L56" s="385">
        <v>0</v>
      </c>
      <c r="M56" s="384">
        <f t="shared" si="3"/>
        <v>282.59999999999997</v>
      </c>
      <c r="N56" s="385">
        <v>0</v>
      </c>
      <c r="O56" s="384">
        <f t="shared" si="4"/>
        <v>282.59999999999997</v>
      </c>
      <c r="P56" s="385">
        <f t="shared" si="5"/>
        <v>0.0</v>
      </c>
      <c r="Q56" s="384">
        <f t="shared" si="6"/>
        <v>282.59999999999997</v>
      </c>
      <c r="R56" s="385">
        <v>0</v>
      </c>
    </row>
    <row r="57" spans="11:18" x14ac:dyDescent="0.25">
      <c r="K57" s="384">
        <f>K56</f>
        <v>282.59999999999997</v>
      </c>
      <c r="L57" s="385">
        <f ca="1">L55</f>
        <v>43.373875</v>
      </c>
      <c r="M57" s="384">
        <f t="shared" si="3"/>
        <v>282.59999999999997</v>
      </c>
      <c r="N57" s="385">
        <f>SUMPRODUCT(($L$15:$L$24&lt;=M57)*($M$15:$M$24&gt;M57)*($N$15:$N$24+$O$15:$O$24+$P$15:$P$24+$Q$15:$Q$24+$R$15:$R$24))</f>
        <v>0.0</v>
      </c>
      <c r="O57" s="384">
        <f t="shared" si="4"/>
        <v>282.59999999999997</v>
      </c>
      <c r="P57" s="385">
        <f t="shared" ca="1" si="5"/>
        <v>43.373875</v>
      </c>
      <c r="Q57" s="384">
        <f t="shared" si="6"/>
        <v>282.59999999999997</v>
      </c>
      <c r="R57" s="385">
        <f>SUMPRODUCT(($L$15:$L$24&lt;=Q57)*($M$15:$M$24&gt;Q57)*$S$15:$S$24)+$L$12</f>
        <v>145.9375</v>
      </c>
    </row>
    <row r="58" spans="11:18" x14ac:dyDescent="0.25">
      <c r="K58" s="384">
        <f>($L$5/25)*10</f>
        <v>314.0</v>
      </c>
      <c r="L58" s="385">
        <f ca="1">L55</f>
        <v>43.373875</v>
      </c>
      <c r="M58" s="384">
        <f t="shared" si="3"/>
        <v>314.0</v>
      </c>
      <c r="N58" s="385">
        <f>N57</f>
        <v>0.0</v>
      </c>
      <c r="O58" s="384">
        <f t="shared" si="4"/>
        <v>314.0</v>
      </c>
      <c r="P58" s="385">
        <f t="shared" ca="1" si="5"/>
        <v>43.373875</v>
      </c>
      <c r="Q58" s="384">
        <f t="shared" si="6"/>
        <v>314.0</v>
      </c>
      <c r="R58" s="385">
        <f>R57</f>
        <v>145.9375</v>
      </c>
    </row>
    <row r="59" spans="11:18" x14ac:dyDescent="0.25">
      <c r="K59" s="384">
        <f>K58</f>
        <v>314.0</v>
      </c>
      <c r="L59" s="385">
        <v>0</v>
      </c>
      <c r="M59" s="384">
        <f t="shared" si="3"/>
        <v>314.0</v>
      </c>
      <c r="N59" s="385">
        <v>0</v>
      </c>
      <c r="O59" s="384">
        <f t="shared" si="4"/>
        <v>314.0</v>
      </c>
      <c r="P59" s="385">
        <f t="shared" si="5"/>
        <v>0.0</v>
      </c>
      <c r="Q59" s="384">
        <f t="shared" si="6"/>
        <v>314.0</v>
      </c>
      <c r="R59" s="385">
        <v>0</v>
      </c>
    </row>
    <row r="60" spans="11:18" x14ac:dyDescent="0.25">
      <c r="K60" s="384">
        <f>K59</f>
        <v>314.0</v>
      </c>
      <c r="L60" s="385">
        <f ca="1">L58</f>
        <v>43.373875</v>
      </c>
      <c r="M60" s="384">
        <f t="shared" si="3"/>
        <v>314.0</v>
      </c>
      <c r="N60" s="385">
        <f>SUMPRODUCT(($L$15:$L$24&lt;=M60)*($M$15:$M$24&gt;M60)*($N$15:$N$24+$O$15:$O$24+$P$15:$P$24+$Q$15:$Q$24+$R$15:$R$24))</f>
        <v>0.0</v>
      </c>
      <c r="O60" s="384">
        <f t="shared" si="4"/>
        <v>314.0</v>
      </c>
      <c r="P60" s="385">
        <f t="shared" ca="1" si="5"/>
        <v>43.373875</v>
      </c>
      <c r="Q60" s="384">
        <f t="shared" si="6"/>
        <v>314.0</v>
      </c>
      <c r="R60" s="385">
        <f>SUMPRODUCT(($L$15:$L$24&lt;=Q60)*($M$15:$M$24&gt;Q60)*$S$15:$S$24)+$L$12</f>
        <v>145.9375</v>
      </c>
    </row>
    <row r="61" spans="11:18" x14ac:dyDescent="0.25">
      <c r="K61" s="384">
        <f>($L$5/25)*11</f>
        <v>345.4</v>
      </c>
      <c r="L61" s="385">
        <f ca="1">L58</f>
        <v>43.373875</v>
      </c>
      <c r="M61" s="384">
        <f t="shared" ref="M61:M92" si="7">K61</f>
        <v>345.4</v>
      </c>
      <c r="N61" s="385">
        <f>N60</f>
        <v>0.0</v>
      </c>
      <c r="O61" s="384">
        <f t="shared" ref="O61:O92" si="8">K61</f>
        <v>345.4</v>
      </c>
      <c r="P61" s="385">
        <f t="shared" ref="P61:P92" ca="1" si="9">N61+L61</f>
        <v>43.373875</v>
      </c>
      <c r="Q61" s="384">
        <f t="shared" ref="Q61:Q92" si="10">K61</f>
        <v>345.4</v>
      </c>
      <c r="R61" s="385">
        <f>R60</f>
        <v>145.9375</v>
      </c>
    </row>
    <row r="62" spans="11:18" x14ac:dyDescent="0.25">
      <c r="K62" s="384">
        <f>K61</f>
        <v>345.4</v>
      </c>
      <c r="L62" s="385">
        <v>0</v>
      </c>
      <c r="M62" s="384">
        <f t="shared" si="7"/>
        <v>345.4</v>
      </c>
      <c r="N62" s="385">
        <v>0</v>
      </c>
      <c r="O62" s="384">
        <f t="shared" si="8"/>
        <v>345.4</v>
      </c>
      <c r="P62" s="385">
        <f t="shared" si="9"/>
        <v>0.0</v>
      </c>
      <c r="Q62" s="384">
        <f t="shared" si="10"/>
        <v>345.4</v>
      </c>
      <c r="R62" s="385">
        <v>0</v>
      </c>
    </row>
    <row r="63" spans="11:18" x14ac:dyDescent="0.25">
      <c r="K63" s="384">
        <f>K62</f>
        <v>345.4</v>
      </c>
      <c r="L63" s="385">
        <f ca="1">L61</f>
        <v>43.373875</v>
      </c>
      <c r="M63" s="384">
        <f t="shared" si="7"/>
        <v>345.4</v>
      </c>
      <c r="N63" s="385">
        <f>SUMPRODUCT(($L$15:$L$24&lt;=M63)*($M$15:$M$24&gt;M63)*($N$15:$N$24+$O$15:$O$24+$P$15:$P$24+$Q$15:$Q$24+$R$15:$R$24))</f>
        <v>0.0</v>
      </c>
      <c r="O63" s="384">
        <f t="shared" si="8"/>
        <v>345.4</v>
      </c>
      <c r="P63" s="385">
        <f t="shared" ca="1" si="9"/>
        <v>43.373875</v>
      </c>
      <c r="Q63" s="384">
        <f t="shared" si="10"/>
        <v>345.4</v>
      </c>
      <c r="R63" s="385">
        <f>SUMPRODUCT(($L$15:$L$24&lt;=Q63)*($M$15:$M$24&gt;Q63)*$S$15:$S$24)+$L$12</f>
        <v>145.9375</v>
      </c>
    </row>
    <row r="64" spans="11:18" x14ac:dyDescent="0.25">
      <c r="K64" s="384">
        <f>($L$5/25)*12</f>
        <v>376.79999999999995</v>
      </c>
      <c r="L64" s="385">
        <f ca="1">L61</f>
        <v>43.373875</v>
      </c>
      <c r="M64" s="384">
        <f t="shared" si="7"/>
        <v>376.79999999999995</v>
      </c>
      <c r="N64" s="385">
        <f>N63</f>
        <v>0.0</v>
      </c>
      <c r="O64" s="384">
        <f t="shared" si="8"/>
        <v>376.79999999999995</v>
      </c>
      <c r="P64" s="385">
        <f t="shared" ca="1" si="9"/>
        <v>43.373875</v>
      </c>
      <c r="Q64" s="384">
        <f t="shared" si="10"/>
        <v>376.79999999999995</v>
      </c>
      <c r="R64" s="385">
        <f>R63</f>
        <v>145.9375</v>
      </c>
    </row>
    <row r="65" spans="11:18" x14ac:dyDescent="0.25">
      <c r="K65" s="384">
        <f>K64</f>
        <v>376.79999999999995</v>
      </c>
      <c r="L65" s="385">
        <v>0</v>
      </c>
      <c r="M65" s="384">
        <f t="shared" si="7"/>
        <v>376.79999999999995</v>
      </c>
      <c r="N65" s="385">
        <v>0</v>
      </c>
      <c r="O65" s="384">
        <f t="shared" si="8"/>
        <v>376.79999999999995</v>
      </c>
      <c r="P65" s="385">
        <f t="shared" si="9"/>
        <v>0.0</v>
      </c>
      <c r="Q65" s="384">
        <f t="shared" si="10"/>
        <v>376.79999999999995</v>
      </c>
      <c r="R65" s="385">
        <v>0</v>
      </c>
    </row>
    <row r="66" spans="11:18" x14ac:dyDescent="0.25">
      <c r="K66" s="384">
        <f>K65</f>
        <v>376.79999999999995</v>
      </c>
      <c r="L66" s="385">
        <f ca="1">L64</f>
        <v>43.373875</v>
      </c>
      <c r="M66" s="384">
        <f t="shared" si="7"/>
        <v>376.79999999999995</v>
      </c>
      <c r="N66" s="385">
        <f>SUMPRODUCT(($L$15:$L$24&lt;=M66)*($M$15:$M$24&gt;M66)*($N$15:$N$24+$O$15:$O$24+$P$15:$P$24+$Q$15:$Q$24+$R$15:$R$24))</f>
        <v>0.0</v>
      </c>
      <c r="O66" s="384">
        <f t="shared" si="8"/>
        <v>376.79999999999995</v>
      </c>
      <c r="P66" s="385">
        <f t="shared" ca="1" si="9"/>
        <v>43.373875</v>
      </c>
      <c r="Q66" s="384">
        <f t="shared" si="10"/>
        <v>376.79999999999995</v>
      </c>
      <c r="R66" s="385">
        <f>SUMPRODUCT(($L$15:$L$24&lt;=Q66)*($M$15:$M$24&gt;Q66)*$S$15:$S$24)+$L$12</f>
        <v>145.9375</v>
      </c>
    </row>
    <row r="67" spans="11:18" x14ac:dyDescent="0.25">
      <c r="K67" s="384">
        <f>($L$5/25)*13</f>
        <v>408.2</v>
      </c>
      <c r="L67" s="385">
        <f ca="1">L64</f>
        <v>43.373875</v>
      </c>
      <c r="M67" s="384">
        <f t="shared" si="7"/>
        <v>408.2</v>
      </c>
      <c r="N67" s="385">
        <f>N66</f>
        <v>0.0</v>
      </c>
      <c r="O67" s="384">
        <f t="shared" si="8"/>
        <v>408.2</v>
      </c>
      <c r="P67" s="385">
        <f t="shared" ca="1" si="9"/>
        <v>43.373875</v>
      </c>
      <c r="Q67" s="384">
        <f t="shared" si="10"/>
        <v>408.2</v>
      </c>
      <c r="R67" s="385">
        <f>R66</f>
        <v>145.9375</v>
      </c>
    </row>
    <row r="68" spans="11:18" x14ac:dyDescent="0.25">
      <c r="K68" s="384">
        <f>K67</f>
        <v>408.2</v>
      </c>
      <c r="L68" s="385">
        <v>0</v>
      </c>
      <c r="M68" s="384">
        <f t="shared" si="7"/>
        <v>408.2</v>
      </c>
      <c r="N68" s="385">
        <v>0</v>
      </c>
      <c r="O68" s="384">
        <f t="shared" si="8"/>
        <v>408.2</v>
      </c>
      <c r="P68" s="385">
        <f t="shared" si="9"/>
        <v>0.0</v>
      </c>
      <c r="Q68" s="384">
        <f t="shared" si="10"/>
        <v>408.2</v>
      </c>
      <c r="R68" s="385">
        <v>0</v>
      </c>
    </row>
    <row r="69" spans="11:18" x14ac:dyDescent="0.25">
      <c r="K69" s="384">
        <f>K68</f>
        <v>408.2</v>
      </c>
      <c r="L69" s="385">
        <f ca="1">L67</f>
        <v>43.373875</v>
      </c>
      <c r="M69" s="384">
        <f t="shared" si="7"/>
        <v>408.2</v>
      </c>
      <c r="N69" s="385">
        <f>SUMPRODUCT(($L$15:$L$24&lt;=M69)*($M$15:$M$24&gt;M69)*($N$15:$N$24+$O$15:$O$24+$P$15:$P$24+$Q$15:$Q$24+$R$15:$R$24))</f>
        <v>0.0</v>
      </c>
      <c r="O69" s="384">
        <f t="shared" si="8"/>
        <v>408.2</v>
      </c>
      <c r="P69" s="385">
        <f t="shared" ca="1" si="9"/>
        <v>43.373875</v>
      </c>
      <c r="Q69" s="384">
        <f t="shared" si="10"/>
        <v>408.2</v>
      </c>
      <c r="R69" s="385">
        <f>SUMPRODUCT(($L$15:$L$24&lt;=Q69)*($M$15:$M$24&gt;Q69)*$S$15:$S$24)+$L$12</f>
        <v>145.9375</v>
      </c>
    </row>
    <row r="70" spans="11:18" x14ac:dyDescent="0.25">
      <c r="K70" s="384">
        <f>($L$5/25)*14</f>
        <v>439.59999999999997</v>
      </c>
      <c r="L70" s="385">
        <f ca="1">L67</f>
        <v>43.373875</v>
      </c>
      <c r="M70" s="384">
        <f t="shared" si="7"/>
        <v>439.59999999999997</v>
      </c>
      <c r="N70" s="385">
        <f>N69</f>
        <v>0.0</v>
      </c>
      <c r="O70" s="384">
        <f t="shared" si="8"/>
        <v>439.59999999999997</v>
      </c>
      <c r="P70" s="385">
        <f t="shared" ca="1" si="9"/>
        <v>43.373875</v>
      </c>
      <c r="Q70" s="384">
        <f t="shared" si="10"/>
        <v>439.59999999999997</v>
      </c>
      <c r="R70" s="385">
        <f>R69</f>
        <v>145.9375</v>
      </c>
    </row>
    <row r="71" spans="11:18" x14ac:dyDescent="0.25">
      <c r="K71" s="384">
        <f>K70</f>
        <v>439.59999999999997</v>
      </c>
      <c r="L71" s="385">
        <v>0</v>
      </c>
      <c r="M71" s="384">
        <f t="shared" si="7"/>
        <v>439.59999999999997</v>
      </c>
      <c r="N71" s="385">
        <v>0</v>
      </c>
      <c r="O71" s="384">
        <f t="shared" si="8"/>
        <v>439.59999999999997</v>
      </c>
      <c r="P71" s="385">
        <f t="shared" si="9"/>
        <v>0.0</v>
      </c>
      <c r="Q71" s="384">
        <f t="shared" si="10"/>
        <v>439.59999999999997</v>
      </c>
      <c r="R71" s="385">
        <v>0</v>
      </c>
    </row>
    <row r="72" spans="11:18" x14ac:dyDescent="0.25">
      <c r="K72" s="384">
        <f>K71</f>
        <v>439.59999999999997</v>
      </c>
      <c r="L72" s="385">
        <f ca="1">L70</f>
        <v>43.373875</v>
      </c>
      <c r="M72" s="384">
        <f t="shared" si="7"/>
        <v>439.59999999999997</v>
      </c>
      <c r="N72" s="385">
        <f>SUMPRODUCT(($L$15:$L$24&lt;=M72)*($M$15:$M$24&gt;M72)*($N$15:$N$24+$O$15:$O$24+$P$15:$P$24+$Q$15:$Q$24+$R$15:$R$24))</f>
        <v>0.0</v>
      </c>
      <c r="O72" s="384">
        <f t="shared" si="8"/>
        <v>439.59999999999997</v>
      </c>
      <c r="P72" s="385">
        <f t="shared" ca="1" si="9"/>
        <v>43.373875</v>
      </c>
      <c r="Q72" s="384">
        <f t="shared" si="10"/>
        <v>439.59999999999997</v>
      </c>
      <c r="R72" s="385">
        <f>SUMPRODUCT(($L$15:$L$24&lt;=Q72)*($M$15:$M$24&gt;Q72)*$S$15:$S$24)+$L$12</f>
        <v>145.9375</v>
      </c>
    </row>
    <row r="73" spans="11:18" x14ac:dyDescent="0.25">
      <c r="K73" s="384">
        <f>($L$5/25)*15</f>
        <v>471.0</v>
      </c>
      <c r="L73" s="385">
        <f ca="1">L70</f>
        <v>43.373875</v>
      </c>
      <c r="M73" s="384">
        <f t="shared" si="7"/>
        <v>471.0</v>
      </c>
      <c r="N73" s="385">
        <f>N72</f>
        <v>0.0</v>
      </c>
      <c r="O73" s="384">
        <f t="shared" si="8"/>
        <v>471.0</v>
      </c>
      <c r="P73" s="385">
        <f t="shared" ca="1" si="9"/>
        <v>43.373875</v>
      </c>
      <c r="Q73" s="384">
        <f t="shared" si="10"/>
        <v>471.0</v>
      </c>
      <c r="R73" s="385">
        <f>R72</f>
        <v>145.9375</v>
      </c>
    </row>
    <row r="74" spans="11:18" x14ac:dyDescent="0.25">
      <c r="K74" s="384">
        <f>K73</f>
        <v>471.0</v>
      </c>
      <c r="L74" s="385">
        <v>0</v>
      </c>
      <c r="M74" s="384">
        <f t="shared" si="7"/>
        <v>471.0</v>
      </c>
      <c r="N74" s="385">
        <v>0</v>
      </c>
      <c r="O74" s="384">
        <f t="shared" si="8"/>
        <v>471.0</v>
      </c>
      <c r="P74" s="385">
        <f t="shared" si="9"/>
        <v>0.0</v>
      </c>
      <c r="Q74" s="384">
        <f t="shared" si="10"/>
        <v>471.0</v>
      </c>
      <c r="R74" s="385">
        <v>0</v>
      </c>
    </row>
    <row r="75" spans="11:18" x14ac:dyDescent="0.25">
      <c r="K75" s="384">
        <f>K74</f>
        <v>471.0</v>
      </c>
      <c r="L75" s="385">
        <f ca="1">L73</f>
        <v>43.373875</v>
      </c>
      <c r="M75" s="384">
        <f t="shared" si="7"/>
        <v>471.0</v>
      </c>
      <c r="N75" s="385">
        <f>SUMPRODUCT(($L$15:$L$24&lt;=M75)*($M$15:$M$24&gt;M75)*($N$15:$N$24+$O$15:$O$24+$P$15:$P$24+$Q$15:$Q$24+$R$15:$R$24))</f>
        <v>0.0</v>
      </c>
      <c r="O75" s="384">
        <f t="shared" si="8"/>
        <v>471.0</v>
      </c>
      <c r="P75" s="385">
        <f t="shared" ca="1" si="9"/>
        <v>43.373875</v>
      </c>
      <c r="Q75" s="384">
        <f t="shared" si="10"/>
        <v>471.0</v>
      </c>
      <c r="R75" s="385">
        <f>SUMPRODUCT(($L$15:$L$24&lt;=Q75)*($M$15:$M$24&gt;Q75)*$S$15:$S$24)+$L$12</f>
        <v>145.9375</v>
      </c>
    </row>
    <row r="76" spans="11:18" x14ac:dyDescent="0.25">
      <c r="K76" s="384">
        <f>($L$5/25)*16</f>
        <v>502.4</v>
      </c>
      <c r="L76" s="385">
        <f ca="1">L73</f>
        <v>43.373875</v>
      </c>
      <c r="M76" s="384">
        <f t="shared" si="7"/>
        <v>502.4</v>
      </c>
      <c r="N76" s="385">
        <f>N75</f>
        <v>0.0</v>
      </c>
      <c r="O76" s="384">
        <f t="shared" si="8"/>
        <v>502.4</v>
      </c>
      <c r="P76" s="385">
        <f t="shared" ca="1" si="9"/>
        <v>43.373875</v>
      </c>
      <c r="Q76" s="384">
        <f t="shared" si="10"/>
        <v>502.4</v>
      </c>
      <c r="R76" s="385">
        <f>R75</f>
        <v>145.9375</v>
      </c>
    </row>
    <row r="77" spans="11:18" x14ac:dyDescent="0.25">
      <c r="K77" s="384">
        <f>K76</f>
        <v>502.4</v>
      </c>
      <c r="L77" s="385">
        <v>0</v>
      </c>
      <c r="M77" s="384">
        <f t="shared" si="7"/>
        <v>502.4</v>
      </c>
      <c r="N77" s="385">
        <v>0</v>
      </c>
      <c r="O77" s="384">
        <f t="shared" si="8"/>
        <v>502.4</v>
      </c>
      <c r="P77" s="385">
        <f t="shared" si="9"/>
        <v>0.0</v>
      </c>
      <c r="Q77" s="384">
        <f t="shared" si="10"/>
        <v>502.4</v>
      </c>
      <c r="R77" s="385">
        <v>0</v>
      </c>
    </row>
    <row r="78" spans="11:18" x14ac:dyDescent="0.25">
      <c r="K78" s="384">
        <f>K77</f>
        <v>502.4</v>
      </c>
      <c r="L78" s="385">
        <f ca="1">L76</f>
        <v>43.373875</v>
      </c>
      <c r="M78" s="384">
        <f t="shared" si="7"/>
        <v>502.4</v>
      </c>
      <c r="N78" s="385">
        <f>SUMPRODUCT(($L$15:$L$24&lt;=M78)*($M$15:$M$24&gt;M78)*($N$15:$N$24+$O$15:$O$24+$P$15:$P$24+$Q$15:$Q$24+$R$15:$R$24))</f>
        <v>0.0</v>
      </c>
      <c r="O78" s="384">
        <f t="shared" si="8"/>
        <v>502.4</v>
      </c>
      <c r="P78" s="385">
        <f t="shared" ca="1" si="9"/>
        <v>43.373875</v>
      </c>
      <c r="Q78" s="384">
        <f t="shared" si="10"/>
        <v>502.4</v>
      </c>
      <c r="R78" s="385">
        <f>SUMPRODUCT(($L$15:$L$24&lt;=Q78)*($M$15:$M$24&gt;Q78)*$S$15:$S$24)+$L$12</f>
        <v>145.9375</v>
      </c>
    </row>
    <row r="79" spans="11:18" x14ac:dyDescent="0.25">
      <c r="K79" s="384">
        <f>($L$5/25)*17</f>
        <v>533.8</v>
      </c>
      <c r="L79" s="385">
        <f ca="1">L76</f>
        <v>43.373875</v>
      </c>
      <c r="M79" s="384">
        <f t="shared" si="7"/>
        <v>533.8</v>
      </c>
      <c r="N79" s="385">
        <f>N78</f>
        <v>0.0</v>
      </c>
      <c r="O79" s="384">
        <f t="shared" si="8"/>
        <v>533.8</v>
      </c>
      <c r="P79" s="385">
        <f t="shared" ca="1" si="9"/>
        <v>43.373875</v>
      </c>
      <c r="Q79" s="384">
        <f t="shared" si="10"/>
        <v>533.8</v>
      </c>
      <c r="R79" s="385">
        <f>R78</f>
        <v>145.9375</v>
      </c>
    </row>
    <row r="80" spans="11:18" x14ac:dyDescent="0.25">
      <c r="K80" s="384">
        <f>K79</f>
        <v>533.8</v>
      </c>
      <c r="L80" s="385">
        <v>0</v>
      </c>
      <c r="M80" s="384">
        <f t="shared" si="7"/>
        <v>533.8</v>
      </c>
      <c r="N80" s="385">
        <v>0</v>
      </c>
      <c r="O80" s="384">
        <f t="shared" si="8"/>
        <v>533.8</v>
      </c>
      <c r="P80" s="385">
        <f t="shared" si="9"/>
        <v>0.0</v>
      </c>
      <c r="Q80" s="384">
        <f t="shared" si="10"/>
        <v>533.8</v>
      </c>
      <c r="R80" s="385">
        <v>0</v>
      </c>
    </row>
    <row r="81" spans="11:18" x14ac:dyDescent="0.25">
      <c r="K81" s="384">
        <f>K80</f>
        <v>533.8</v>
      </c>
      <c r="L81" s="385">
        <f ca="1">L79</f>
        <v>43.373875</v>
      </c>
      <c r="M81" s="384">
        <f t="shared" si="7"/>
        <v>533.8</v>
      </c>
      <c r="N81" s="385">
        <f>SUMPRODUCT(($L$15:$L$24&lt;=M81)*($M$15:$M$24&gt;M81)*($N$15:$N$24+$O$15:$O$24+$P$15:$P$24+$Q$15:$Q$24+$R$15:$R$24))</f>
        <v>0.0</v>
      </c>
      <c r="O81" s="384">
        <f t="shared" si="8"/>
        <v>533.8</v>
      </c>
      <c r="P81" s="385">
        <f t="shared" ca="1" si="9"/>
        <v>43.373875</v>
      </c>
      <c r="Q81" s="384">
        <f t="shared" si="10"/>
        <v>533.8</v>
      </c>
      <c r="R81" s="385">
        <f>SUMPRODUCT(($L$15:$L$24&lt;=Q81)*($M$15:$M$24&gt;Q81)*$S$15:$S$24)+$L$12</f>
        <v>145.9375</v>
      </c>
    </row>
    <row r="82" spans="11:18" x14ac:dyDescent="0.25">
      <c r="K82" s="384">
        <f>($L$5/25)*18</f>
        <v>565.1999999999999</v>
      </c>
      <c r="L82" s="385">
        <f ca="1">L79</f>
        <v>43.373875</v>
      </c>
      <c r="M82" s="384">
        <f t="shared" si="7"/>
        <v>565.1999999999999</v>
      </c>
      <c r="N82" s="385">
        <f>N81</f>
        <v>0.0</v>
      </c>
      <c r="O82" s="384">
        <f t="shared" si="8"/>
        <v>565.1999999999999</v>
      </c>
      <c r="P82" s="385">
        <f t="shared" ca="1" si="9"/>
        <v>43.373875</v>
      </c>
      <c r="Q82" s="384">
        <f t="shared" si="10"/>
        <v>565.1999999999999</v>
      </c>
      <c r="R82" s="385">
        <f>R81</f>
        <v>145.9375</v>
      </c>
    </row>
    <row r="83" spans="11:18" x14ac:dyDescent="0.25">
      <c r="K83" s="384">
        <f>K82</f>
        <v>565.1999999999999</v>
      </c>
      <c r="L83" s="385">
        <v>0</v>
      </c>
      <c r="M83" s="384">
        <f t="shared" si="7"/>
        <v>565.1999999999999</v>
      </c>
      <c r="N83" s="385">
        <v>0</v>
      </c>
      <c r="O83" s="384">
        <f t="shared" si="8"/>
        <v>565.1999999999999</v>
      </c>
      <c r="P83" s="385">
        <f t="shared" si="9"/>
        <v>0.0</v>
      </c>
      <c r="Q83" s="384">
        <f t="shared" si="10"/>
        <v>565.1999999999999</v>
      </c>
      <c r="R83" s="385">
        <v>0</v>
      </c>
    </row>
    <row r="84" spans="11:18" x14ac:dyDescent="0.25">
      <c r="K84" s="384">
        <f>K83</f>
        <v>565.1999999999999</v>
      </c>
      <c r="L84" s="385">
        <f ca="1">L82</f>
        <v>43.373875</v>
      </c>
      <c r="M84" s="384">
        <f t="shared" si="7"/>
        <v>565.1999999999999</v>
      </c>
      <c r="N84" s="385">
        <f>SUMPRODUCT(($L$15:$L$24&lt;=M84)*($M$15:$M$24&gt;M84)*($N$15:$N$24+$O$15:$O$24+$P$15:$P$24+$Q$15:$Q$24+$R$15:$R$24))</f>
        <v>0.0</v>
      </c>
      <c r="O84" s="384">
        <f t="shared" si="8"/>
        <v>565.1999999999999</v>
      </c>
      <c r="P84" s="385">
        <f t="shared" ca="1" si="9"/>
        <v>43.373875</v>
      </c>
      <c r="Q84" s="384">
        <f t="shared" si="10"/>
        <v>565.1999999999999</v>
      </c>
      <c r="R84" s="385">
        <f>SUMPRODUCT(($L$15:$L$24&lt;=Q84)*($M$15:$M$24&gt;Q84)*$S$15:$S$24)+$L$12</f>
        <v>145.9375</v>
      </c>
    </row>
    <row r="85" spans="11:18" x14ac:dyDescent="0.25">
      <c r="K85" s="384">
        <f>($L$5/25)*19</f>
        <v>596.6</v>
      </c>
      <c r="L85" s="385">
        <f ca="1">L82</f>
        <v>43.373875</v>
      </c>
      <c r="M85" s="384">
        <f t="shared" si="7"/>
        <v>596.6</v>
      </c>
      <c r="N85" s="385">
        <f>N84</f>
        <v>0.0</v>
      </c>
      <c r="O85" s="384">
        <f t="shared" si="8"/>
        <v>596.6</v>
      </c>
      <c r="P85" s="385">
        <f t="shared" ca="1" si="9"/>
        <v>43.373875</v>
      </c>
      <c r="Q85" s="384">
        <f t="shared" si="10"/>
        <v>596.6</v>
      </c>
      <c r="R85" s="385">
        <f>R84</f>
        <v>145.9375</v>
      </c>
    </row>
    <row r="86" spans="11:18" x14ac:dyDescent="0.25">
      <c r="K86" s="384">
        <f>K85</f>
        <v>596.6</v>
      </c>
      <c r="L86" s="385">
        <v>0</v>
      </c>
      <c r="M86" s="384">
        <f t="shared" si="7"/>
        <v>596.6</v>
      </c>
      <c r="N86" s="385">
        <v>0</v>
      </c>
      <c r="O86" s="384">
        <f t="shared" si="8"/>
        <v>596.6</v>
      </c>
      <c r="P86" s="385">
        <f t="shared" si="9"/>
        <v>0.0</v>
      </c>
      <c r="Q86" s="384">
        <f t="shared" si="10"/>
        <v>596.6</v>
      </c>
      <c r="R86" s="385">
        <v>0</v>
      </c>
    </row>
    <row r="87" spans="11:18" x14ac:dyDescent="0.25">
      <c r="K87" s="384">
        <f>K86</f>
        <v>596.6</v>
      </c>
      <c r="L87" s="385">
        <f ca="1">L85</f>
        <v>43.373875</v>
      </c>
      <c r="M87" s="384">
        <f t="shared" si="7"/>
        <v>596.6</v>
      </c>
      <c r="N87" s="385">
        <f>SUMPRODUCT(($L$15:$L$24&lt;=M87)*($M$15:$M$24&gt;M87)*($N$15:$N$24+$O$15:$O$24+$P$15:$P$24+$Q$15:$Q$24+$R$15:$R$24))</f>
        <v>0.0</v>
      </c>
      <c r="O87" s="384">
        <f t="shared" si="8"/>
        <v>596.6</v>
      </c>
      <c r="P87" s="385">
        <f t="shared" ca="1" si="9"/>
        <v>43.373875</v>
      </c>
      <c r="Q87" s="384">
        <f t="shared" si="10"/>
        <v>596.6</v>
      </c>
      <c r="R87" s="385">
        <f>SUMPRODUCT(($L$15:$L$24&lt;=Q87)*($M$15:$M$24&gt;Q87)*$S$15:$S$24)+$L$12</f>
        <v>145.9375</v>
      </c>
    </row>
    <row r="88" spans="11:18" x14ac:dyDescent="0.25">
      <c r="K88" s="384">
        <f>($L$5/25)*20</f>
        <v>628.0</v>
      </c>
      <c r="L88" s="385">
        <f ca="1">L85</f>
        <v>43.373875</v>
      </c>
      <c r="M88" s="384">
        <f t="shared" si="7"/>
        <v>628.0</v>
      </c>
      <c r="N88" s="385">
        <f>N87</f>
        <v>0.0</v>
      </c>
      <c r="O88" s="384">
        <f t="shared" si="8"/>
        <v>628.0</v>
      </c>
      <c r="P88" s="385">
        <f t="shared" ca="1" si="9"/>
        <v>43.373875</v>
      </c>
      <c r="Q88" s="384">
        <f t="shared" si="10"/>
        <v>628.0</v>
      </c>
      <c r="R88" s="385">
        <f>R87</f>
        <v>145.9375</v>
      </c>
    </row>
    <row r="89" spans="11:18" x14ac:dyDescent="0.25">
      <c r="K89" s="384">
        <f>K88</f>
        <v>628.0</v>
      </c>
      <c r="L89" s="385">
        <v>0</v>
      </c>
      <c r="M89" s="384">
        <f t="shared" si="7"/>
        <v>628.0</v>
      </c>
      <c r="N89" s="385">
        <v>0</v>
      </c>
      <c r="O89" s="384">
        <f t="shared" si="8"/>
        <v>628.0</v>
      </c>
      <c r="P89" s="385">
        <f t="shared" si="9"/>
        <v>0.0</v>
      </c>
      <c r="Q89" s="384">
        <f t="shared" si="10"/>
        <v>628.0</v>
      </c>
      <c r="R89" s="385">
        <v>0</v>
      </c>
    </row>
    <row r="90" spans="11:18" x14ac:dyDescent="0.25">
      <c r="K90" s="384">
        <f>K89</f>
        <v>628.0</v>
      </c>
      <c r="L90" s="385">
        <f ca="1">L88</f>
        <v>43.373875</v>
      </c>
      <c r="M90" s="384">
        <f t="shared" si="7"/>
        <v>628.0</v>
      </c>
      <c r="N90" s="385">
        <f>SUMPRODUCT(($L$15:$L$24&lt;=M90)*($M$15:$M$24&gt;M90)*($N$15:$N$24+$O$15:$O$24+$P$15:$P$24+$Q$15:$Q$24+$R$15:$R$24))</f>
        <v>0.0</v>
      </c>
      <c r="O90" s="384">
        <f t="shared" si="8"/>
        <v>628.0</v>
      </c>
      <c r="P90" s="385">
        <f t="shared" ca="1" si="9"/>
        <v>43.373875</v>
      </c>
      <c r="Q90" s="384">
        <f t="shared" si="10"/>
        <v>628.0</v>
      </c>
      <c r="R90" s="385">
        <f>SUMPRODUCT(($L$15:$L$24&lt;=Q90)*($M$15:$M$24&gt;Q90)*$S$15:$S$24)+$L$12</f>
        <v>145.9375</v>
      </c>
    </row>
    <row r="91" spans="11:18" x14ac:dyDescent="0.25">
      <c r="K91" s="384">
        <f>($L$5/25)*21</f>
        <v>659.4</v>
      </c>
      <c r="L91" s="385">
        <f ca="1">L88</f>
        <v>43.373875</v>
      </c>
      <c r="M91" s="384">
        <f t="shared" si="7"/>
        <v>659.4</v>
      </c>
      <c r="N91" s="385">
        <f>N90</f>
        <v>0.0</v>
      </c>
      <c r="O91" s="384">
        <f t="shared" si="8"/>
        <v>659.4</v>
      </c>
      <c r="P91" s="385">
        <f t="shared" ca="1" si="9"/>
        <v>43.373875</v>
      </c>
      <c r="Q91" s="384">
        <f t="shared" si="10"/>
        <v>659.4</v>
      </c>
      <c r="R91" s="385">
        <f>R90</f>
        <v>145.9375</v>
      </c>
    </row>
    <row r="92" spans="11:18" x14ac:dyDescent="0.25">
      <c r="K92" s="384">
        <f>K91</f>
        <v>659.4</v>
      </c>
      <c r="L92" s="385">
        <v>0</v>
      </c>
      <c r="M92" s="384">
        <f t="shared" si="7"/>
        <v>659.4</v>
      </c>
      <c r="N92" s="385">
        <v>0</v>
      </c>
      <c r="O92" s="384">
        <f t="shared" si="8"/>
        <v>659.4</v>
      </c>
      <c r="P92" s="385">
        <f t="shared" si="9"/>
        <v>0.0</v>
      </c>
      <c r="Q92" s="384">
        <f t="shared" si="10"/>
        <v>659.4</v>
      </c>
      <c r="R92" s="385">
        <v>0</v>
      </c>
    </row>
    <row r="93" spans="11:18" x14ac:dyDescent="0.25">
      <c r="K93" s="384">
        <f>K92</f>
        <v>659.4</v>
      </c>
      <c r="L93" s="385">
        <f ca="1">L91</f>
        <v>43.373875</v>
      </c>
      <c r="M93" s="384">
        <f t="shared" ref="M93:M106" si="11">K93</f>
        <v>659.4</v>
      </c>
      <c r="N93" s="385">
        <f>SUMPRODUCT(($L$15:$L$24&lt;=M93)*($M$15:$M$24&gt;M93)*($N$15:$N$24+$O$15:$O$24+$P$15:$P$24+$Q$15:$Q$24+$R$15:$R$24))</f>
        <v>0.0</v>
      </c>
      <c r="O93" s="384">
        <f t="shared" ref="O93:O106" si="12">K93</f>
        <v>659.4</v>
      </c>
      <c r="P93" s="385">
        <f t="shared" ref="P93:P106" ca="1" si="13">N93+L93</f>
        <v>43.373875</v>
      </c>
      <c r="Q93" s="384">
        <f t="shared" ref="Q93:Q106" si="14">K93</f>
        <v>659.4</v>
      </c>
      <c r="R93" s="385">
        <f>SUMPRODUCT(($L$15:$L$24&lt;=Q93)*($M$15:$M$24&gt;Q93)*$S$15:$S$24)+$L$12</f>
        <v>145.9375</v>
      </c>
    </row>
    <row r="94" spans="11:18" x14ac:dyDescent="0.25">
      <c r="K94" s="384">
        <f>($L$5/25)*22</f>
        <v>690.8</v>
      </c>
      <c r="L94" s="385">
        <f ca="1">L91</f>
        <v>43.373875</v>
      </c>
      <c r="M94" s="384">
        <f t="shared" si="11"/>
        <v>690.8</v>
      </c>
      <c r="N94" s="385">
        <f>N93</f>
        <v>0.0</v>
      </c>
      <c r="O94" s="384">
        <f t="shared" si="12"/>
        <v>690.8</v>
      </c>
      <c r="P94" s="385">
        <f t="shared" ca="1" si="13"/>
        <v>43.373875</v>
      </c>
      <c r="Q94" s="384">
        <f t="shared" si="14"/>
        <v>690.8</v>
      </c>
      <c r="R94" s="385">
        <f>R93</f>
        <v>145.9375</v>
      </c>
    </row>
    <row r="95" spans="11:18" x14ac:dyDescent="0.25">
      <c r="K95" s="384">
        <f>K94</f>
        <v>690.8</v>
      </c>
      <c r="L95" s="385">
        <v>0</v>
      </c>
      <c r="M95" s="384">
        <f t="shared" si="11"/>
        <v>690.8</v>
      </c>
      <c r="N95" s="385">
        <v>0</v>
      </c>
      <c r="O95" s="384">
        <f t="shared" si="12"/>
        <v>690.8</v>
      </c>
      <c r="P95" s="385">
        <f t="shared" si="13"/>
        <v>0.0</v>
      </c>
      <c r="Q95" s="384">
        <f t="shared" si="14"/>
        <v>690.8</v>
      </c>
      <c r="R95" s="385">
        <v>0</v>
      </c>
    </row>
    <row r="96" spans="11:18" x14ac:dyDescent="0.25">
      <c r="K96" s="384">
        <f>K95</f>
        <v>690.8</v>
      </c>
      <c r="L96" s="385">
        <f ca="1">L94</f>
        <v>43.373875</v>
      </c>
      <c r="M96" s="384">
        <f t="shared" si="11"/>
        <v>690.8</v>
      </c>
      <c r="N96" s="385">
        <f>SUMPRODUCT(($L$15:$L$24&lt;=M96)*($M$15:$M$24&gt;M96)*($N$15:$N$24+$O$15:$O$24+$P$15:$P$24+$Q$15:$Q$24+$R$15:$R$24))</f>
        <v>0.0</v>
      </c>
      <c r="O96" s="384">
        <f t="shared" si="12"/>
        <v>690.8</v>
      </c>
      <c r="P96" s="385">
        <f t="shared" ca="1" si="13"/>
        <v>43.373875</v>
      </c>
      <c r="Q96" s="384">
        <f t="shared" si="14"/>
        <v>690.8</v>
      </c>
      <c r="R96" s="385">
        <f>SUMPRODUCT(($L$15:$L$24&lt;=Q96)*($M$15:$M$24&gt;Q96)*$S$15:$S$24)+$L$12</f>
        <v>145.9375</v>
      </c>
    </row>
    <row r="97" spans="11:18" x14ac:dyDescent="0.25">
      <c r="K97" s="384">
        <f>($L$5/25)*23</f>
        <v>722.1999999999999</v>
      </c>
      <c r="L97" s="385">
        <f ca="1">L94</f>
        <v>43.373875</v>
      </c>
      <c r="M97" s="384">
        <f t="shared" si="11"/>
        <v>722.1999999999999</v>
      </c>
      <c r="N97" s="385">
        <f>N96</f>
        <v>0.0</v>
      </c>
      <c r="O97" s="384">
        <f t="shared" si="12"/>
        <v>722.1999999999999</v>
      </c>
      <c r="P97" s="385">
        <f t="shared" ca="1" si="13"/>
        <v>43.373875</v>
      </c>
      <c r="Q97" s="384">
        <f t="shared" si="14"/>
        <v>722.1999999999999</v>
      </c>
      <c r="R97" s="385">
        <f>R96</f>
        <v>145.9375</v>
      </c>
    </row>
    <row r="98" spans="11:18" x14ac:dyDescent="0.25">
      <c r="K98" s="384">
        <f>K97</f>
        <v>722.1999999999999</v>
      </c>
      <c r="L98" s="385">
        <v>0</v>
      </c>
      <c r="M98" s="384">
        <f t="shared" si="11"/>
        <v>722.1999999999999</v>
      </c>
      <c r="N98" s="385">
        <v>0</v>
      </c>
      <c r="O98" s="384">
        <f t="shared" si="12"/>
        <v>722.1999999999999</v>
      </c>
      <c r="P98" s="385">
        <f t="shared" si="13"/>
        <v>0.0</v>
      </c>
      <c r="Q98" s="384">
        <f t="shared" si="14"/>
        <v>722.1999999999999</v>
      </c>
      <c r="R98" s="385">
        <v>0</v>
      </c>
    </row>
    <row r="99" spans="11:18" x14ac:dyDescent="0.25">
      <c r="K99" s="384">
        <f>K98</f>
        <v>722.1999999999999</v>
      </c>
      <c r="L99" s="385">
        <f ca="1">L97</f>
        <v>43.373875</v>
      </c>
      <c r="M99" s="384">
        <f t="shared" si="11"/>
        <v>722.1999999999999</v>
      </c>
      <c r="N99" s="385">
        <f>SUMPRODUCT(($L$15:$L$24&lt;=M99)*($M$15:$M$24&gt;M99)*($N$15:$N$24+$O$15:$O$24+$P$15:$P$24+$Q$15:$Q$24+$R$15:$R$24))</f>
        <v>0.0</v>
      </c>
      <c r="O99" s="384">
        <f t="shared" si="12"/>
        <v>722.1999999999999</v>
      </c>
      <c r="P99" s="385">
        <f t="shared" ca="1" si="13"/>
        <v>43.373875</v>
      </c>
      <c r="Q99" s="384">
        <f t="shared" si="14"/>
        <v>722.1999999999999</v>
      </c>
      <c r="R99" s="385">
        <f>SUMPRODUCT(($L$15:$L$24&lt;=Q99)*($M$15:$M$24&gt;Q99)*$S$15:$S$24)+$L$12</f>
        <v>145.9375</v>
      </c>
    </row>
    <row r="100" spans="11:18" x14ac:dyDescent="0.25">
      <c r="K100" s="384">
        <f>($L$5/25)*24</f>
        <v>753.5999999999999</v>
      </c>
      <c r="L100" s="385">
        <f ca="1">L97</f>
        <v>43.373875</v>
      </c>
      <c r="M100" s="384">
        <f t="shared" si="11"/>
        <v>753.5999999999999</v>
      </c>
      <c r="N100" s="385">
        <f>N99</f>
        <v>0.0</v>
      </c>
      <c r="O100" s="384">
        <f t="shared" si="12"/>
        <v>753.5999999999999</v>
      </c>
      <c r="P100" s="385">
        <f t="shared" ca="1" si="13"/>
        <v>43.373875</v>
      </c>
      <c r="Q100" s="384">
        <f t="shared" si="14"/>
        <v>753.5999999999999</v>
      </c>
      <c r="R100" s="385">
        <f>R99</f>
        <v>145.9375</v>
      </c>
    </row>
    <row r="101" spans="11:18" x14ac:dyDescent="0.25">
      <c r="K101" s="384">
        <f>K100</f>
        <v>753.5999999999999</v>
      </c>
      <c r="L101" s="385">
        <v>0</v>
      </c>
      <c r="M101" s="384">
        <f t="shared" si="11"/>
        <v>753.5999999999999</v>
      </c>
      <c r="N101" s="385">
        <v>0</v>
      </c>
      <c r="O101" s="384">
        <f t="shared" si="12"/>
        <v>753.5999999999999</v>
      </c>
      <c r="P101" s="385">
        <f t="shared" si="13"/>
        <v>0.0</v>
      </c>
      <c r="Q101" s="384">
        <f t="shared" si="14"/>
        <v>753.5999999999999</v>
      </c>
      <c r="R101" s="385">
        <v>0</v>
      </c>
    </row>
    <row r="102" spans="11:18" x14ac:dyDescent="0.25">
      <c r="K102" s="384">
        <f>K101</f>
        <v>753.5999999999999</v>
      </c>
      <c r="L102" s="385">
        <f ca="1">L100</f>
        <v>43.373875</v>
      </c>
      <c r="M102" s="384">
        <f t="shared" si="11"/>
        <v>753.5999999999999</v>
      </c>
      <c r="N102" s="385">
        <f>SUMPRODUCT(($L$15:$L$24&lt;=M102)*($M$15:$M$24&gt;M102)*($N$15:$N$24+$O$15:$O$24+$P$15:$P$24+$Q$15:$Q$24+$R$15:$R$24))</f>
        <v>0.0</v>
      </c>
      <c r="O102" s="384">
        <f t="shared" si="12"/>
        <v>753.5999999999999</v>
      </c>
      <c r="P102" s="385">
        <f t="shared" ca="1" si="13"/>
        <v>43.373875</v>
      </c>
      <c r="Q102" s="384">
        <f t="shared" si="14"/>
        <v>753.5999999999999</v>
      </c>
      <c r="R102" s="385">
        <f>SUMPRODUCT(($L$15:$L$24&lt;=Q102)*($M$15:$M$24&gt;Q102)*$S$15:$S$24)+$L$12</f>
        <v>145.9375</v>
      </c>
    </row>
    <row r="103" spans="11:18" x14ac:dyDescent="0.25">
      <c r="K103" s="387">
        <f>$L$5</f>
        <v>785.0</v>
      </c>
      <c r="L103" s="385">
        <f ca="1">L100</f>
        <v>43.373875</v>
      </c>
      <c r="M103" s="387">
        <f t="shared" si="11"/>
        <v>785.0</v>
      </c>
      <c r="N103" s="385">
        <f>N102</f>
        <v>0.0</v>
      </c>
      <c r="O103" s="387">
        <f t="shared" si="12"/>
        <v>785.0</v>
      </c>
      <c r="P103" s="385">
        <f t="shared" ca="1" si="13"/>
        <v>43.373875</v>
      </c>
      <c r="Q103" s="387">
        <f t="shared" si="14"/>
        <v>785.0</v>
      </c>
      <c r="R103" s="385">
        <f>R102</f>
        <v>145.9375</v>
      </c>
    </row>
    <row r="104" spans="11:18" x14ac:dyDescent="0.25">
      <c r="K104" s="387">
        <f>K103</f>
        <v>785.0</v>
      </c>
      <c r="L104" s="385">
        <v>0</v>
      </c>
      <c r="M104" s="387">
        <f t="shared" si="11"/>
        <v>785.0</v>
      </c>
      <c r="N104" s="385">
        <v>0</v>
      </c>
      <c r="O104" s="387">
        <f t="shared" si="12"/>
        <v>785.0</v>
      </c>
      <c r="P104" s="385">
        <f t="shared" si="13"/>
        <v>0.0</v>
      </c>
      <c r="Q104" s="387">
        <f t="shared" si="14"/>
        <v>785.0</v>
      </c>
      <c r="R104" s="385">
        <v>0</v>
      </c>
    </row>
    <row r="105" spans="11:18" x14ac:dyDescent="0.25">
      <c r="K105" s="387">
        <f>K104</f>
        <v>785.0</v>
      </c>
      <c r="L105" s="385">
        <f ca="1">L103</f>
        <v>43.373875</v>
      </c>
      <c r="M105" s="387">
        <f t="shared" si="11"/>
        <v>785.0</v>
      </c>
      <c r="N105" s="385">
        <f>SUMPRODUCT(($L$15:$L$24&lt;=M105)*($M$15:$M$24&gt;M105)*($N$15:$N$24+$O$15:$O$24+$P$15:$P$24+$Q$15:$Q$24+$R$15:$R$24))</f>
        <v>0.0</v>
      </c>
      <c r="O105" s="387">
        <f t="shared" si="12"/>
        <v>785.0</v>
      </c>
      <c r="P105" s="385">
        <f t="shared" ca="1" si="13"/>
        <v>43.373875</v>
      </c>
      <c r="Q105" s="387">
        <f t="shared" si="14"/>
        <v>785.0</v>
      </c>
      <c r="R105" s="385">
        <f>SUMPRODUCT(($L$15:$L$24&lt;=Q105)*($M$15:$M$24&gt;Q105)*$S$15:$S$24)</f>
        <v>0.0</v>
      </c>
    </row>
    <row r="106" spans="11:18" x14ac:dyDescent="0.25">
      <c r="K106" s="387">
        <f>K103</f>
        <v>785.0</v>
      </c>
      <c r="L106" s="385">
        <v>0</v>
      </c>
      <c r="M106" s="387">
        <f t="shared" si="11"/>
        <v>785.0</v>
      </c>
      <c r="N106" s="385">
        <v>0</v>
      </c>
      <c r="O106" s="387">
        <f t="shared" si="12"/>
        <v>785.0</v>
      </c>
      <c r="P106" s="385">
        <f t="shared" si="13"/>
        <v>0.0</v>
      </c>
      <c r="Q106" s="387">
        <f t="shared" si="14"/>
        <v>785.0</v>
      </c>
      <c r="R106" s="385">
        <v>0</v>
      </c>
    </row>
    <row r="108" spans="11:18" x14ac:dyDescent="0.25">
      <c r="K108" t="s">
        <v>960</v>
      </c>
    </row>
    <row r="109" spans="11:18" x14ac:dyDescent="0.25">
      <c r="K109" s="384" t="s">
        <v>961</v>
      </c>
      <c r="L109" s="385">
        <f>Geometria!L29-Geometria!L21-Geometria!L22</f>
        <v>785.0</v>
      </c>
      <c r="M109" s="384" t="s">
        <v>35</v>
      </c>
    </row>
    <row r="110" spans="11:18" x14ac:dyDescent="0.25">
      <c r="K110" s="384" t="s">
        <v>962</v>
      </c>
      <c r="L110" s="385">
        <f>$L$5</f>
        <v>785.0</v>
      </c>
      <c r="M110" s="384" t="s">
        <v>35</v>
      </c>
    </row>
    <row r="111" spans="11:18" x14ac:dyDescent="0.25">
      <c r="K111" s="384" t="s">
        <v>963</v>
      </c>
      <c r="L111" s="385">
        <f ca="1">SUM($L$7:$L$11)*($L$5/100)+SUMPRODUCT(((($L$15:$L$24&lt;$L$5)*($L$5-$L$15:$L$24))-(($M$15:$M$24&lt;$L$5)*($L$5-$M$15:$M$24)))/100*($N$15:$N$24+$O$15:$O$24+$P$15:$P$24+$Q$15:$Q$24+$R$15:$R$24))</f>
        <v>340.48491874999996</v>
      </c>
      <c r="M111" s="384" t="s">
        <v>292</v>
      </c>
    </row>
    <row r="112" spans="11:18" x14ac:dyDescent="0.25">
      <c r="K112" s="384" t="s">
        <v>964</v>
      </c>
      <c r="L112" s="385">
        <f ca="1">SUM($L$7:$L$11)*(($L$5/100)^2)/2+SUMPRODUCT(($N$15:$N$24+$O$15:$O$24+$P$15:$P$24+$Q$15:$Q$24+$R$15:$R$24)*((($M$15:$M$24/100)^2)-(($L$15:$L$24/100)^2))/2)</f>
        <v>1336.4033060937497</v>
      </c>
      <c r="M112" s="384" t="s">
        <v>965</v>
      </c>
    </row>
    <row r="113" spans="11:15" x14ac:dyDescent="0.25">
      <c r="K113" s="384" t="s">
        <v>966</v>
      </c>
      <c r="L113" s="385">
        <f ca="1">$L$111+SUMPRODUCT($M$185:$M$194+$N$185:$N$194+$O$185:$O$194+$P$185:$P$194+$Q$185:$Q$194)-$L$114</f>
        <v>170.24245937499998</v>
      </c>
      <c r="M113" s="384" t="s">
        <v>292</v>
      </c>
    </row>
    <row r="114" spans="11:15" x14ac:dyDescent="0.25">
      <c r="K114" s="384" t="s">
        <v>967</v>
      </c>
      <c r="L114" s="385">
        <f ca="1">($L$112-$L$111*Geometria!$L$21/100)/($L$109/100)+SUMPRODUCT(($M$185:$M$194+$N$185:$N$194+$O$185:$O$194+$P$185:$P$194+$Q$185:$Q$194)*(($L$185:$L$194-Geometria!$L$21)/$L$109))</f>
        <v>170.24245937499998</v>
      </c>
      <c r="M114" s="384" t="s">
        <v>292</v>
      </c>
    </row>
    <row r="116" spans="11:15" x14ac:dyDescent="0.25">
      <c r="K116" s="384" t="s">
        <v>968</v>
      </c>
      <c r="L116" s="385" t="s">
        <v>969</v>
      </c>
      <c r="M116" s="384" t="s">
        <v>970</v>
      </c>
      <c r="N116" s="385" t="s">
        <v>971</v>
      </c>
    </row>
    <row r="117" spans="11:15" x14ac:dyDescent="0.25">
      <c r="K117" s="377">
        <f>INDEX($AA$2:$AA$31,MATCH(SMALL($AC$2:$AC$31,1),$AC$2:$AC$31,0))</f>
        <v>0.0</v>
      </c>
      <c r="L117" s="385">
        <f t="shared" ref="L117:L142" ca="1" si="15">SUM($L$7:$L$11)+SUMPRODUCT(($L$15:$L$24&lt;=K117)*($M$15:$M$24&gt;K117)*($N$15:$N$24+$O$15:$O$24+$P$15:$P$24+$Q$15:$Q$24+$R$15:$R$24))</f>
        <v>43.373875</v>
      </c>
      <c r="M117">
        <f ca="1">INDEX($AB$2:$AB$31,MATCH(SMALL($AC$2:$AC$31,1),$AC$2:$AC$31,0))</f>
        <v>-0.0</v>
      </c>
      <c r="N117" s="385">
        <f>0</f>
        <v>0.0</v>
      </c>
      <c r="O117" s="385">
        <f t="shared" ref="O117:O146" si="16">-N117</f>
        <v>-0.0</v>
      </c>
    </row>
    <row r="118" spans="11:15" x14ac:dyDescent="0.25">
      <c r="K118">
        <f>INDEX($AA$2:$AA$31,MATCH(SMALL($AC$2:$AC$31,2),$AC$2:$AC$31,0))</f>
        <v>0.0</v>
      </c>
      <c r="L118" s="385">
        <f t="shared" ca="1" si="15"/>
        <v>43.373875</v>
      </c>
      <c r="M118">
        <f ca="1">INDEX($AB$2:$AB$31,MATCH(SMALL($AC$2:$AC$31,2),$AC$2:$AC$31,0))</f>
        <v>170.24245937499998</v>
      </c>
      <c r="N118" s="385">
        <f t="shared" ref="N118:N146" ca="1" si="17">N117+(M117+M118)/2*(K118-K117)/100</f>
        <v>0.0</v>
      </c>
      <c r="O118" s="385">
        <f t="shared" ca="1" si="16"/>
        <v>-0.0</v>
      </c>
    </row>
    <row r="119" spans="11:15" x14ac:dyDescent="0.25">
      <c r="K119" s="377">
        <f>INDEX($AA$2:$AA$31,MATCH(SMALL($AC$2:$AC$31,3),$AC$2:$AC$31,0))</f>
        <v>0.0</v>
      </c>
      <c r="L119" s="385">
        <f t="shared" ca="1" si="15"/>
        <v>43.373875</v>
      </c>
      <c r="M119">
        <f ca="1">INDEX($AB$2:$AB$31,MATCH(SMALL($AC$2:$AC$31,3),$AC$2:$AC$31,0))</f>
        <v>170.24245937499998</v>
      </c>
      <c r="N119" s="385">
        <f t="shared" ca="1" si="17"/>
        <v>0.0</v>
      </c>
      <c r="O119" s="385">
        <f t="shared" ca="1" si="16"/>
        <v>-0.0</v>
      </c>
    </row>
    <row r="120" spans="11:15" x14ac:dyDescent="0.25">
      <c r="K120">
        <f>INDEX($AA$2:$AA$31,MATCH(SMALL($AC$2:$AC$31,4),$AC$2:$AC$31,0))</f>
        <v>31.4</v>
      </c>
      <c r="L120" s="385">
        <f t="shared" ca="1" si="15"/>
        <v>43.373875</v>
      </c>
      <c r="M120">
        <f ca="1">INDEX($AB$2:$AB$31,MATCH(SMALL($AC$2:$AC$31,4),$AC$2:$AC$31,0))</f>
        <v>156.623062625</v>
      </c>
      <c r="N120" s="385">
        <f t="shared" ca="1" si="17"/>
        <v>51.31788695399999</v>
      </c>
      <c r="O120" s="385">
        <f t="shared" ca="1" si="16"/>
        <v>-51.31788695399999</v>
      </c>
    </row>
    <row r="121" spans="11:15" x14ac:dyDescent="0.25">
      <c r="K121">
        <f>INDEX($AA$2:$AA$31,MATCH(SMALL($AC$2:$AC$31,5),$AC$2:$AC$31,0))</f>
        <v>62.8</v>
      </c>
      <c r="L121" s="385">
        <f t="shared" ca="1" si="15"/>
        <v>43.373875</v>
      </c>
      <c r="M121">
        <f ca="1">INDEX($AB$2:$AB$31,MATCH(SMALL($AC$2:$AC$31,5),$AC$2:$AC$31,0))</f>
        <v>143.00366587499997</v>
      </c>
      <c r="N121" s="385">
        <f t="shared" ca="1" si="17"/>
        <v>98.35928332849997</v>
      </c>
      <c r="O121" s="385">
        <f t="shared" ca="1" si="16"/>
        <v>-98.35928332849997</v>
      </c>
    </row>
    <row r="122" spans="11:15" x14ac:dyDescent="0.25">
      <c r="K122">
        <f>INDEX($AA$2:$AA$31,MATCH(SMALL($AC$2:$AC$31,6),$AC$2:$AC$31,0))</f>
        <v>94.19999999999999</v>
      </c>
      <c r="L122" s="385">
        <f t="shared" ca="1" si="15"/>
        <v>43.373875</v>
      </c>
      <c r="M122">
        <f ca="1">INDEX($AB$2:$AB$31,MATCH(SMALL($AC$2:$AC$31,6),$AC$2:$AC$31,0))</f>
        <v>129.384269125</v>
      </c>
      <c r="N122" s="385">
        <f t="shared" ca="1" si="17"/>
        <v>141.12418912349995</v>
      </c>
      <c r="O122" s="385">
        <f t="shared" ca="1" si="16"/>
        <v>-141.12418912349995</v>
      </c>
    </row>
    <row r="123" spans="11:15" x14ac:dyDescent="0.25">
      <c r="K123">
        <f>INDEX($AA$2:$AA$31,MATCH(SMALL($AC$2:$AC$31,7),$AC$2:$AC$31,0))</f>
        <v>125.6</v>
      </c>
      <c r="L123" s="385">
        <f t="shared" ca="1" si="15"/>
        <v>43.373875</v>
      </c>
      <c r="M123">
        <f ca="1">INDEX($AB$2:$AB$31,MATCH(SMALL($AC$2:$AC$31,7),$AC$2:$AC$31,0))</f>
        <v>115.76487237499998</v>
      </c>
      <c r="N123" s="385">
        <f t="shared" ca="1" si="17"/>
        <v>179.61260433899994</v>
      </c>
      <c r="O123" s="385">
        <f t="shared" ca="1" si="16"/>
        <v>-179.61260433899994</v>
      </c>
    </row>
    <row r="124" spans="11:15" x14ac:dyDescent="0.25">
      <c r="K124">
        <f>INDEX($AA$2:$AA$31,MATCH(SMALL($AC$2:$AC$31,8),$AC$2:$AC$31,0))</f>
        <v>157.0</v>
      </c>
      <c r="L124" s="385">
        <f t="shared" ca="1" si="15"/>
        <v>43.373875</v>
      </c>
      <c r="M124">
        <f ca="1">INDEX($AB$2:$AB$31,MATCH(SMALL($AC$2:$AC$31,8),$AC$2:$AC$31,0))</f>
        <v>102.14547562499997</v>
      </c>
      <c r="N124" s="385">
        <f t="shared" ca="1" si="17"/>
        <v>213.82452897499994</v>
      </c>
      <c r="O124" s="385">
        <f t="shared" ca="1" si="16"/>
        <v>-213.82452897499994</v>
      </c>
    </row>
    <row r="125" spans="11:15" x14ac:dyDescent="0.25">
      <c r="K125">
        <f>INDEX($AA$2:$AA$31,MATCH(SMALL($AC$2:$AC$31,9),$AC$2:$AC$31,0))</f>
        <v>188.39999999999998</v>
      </c>
      <c r="L125" s="385">
        <f t="shared" ca="1" si="15"/>
        <v>43.373875</v>
      </c>
      <c r="M125">
        <f ca="1">INDEX($AB$2:$AB$31,MATCH(SMALL($AC$2:$AC$31,9),$AC$2:$AC$31,0))</f>
        <v>88.526078875</v>
      </c>
      <c r="N125" s="385">
        <f t="shared" ca="1" si="17"/>
        <v>243.75996303149992</v>
      </c>
      <c r="O125" s="385">
        <f t="shared" ca="1" si="16"/>
        <v>-243.75996303149992</v>
      </c>
    </row>
    <row r="126" spans="11:15" x14ac:dyDescent="0.25">
      <c r="K126">
        <f>INDEX($AA$2:$AA$31,MATCH(SMALL($AC$2:$AC$31,10),$AC$2:$AC$31,0))</f>
        <v>219.79999999999998</v>
      </c>
      <c r="L126" s="385">
        <f t="shared" ca="1" si="15"/>
        <v>43.373875</v>
      </c>
      <c r="M126">
        <f ca="1">INDEX($AB$2:$AB$31,MATCH(SMALL($AC$2:$AC$31,10),$AC$2:$AC$31,0))</f>
        <v>74.90668212499999</v>
      </c>
      <c r="N126" s="385">
        <f t="shared" ca="1" si="17"/>
        <v>269.4189065084999</v>
      </c>
      <c r="O126" s="385">
        <f t="shared" ca="1" si="16"/>
        <v>-269.4189065084999</v>
      </c>
    </row>
    <row r="127" spans="11:15" x14ac:dyDescent="0.25">
      <c r="K127">
        <f>INDEX($AA$2:$AA$31,MATCH(SMALL($AC$2:$AC$31,11),$AC$2:$AC$31,0))</f>
        <v>251.2</v>
      </c>
      <c r="L127" s="385">
        <f t="shared" ca="1" si="15"/>
        <v>43.373875</v>
      </c>
      <c r="M127">
        <f ca="1">INDEX($AB$2:$AB$31,MATCH(SMALL($AC$2:$AC$31,11),$AC$2:$AC$31,0))</f>
        <v>61.28728537499998</v>
      </c>
      <c r="N127" s="385">
        <f t="shared" ca="1" si="17"/>
        <v>290.8013594059999</v>
      </c>
      <c r="O127" s="385">
        <f t="shared" ca="1" si="16"/>
        <v>-290.8013594059999</v>
      </c>
    </row>
    <row r="128" spans="11:15" x14ac:dyDescent="0.25">
      <c r="K128">
        <f>INDEX($AA$2:$AA$31,MATCH(SMALL($AC$2:$AC$31,12),$AC$2:$AC$31,0))</f>
        <v>282.59999999999997</v>
      </c>
      <c r="L128" s="385">
        <f t="shared" ca="1" si="15"/>
        <v>43.373875</v>
      </c>
      <c r="M128">
        <f ca="1">INDEX($AB$2:$AB$31,MATCH(SMALL($AC$2:$AC$31,12),$AC$2:$AC$31,0))</f>
        <v>47.667888625</v>
      </c>
      <c r="N128" s="385">
        <f t="shared" ca="1" si="17"/>
        <v>307.90732172399987</v>
      </c>
      <c r="O128" s="385">
        <f t="shared" ca="1" si="16"/>
        <v>-307.90732172399987</v>
      </c>
    </row>
    <row r="129" spans="11:15" x14ac:dyDescent="0.25">
      <c r="K129">
        <f>INDEX($AA$2:$AA$31,MATCH(SMALL($AC$2:$AC$31,13),$AC$2:$AC$31,0))</f>
        <v>314.0</v>
      </c>
      <c r="L129" s="385">
        <f t="shared" ca="1" si="15"/>
        <v>43.373875</v>
      </c>
      <c r="M129">
        <f ca="1">INDEX($AB$2:$AB$31,MATCH(SMALL($AC$2:$AC$31,13),$AC$2:$AC$31,0))</f>
        <v>34.04849187499997</v>
      </c>
      <c r="N129" s="385">
        <f t="shared" ca="1" si="17"/>
        <v>320.73679346249986</v>
      </c>
      <c r="O129" s="385">
        <f t="shared" ca="1" si="16"/>
        <v>-320.73679346249986</v>
      </c>
    </row>
    <row r="130" spans="11:15" x14ac:dyDescent="0.25">
      <c r="K130">
        <f>INDEX($AA$2:$AA$31,MATCH(SMALL($AC$2:$AC$31,14),$AC$2:$AC$31,0))</f>
        <v>345.4</v>
      </c>
      <c r="L130" s="385">
        <f t="shared" ca="1" si="15"/>
        <v>43.373875</v>
      </c>
      <c r="M130">
        <f ca="1">INDEX($AB$2:$AB$31,MATCH(SMALL($AC$2:$AC$31,14),$AC$2:$AC$31,0))</f>
        <v>20.429095125000003</v>
      </c>
      <c r="N130" s="385">
        <f t="shared" ca="1" si="17"/>
        <v>329.2897746214999</v>
      </c>
      <c r="O130" s="385">
        <f t="shared" ca="1" si="16"/>
        <v>-329.2897746214999</v>
      </c>
    </row>
    <row r="131" spans="11:15" x14ac:dyDescent="0.25">
      <c r="K131">
        <f>INDEX($AA$2:$AA$31,MATCH(SMALL($AC$2:$AC$31,15),$AC$2:$AC$31,0))</f>
        <v>376.79999999999995</v>
      </c>
      <c r="L131" s="385">
        <f t="shared" ca="1" si="15"/>
        <v>43.373875</v>
      </c>
      <c r="M131">
        <f ca="1">INDEX($AB$2:$AB$31,MATCH(SMALL($AC$2:$AC$31,15),$AC$2:$AC$31,0))</f>
        <v>6.809698375000011</v>
      </c>
      <c r="N131" s="385">
        <f t="shared" ca="1" si="17"/>
        <v>333.56626520099985</v>
      </c>
      <c r="O131" s="385">
        <f t="shared" ca="1" si="16"/>
        <v>-333.56626520099985</v>
      </c>
    </row>
    <row r="132" spans="11:15" x14ac:dyDescent="0.25">
      <c r="K132">
        <f>INDEX($AA$2:$AA$31,MATCH(SMALL($AC$2:$AC$31,16),$AC$2:$AC$31,0))</f>
        <v>408.2</v>
      </c>
      <c r="L132" s="385">
        <f t="shared" ca="1" si="15"/>
        <v>43.373875</v>
      </c>
      <c r="M132">
        <f ca="1">INDEX($AB$2:$AB$31,MATCH(SMALL($AC$2:$AC$31,16),$AC$2:$AC$31,0))</f>
        <v>-6.809698375000011</v>
      </c>
      <c r="N132" s="385">
        <f t="shared" ca="1" si="17"/>
        <v>333.56626520099985</v>
      </c>
      <c r="O132" s="385">
        <f t="shared" ca="1" si="16"/>
        <v>-333.56626520099985</v>
      </c>
    </row>
    <row r="133" spans="11:15" x14ac:dyDescent="0.25">
      <c r="K133">
        <f>INDEX($AA$2:$AA$31,MATCH(SMALL($AC$2:$AC$31,17),$AC$2:$AC$31,0))</f>
        <v>439.59999999999997</v>
      </c>
      <c r="L133" s="385">
        <f t="shared" ca="1" si="15"/>
        <v>43.373875</v>
      </c>
      <c r="M133">
        <f ca="1">INDEX($AB$2:$AB$31,MATCH(SMALL($AC$2:$AC$31,17),$AC$2:$AC$31,0))</f>
        <v>-20.429095125000003</v>
      </c>
      <c r="N133" s="385">
        <f t="shared" ca="1" si="17"/>
        <v>329.2897746214999</v>
      </c>
      <c r="O133" s="385">
        <f t="shared" ca="1" si="16"/>
        <v>-329.2897746214999</v>
      </c>
    </row>
    <row r="134" spans="11:15" x14ac:dyDescent="0.25">
      <c r="K134">
        <f>INDEX($AA$2:$AA$31,MATCH(SMALL($AC$2:$AC$31,18),$AC$2:$AC$31,0))</f>
        <v>471.0</v>
      </c>
      <c r="L134" s="385">
        <f t="shared" ca="1" si="15"/>
        <v>43.373875</v>
      </c>
      <c r="M134">
        <f ca="1">INDEX($AB$2:$AB$31,MATCH(SMALL($AC$2:$AC$31,18),$AC$2:$AC$31,0))</f>
        <v>-34.048491874999996</v>
      </c>
      <c r="N134" s="385">
        <f t="shared" ca="1" si="17"/>
        <v>320.73679346249986</v>
      </c>
      <c r="O134" s="385">
        <f t="shared" ca="1" si="16"/>
        <v>-320.73679346249986</v>
      </c>
    </row>
    <row r="135" spans="11:15" x14ac:dyDescent="0.25">
      <c r="K135">
        <f>INDEX($AA$2:$AA$31,MATCH(SMALL($AC$2:$AC$31,19),$AC$2:$AC$31,0))</f>
        <v>502.4</v>
      </c>
      <c r="L135" s="385">
        <f t="shared" ca="1" si="15"/>
        <v>43.373875</v>
      </c>
      <c r="M135">
        <f ca="1">INDEX($AB$2:$AB$31,MATCH(SMALL($AC$2:$AC$31,19),$AC$2:$AC$31,0))</f>
        <v>-47.66788862500002</v>
      </c>
      <c r="N135" s="385">
        <f t="shared" ca="1" si="17"/>
        <v>307.90732172399987</v>
      </c>
      <c r="O135" s="385">
        <f t="shared" ca="1" si="16"/>
        <v>-307.90732172399987</v>
      </c>
    </row>
    <row r="136" spans="11:15" x14ac:dyDescent="0.25">
      <c r="K136">
        <f>INDEX($AA$2:$AA$31,MATCH(SMALL($AC$2:$AC$31,20),$AC$2:$AC$31,0))</f>
        <v>533.8</v>
      </c>
      <c r="L136" s="385">
        <f t="shared" ca="1" si="15"/>
        <v>43.373875</v>
      </c>
      <c r="M136">
        <f ca="1">INDEX($AB$2:$AB$31,MATCH(SMALL($AC$2:$AC$31,20),$AC$2:$AC$31,0))</f>
        <v>-61.28728537499998</v>
      </c>
      <c r="N136" s="385">
        <f t="shared" ca="1" si="17"/>
        <v>290.8013594059999</v>
      </c>
      <c r="O136" s="385">
        <f t="shared" ca="1" si="16"/>
        <v>-290.8013594059999</v>
      </c>
    </row>
    <row r="137" spans="11:15" x14ac:dyDescent="0.25">
      <c r="K137">
        <f>INDEX($AA$2:$AA$31,MATCH(SMALL($AC$2:$AC$31,21),$AC$2:$AC$31,0))</f>
        <v>565.1999999999999</v>
      </c>
      <c r="L137" s="385">
        <f t="shared" ca="1" si="15"/>
        <v>43.373875</v>
      </c>
      <c r="M137">
        <f ca="1">INDEX($AB$2:$AB$31,MATCH(SMALL($AC$2:$AC$31,21),$AC$2:$AC$31,0))</f>
        <v>-74.90668212499997</v>
      </c>
      <c r="N137" s="385">
        <f t="shared" ca="1" si="17"/>
        <v>269.4189065084999</v>
      </c>
      <c r="O137" s="385">
        <f t="shared" ca="1" si="16"/>
        <v>-269.4189065084999</v>
      </c>
    </row>
    <row r="138" spans="11:15" x14ac:dyDescent="0.25">
      <c r="K138">
        <f>INDEX($AA$2:$AA$31,MATCH(SMALL($AC$2:$AC$31,22),$AC$2:$AC$31,0))</f>
        <v>596.6</v>
      </c>
      <c r="L138" s="385">
        <f t="shared" ca="1" si="15"/>
        <v>43.373875</v>
      </c>
      <c r="M138">
        <f ca="1">INDEX($AB$2:$AB$31,MATCH(SMALL($AC$2:$AC$31,22),$AC$2:$AC$31,0))</f>
        <v>-88.52607887500002</v>
      </c>
      <c r="N138" s="385">
        <f t="shared" ca="1" si="17"/>
        <v>243.75996303149984</v>
      </c>
      <c r="O138" s="385">
        <f t="shared" ca="1" si="16"/>
        <v>-243.75996303149984</v>
      </c>
    </row>
    <row r="139" spans="11:15" x14ac:dyDescent="0.25">
      <c r="K139">
        <f>INDEX($AA$2:$AA$31,MATCH(SMALL($AC$2:$AC$31,23),$AC$2:$AC$31,0))</f>
        <v>628.0</v>
      </c>
      <c r="L139" s="385">
        <f t="shared" ca="1" si="15"/>
        <v>43.373875</v>
      </c>
      <c r="M139">
        <f ca="1">INDEX($AB$2:$AB$31,MATCH(SMALL($AC$2:$AC$31,23),$AC$2:$AC$31,0))</f>
        <v>-102.14547562500005</v>
      </c>
      <c r="N139" s="385">
        <f t="shared" ca="1" si="17"/>
        <v>213.82452897499985</v>
      </c>
      <c r="O139" s="385">
        <f t="shared" ca="1" si="16"/>
        <v>-213.82452897499985</v>
      </c>
    </row>
    <row r="140" spans="11:15" x14ac:dyDescent="0.25">
      <c r="K140">
        <f>INDEX($AA$2:$AA$31,MATCH(SMALL($AC$2:$AC$31,24),$AC$2:$AC$31,0))</f>
        <v>659.4</v>
      </c>
      <c r="L140" s="385">
        <f t="shared" ca="1" si="15"/>
        <v>43.373875</v>
      </c>
      <c r="M140">
        <f ca="1">INDEX($AB$2:$AB$31,MATCH(SMALL($AC$2:$AC$31,24),$AC$2:$AC$31,0))</f>
        <v>-115.76487237499995</v>
      </c>
      <c r="N140" s="385">
        <f t="shared" ca="1" si="17"/>
        <v>179.61260433899986</v>
      </c>
      <c r="O140" s="385">
        <f t="shared" ca="1" si="16"/>
        <v>-179.61260433899986</v>
      </c>
    </row>
    <row r="141" spans="11:15" x14ac:dyDescent="0.25">
      <c r="K141">
        <f>INDEX($AA$2:$AA$31,MATCH(SMALL($AC$2:$AC$31,25),$AC$2:$AC$31,0))</f>
        <v>690.8</v>
      </c>
      <c r="L141" s="385">
        <f t="shared" ca="1" si="15"/>
        <v>43.373875</v>
      </c>
      <c r="M141">
        <f ca="1">INDEX($AB$2:$AB$31,MATCH(SMALL($AC$2:$AC$31,25),$AC$2:$AC$31,0))</f>
        <v>-129.38426912499997</v>
      </c>
      <c r="N141" s="385">
        <f t="shared" ca="1" si="17"/>
        <v>141.1241891234999</v>
      </c>
      <c r="O141" s="385">
        <f t="shared" ca="1" si="16"/>
        <v>-141.1241891234999</v>
      </c>
    </row>
    <row r="142" spans="11:15" x14ac:dyDescent="0.25">
      <c r="K142">
        <f>INDEX($AA$2:$AA$31,MATCH(SMALL($AC$2:$AC$31,26),$AC$2:$AC$31,0))</f>
        <v>722.1999999999999</v>
      </c>
      <c r="L142" s="385">
        <f t="shared" ca="1" si="15"/>
        <v>43.373875</v>
      </c>
      <c r="M142">
        <f ca="1">INDEX($AB$2:$AB$31,MATCH(SMALL($AC$2:$AC$31,26),$AC$2:$AC$31,0))</f>
        <v>-143.003665875</v>
      </c>
      <c r="N142" s="385">
        <f t="shared" ca="1" si="17"/>
        <v>98.35928332849991</v>
      </c>
      <c r="O142" s="385">
        <f t="shared" ca="1" si="16"/>
        <v>-98.35928332849991</v>
      </c>
    </row>
    <row r="143" spans="11:15" x14ac:dyDescent="0.25">
      <c r="K143">
        <f>INDEX($AA$2:$AA$31,MATCH(SMALL($AC$2:$AC$31,27),$AC$2:$AC$31,0))</f>
        <v>753.5999999999999</v>
      </c>
      <c r="L143" s="385">
        <f ca="1">L142</f>
        <v>43.373875</v>
      </c>
      <c r="M143">
        <f ca="1">INDEX($AB$2:$AB$31,MATCH(SMALL($AC$2:$AC$31,27),$AC$2:$AC$31,0))</f>
        <v>-156.62306262499996</v>
      </c>
      <c r="N143" s="385">
        <f t="shared" ca="1" si="17"/>
        <v>51.31788695399996</v>
      </c>
      <c r="O143" s="385">
        <f t="shared" ca="1" si="16"/>
        <v>-51.31788695399996</v>
      </c>
    </row>
    <row r="144" spans="11:15" x14ac:dyDescent="0.25">
      <c r="K144">
        <f>INDEX($AA$2:$AA$31,MATCH(SMALL($AC$2:$AC$31,28),$AC$2:$AC$31,0))</f>
        <v>785.0</v>
      </c>
      <c r="L144" s="385">
        <f ca="1">SUM($L$7:$L$11)+SUMPRODUCT(($L$15:$L$24&lt;=K144)*($M$15:$M$24&gt;K144)*($N$15:$N$24+$O$15:$O$24+$P$15:$P$24+$Q$15:$Q$24+$R$15:$R$24))</f>
        <v>43.373875</v>
      </c>
      <c r="M144">
        <f ca="1">INDEX($AB$2:$AB$31,MATCH(SMALL($AC$2:$AC$31,28),$AC$2:$AC$31,0))</f>
        <v>-170.24245937499998</v>
      </c>
      <c r="N144" s="385">
        <f t="shared" ca="1" si="17"/>
        <v>-1.8474111129762605e-13</v>
      </c>
      <c r="O144" s="385">
        <f t="shared" ca="1" si="16"/>
        <v>1.8474111129762605e-13</v>
      </c>
    </row>
    <row r="145" spans="11:15" x14ac:dyDescent="0.25">
      <c r="K145">
        <f>INDEX($AA$2:$AA$31,MATCH(SMALL($AC$2:$AC$31,29),$AC$2:$AC$31,0))</f>
        <v>785.0</v>
      </c>
      <c r="M145">
        <f ca="1">INDEX($AB$2:$AB$31,MATCH(SMALL($AC$2:$AC$31,29),$AC$2:$AC$31,0))</f>
        <v>-170.24245937499998</v>
      </c>
      <c r="N145">
        <f t="shared" ca="1" si="17"/>
        <v>-1.8474111129762605e-13</v>
      </c>
      <c r="O145">
        <f t="shared" ca="1" si="16"/>
        <v>1.8474111129762605e-13</v>
      </c>
    </row>
    <row r="146" spans="11:15" x14ac:dyDescent="0.25">
      <c r="K146">
        <f>INDEX($AA$2:$AA$31,MATCH(SMALL($AC$2:$AC$31,30),$AC$2:$AC$31,0))</f>
        <v>785.0</v>
      </c>
      <c r="M146">
        <f ca="1">INDEX($AB$2:$AB$31,MATCH(SMALL($AC$2:$AC$31,30),$AC$2:$AC$31,0))</f>
        <v>0.0</v>
      </c>
      <c r="N146">
        <f t="shared" ca="1" si="17"/>
        <v>-1.8474111129762605e-13</v>
      </c>
      <c r="O146">
        <f t="shared" ca="1" si="16"/>
        <v>1.8474111129762605e-13</v>
      </c>
    </row>
    <row r="147" spans="11:15" x14ac:dyDescent="0.25">
      <c r="K147" s="384" t="s">
        <v>972</v>
      </c>
      <c r="L147" s="385">
        <f>$L$12*($L$5/100)+SUMPRODUCT(((($L$15:$L$24&lt;$L$5)*($L$5-$L$15:$L$24))-(($M$15:$M$24&lt;$L$5)*($L$5-$M$15:$M$24)))/100*$S$15:$S$24)</f>
        <v>1145.609375</v>
      </c>
      <c r="M147" s="384" t="s">
        <v>292</v>
      </c>
    </row>
    <row r="148" spans="11:15" x14ac:dyDescent="0.25">
      <c r="K148" s="384" t="s">
        <v>973</v>
      </c>
      <c r="L148" s="385">
        <f>$L$12*(($L$5/100)^2)/2+SUMPRODUCT($S$15:$S$24*((($M$15:$M$24/100)^2)-(($L$15:$L$24/100)^2))/2)</f>
        <v>4496.516796874999</v>
      </c>
      <c r="M148" s="384" t="s">
        <v>965</v>
      </c>
    </row>
    <row r="149" spans="11:15" x14ac:dyDescent="0.25">
      <c r="K149" s="384" t="s">
        <v>974</v>
      </c>
      <c r="L149" s="385">
        <f>$L$147+SUMPRODUCT($R$185:$R$194)-$L$150</f>
        <v>572.8046875000001</v>
      </c>
      <c r="M149" s="384" t="s">
        <v>292</v>
      </c>
    </row>
    <row r="150" spans="11:15" x14ac:dyDescent="0.25">
      <c r="K150" s="384" t="s">
        <v>975</v>
      </c>
      <c r="L150" s="385">
        <f>($L$148-$L$147*Geometria!$L$21/100)/($L$109/100)+SUMPRODUCT($R$185:$R$194*(($L$185:$L$194-Geometria!$L$21)/$L$109))</f>
        <v>572.8046874999999</v>
      </c>
      <c r="M150" s="384" t="s">
        <v>292</v>
      </c>
    </row>
    <row r="152" spans="11:15" x14ac:dyDescent="0.25">
      <c r="K152" s="384" t="s">
        <v>968</v>
      </c>
      <c r="L152" s="385" t="s">
        <v>976</v>
      </c>
      <c r="M152" s="384" t="s">
        <v>977</v>
      </c>
      <c r="N152" s="385" t="s">
        <v>978</v>
      </c>
      <c r="O152" s="385" t="s">
        <v>979</v>
      </c>
    </row>
    <row r="153" spans="11:15" x14ac:dyDescent="0.25">
      <c r="K153" s="377">
        <f>INDEX($AD$2:$AD$31,MATCH(SMALL($AF$2:$AF$31,1),$AF$2:$AF$31,0))</f>
        <v>0.0</v>
      </c>
      <c r="L153" s="385">
        <f t="shared" ref="L153:L178" si="18">SUMPRODUCT(($L$15:$L$24&lt;=K153)*($M$15:$M$24&gt;K153)*$S$15:$S$24)+$L$12</f>
        <v>145.9375</v>
      </c>
      <c r="M153">
        <f>INDEX($AE$2:$AE$31,MATCH(SMALL($AF$2:$AF$31,1),$AF$2:$AF$31,0))</f>
        <v>-0.0</v>
      </c>
      <c r="N153" s="385">
        <f>0</f>
        <v>0.0</v>
      </c>
      <c r="O153" s="385">
        <f t="shared" ref="O153:O182" si="19">-N153</f>
        <v>-0.0</v>
      </c>
    </row>
    <row r="154" spans="11:15" x14ac:dyDescent="0.25">
      <c r="K154">
        <f>INDEX($AD$2:$AD$31,MATCH(SMALL($AF$2:$AF$31,2),$AF$2:$AF$31,0))</f>
        <v>0.0</v>
      </c>
      <c r="L154" s="385">
        <f t="shared" si="18"/>
        <v>145.9375</v>
      </c>
      <c r="M154">
        <f>INDEX($AE$2:$AE$31,MATCH(SMALL($AF$2:$AF$31,2),$AF$2:$AF$31,0))</f>
        <v>572.8046875000001</v>
      </c>
      <c r="N154" s="385">
        <f t="shared" ref="N154:N182" si="20">N153+(M153+M154)/2*(K154-K153)/100</f>
        <v>0.0</v>
      </c>
      <c r="O154" s="385">
        <f t="shared" si="19"/>
        <v>-0.0</v>
      </c>
    </row>
    <row r="155" spans="11:15" x14ac:dyDescent="0.25">
      <c r="K155" s="377">
        <f>INDEX($AD$2:$AD$31,MATCH(SMALL($AF$2:$AF$31,3),$AF$2:$AF$31,0))</f>
        <v>0.0</v>
      </c>
      <c r="L155" s="385">
        <f t="shared" si="18"/>
        <v>145.9375</v>
      </c>
      <c r="M155">
        <f>INDEX($AE$2:$AE$31,MATCH(SMALL($AF$2:$AF$31,3),$AF$2:$AF$31,0))</f>
        <v>572.8046875000001</v>
      </c>
      <c r="N155" s="385">
        <f t="shared" si="20"/>
        <v>0.0</v>
      </c>
      <c r="O155" s="385">
        <f t="shared" si="19"/>
        <v>-0.0</v>
      </c>
    </row>
    <row r="156" spans="11:15" x14ac:dyDescent="0.25">
      <c r="K156">
        <f>INDEX($AD$2:$AD$31,MATCH(SMALL($AF$2:$AF$31,4),$AF$2:$AF$31,0))</f>
        <v>31.4</v>
      </c>
      <c r="L156" s="385">
        <f t="shared" si="18"/>
        <v>145.9375</v>
      </c>
      <c r="M156">
        <f>INDEX($AE$2:$AE$31,MATCH(SMALL($AF$2:$AF$31,4),$AF$2:$AF$31,0))</f>
        <v>526.9803125000001</v>
      </c>
      <c r="N156" s="385">
        <f t="shared" si="20"/>
        <v>172.66624500000006</v>
      </c>
      <c r="O156" s="385">
        <f t="shared" si="19"/>
        <v>-172.66624500000006</v>
      </c>
    </row>
    <row r="157" spans="11:15" x14ac:dyDescent="0.25">
      <c r="K157">
        <f>INDEX($AD$2:$AD$31,MATCH(SMALL($AF$2:$AF$31,5),$AF$2:$AF$31,0))</f>
        <v>62.8</v>
      </c>
      <c r="L157" s="385">
        <f t="shared" si="18"/>
        <v>145.9375</v>
      </c>
      <c r="M157">
        <f>INDEX($AE$2:$AE$31,MATCH(SMALL($AF$2:$AF$31,5),$AF$2:$AF$31,0))</f>
        <v>481.1559375000001</v>
      </c>
      <c r="N157" s="385">
        <f t="shared" si="20"/>
        <v>330.9436362500001</v>
      </c>
      <c r="O157" s="385">
        <f t="shared" si="19"/>
        <v>-330.9436362500001</v>
      </c>
    </row>
    <row r="158" spans="11:15" x14ac:dyDescent="0.25">
      <c r="K158">
        <f>INDEX($AD$2:$AD$31,MATCH(SMALL($AF$2:$AF$31,6),$AF$2:$AF$31,0))</f>
        <v>94.19999999999999</v>
      </c>
      <c r="L158" s="385">
        <f t="shared" si="18"/>
        <v>145.9375</v>
      </c>
      <c r="M158">
        <f>INDEX($AE$2:$AE$31,MATCH(SMALL($AF$2:$AF$31,6),$AF$2:$AF$31,0))</f>
        <v>435.33156250000013</v>
      </c>
      <c r="N158" s="385">
        <f t="shared" si="20"/>
        <v>474.8321737500001</v>
      </c>
      <c r="O158" s="385">
        <f t="shared" si="19"/>
        <v>-474.8321737500001</v>
      </c>
    </row>
    <row r="159" spans="11:15" x14ac:dyDescent="0.25">
      <c r="K159">
        <f>INDEX($AD$2:$AD$31,MATCH(SMALL($AF$2:$AF$31,7),$AF$2:$AF$31,0))</f>
        <v>125.6</v>
      </c>
      <c r="L159" s="385">
        <f t="shared" si="18"/>
        <v>145.9375</v>
      </c>
      <c r="M159">
        <f>INDEX($AE$2:$AE$31,MATCH(SMALL($AF$2:$AF$31,7),$AF$2:$AF$31,0))</f>
        <v>389.5071875000001</v>
      </c>
      <c r="N159" s="385">
        <f t="shared" si="20"/>
        <v>604.3318575000002</v>
      </c>
      <c r="O159" s="385">
        <f t="shared" si="19"/>
        <v>-604.3318575000002</v>
      </c>
    </row>
    <row r="160" spans="11:15" x14ac:dyDescent="0.25">
      <c r="K160">
        <f>INDEX($AD$2:$AD$31,MATCH(SMALL($AF$2:$AF$31,8),$AF$2:$AF$31,0))</f>
        <v>157.0</v>
      </c>
      <c r="L160" s="385">
        <f t="shared" si="18"/>
        <v>145.9375</v>
      </c>
      <c r="M160">
        <f>INDEX($AE$2:$AE$31,MATCH(SMALL($AF$2:$AF$31,8),$AF$2:$AF$31,0))</f>
        <v>343.68281250000007</v>
      </c>
      <c r="N160" s="385">
        <f t="shared" si="20"/>
        <v>719.4426875000003</v>
      </c>
      <c r="O160" s="385">
        <f t="shared" si="19"/>
        <v>-719.4426875000003</v>
      </c>
    </row>
    <row r="161" spans="11:15" x14ac:dyDescent="0.25">
      <c r="K161">
        <f>INDEX($AD$2:$AD$31,MATCH(SMALL($AF$2:$AF$31,9),$AF$2:$AF$31,0))</f>
        <v>188.39999999999998</v>
      </c>
      <c r="L161" s="385">
        <f t="shared" si="18"/>
        <v>145.9375</v>
      </c>
      <c r="M161">
        <f>INDEX($AE$2:$AE$31,MATCH(SMALL($AF$2:$AF$31,9),$AF$2:$AF$31,0))</f>
        <v>297.85843750000015</v>
      </c>
      <c r="N161" s="385">
        <f t="shared" si="20"/>
        <v>820.1646637500003</v>
      </c>
      <c r="O161" s="385">
        <f t="shared" si="19"/>
        <v>-820.1646637500003</v>
      </c>
    </row>
    <row r="162" spans="11:15" x14ac:dyDescent="0.25">
      <c r="K162">
        <f>INDEX($AD$2:$AD$31,MATCH(SMALL($AF$2:$AF$31,10),$AF$2:$AF$31,0))</f>
        <v>219.79999999999998</v>
      </c>
      <c r="L162" s="385">
        <f t="shared" si="18"/>
        <v>145.9375</v>
      </c>
      <c r="M162">
        <f>INDEX($AE$2:$AE$31,MATCH(SMALL($AF$2:$AF$31,10),$AF$2:$AF$31,0))</f>
        <v>252.03406250000012</v>
      </c>
      <c r="N162" s="385">
        <f t="shared" si="20"/>
        <v>906.4977862500003</v>
      </c>
      <c r="O162" s="385">
        <f t="shared" si="19"/>
        <v>-906.4977862500003</v>
      </c>
    </row>
    <row r="163" spans="11:15" x14ac:dyDescent="0.25">
      <c r="K163">
        <f>INDEX($AD$2:$AD$31,MATCH(SMALL($AF$2:$AF$31,11),$AF$2:$AF$31,0))</f>
        <v>251.2</v>
      </c>
      <c r="L163" s="385">
        <f t="shared" si="18"/>
        <v>145.9375</v>
      </c>
      <c r="M163">
        <f>INDEX($AE$2:$AE$31,MATCH(SMALL($AF$2:$AF$31,11),$AF$2:$AF$31,0))</f>
        <v>206.2096875000001</v>
      </c>
      <c r="N163" s="385">
        <f t="shared" si="20"/>
        <v>978.4420550000004</v>
      </c>
      <c r="O163" s="385">
        <f t="shared" si="19"/>
        <v>-978.4420550000004</v>
      </c>
    </row>
    <row r="164" spans="11:15" x14ac:dyDescent="0.25">
      <c r="K164">
        <f>INDEX($AD$2:$AD$31,MATCH(SMALL($AF$2:$AF$31,12),$AF$2:$AF$31,0))</f>
        <v>282.59999999999997</v>
      </c>
      <c r="L164" s="385">
        <f t="shared" si="18"/>
        <v>145.9375</v>
      </c>
      <c r="M164">
        <f>INDEX($AE$2:$AE$31,MATCH(SMALL($AF$2:$AF$31,12),$AF$2:$AF$31,0))</f>
        <v>160.38531250000017</v>
      </c>
      <c r="N164" s="385">
        <f t="shared" si="20"/>
        <v>1035.9974700000005</v>
      </c>
      <c r="O164" s="385">
        <f t="shared" si="19"/>
        <v>-1035.9974700000005</v>
      </c>
    </row>
    <row r="165" spans="11:15" x14ac:dyDescent="0.25">
      <c r="K165">
        <f>INDEX($AD$2:$AD$31,MATCH(SMALL($AF$2:$AF$31,13),$AF$2:$AF$31,0))</f>
        <v>314.0</v>
      </c>
      <c r="L165" s="385">
        <f t="shared" si="18"/>
        <v>145.9375</v>
      </c>
      <c r="M165">
        <f>INDEX($AE$2:$AE$31,MATCH(SMALL($AF$2:$AF$31,13),$AF$2:$AF$31,0))</f>
        <v>114.56093750000008</v>
      </c>
      <c r="N165" s="385">
        <f t="shared" si="20"/>
        <v>1079.1640312500006</v>
      </c>
      <c r="O165" s="385">
        <f t="shared" si="19"/>
        <v>-1079.1640312500006</v>
      </c>
    </row>
    <row r="166" spans="11:15" x14ac:dyDescent="0.25">
      <c r="K166">
        <f>INDEX($AD$2:$AD$31,MATCH(SMALL($AF$2:$AF$31,14),$AF$2:$AF$31,0))</f>
        <v>345.4</v>
      </c>
      <c r="L166" s="385">
        <f t="shared" si="18"/>
        <v>145.9375</v>
      </c>
      <c r="M166">
        <f>INDEX($AE$2:$AE$31,MATCH(SMALL($AF$2:$AF$31,14),$AF$2:$AF$31,0))</f>
        <v>68.73656250000016</v>
      </c>
      <c r="N166" s="385">
        <f t="shared" si="20"/>
        <v>1107.9417387500005</v>
      </c>
      <c r="O166" s="385">
        <f t="shared" si="19"/>
        <v>-1107.9417387500005</v>
      </c>
    </row>
    <row r="167" spans="11:15" x14ac:dyDescent="0.25">
      <c r="K167">
        <f>INDEX($AD$2:$AD$31,MATCH(SMALL($AF$2:$AF$31,15),$AF$2:$AF$31,0))</f>
        <v>376.79999999999995</v>
      </c>
      <c r="L167" s="385">
        <f t="shared" si="18"/>
        <v>145.9375</v>
      </c>
      <c r="M167">
        <f>INDEX($AE$2:$AE$31,MATCH(SMALL($AF$2:$AF$31,15),$AF$2:$AF$31,0))</f>
        <v>22.912187500000186</v>
      </c>
      <c r="N167" s="385">
        <f t="shared" si="20"/>
        <v>1122.3305925000004</v>
      </c>
      <c r="O167" s="385">
        <f t="shared" si="19"/>
        <v>-1122.3305925000004</v>
      </c>
    </row>
    <row r="168" spans="11:15" x14ac:dyDescent="0.25">
      <c r="K168">
        <f>INDEX($AD$2:$AD$31,MATCH(SMALL($AF$2:$AF$31,16),$AF$2:$AF$31,0))</f>
        <v>408.2</v>
      </c>
      <c r="L168" s="385">
        <f t="shared" si="18"/>
        <v>145.9375</v>
      </c>
      <c r="M168">
        <f>INDEX($AE$2:$AE$31,MATCH(SMALL($AF$2:$AF$31,16),$AF$2:$AF$31,0))</f>
        <v>-22.912187499999845</v>
      </c>
      <c r="N168" s="385">
        <f t="shared" si="20"/>
        <v>1122.3305925000004</v>
      </c>
      <c r="O168" s="385">
        <f t="shared" si="19"/>
        <v>-1122.3305925000004</v>
      </c>
    </row>
    <row r="169" spans="11:15" x14ac:dyDescent="0.25">
      <c r="K169">
        <f>INDEX($AD$2:$AD$31,MATCH(SMALL($AF$2:$AF$31,17),$AF$2:$AF$31,0))</f>
        <v>439.59999999999997</v>
      </c>
      <c r="L169" s="385">
        <f t="shared" si="18"/>
        <v>145.9375</v>
      </c>
      <c r="M169">
        <f>INDEX($AE$2:$AE$31,MATCH(SMALL($AF$2:$AF$31,17),$AF$2:$AF$31,0))</f>
        <v>-68.73656249999988</v>
      </c>
      <c r="N169" s="385">
        <f t="shared" si="20"/>
        <v>1107.9417387500005</v>
      </c>
      <c r="O169" s="385">
        <f t="shared" si="19"/>
        <v>-1107.9417387500005</v>
      </c>
    </row>
    <row r="170" spans="11:15" x14ac:dyDescent="0.25">
      <c r="K170">
        <f>INDEX($AD$2:$AD$31,MATCH(SMALL($AF$2:$AF$31,18),$AF$2:$AF$31,0))</f>
        <v>471.0</v>
      </c>
      <c r="L170" s="385">
        <f t="shared" si="18"/>
        <v>145.9375</v>
      </c>
      <c r="M170">
        <f>INDEX($AE$2:$AE$31,MATCH(SMALL($AF$2:$AF$31,18),$AF$2:$AF$31,0))</f>
        <v>-114.56093749999991</v>
      </c>
      <c r="N170" s="385">
        <f t="shared" si="20"/>
        <v>1079.1640312500006</v>
      </c>
      <c r="O170" s="385">
        <f t="shared" si="19"/>
        <v>-1079.1640312500006</v>
      </c>
    </row>
    <row r="171" spans="11:15" x14ac:dyDescent="0.25">
      <c r="K171">
        <f>INDEX($AD$2:$AD$31,MATCH(SMALL($AF$2:$AF$31,19),$AF$2:$AF$31,0))</f>
        <v>502.4</v>
      </c>
      <c r="L171" s="385">
        <f t="shared" si="18"/>
        <v>145.9375</v>
      </c>
      <c r="M171">
        <f>INDEX($AE$2:$AE$31,MATCH(SMALL($AF$2:$AF$31,19),$AF$2:$AF$31,0))</f>
        <v>-160.38531249999994</v>
      </c>
      <c r="N171" s="385">
        <f t="shared" si="20"/>
        <v>1035.9974700000007</v>
      </c>
      <c r="O171" s="385">
        <f t="shared" si="19"/>
        <v>-1035.9974700000007</v>
      </c>
    </row>
    <row r="172" spans="11:15" x14ac:dyDescent="0.25">
      <c r="K172">
        <f>INDEX($AD$2:$AD$31,MATCH(SMALL($AF$2:$AF$31,20),$AF$2:$AF$31,0))</f>
        <v>533.8</v>
      </c>
      <c r="L172" s="385">
        <f t="shared" si="18"/>
        <v>145.9375</v>
      </c>
      <c r="M172">
        <f>INDEX($AE$2:$AE$31,MATCH(SMALL($AF$2:$AF$31,20),$AF$2:$AF$31,0))</f>
        <v>-206.20968749999975</v>
      </c>
      <c r="N172" s="385">
        <f t="shared" si="20"/>
        <v>978.4420550000008</v>
      </c>
      <c r="O172" s="385">
        <f t="shared" si="19"/>
        <v>-978.4420550000008</v>
      </c>
    </row>
    <row r="173" spans="11:15" x14ac:dyDescent="0.25">
      <c r="K173">
        <f>INDEX($AD$2:$AD$31,MATCH(SMALL($AF$2:$AF$31,21),$AF$2:$AF$31,0))</f>
        <v>565.1999999999999</v>
      </c>
      <c r="L173" s="385">
        <f t="shared" si="18"/>
        <v>145.9375</v>
      </c>
      <c r="M173">
        <f>INDEX($AE$2:$AE$31,MATCH(SMALL($AF$2:$AF$31,21),$AF$2:$AF$31,0))</f>
        <v>-252.03406249999978</v>
      </c>
      <c r="N173" s="385">
        <f t="shared" si="20"/>
        <v>906.4977862500009</v>
      </c>
      <c r="O173" s="385">
        <f t="shared" si="19"/>
        <v>-906.4977862500009</v>
      </c>
    </row>
    <row r="174" spans="11:15" x14ac:dyDescent="0.25">
      <c r="K174">
        <f>INDEX($AD$2:$AD$31,MATCH(SMALL($AF$2:$AF$31,22),$AF$2:$AF$31,0))</f>
        <v>596.6</v>
      </c>
      <c r="L174" s="385">
        <f t="shared" si="18"/>
        <v>145.9375</v>
      </c>
      <c r="M174">
        <f>INDEX($AE$2:$AE$31,MATCH(SMALL($AF$2:$AF$31,22),$AF$2:$AF$31,0))</f>
        <v>-297.8584374999999</v>
      </c>
      <c r="N174" s="385">
        <f t="shared" si="20"/>
        <v>820.1646637500007</v>
      </c>
      <c r="O174" s="385">
        <f t="shared" si="19"/>
        <v>-820.1646637500007</v>
      </c>
    </row>
    <row r="175" spans="11:15" x14ac:dyDescent="0.25">
      <c r="K175">
        <f>INDEX($AD$2:$AD$31,MATCH(SMALL($AF$2:$AF$31,23),$AF$2:$AF$31,0))</f>
        <v>628.0</v>
      </c>
      <c r="L175" s="385">
        <f t="shared" si="18"/>
        <v>145.9375</v>
      </c>
      <c r="M175">
        <f>INDEX($AE$2:$AE$31,MATCH(SMALL($AF$2:$AF$31,23),$AF$2:$AF$31,0))</f>
        <v>-343.68281249999995</v>
      </c>
      <c r="N175" s="385">
        <f t="shared" si="20"/>
        <v>719.4426875000008</v>
      </c>
      <c r="O175" s="385">
        <f t="shared" si="19"/>
        <v>-719.4426875000008</v>
      </c>
    </row>
    <row r="176" spans="11:15" x14ac:dyDescent="0.25">
      <c r="K176">
        <f>INDEX($AD$2:$AD$31,MATCH(SMALL($AF$2:$AF$31,24),$AF$2:$AF$31,0))</f>
        <v>659.4</v>
      </c>
      <c r="L176" s="385">
        <f t="shared" si="18"/>
        <v>145.9375</v>
      </c>
      <c r="M176">
        <f>INDEX($AE$2:$AE$31,MATCH(SMALL($AF$2:$AF$31,24),$AF$2:$AF$31,0))</f>
        <v>-389.50718749999976</v>
      </c>
      <c r="N176" s="385">
        <f t="shared" si="20"/>
        <v>604.331857500001</v>
      </c>
      <c r="O176" s="385">
        <f t="shared" si="19"/>
        <v>-604.331857500001</v>
      </c>
    </row>
    <row r="177" spans="11:21" x14ac:dyDescent="0.25">
      <c r="K177">
        <f>INDEX($AD$2:$AD$31,MATCH(SMALL($AF$2:$AF$31,25),$AF$2:$AF$31,0))</f>
        <v>690.8</v>
      </c>
      <c r="L177" s="385">
        <f t="shared" si="18"/>
        <v>145.9375</v>
      </c>
      <c r="M177">
        <f>INDEX($AE$2:$AE$31,MATCH(SMALL($AF$2:$AF$31,25),$AF$2:$AF$31,0))</f>
        <v>-435.3315624999998</v>
      </c>
      <c r="N177" s="385">
        <f t="shared" si="20"/>
        <v>474.8321737500012</v>
      </c>
      <c r="O177" s="385">
        <f t="shared" si="19"/>
        <v>-474.8321737500012</v>
      </c>
    </row>
    <row r="178" spans="11:21" x14ac:dyDescent="0.25">
      <c r="K178">
        <f>INDEX($AD$2:$AD$31,MATCH(SMALL($AF$2:$AF$31,26),$AF$2:$AF$31,0))</f>
        <v>722.1999999999999</v>
      </c>
      <c r="L178" s="385">
        <f t="shared" si="18"/>
        <v>145.9375</v>
      </c>
      <c r="M178">
        <f>INDEX($AE$2:$AE$31,MATCH(SMALL($AF$2:$AF$31,26),$AF$2:$AF$31,0))</f>
        <v>-481.1559374999998</v>
      </c>
      <c r="N178" s="385">
        <f t="shared" si="20"/>
        <v>330.9436362500013</v>
      </c>
      <c r="O178" s="385">
        <f t="shared" si="19"/>
        <v>-330.9436362500013</v>
      </c>
    </row>
    <row r="179" spans="11:21" x14ac:dyDescent="0.25">
      <c r="K179">
        <f>INDEX($AD$2:$AD$31,MATCH(SMALL($AF$2:$AF$31,27),$AF$2:$AF$31,0))</f>
        <v>753.5999999999999</v>
      </c>
      <c r="L179" s="385">
        <f>L178</f>
        <v>145.9375</v>
      </c>
      <c r="M179">
        <f>INDEX($AE$2:$AE$31,MATCH(SMALL($AF$2:$AF$31,27),$AF$2:$AF$31,0))</f>
        <v>-526.9803124999997</v>
      </c>
      <c r="N179" s="385">
        <f t="shared" si="20"/>
        <v>172.66624500000148</v>
      </c>
      <c r="O179" s="385">
        <f t="shared" si="19"/>
        <v>-172.66624500000148</v>
      </c>
    </row>
    <row r="180" spans="11:21" x14ac:dyDescent="0.25">
      <c r="K180">
        <f>INDEX($AD$2:$AD$31,MATCH(SMALL($AF$2:$AF$31,28),$AF$2:$AF$31,0))</f>
        <v>785.0</v>
      </c>
      <c r="L180" s="385">
        <f>SUMPRODUCT(($L$15:$L$24&lt;=K180)*($M$15:$M$24&gt;K180)*$S$15:$S$24)+$L$12</f>
        <v>145.9375</v>
      </c>
      <c r="M180">
        <f>INDEX($AE$2:$AE$31,MATCH(SMALL($AF$2:$AF$31,28),$AF$2:$AF$31,0))</f>
        <v>-572.8046874999999</v>
      </c>
      <c r="N180" s="385">
        <f t="shared" si="20"/>
        <v>1.0231815394945443e-12</v>
      </c>
      <c r="O180" s="385">
        <f t="shared" si="19"/>
        <v>-1.0231815394945443e-12</v>
      </c>
    </row>
    <row r="181" spans="11:21" x14ac:dyDescent="0.25">
      <c r="K181">
        <f>INDEX($AD$2:$AD$31,MATCH(SMALL($AF$2:$AF$31,29),$AF$2:$AF$31,0))</f>
        <v>785.0</v>
      </c>
      <c r="M181">
        <f>INDEX($AE$2:$AE$31,MATCH(SMALL($AF$2:$AF$31,29),$AF$2:$AF$31,0))</f>
        <v>-572.8046874999999</v>
      </c>
      <c r="N181">
        <f t="shared" si="20"/>
        <v>1.0231815394945443e-12</v>
      </c>
      <c r="O181">
        <f t="shared" si="19"/>
        <v>-1.0231815394945443e-12</v>
      </c>
    </row>
    <row r="182" spans="11:21" x14ac:dyDescent="0.25">
      <c r="K182">
        <f>INDEX($AD$2:$AD$31,MATCH(SMALL($AF$2:$AF$31,30),$AF$2:$AF$31,0))</f>
        <v>785.0</v>
      </c>
      <c r="M182">
        <f>INDEX($AE$2:$AE$31,MATCH(SMALL($AF$2:$AF$31,30),$AF$2:$AF$31,0))</f>
        <v>0.0</v>
      </c>
      <c r="N182">
        <f t="shared" si="20"/>
        <v>1.0231815394945443e-12</v>
      </c>
      <c r="O182">
        <f t="shared" si="19"/>
        <v>-1.0231815394945443e-12</v>
      </c>
    </row>
    <row r="183" spans="11:21" x14ac:dyDescent="0.25">
      <c r="K183" t="s">
        <v>980</v>
      </c>
    </row>
    <row r="184" spans="11:21" ht="18" x14ac:dyDescent="0.35">
      <c r="K184" s="87" t="s">
        <v>981</v>
      </c>
      <c r="L184" s="87" t="s">
        <v>968</v>
      </c>
      <c r="M184" s="378" t="s">
        <v>953</v>
      </c>
      <c r="N184" s="378" t="s">
        <v>954</v>
      </c>
      <c r="O184" s="378" t="s">
        <v>955</v>
      </c>
      <c r="P184" s="378" t="s">
        <v>956</v>
      </c>
      <c r="Q184" s="378" t="s">
        <v>957</v>
      </c>
      <c r="R184" s="87" t="s">
        <v>194</v>
      </c>
      <c r="S184" s="388" t="s">
        <v>224</v>
      </c>
      <c r="T184" t="s">
        <v>2151</v>
      </c>
      <c r="U184" t="s">
        <v>2152</v>
      </c>
    </row>
    <row r="185" spans="11:21" x14ac:dyDescent="0.25">
      <c r="K185" s="87">
        <v>1</v>
      </c>
      <c r="L185" s="389">
        <f>Geometria!K111</f>
        <v>0.0</v>
      </c>
      <c r="M185" s="389">
        <f>Geometria!M111</f>
        <v>0.0</v>
      </c>
      <c r="N185" s="389">
        <f>Geometria!N111</f>
        <v>0.0</v>
      </c>
      <c r="O185" s="389">
        <f>Geometria!O111</f>
        <v>0.0</v>
      </c>
      <c r="P185" s="389">
        <f>Geometria!P111</f>
        <v>0.0</v>
      </c>
      <c r="Q185" s="389">
        <f>Geometria!Q111</f>
        <v>0.0</v>
      </c>
      <c r="R185" s="389">
        <f>Geometria!R111</f>
        <v>0.0</v>
      </c>
      <c r="S185" s="376">
        <f t="shared" ref="S185:S194" si="21">SUM(L185:R185)</f>
        <v>0.0</v>
      </c>
      <c r="T185">
        <f>IF(AND(L185-Geometria!$L$21&gt;=0,L185-Geometria!$L$21&lt;=4*'Diagrama Cortante'!$P$29),(L185-Geometria!$L$21)/(4*'Diagrama Cortante'!$P$29),0)</f>
        <v>0.0</v>
      </c>
      <c r="U185">
        <f>IF(AND(Geometria!$L$21+$L$109-L185&gt;=0,Geometria!$L$21+$L$109-L185&lt;=4*'Diagrama Cortante'!$P$29),(Geometria!$L$21+$L$109-L185)/(4*'Diagrama Cortante'!$P$29),1)</f>
        <v>1.0</v>
      </c>
    </row>
    <row r="186" spans="11:21" x14ac:dyDescent="0.25">
      <c r="K186" s="87">
        <v>2</v>
      </c>
      <c r="L186" s="389">
        <f>Geometria!K112</f>
        <v>0.0</v>
      </c>
      <c r="M186" s="389">
        <f>Geometria!M112</f>
        <v>0.0</v>
      </c>
      <c r="N186" s="389">
        <f>Geometria!N112</f>
        <v>0.0</v>
      </c>
      <c r="O186" s="389">
        <f>Geometria!O112</f>
        <v>0.0</v>
      </c>
      <c r="P186" s="389">
        <f>Geometria!P112</f>
        <v>0.0</v>
      </c>
      <c r="Q186" s="389">
        <f>Geometria!Q112</f>
        <v>0.0</v>
      </c>
      <c r="R186" s="389">
        <f>Geometria!R112</f>
        <v>0.0</v>
      </c>
      <c r="S186" s="376">
        <f t="shared" si="21"/>
        <v>0.0</v>
      </c>
      <c r="T186">
        <f>IF(AND(L186-Geometria!$L$21&gt;=0,L186-Geometria!$L$21&lt;=4*'Diagrama Cortante'!$P$29),(L186-Geometria!$L$21)/(4*'Diagrama Cortante'!$P$29),0)</f>
        <v>0.0</v>
      </c>
      <c r="U186">
        <f>IF(AND(Geometria!$L$21+$L$109-L186&gt;=0,Geometria!$L$21+$L$109-L186&lt;=4*'Diagrama Cortante'!$P$29),(Geometria!$L$21+$L$109-L186)/(4*'Diagrama Cortante'!$P$29),1)</f>
        <v>1.0</v>
      </c>
    </row>
    <row r="187" spans="11:21" x14ac:dyDescent="0.25">
      <c r="K187" s="87">
        <v>3</v>
      </c>
      <c r="L187" s="389">
        <f>Geometria!K113</f>
        <v>0.0</v>
      </c>
      <c r="M187" s="389">
        <f>Geometria!M113</f>
        <v>0.0</v>
      </c>
      <c r="N187" s="389">
        <f>Geometria!N113</f>
        <v>0.0</v>
      </c>
      <c r="O187" s="389">
        <f>Geometria!O113</f>
        <v>0.0</v>
      </c>
      <c r="P187" s="389">
        <f>Geometria!P113</f>
        <v>0.0</v>
      </c>
      <c r="Q187" s="389">
        <f>Geometria!Q113</f>
        <v>0.0</v>
      </c>
      <c r="R187" s="389">
        <f>Geometria!R113</f>
        <v>0.0</v>
      </c>
      <c r="S187" s="376">
        <f t="shared" si="21"/>
        <v>0.0</v>
      </c>
      <c r="T187">
        <f>IF(AND(L187-Geometria!$L$21&gt;=0,L187-Geometria!$L$21&lt;=4*'Diagrama Cortante'!$P$29),(L187-Geometria!$L$21)/(4*'Diagrama Cortante'!$P$29),0)</f>
        <v>0.0</v>
      </c>
      <c r="U187">
        <f>IF(AND(Geometria!$L$21+$L$109-L187&gt;=0,Geometria!$L$21+$L$109-L187&lt;=4*'Diagrama Cortante'!$P$29),(Geometria!$L$21+$L$109-L187)/(4*'Diagrama Cortante'!$P$29),1)</f>
        <v>1.0</v>
      </c>
    </row>
    <row r="188" spans="11:21" x14ac:dyDescent="0.25">
      <c r="K188" s="87">
        <v>4</v>
      </c>
      <c r="L188" s="389">
        <f>Geometria!K114</f>
        <v>0.0</v>
      </c>
      <c r="M188" s="389">
        <f>Geometria!M114</f>
        <v>0.0</v>
      </c>
      <c r="N188" s="389">
        <f>Geometria!N114</f>
        <v>0.0</v>
      </c>
      <c r="O188" s="389">
        <f>Geometria!O114</f>
        <v>0.0</v>
      </c>
      <c r="P188" s="389">
        <f>Geometria!P114</f>
        <v>0.0</v>
      </c>
      <c r="Q188" s="389">
        <f>Geometria!Q114</f>
        <v>0.0</v>
      </c>
      <c r="R188" s="389">
        <f>Geometria!R114</f>
        <v>0.0</v>
      </c>
      <c r="S188" s="376">
        <f t="shared" si="21"/>
        <v>0.0</v>
      </c>
      <c r="T188">
        <f>IF(AND(L188-Geometria!$L$21&gt;=0,L188-Geometria!$L$21&lt;=4*'Diagrama Cortante'!$P$29),(L188-Geometria!$L$21)/(4*'Diagrama Cortante'!$P$29),0)</f>
        <v>0.0</v>
      </c>
      <c r="U188">
        <f>IF(AND(Geometria!$L$21+$L$109-L188&gt;=0,Geometria!$L$21+$L$109-L188&lt;=4*'Diagrama Cortante'!$P$29),(Geometria!$L$21+$L$109-L188)/(4*'Diagrama Cortante'!$P$29),1)</f>
        <v>1.0</v>
      </c>
    </row>
    <row r="189" spans="11:21" x14ac:dyDescent="0.25">
      <c r="K189" s="87">
        <v>5</v>
      </c>
      <c r="L189" s="389">
        <f>Geometria!K115</f>
        <v>0.0</v>
      </c>
      <c r="M189" s="389">
        <f>Geometria!M115</f>
        <v>0.0</v>
      </c>
      <c r="N189" s="389">
        <f>Geometria!N115</f>
        <v>0.0</v>
      </c>
      <c r="O189" s="389">
        <f>Geometria!O115</f>
        <v>0.0</v>
      </c>
      <c r="P189" s="389">
        <f>Geometria!P115</f>
        <v>0.0</v>
      </c>
      <c r="Q189" s="389">
        <f>Geometria!Q115</f>
        <v>0.0</v>
      </c>
      <c r="R189" s="389">
        <f>Geometria!R115</f>
        <v>0.0</v>
      </c>
      <c r="S189" s="376">
        <f t="shared" si="21"/>
        <v>0.0</v>
      </c>
      <c r="T189">
        <f>IF(AND(L189-Geometria!$L$21&gt;=0,L189-Geometria!$L$21&lt;=4*'Diagrama Cortante'!$P$29),(L189-Geometria!$L$21)/(4*'Diagrama Cortante'!$P$29),0)</f>
        <v>0.0</v>
      </c>
      <c r="U189">
        <f>IF(AND(Geometria!$L$21+$L$109-L189&gt;=0,Geometria!$L$21+$L$109-L189&lt;=4*'Diagrama Cortante'!$P$29),(Geometria!$L$21+$L$109-L189)/(4*'Diagrama Cortante'!$P$29),1)</f>
        <v>1.0</v>
      </c>
    </row>
    <row r="190" spans="11:21" x14ac:dyDescent="0.25">
      <c r="K190" s="87">
        <v>6</v>
      </c>
      <c r="L190" s="389">
        <f>Geometria!K116</f>
        <v>0.0</v>
      </c>
      <c r="M190" s="389">
        <f>Geometria!M116</f>
        <v>0.0</v>
      </c>
      <c r="N190" s="389">
        <f>Geometria!N116</f>
        <v>0.0</v>
      </c>
      <c r="O190" s="389">
        <f>Geometria!O116</f>
        <v>0.0</v>
      </c>
      <c r="P190" s="389">
        <f>Geometria!P116</f>
        <v>0.0</v>
      </c>
      <c r="Q190" s="389">
        <f>Geometria!Q116</f>
        <v>0.0</v>
      </c>
      <c r="R190" s="389">
        <f>Geometria!R116</f>
        <v>0.0</v>
      </c>
      <c r="S190" s="376">
        <f t="shared" si="21"/>
        <v>0.0</v>
      </c>
      <c r="T190">
        <f>IF(AND(L190-Geometria!$L$21&gt;=0,L190-Geometria!$L$21&lt;=4*'Diagrama Cortante'!$P$29),(L190-Geometria!$L$21)/(4*'Diagrama Cortante'!$P$29),0)</f>
        <v>0.0</v>
      </c>
      <c r="U190">
        <f>IF(AND(Geometria!$L$21+$L$109-L190&gt;=0,Geometria!$L$21+$L$109-L190&lt;=4*'Diagrama Cortante'!$P$29),(Geometria!$L$21+$L$109-L190)/(4*'Diagrama Cortante'!$P$29),1)</f>
        <v>1.0</v>
      </c>
    </row>
    <row r="191" spans="11:21" x14ac:dyDescent="0.25">
      <c r="K191" s="87">
        <v>7</v>
      </c>
      <c r="L191" s="389">
        <f>Geometria!K117</f>
        <v>0.0</v>
      </c>
      <c r="M191" s="389">
        <f>Geometria!M117</f>
        <v>0.0</v>
      </c>
      <c r="N191" s="389">
        <f>Geometria!N117</f>
        <v>0.0</v>
      </c>
      <c r="O191" s="389">
        <f>Geometria!O117</f>
        <v>0.0</v>
      </c>
      <c r="P191" s="389">
        <f>Geometria!P117</f>
        <v>0.0</v>
      </c>
      <c r="Q191" s="389">
        <f>Geometria!Q117</f>
        <v>0.0</v>
      </c>
      <c r="R191" s="389">
        <f>Geometria!R117</f>
        <v>0.0</v>
      </c>
      <c r="S191" s="376">
        <f t="shared" si="21"/>
        <v>0.0</v>
      </c>
      <c r="T191">
        <f>IF(AND(L191-Geometria!$L$21&gt;=0,L191-Geometria!$L$21&lt;=4*'Diagrama Cortante'!$P$29),(L191-Geometria!$L$21)/(4*'Diagrama Cortante'!$P$29),0)</f>
        <v>0.0</v>
      </c>
      <c r="U191">
        <f>IF(AND(Geometria!$L$21+$L$109-L191&gt;=0,Geometria!$L$21+$L$109-L191&lt;=4*'Diagrama Cortante'!$P$29),(Geometria!$L$21+$L$109-L191)/(4*'Diagrama Cortante'!$P$29),1)</f>
        <v>1.0</v>
      </c>
    </row>
    <row r="192" spans="11:21" x14ac:dyDescent="0.25">
      <c r="K192" s="87">
        <v>8</v>
      </c>
      <c r="L192" s="389">
        <f>Geometria!K118</f>
        <v>0.0</v>
      </c>
      <c r="M192" s="389">
        <f>Geometria!M118</f>
        <v>0.0</v>
      </c>
      <c r="N192" s="389">
        <f>Geometria!N118</f>
        <v>0.0</v>
      </c>
      <c r="O192" s="389">
        <f>Geometria!O118</f>
        <v>0.0</v>
      </c>
      <c r="P192" s="389">
        <f>Geometria!P118</f>
        <v>0.0</v>
      </c>
      <c r="Q192" s="389">
        <f>Geometria!Q118</f>
        <v>0.0</v>
      </c>
      <c r="R192" s="389">
        <f>Geometria!R118</f>
        <v>0.0</v>
      </c>
      <c r="S192" s="376">
        <f t="shared" si="21"/>
        <v>0.0</v>
      </c>
      <c r="T192">
        <f>IF(AND(L192-Geometria!$L$21&gt;=0,L192-Geometria!$L$21&lt;=4*'Diagrama Cortante'!$P$29),(L192-Geometria!$L$21)/(4*'Diagrama Cortante'!$P$29),0)</f>
        <v>0.0</v>
      </c>
      <c r="U192">
        <f>IF(AND(Geometria!$L$21+$L$109-L192&gt;=0,Geometria!$L$21+$L$109-L192&lt;=4*'Diagrama Cortante'!$P$29),(Geometria!$L$21+$L$109-L192)/(4*'Diagrama Cortante'!$P$29),1)</f>
        <v>1.0</v>
      </c>
    </row>
    <row r="193" spans="11:21" x14ac:dyDescent="0.25">
      <c r="K193" s="87">
        <v>9</v>
      </c>
      <c r="L193" s="389">
        <f>Geometria!K119</f>
        <v>0.0</v>
      </c>
      <c r="M193" s="389">
        <f>Geometria!M119</f>
        <v>0.0</v>
      </c>
      <c r="N193" s="389">
        <f>Geometria!N119</f>
        <v>0.0</v>
      </c>
      <c r="O193" s="389">
        <f>Geometria!O119</f>
        <v>0.0</v>
      </c>
      <c r="P193" s="389">
        <f>Geometria!P119</f>
        <v>0.0</v>
      </c>
      <c r="Q193" s="389">
        <f>Geometria!Q119</f>
        <v>0.0</v>
      </c>
      <c r="R193" s="389">
        <f>Geometria!R119</f>
        <v>0.0</v>
      </c>
      <c r="S193" s="376">
        <f t="shared" si="21"/>
        <v>0.0</v>
      </c>
      <c r="T193">
        <f>IF(AND(L193-Geometria!$L$21&gt;=0,L193-Geometria!$L$21&lt;=4*'Diagrama Cortante'!$P$29),(L193-Geometria!$L$21)/(4*'Diagrama Cortante'!$P$29),0)</f>
        <v>0.0</v>
      </c>
      <c r="U193">
        <f>IF(AND(Geometria!$L$21+$L$109-L193&gt;=0,Geometria!$L$21+$L$109-L193&lt;=4*'Diagrama Cortante'!$P$29),(Geometria!$L$21+$L$109-L193)/(4*'Diagrama Cortante'!$P$29),1)</f>
        <v>1.0</v>
      </c>
    </row>
    <row r="194" spans="11:21" x14ac:dyDescent="0.25">
      <c r="K194" s="87">
        <v>10</v>
      </c>
      <c r="L194" s="389">
        <f>Geometria!K120</f>
        <v>0.0</v>
      </c>
      <c r="M194" s="389">
        <f>Geometria!M120</f>
        <v>0.0</v>
      </c>
      <c r="N194" s="389">
        <f>Geometria!N120</f>
        <v>0.0</v>
      </c>
      <c r="O194" s="389">
        <f>Geometria!O120</f>
        <v>0.0</v>
      </c>
      <c r="P194" s="389">
        <f>Geometria!P120</f>
        <v>0.0</v>
      </c>
      <c r="Q194" s="389">
        <f>Geometria!Q120</f>
        <v>0.0</v>
      </c>
      <c r="R194" s="389">
        <f>Geometria!R120</f>
        <v>0.0</v>
      </c>
      <c r="S194" s="376">
        <f t="shared" si="21"/>
        <v>0.0</v>
      </c>
      <c r="T194">
        <f>IF(AND(L194-Geometria!$L$21&gt;=0,L194-Geometria!$L$21&lt;=4*'Diagrama Cortante'!$P$29),(L194-Geometria!$L$21)/(4*'Diagrama Cortante'!$P$29),0)</f>
        <v>0.0</v>
      </c>
      <c r="U194">
        <f>IF(AND(Geometria!$L$21+$L$109-L194&gt;=0,Geometria!$L$21+$L$109-L194&lt;=4*'Diagrama Cortante'!$P$29),(Geometria!$L$21+$L$109-L194)/(4*'Diagrama Cortante'!$P$29),1)</f>
        <v>1.0</v>
      </c>
    </row>
    <row r="196" spans="11:21" x14ac:dyDescent="0.25">
      <c r="K196" s="384" t="s">
        <v>982</v>
      </c>
      <c r="L196" s="385">
        <f>SUMPRODUCT(($M$185:$M$194+$N$185:$N$194+$O$185:$O$194+$P$185:$P$194+$Q$185:$Q$194)*(1-($L$185:$L$194/$L$109)))</f>
        <v>0.0</v>
      </c>
      <c r="M196" s="384" t="s">
        <v>292</v>
      </c>
    </row>
    <row r="197" spans="11:21" x14ac:dyDescent="0.25">
      <c r="K197" s="384" t="s">
        <v>983</v>
      </c>
      <c r="L197" s="385">
        <f>SUMPRODUCT(($M$185:$M$194+$N$185:$N$194+$O$185:$O$194+$P$185:$P$194+$Q$185:$Q$194)*($L$185:$L$194/$L$109))</f>
        <v>0.0</v>
      </c>
      <c r="M197" s="384" t="s">
        <v>292</v>
      </c>
    </row>
    <row r="199" spans="11:21" x14ac:dyDescent="0.25">
      <c r="K199" s="840" t="s">
        <v>984</v>
      </c>
      <c r="L199" s="840"/>
      <c r="M199" s="840" t="s">
        <v>984</v>
      </c>
      <c r="N199" s="840"/>
    </row>
    <row r="200" spans="11:21" x14ac:dyDescent="0.25">
      <c r="K200" s="87" t="s">
        <v>968</v>
      </c>
      <c r="L200" s="87" t="s">
        <v>985</v>
      </c>
      <c r="M200" s="87" t="s">
        <v>968</v>
      </c>
      <c r="N200" s="87" t="s">
        <v>985</v>
      </c>
    </row>
    <row r="201" spans="11:21" x14ac:dyDescent="0.25">
      <c r="K201" s="385" t="e">
        <f>IF(SUM($M$185:$R$185)=0,NA(),$L$185)</f>
        <v>#N/A</v>
      </c>
      <c r="L201" s="385" t="e">
        <f>IF(SUM($M$185:$R$185)=0,NA(),0)</f>
        <v>#N/A</v>
      </c>
      <c r="M201" s="385" t="e">
        <f>IF(SUM($M$185:$R$185)=0,NA(),$L$185)</f>
        <v>#N/A</v>
      </c>
      <c r="N201" s="385" t="e">
        <f>IF(SUM($M$185:$R$185)=0,NA(),0)</f>
        <v>#N/A</v>
      </c>
    </row>
    <row r="202" spans="11:21" x14ac:dyDescent="0.25">
      <c r="K202" s="385" t="e">
        <f>K201</f>
        <v>#N/A</v>
      </c>
      <c r="L202" s="385" t="e">
        <f>IF(SUM($M$185:$R$185)=0,NA(),SUM(M185:Q185))</f>
        <v>#N/A</v>
      </c>
      <c r="M202" s="385" t="e">
        <f>M201</f>
        <v>#N/A</v>
      </c>
      <c r="N202" s="385" t="e">
        <f>IF(SUM($M$185:$R$185)=0,NA(),R185)</f>
        <v>#N/A</v>
      </c>
    </row>
    <row r="203" spans="11:21" x14ac:dyDescent="0.25">
      <c r="K203" s="385" t="e">
        <f>NA()</f>
        <v>#N/A</v>
      </c>
      <c r="L203" s="385" t="e">
        <f>NA()</f>
        <v>#N/A</v>
      </c>
      <c r="M203" s="385" t="e">
        <f>NA()</f>
        <v>#N/A</v>
      </c>
      <c r="N203" s="385" t="e">
        <f>NA()</f>
        <v>#N/A</v>
      </c>
    </row>
    <row r="204" spans="11:21" x14ac:dyDescent="0.25">
      <c r="K204" s="385" t="e">
        <f>IF(SUM($M$186:$R$186)=0,NA(),$L$186)</f>
        <v>#N/A</v>
      </c>
      <c r="L204" s="385" t="e">
        <f>IF(SUM($M$186:$R$186)=0,NA(),0)</f>
        <v>#N/A</v>
      </c>
      <c r="M204" s="385" t="e">
        <f>IF(SUM($M$186:$R$186)=0,NA(),$L$186)</f>
        <v>#N/A</v>
      </c>
      <c r="N204" s="385" t="e">
        <f>IF(SUM($M$186:$R$186)=0,NA(),0)</f>
        <v>#N/A</v>
      </c>
    </row>
    <row r="205" spans="11:21" x14ac:dyDescent="0.25">
      <c r="K205" s="385" t="e">
        <f>K204</f>
        <v>#N/A</v>
      </c>
      <c r="L205" s="385" t="e">
        <f>IF(SUM($M$186:$R$186)=0,NA(),SUM(M186:Q186))</f>
        <v>#N/A</v>
      </c>
      <c r="M205" s="385" t="e">
        <f>M204</f>
        <v>#N/A</v>
      </c>
      <c r="N205" s="385" t="e">
        <f>IF(SUM($M$186:$R$186)=0,NA(),R186)</f>
        <v>#N/A</v>
      </c>
    </row>
    <row r="206" spans="11:21" x14ac:dyDescent="0.25">
      <c r="K206" s="385" t="e">
        <f>NA()</f>
        <v>#N/A</v>
      </c>
      <c r="L206" s="385" t="e">
        <f>NA()</f>
        <v>#N/A</v>
      </c>
      <c r="M206" s="385" t="e">
        <f>NA()</f>
        <v>#N/A</v>
      </c>
      <c r="N206" s="385" t="e">
        <f>NA()</f>
        <v>#N/A</v>
      </c>
    </row>
    <row r="207" spans="11:21" x14ac:dyDescent="0.25">
      <c r="K207" s="385" t="e">
        <f>IF(SUM($M$187:$R$187)=0,NA(),$L$187)</f>
        <v>#N/A</v>
      </c>
      <c r="L207" s="385" t="e">
        <f>IF(SUM($M$187:$R$187)=0,NA(),0)</f>
        <v>#N/A</v>
      </c>
      <c r="M207" s="385" t="e">
        <f>IF(SUM($M$187:$R$187)=0,NA(),$L$187)</f>
        <v>#N/A</v>
      </c>
      <c r="N207" s="385" t="e">
        <f>IF(SUM($M$187:$R$187)=0,NA(),0)</f>
        <v>#N/A</v>
      </c>
    </row>
    <row r="208" spans="11:21" x14ac:dyDescent="0.25">
      <c r="K208" s="385" t="e">
        <f>K207</f>
        <v>#N/A</v>
      </c>
      <c r="L208" s="385" t="e">
        <f>IF(SUM($M$187:$R$187)=0,NA(),SUM(M187:Q187))</f>
        <v>#N/A</v>
      </c>
      <c r="M208" s="385" t="e">
        <f>M207</f>
        <v>#N/A</v>
      </c>
      <c r="N208" s="385" t="e">
        <f>IF(SUM($M$187:$R$187)=0,NA(),R187)</f>
        <v>#N/A</v>
      </c>
    </row>
    <row r="209" spans="11:14" x14ac:dyDescent="0.25">
      <c r="K209" s="385" t="e">
        <f>NA()</f>
        <v>#N/A</v>
      </c>
      <c r="L209" s="385" t="e">
        <f>NA()</f>
        <v>#N/A</v>
      </c>
      <c r="M209" s="385" t="e">
        <f>NA()</f>
        <v>#N/A</v>
      </c>
      <c r="N209" s="385" t="e">
        <f>NA()</f>
        <v>#N/A</v>
      </c>
    </row>
    <row r="210" spans="11:14" x14ac:dyDescent="0.25">
      <c r="K210" s="385" t="e">
        <f>IF(SUM($M$188:$R$188)=0,NA(),$L$188)</f>
        <v>#N/A</v>
      </c>
      <c r="L210" s="385" t="e">
        <f>IF(SUM($M$188:$R$188)=0,NA(),0)</f>
        <v>#N/A</v>
      </c>
      <c r="M210" s="385" t="e">
        <f>IF(SUM($M$188:$R$188)=0,NA(),$L$188)</f>
        <v>#N/A</v>
      </c>
      <c r="N210" s="385" t="e">
        <f>IF(SUM($M$188:$R$188)=0,NA(),0)</f>
        <v>#N/A</v>
      </c>
    </row>
    <row r="211" spans="11:14" x14ac:dyDescent="0.25">
      <c r="K211" s="385" t="e">
        <f>K210</f>
        <v>#N/A</v>
      </c>
      <c r="L211" s="385" t="e">
        <f>IF(SUM($M$188:$R$188)=0,NA(),SUM(M188:Q188))</f>
        <v>#N/A</v>
      </c>
      <c r="M211" s="385" t="e">
        <f>M210</f>
        <v>#N/A</v>
      </c>
      <c r="N211" s="385" t="e">
        <f>IF(SUM($M$188:$R$188)=0,NA(),R188)</f>
        <v>#N/A</v>
      </c>
    </row>
    <row r="212" spans="11:14" x14ac:dyDescent="0.25">
      <c r="K212" s="385" t="e">
        <f>NA()</f>
        <v>#N/A</v>
      </c>
      <c r="L212" s="385" t="e">
        <f>NA()</f>
        <v>#N/A</v>
      </c>
      <c r="M212" s="385" t="e">
        <f>NA()</f>
        <v>#N/A</v>
      </c>
      <c r="N212" s="385" t="e">
        <f>NA()</f>
        <v>#N/A</v>
      </c>
    </row>
    <row r="213" spans="11:14" x14ac:dyDescent="0.25">
      <c r="K213" s="385" t="e">
        <f>IF(SUM($M$189:$R$189)=0,NA(),$L$189)</f>
        <v>#N/A</v>
      </c>
      <c r="L213" s="385" t="e">
        <f>IF(SUM($M$189:$R$189)=0,NA(),0)</f>
        <v>#N/A</v>
      </c>
      <c r="M213" s="385" t="e">
        <f>IF(SUM($M$189:$R$189)=0,NA(),$L$189)</f>
        <v>#N/A</v>
      </c>
      <c r="N213" s="385" t="e">
        <f>IF(SUM($M$189:$R$189)=0,NA(),0)</f>
        <v>#N/A</v>
      </c>
    </row>
    <row r="214" spans="11:14" x14ac:dyDescent="0.25">
      <c r="K214" s="385" t="e">
        <f>K213</f>
        <v>#N/A</v>
      </c>
      <c r="L214" s="385" t="e">
        <f>IF(SUM($M$189:$R$189)=0,NA(),SUM(M189:Q189))</f>
        <v>#N/A</v>
      </c>
      <c r="M214" s="385" t="e">
        <f>M213</f>
        <v>#N/A</v>
      </c>
      <c r="N214" s="385" t="e">
        <f>IF(SUM($M$189:$R$189)=0,NA(),R189)</f>
        <v>#N/A</v>
      </c>
    </row>
    <row r="215" spans="11:14" x14ac:dyDescent="0.25">
      <c r="K215" s="385" t="e">
        <f>NA()</f>
        <v>#N/A</v>
      </c>
      <c r="L215" s="385" t="e">
        <f>NA()</f>
        <v>#N/A</v>
      </c>
      <c r="M215" s="385" t="e">
        <f>NA()</f>
        <v>#N/A</v>
      </c>
      <c r="N215" s="385" t="e">
        <f>NA()</f>
        <v>#N/A</v>
      </c>
    </row>
    <row r="216" spans="11:14" x14ac:dyDescent="0.25">
      <c r="K216" s="385" t="e">
        <f>IF(SUM($M$190:$R$190)=0,NA(),$L$190)</f>
        <v>#N/A</v>
      </c>
      <c r="L216" s="385" t="e">
        <f>IF(SUM($M$190:$R$190)=0,NA(),0)</f>
        <v>#N/A</v>
      </c>
      <c r="M216" s="385" t="e">
        <f>IF(SUM($M$190:$R$190)=0,NA(),$L$190)</f>
        <v>#N/A</v>
      </c>
      <c r="N216" s="385" t="e">
        <f>IF(SUM($M$190:$R$190)=0,NA(),0)</f>
        <v>#N/A</v>
      </c>
    </row>
    <row r="217" spans="11:14" x14ac:dyDescent="0.25">
      <c r="K217" s="385" t="e">
        <f>K216</f>
        <v>#N/A</v>
      </c>
      <c r="L217" s="385" t="e">
        <f>IF(SUM($M$190:$R$190)=0,NA(),SUM(M190:Q190))</f>
        <v>#N/A</v>
      </c>
      <c r="M217" s="385" t="e">
        <f>M216</f>
        <v>#N/A</v>
      </c>
      <c r="N217" s="385" t="e">
        <f>IF(SUM($M$190:$R$190)=0,NA(),R190)</f>
        <v>#N/A</v>
      </c>
    </row>
    <row r="218" spans="11:14" x14ac:dyDescent="0.25">
      <c r="K218" s="385" t="e">
        <f>NA()</f>
        <v>#N/A</v>
      </c>
      <c r="L218" s="385" t="e">
        <f>NA()</f>
        <v>#N/A</v>
      </c>
      <c r="M218" s="385" t="e">
        <f>NA()</f>
        <v>#N/A</v>
      </c>
      <c r="N218" s="385" t="e">
        <f>NA()</f>
        <v>#N/A</v>
      </c>
    </row>
    <row r="219" spans="11:14" x14ac:dyDescent="0.25">
      <c r="K219" s="385" t="e">
        <f>IF(SUM($M$191:$R$191)=0,NA(),$L$191)</f>
        <v>#N/A</v>
      </c>
      <c r="L219" s="385" t="e">
        <f>IF(SUM($M$191:$R$191)=0,NA(),0)</f>
        <v>#N/A</v>
      </c>
      <c r="M219" s="385" t="e">
        <f>IF(SUM($M$191:$R$191)=0,NA(),$L$191)</f>
        <v>#N/A</v>
      </c>
      <c r="N219" s="385" t="e">
        <f>IF(SUM($M$191:$R$191)=0,NA(),0)</f>
        <v>#N/A</v>
      </c>
    </row>
    <row r="220" spans="11:14" x14ac:dyDescent="0.25">
      <c r="K220" s="385" t="e">
        <f>K219</f>
        <v>#N/A</v>
      </c>
      <c r="L220" s="385" t="e">
        <f>IF(SUM($M$191:$R$191)=0,NA(),SUM(M191:Q191))</f>
        <v>#N/A</v>
      </c>
      <c r="M220" s="385" t="e">
        <f>M219</f>
        <v>#N/A</v>
      </c>
      <c r="N220" s="385" t="e">
        <f>IF(SUM($M$191:$R$191)=0,NA(),R191)</f>
        <v>#N/A</v>
      </c>
    </row>
    <row r="221" spans="11:14" x14ac:dyDescent="0.25">
      <c r="K221" s="385" t="e">
        <f>NA()</f>
        <v>#N/A</v>
      </c>
      <c r="L221" s="385" t="e">
        <f>NA()</f>
        <v>#N/A</v>
      </c>
      <c r="M221" s="385" t="e">
        <f>NA()</f>
        <v>#N/A</v>
      </c>
      <c r="N221" s="385" t="e">
        <f>NA()</f>
        <v>#N/A</v>
      </c>
    </row>
    <row r="222" spans="11:14" x14ac:dyDescent="0.25">
      <c r="K222" s="385" t="e">
        <f>IF(SUM($M$192:$R$192)=0,NA(),$L$192)</f>
        <v>#N/A</v>
      </c>
      <c r="L222" s="385" t="e">
        <f>IF(SUM($M$192:$R$192)=0,NA(),0)</f>
        <v>#N/A</v>
      </c>
      <c r="M222" s="385" t="e">
        <f>IF(SUM($M$192:$R$192)=0,NA(),$L$192)</f>
        <v>#N/A</v>
      </c>
      <c r="N222" s="385" t="e">
        <f>IF(SUM($M$192:$R$192)=0,NA(),0)</f>
        <v>#N/A</v>
      </c>
    </row>
    <row r="223" spans="11:14" x14ac:dyDescent="0.25">
      <c r="K223" s="385" t="e">
        <f>K222</f>
        <v>#N/A</v>
      </c>
      <c r="L223" s="385" t="e">
        <f>IF(SUM($M$192:$R$192)=0,NA(),SUM(M192:Q192))</f>
        <v>#N/A</v>
      </c>
      <c r="M223" s="385" t="e">
        <f>M222</f>
        <v>#N/A</v>
      </c>
      <c r="N223" s="385" t="e">
        <f>IF(SUM($M$192:$R$192)=0,NA(),R192)</f>
        <v>#N/A</v>
      </c>
    </row>
    <row r="224" spans="11:14" x14ac:dyDescent="0.25">
      <c r="K224" s="385" t="e">
        <f>NA()</f>
        <v>#N/A</v>
      </c>
      <c r="L224" s="385" t="e">
        <f>NA()</f>
        <v>#N/A</v>
      </c>
      <c r="M224" s="385" t="e">
        <f>NA()</f>
        <v>#N/A</v>
      </c>
      <c r="N224" s="385" t="e">
        <f>NA()</f>
        <v>#N/A</v>
      </c>
    </row>
    <row r="225" spans="11:16" x14ac:dyDescent="0.25">
      <c r="K225" s="385" t="e">
        <f>IF(SUM($M$193:$R$193)=0,NA(),$L$193)</f>
        <v>#N/A</v>
      </c>
      <c r="L225" s="385" t="e">
        <f>IF(SUM($M$193:$R$193)=0,NA(),0)</f>
        <v>#N/A</v>
      </c>
      <c r="M225" s="385" t="e">
        <f>IF(SUM($M$193:$R$193)=0,NA(),$L$193)</f>
        <v>#N/A</v>
      </c>
      <c r="N225" s="385" t="e">
        <f>IF(SUM($M$193:$R$193)=0,NA(),0)</f>
        <v>#N/A</v>
      </c>
    </row>
    <row r="226" spans="11:16" x14ac:dyDescent="0.25">
      <c r="K226" s="385" t="e">
        <f>K225</f>
        <v>#N/A</v>
      </c>
      <c r="L226" s="385" t="e">
        <f>IF(SUM($M$193:$R$193)=0,NA(),SUM(M193:Q193))</f>
        <v>#N/A</v>
      </c>
      <c r="M226" s="385" t="e">
        <f>M225</f>
        <v>#N/A</v>
      </c>
      <c r="N226" s="385" t="e">
        <f>IF(SUM($M$193:$R$193)=0,NA(),R193)</f>
        <v>#N/A</v>
      </c>
    </row>
    <row r="227" spans="11:16" x14ac:dyDescent="0.25">
      <c r="K227" s="385" t="e">
        <f>NA()</f>
        <v>#N/A</v>
      </c>
      <c r="L227" s="385" t="e">
        <f>NA()</f>
        <v>#N/A</v>
      </c>
      <c r="M227" s="385" t="e">
        <f>NA()</f>
        <v>#N/A</v>
      </c>
      <c r="N227" s="385" t="e">
        <f>NA()</f>
        <v>#N/A</v>
      </c>
    </row>
    <row r="228" spans="11:16" x14ac:dyDescent="0.25">
      <c r="K228" s="385" t="e">
        <f>IF(SUM($M$194:$R$194)=0,NA(),$L$194)</f>
        <v>#N/A</v>
      </c>
      <c r="L228" s="385" t="e">
        <f>IF(SUM($M$194:$R$194)=0,NA(),0)</f>
        <v>#N/A</v>
      </c>
      <c r="M228" s="385" t="e">
        <f>IF(SUM($M$194:$R$194)=0,NA(),$L$194)</f>
        <v>#N/A</v>
      </c>
      <c r="N228" s="385" t="e">
        <f>IF(SUM($M$194:$R$194)=0,NA(),0)</f>
        <v>#N/A</v>
      </c>
    </row>
    <row r="229" spans="11:16" x14ac:dyDescent="0.25">
      <c r="K229" s="385" t="e">
        <f>K228</f>
        <v>#N/A</v>
      </c>
      <c r="L229" s="385" t="e">
        <f>IF(SUM($M$194:$R$194)=0,NA(),SUM(M194:Q194))</f>
        <v>#N/A</v>
      </c>
      <c r="M229" s="385" t="e">
        <f>M228</f>
        <v>#N/A</v>
      </c>
      <c r="N229" s="385" t="e">
        <f>IF(SUM($M$194:$R$194)=0,NA(),R194)</f>
        <v>#N/A</v>
      </c>
    </row>
    <row r="230" spans="11:16" x14ac:dyDescent="0.25">
      <c r="K230" s="385" t="e">
        <f>NA()</f>
        <v>#N/A</v>
      </c>
      <c r="L230" s="385" t="e">
        <f>NA()</f>
        <v>#N/A</v>
      </c>
      <c r="M230" s="385" t="e">
        <f>NA()</f>
        <v>#N/A</v>
      </c>
      <c r="N230" s="385" t="e">
        <f>NA()</f>
        <v>#N/A</v>
      </c>
    </row>
    <row r="232" spans="11:16" x14ac:dyDescent="0.25">
      <c r="K232" t="s">
        <v>986</v>
      </c>
    </row>
    <row r="233" spans="11:16" x14ac:dyDescent="0.25">
      <c r="K233" t="s">
        <v>987</v>
      </c>
      <c r="L233">
        <f ca="1">SUM($L$7:$L$9)*($L$5/100)+SUMPRODUCT(((($L$15:$L$24&lt;$L$5)*($L$5-$L$15:$L$24))-(($M$15:$M$24&lt;$L$5)*($L$5-$M$15:$M$24)))/100*($N$15:$N$24+$O$15:$O$24+$P$15:$P$24))</f>
        <v>294.66054375</v>
      </c>
      <c r="M233" t="s">
        <v>292</v>
      </c>
      <c r="O233" t="s">
        <v>988</v>
      </c>
      <c r="P233">
        <f ca="1">SUM($L$7:$L$7)*($L$5/100)+SUMPRODUCT(((($L$15:$L$24&lt;$L$5)*($L$5-$L$15:$L$24))-(($M$15:$M$24&lt;$L$5)*($L$5-$M$15:$M$24)))/100*($N$15:$N$24))</f>
        <v>41.801249999999996</v>
      </c>
    </row>
    <row r="234" spans="11:16" x14ac:dyDescent="0.25">
      <c r="K234" t="s">
        <v>989</v>
      </c>
      <c r="L234">
        <f ca="1">SUM($L$7:$L$9)*(($L$5/100)^2)/2+SUMPRODUCT(($N$15:$N$24+$O$15:$O$24+$P$15:$P$24)*((($M$15:$M$24/100)^2)-(($L$15:$L$24/100)^2))/2)</f>
        <v>1156.54263421875</v>
      </c>
      <c r="M234" t="s">
        <v>965</v>
      </c>
      <c r="O234" t="s">
        <v>990</v>
      </c>
      <c r="P234">
        <f ca="1">SUM($L$7:$L$7)*(($L$5/100)^2)/2+SUMPRODUCT($N$15:$N$24*((($M$15:$M$24/100)^2)-(($L$15:$L$24/100)^2))/2)</f>
        <v>164.06990625</v>
      </c>
    </row>
    <row r="235" spans="11:16" x14ac:dyDescent="0.25">
      <c r="K235" t="s">
        <v>991</v>
      </c>
      <c r="L235">
        <f ca="1">$L$233+SUMPRODUCT($M$185:$M$194+$N$185:$N$194+$O$185:$O$194)-$L$236</f>
        <v>147.330271875</v>
      </c>
      <c r="M235" t="s">
        <v>292</v>
      </c>
      <c r="O235" t="s">
        <v>992</v>
      </c>
      <c r="P235">
        <f ca="1">$P$233-$P$236</f>
        <v>20.900624999999994</v>
      </c>
    </row>
    <row r="236" spans="11:16" x14ac:dyDescent="0.25">
      <c r="K236" t="s">
        <v>993</v>
      </c>
      <c r="L236">
        <f ca="1">($L$234-$L$233*Geometria!$L$21/100)/($L$109/100)+SUMPRODUCT(($M$185:$M$194+$N$185:$N$194+$O$185:$O$194)*(($L$185:$L$194-Geometria!$L$21)/$L$109))</f>
        <v>147.330271875</v>
      </c>
      <c r="M236" t="s">
        <v>292</v>
      </c>
      <c r="O236" t="s">
        <v>994</v>
      </c>
      <c r="P236">
        <f ca="1">($P$234-$P$233*Geometria!$L$21/100)/($L$109/100)+SUMPRODUCT($M$185:$M$194*(($L$185:$L$194-Geometria!$L$21)/$L$109))</f>
        <v>20.900625</v>
      </c>
    </row>
    <row r="237" spans="11:16" x14ac:dyDescent="0.25">
      <c r="K237" t="s">
        <v>995</v>
      </c>
      <c r="L237">
        <f>SUM($L$10:$L$11)*($L$5/100)+SUMPRODUCT(((($L$15:$L$24&lt;$L$5)*($L$5-$L$15:$L$24))-(($M$15:$M$24&lt;$L$5)*($L$5-$M$15:$M$24)))/100*($Q$15:$Q$24+$R$15:$R$24))</f>
        <v>45.824374999999996</v>
      </c>
      <c r="M237" t="s">
        <v>292</v>
      </c>
    </row>
    <row r="238" spans="11:16" x14ac:dyDescent="0.25">
      <c r="K238" t="s">
        <v>996</v>
      </c>
      <c r="L238">
        <f>SUM($L$10:$L$11)*(($L$5/100)^2)/2+SUMPRODUCT(($Q$15:$Q$24+$R$15:$R$24)*((($M$15:$M$24/100)^2)-(($L$15:$L$24/100)^2))/2)</f>
        <v>179.86067187499998</v>
      </c>
      <c r="M238" t="s">
        <v>965</v>
      </c>
    </row>
    <row r="239" spans="11:16" x14ac:dyDescent="0.25">
      <c r="K239" t="s">
        <v>997</v>
      </c>
      <c r="L239">
        <f>$L$237+SUMPRODUCT($P$185:$P$194+$Q$185:$Q$194)-$L$240</f>
        <v>22.912187499999998</v>
      </c>
      <c r="M239" t="s">
        <v>292</v>
      </c>
    </row>
    <row r="240" spans="11:16" x14ac:dyDescent="0.25">
      <c r="K240" t="s">
        <v>998</v>
      </c>
      <c r="L240">
        <f>($L$238-$L$237*Geometria!$L$21/100)/($L$109/100)+SUMPRODUCT(($P$185:$P$194+$Q$185:$Q$194)*(($L$185:$L$194-Geometria!$L$21)/$L$109))</f>
        <v>22.912187499999998</v>
      </c>
      <c r="M240" t="s">
        <v>292</v>
      </c>
    </row>
    <row r="242" spans="11:36" x14ac:dyDescent="0.25">
      <c r="K242" t="s">
        <v>42</v>
      </c>
      <c r="L242" t="s">
        <v>968</v>
      </c>
      <c r="M242" t="s">
        <v>999</v>
      </c>
      <c r="N242" t="s">
        <v>1000</v>
      </c>
      <c r="O242" t="s">
        <v>1001</v>
      </c>
      <c r="P242" t="s">
        <v>1002</v>
      </c>
      <c r="Q242" t="s">
        <v>1003</v>
      </c>
      <c r="R242" t="s">
        <v>1004</v>
      </c>
      <c r="S242" t="s">
        <v>1005</v>
      </c>
      <c r="T242" t="s">
        <v>1006</v>
      </c>
      <c r="U242" t="s">
        <v>1007</v>
      </c>
      <c r="V242" t="s">
        <v>1008</v>
      </c>
      <c r="W242" t="s">
        <v>1009</v>
      </c>
      <c r="X242" t="s">
        <v>1010</v>
      </c>
      <c r="AH242" t="s">
        <v>1011</v>
      </c>
      <c r="AI242" t="s">
        <v>1012</v>
      </c>
      <c r="AJ242" t="s">
        <v>1013</v>
      </c>
    </row>
    <row r="243" spans="11:36" x14ac:dyDescent="0.25">
      <c r="K243" t="s">
        <v>404</v>
      </c>
      <c r="L243">
        <v>0</v>
      </c>
      <c r="M243">
        <f t="shared" ref="M243:M263" ca="1" si="22">SUM($L$7:$L$9)+SUMPRODUCT(($L$15:$L$24&lt;=L243)*($M$15:$M$24&gt;L243)*($N$15:$N$24+$O$15:$O$24+$P$15:$P$24))</f>
        <v>37.536375</v>
      </c>
      <c r="N243">
        <f ca="1">IF(L243&gt;=Geometria!$L$21,$L$235,0)-(SUM($L$7:$L$9)*(L243/100)+SUMPRODUCT(((($L$15:$L$24&lt;L243)*(L243-$L$15:$L$24))-(($M$15:$M$24&lt;L243)*(L243-$M$15:$M$24)))/100*($N$15:$N$24+$O$15:$O$24+$P$15:$P$24)))-SUMPRODUCT(($L$185:$L$194&lt;=L243)*($M$185:$M$194+$N$185:$N$194+$O$185:$O$194))+IF(L243&gt;(Geometria!$L$21+$L$109),$L$236,0)</f>
        <v>147.330271875</v>
      </c>
      <c r="O243">
        <v>0</v>
      </c>
      <c r="P243">
        <f t="shared" ref="P243:P263" si="23">SUM($L$10:$L$11)+SUMPRODUCT(($L$15:$L$24&lt;=L243)*($M$15:$M$24&gt;L243)*($Q$15:$Q$24+$R$15:$R$24))</f>
        <v>5.8374999999999995</v>
      </c>
      <c r="Q243">
        <f>IF(L243&gt;=Geometria!$L$21,$L$239,0)-(SUM($L$10:$L$11)*(L243/100)+SUMPRODUCT(((($L$15:$L$24&lt;L243)*(L243-$L$15:$L$24))-(($M$15:$M$24&lt;L243)*(L243-$M$15:$M$24)))/100*($Q$15:$Q$24+$R$15:$R$24)))-SUMPRODUCT(($L$185:$L$194&lt;=L243)*($P$185:$P$194+$Q$185:$Q$194))+IF(L243&gt;(Geometria!$L$21+$L$109),$L$240,0)</f>
        <v>22.912187499999998</v>
      </c>
      <c r="R243">
        <v>0</v>
      </c>
      <c r="S243">
        <f t="shared" ref="S243:S263" si="24">SUMPRODUCT(($L$15:$L$24&lt;=L243)*($M$15:$M$24&gt;L243)*$S$15:$S$24)+$L$12</f>
        <v>145.9375</v>
      </c>
      <c r="T243">
        <f>IF(L243&gt;=Geometria!$L$21,$L$149,0)-($L$12*(L243/100)+SUMPRODUCT(((($L$15:$L$24&lt;L243)*(L243-$L$15:$L$24))-(($M$15:$M$24&lt;L243)*(L243-$M$15:$M$24)))/100*$S$15:$S$24))-SUMPRODUCT(($L$185:$L$194&lt;=L243)*$R$185:$R$194)+IF(L243&gt;(Geometria!$L$21+$L$109),$L$150,0)</f>
        <v>572.8046875000001</v>
      </c>
      <c r="U243">
        <v>0</v>
      </c>
      <c r="V243">
        <f t="shared" ref="V243:V263" ca="1" si="25">SUM($L$7:$L$7)+SUMPRODUCT(($L$15:$L$24&lt;=L243)*($M$15:$M$24&gt;L243)*($N$15:$N$24))</f>
        <v>5.325</v>
      </c>
      <c r="W243">
        <f ca="1">IF(L243&gt;=Geometria!$L$21,$P$235,0)-(SUM($L$7:$L$7)*(L243/100)+SUMPRODUCT(((($L$15:$L$24&lt;L243)*(L243-$L$15:$L$24))-(($M$15:$M$24&lt;L243)*(L243-$M$15:$M$24)))/100*($N$15:$N$24)))-SUMPRODUCT(($L$185:$L$194&lt;=L243)*($M$185:$M$194))+IF(L243&gt;(Geometria!$L$21+$L$109),$P$236,0)</f>
        <v>20.900624999999994</v>
      </c>
      <c r="X243">
        <v>0</v>
      </c>
      <c r="AH243">
        <f t="shared" ref="AH243:AH263" si="26">O243+R243+U243</f>
        <v>0.0</v>
      </c>
      <c r="AI243" t="b">
        <f>AND(L243&gt;=Geometria!$L$21,L243&lt;=(Geometria!$L$21+$L$109))</f>
        <v>1</v>
      </c>
      <c r="AJ243">
        <f t="shared" ref="AJ243:AJ263" si="27">IF(AI243,AH243,-999999999)</f>
        <v>0.0</v>
      </c>
    </row>
    <row r="244" spans="11:36" x14ac:dyDescent="0.25">
      <c r="K244" t="s">
        <v>405</v>
      </c>
      <c r="L244">
        <f>L243+Geometria!$L$29/20</f>
        <v>39.25</v>
      </c>
      <c r="M244">
        <f t="shared" ca="1" si="22"/>
        <v>37.536375</v>
      </c>
      <c r="N244">
        <f ca="1">IF(L244&gt;=Geometria!$L$21,$L$235,0)-(SUM($L$7:$L$9)*(L244/100)+SUMPRODUCT(((($L$15:$L$24&lt;L244)*(L244-$L$15:$L$24))-(($M$15:$M$24&lt;L244)*(L244-$M$15:$M$24)))/100*($N$15:$N$24+$O$15:$O$24+$P$15:$P$24)))-SUMPRODUCT(($L$185:$L$194&lt;=L244)*($M$185:$M$194+$N$185:$N$194+$O$185:$O$194))+IF(L244&gt;(Geometria!$L$21+$L$109),$L$236,0)</f>
        <v>132.5972446875</v>
      </c>
      <c r="O244">
        <f t="shared" ref="O244:O263" ca="1" si="28">O243+(N243+N244)/2*(L244-L243)/100</f>
        <v>54.93577512539062</v>
      </c>
      <c r="P244">
        <f t="shared" si="23"/>
        <v>5.8374999999999995</v>
      </c>
      <c r="Q244">
        <f>IF(L244&gt;=Geometria!$L$21,$L$239,0)-(SUM($L$10:$L$11)*(L244/100)+SUMPRODUCT(((($L$15:$L$24&lt;L244)*(L244-$L$15:$L$24))-(($M$15:$M$24&lt;L244)*(L244-$M$15:$M$24)))/100*($Q$15:$Q$24+$R$15:$R$24)))-SUMPRODUCT(($L$185:$L$194&lt;=L244)*($P$185:$P$194+$Q$185:$Q$194))+IF(L244&gt;(Geometria!$L$21+$L$109),$L$240,0)</f>
        <v>20.62096875</v>
      </c>
      <c r="R244">
        <f t="shared" ref="R244:R263" si="29">R243+(Q243+Q244)/2*(L244-L243)/100</f>
        <v>8.5433819140625</v>
      </c>
      <c r="S244">
        <f t="shared" si="24"/>
        <v>145.9375</v>
      </c>
      <c r="T244">
        <f>IF(L244&gt;=Geometria!$L$21,$L$149,0)-($L$12*(L244/100)+SUMPRODUCT(((($L$15:$L$24&lt;L244)*(L244-$L$15:$L$24))-(($M$15:$M$24&lt;L244)*(L244-$M$15:$M$24)))/100*$S$15:$S$24))-SUMPRODUCT(($L$185:$L$194&lt;=L244)*$R$185:$R$194)+IF(L244&gt;(Geometria!$L$21+$L$109),$L$150,0)</f>
        <v>515.5242187500002</v>
      </c>
      <c r="U244">
        <f t="shared" ref="U244:U263" si="30">U243+(T243+T244)/2*(L244-L243)/100</f>
        <v>213.58454785156258</v>
      </c>
      <c r="V244">
        <f t="shared" ca="1" si="25"/>
        <v>5.325</v>
      </c>
      <c r="W244">
        <f ca="1">IF(L244&gt;=Geometria!$L$21,$P$235,0)-(SUM($L$7:$L$7)*(L244/100)+SUMPRODUCT(((($L$15:$L$24&lt;L244)*(L244-$L$15:$L$24))-(($M$15:$M$24&lt;L244)*(L244-$M$15:$M$24)))/100*($N$15:$N$24)))-SUMPRODUCT(($L$185:$L$194&lt;=L244)*($M$185:$M$194))+IF(L244&gt;(Geometria!$L$21+$L$109),$P$236,0)</f>
        <v>18.810562499999996</v>
      </c>
      <c r="X244">
        <f t="shared" ref="X244:X263" ca="1" si="31">X243+(W243+W244)/2*(L244-L243)/100</f>
        <v>7.793320546874998</v>
      </c>
      <c r="AH244">
        <f t="shared" ca="1" si="26"/>
        <v>277.0637048910157</v>
      </c>
      <c r="AI244" t="b">
        <f>AND(L244&gt;=Geometria!$L$21,L244&lt;=(Geometria!$L$21+$L$109))</f>
        <v>1</v>
      </c>
      <c r="AJ244">
        <f t="shared" ca="1" si="27"/>
        <v>277.0637048910157</v>
      </c>
    </row>
    <row r="245" spans="11:36" x14ac:dyDescent="0.25">
      <c r="K245" t="s">
        <v>406</v>
      </c>
      <c r="L245">
        <f>L244+Geometria!$L$29/20</f>
        <v>78.5</v>
      </c>
      <c r="M245">
        <f t="shared" ca="1" si="22"/>
        <v>37.536375</v>
      </c>
      <c r="N245">
        <f ca="1">IF(L245&gt;=Geometria!$L$21,$L$235,0)-(SUM($L$7:$L$9)*(L245/100)+SUMPRODUCT(((($L$15:$L$24&lt;L245)*(L245-$L$15:$L$24))-(($M$15:$M$24&lt;L245)*(L245-$M$15:$M$24)))/100*($N$15:$N$24+$O$15:$O$24+$P$15:$P$24)))-SUMPRODUCT(($L$185:$L$194&lt;=L245)*($M$185:$M$194+$N$185:$N$194+$O$185:$O$194))+IF(L245&gt;(Geometria!$L$21+$L$109),$L$236,0)</f>
        <v>117.8642175</v>
      </c>
      <c r="O245">
        <f t="shared" ca="1" si="28"/>
        <v>104.0888370796875</v>
      </c>
      <c r="P245">
        <f t="shared" si="23"/>
        <v>5.8374999999999995</v>
      </c>
      <c r="Q245">
        <f>IF(L245&gt;=Geometria!$L$21,$L$239,0)-(SUM($L$10:$L$11)*(L245/100)+SUMPRODUCT(((($L$15:$L$24&lt;L245)*(L245-$L$15:$L$24))-(($M$15:$M$24&lt;L245)*(L245-$M$15:$M$24)))/100*($Q$15:$Q$24+$R$15:$R$24)))-SUMPRODUCT(($L$185:$L$194&lt;=L245)*($P$185:$P$194+$Q$185:$Q$194))+IF(L245&gt;(Geometria!$L$21+$L$109),$L$240,0)</f>
        <v>18.329749999999997</v>
      </c>
      <c r="R245">
        <f t="shared" si="29"/>
        <v>16.18746046875</v>
      </c>
      <c r="S245">
        <f t="shared" si="24"/>
        <v>145.9375</v>
      </c>
      <c r="T245">
        <f>IF(L245&gt;=Geometria!$L$21,$L$149,0)-($L$12*(L245/100)+SUMPRODUCT(((($L$15:$L$24&lt;L245)*(L245-$L$15:$L$24))-(($M$15:$M$24&lt;L245)*(L245-$M$15:$M$24)))/100*$S$15:$S$24))-SUMPRODUCT(($L$185:$L$194&lt;=L245)*$R$185:$R$194)+IF(L245&gt;(Geometria!$L$21+$L$109),$L$150,0)</f>
        <v>458.2437500000001</v>
      </c>
      <c r="U245">
        <f t="shared" si="30"/>
        <v>404.6865117187501</v>
      </c>
      <c r="V245">
        <f t="shared" ca="1" si="25"/>
        <v>5.325</v>
      </c>
      <c r="W245">
        <f ca="1">IF(L245&gt;=Geometria!$L$21,$P$235,0)-(SUM($L$7:$L$7)*(L245/100)+SUMPRODUCT(((($L$15:$L$24&lt;L245)*(L245-$L$15:$L$24))-(($M$15:$M$24&lt;L245)*(L245-$M$15:$M$24)))/100*($N$15:$N$24)))-SUMPRODUCT(($L$185:$L$194&lt;=L245)*($M$185:$M$194))+IF(L245&gt;(Geometria!$L$21+$L$109),$P$236,0)</f>
        <v>16.720499999999994</v>
      </c>
      <c r="X245">
        <f t="shared" ca="1" si="31"/>
        <v>14.766291562499998</v>
      </c>
      <c r="AH245">
        <f t="shared" ca="1" si="26"/>
        <v>524.9628092671876</v>
      </c>
      <c r="AI245" t="b">
        <f>AND(L245&gt;=Geometria!$L$21,L245&lt;=(Geometria!$L$21+$L$109))</f>
        <v>1</v>
      </c>
      <c r="AJ245">
        <f t="shared" ca="1" si="27"/>
        <v>524.9628092671876</v>
      </c>
    </row>
    <row r="246" spans="11:36" x14ac:dyDescent="0.25">
      <c r="K246" t="s">
        <v>407</v>
      </c>
      <c r="L246">
        <f>L245+Geometria!$L$29/20</f>
        <v>117.75</v>
      </c>
      <c r="M246">
        <f t="shared" ca="1" si="22"/>
        <v>37.536375</v>
      </c>
      <c r="N246">
        <f ca="1">IF(L246&gt;=Geometria!$L$21,$L$235,0)-(SUM($L$7:$L$9)*(L246/100)+SUMPRODUCT(((($L$15:$L$24&lt;L246)*(L246-$L$15:$L$24))-(($M$15:$M$24&lt;L246)*(L246-$M$15:$M$24)))/100*($N$15:$N$24+$O$15:$O$24+$P$15:$P$24)))-SUMPRODUCT(($L$185:$L$194&lt;=L246)*($M$185:$M$194+$N$185:$N$194+$O$185:$O$194))+IF(L246&gt;(Geometria!$L$21+$L$109),$L$236,0)</f>
        <v>103.1311903125</v>
      </c>
      <c r="O246">
        <f t="shared" ca="1" si="28"/>
        <v>147.45918586289062</v>
      </c>
      <c r="P246">
        <f t="shared" si="23"/>
        <v>5.8374999999999995</v>
      </c>
      <c r="Q246">
        <f>IF(L246&gt;=Geometria!$L$21,$L$239,0)-(SUM($L$10:$L$11)*(L246/100)+SUMPRODUCT(((($L$15:$L$24&lt;L246)*(L246-$L$15:$L$24))-(($M$15:$M$24&lt;L246)*(L246-$M$15:$M$24)))/100*($Q$15:$Q$24+$R$15:$R$24)))-SUMPRODUCT(($L$185:$L$194&lt;=L246)*($P$185:$P$194+$Q$185:$Q$194))+IF(L246&gt;(Geometria!$L$21+$L$109),$L$240,0)</f>
        <v>16.03853125</v>
      </c>
      <c r="R246">
        <f t="shared" si="29"/>
        <v>22.9322356640625</v>
      </c>
      <c r="S246">
        <f t="shared" si="24"/>
        <v>145.9375</v>
      </c>
      <c r="T246">
        <f>IF(L246&gt;=Geometria!$L$21,$L$149,0)-($L$12*(L246/100)+SUMPRODUCT(((($L$15:$L$24&lt;L246)*(L246-$L$15:$L$24))-(($M$15:$M$24&lt;L246)*(L246-$M$15:$M$24)))/100*$S$15:$S$24))-SUMPRODUCT(($L$185:$L$194&lt;=L246)*$R$185:$R$194)+IF(L246&gt;(Geometria!$L$21+$L$109),$L$150,0)</f>
        <v>400.96328125000014</v>
      </c>
      <c r="U246">
        <f t="shared" si="30"/>
        <v>573.3058916015626</v>
      </c>
      <c r="V246">
        <f t="shared" ca="1" si="25"/>
        <v>5.325</v>
      </c>
      <c r="W246">
        <f ca="1">IF(L246&gt;=Geometria!$L$21,$P$235,0)-(SUM($L$7:$L$7)*(L246/100)+SUMPRODUCT(((($L$15:$L$24&lt;L246)*(L246-$L$15:$L$24))-(($M$15:$M$24&lt;L246)*(L246-$M$15:$M$24)))/100*($N$15:$N$24)))-SUMPRODUCT(($L$185:$L$194&lt;=L246)*($M$185:$M$194))+IF(L246&gt;(Geometria!$L$21+$L$109),$P$236,0)</f>
        <v>14.630437499999994</v>
      </c>
      <c r="X246">
        <f t="shared" ca="1" si="31"/>
        <v>20.918913046874994</v>
      </c>
      <c r="AH246">
        <f t="shared" ca="1" si="26"/>
        <v>743.6973131285157</v>
      </c>
      <c r="AI246" t="b">
        <f>AND(L246&gt;=Geometria!$L$21,L246&lt;=(Geometria!$L$21+$L$109))</f>
        <v>1</v>
      </c>
      <c r="AJ246">
        <f t="shared" ca="1" si="27"/>
        <v>743.6973131285157</v>
      </c>
    </row>
    <row r="247" spans="11:36" x14ac:dyDescent="0.25">
      <c r="K247" t="s">
        <v>408</v>
      </c>
      <c r="L247">
        <f>L246+Geometria!$L$29/20</f>
        <v>157.0</v>
      </c>
      <c r="M247">
        <f t="shared" ca="1" si="22"/>
        <v>37.536375</v>
      </c>
      <c r="N247">
        <f ca="1">IF(L247&gt;=Geometria!$L$21,$L$235,0)-(SUM($L$7:$L$9)*(L247/100)+SUMPRODUCT(((($L$15:$L$24&lt;L247)*(L247-$L$15:$L$24))-(($M$15:$M$24&lt;L247)*(L247-$M$15:$M$24)))/100*($N$15:$N$24+$O$15:$O$24+$P$15:$P$24)))-SUMPRODUCT(($L$185:$L$194&lt;=L247)*($M$185:$M$194+$N$185:$N$194+$O$185:$O$194))+IF(L247&gt;(Geometria!$L$21+$L$109),$L$236,0)</f>
        <v>88.398163125</v>
      </c>
      <c r="O247">
        <f t="shared" ca="1" si="28"/>
        <v>185.046821475</v>
      </c>
      <c r="P247">
        <f t="shared" si="23"/>
        <v>5.8374999999999995</v>
      </c>
      <c r="Q247">
        <f>IF(L247&gt;=Geometria!$L$21,$L$239,0)-(SUM($L$10:$L$11)*(L247/100)+SUMPRODUCT(((($L$15:$L$24&lt;L247)*(L247-$L$15:$L$24))-(($M$15:$M$24&lt;L247)*(L247-$M$15:$M$24)))/100*($Q$15:$Q$24+$R$15:$R$24)))-SUMPRODUCT(($L$185:$L$194&lt;=L247)*($P$185:$P$194+$Q$185:$Q$194))+IF(L247&gt;(Geometria!$L$21+$L$109),$L$240,0)</f>
        <v>13.747312499999998</v>
      </c>
      <c r="R247">
        <f t="shared" si="29"/>
        <v>28.777707499999998</v>
      </c>
      <c r="S247">
        <f t="shared" si="24"/>
        <v>145.9375</v>
      </c>
      <c r="T247">
        <f>IF(L247&gt;=Geometria!$L$21,$L$149,0)-($L$12*(L247/100)+SUMPRODUCT(((($L$15:$L$24&lt;L247)*(L247-$L$15:$L$24))-(($M$15:$M$24&lt;L247)*(L247-$M$15:$M$24)))/100*$S$15:$S$24))-SUMPRODUCT(($L$185:$L$194&lt;=L247)*$R$185:$R$194)+IF(L247&gt;(Geometria!$L$21+$L$109),$L$150,0)</f>
        <v>343.68281250000007</v>
      </c>
      <c r="U247">
        <f t="shared" si="30"/>
        <v>719.4426875000001</v>
      </c>
      <c r="V247">
        <f t="shared" ca="1" si="25"/>
        <v>5.325</v>
      </c>
      <c r="W247">
        <f ca="1">IF(L247&gt;=Geometria!$L$21,$P$235,0)-(SUM($L$7:$L$7)*(L247/100)+SUMPRODUCT(((($L$15:$L$24&lt;L247)*(L247-$L$15:$L$24))-(($M$15:$M$24&lt;L247)*(L247-$M$15:$M$24)))/100*($N$15:$N$24)))-SUMPRODUCT(($L$185:$L$194&lt;=L247)*($M$185:$M$194))+IF(L247&gt;(Geometria!$L$21+$L$109),$P$236,0)</f>
        <v>12.540374999999994</v>
      </c>
      <c r="X247">
        <f t="shared" ca="1" si="31"/>
        <v>26.251184999999992</v>
      </c>
      <c r="AH247">
        <f t="shared" ca="1" si="26"/>
        <v>933.2672164750002</v>
      </c>
      <c r="AI247" t="b">
        <f>AND(L247&gt;=Geometria!$L$21,L247&lt;=(Geometria!$L$21+$L$109))</f>
        <v>1</v>
      </c>
      <c r="AJ247">
        <f t="shared" ca="1" si="27"/>
        <v>933.2672164750002</v>
      </c>
    </row>
    <row r="248" spans="11:36" x14ac:dyDescent="0.25">
      <c r="K248" t="s">
        <v>409</v>
      </c>
      <c r="L248">
        <f>L247+Geometria!$L$29/20</f>
        <v>196.25</v>
      </c>
      <c r="M248">
        <f t="shared" ca="1" si="22"/>
        <v>37.536375</v>
      </c>
      <c r="N248">
        <f ca="1">IF(L248&gt;=Geometria!$L$21,$L$235,0)-(SUM($L$7:$L$9)*(L248/100)+SUMPRODUCT(((($L$15:$L$24&lt;L248)*(L248-$L$15:$L$24))-(($M$15:$M$24&lt;L248)*(L248-$M$15:$M$24)))/100*($N$15:$N$24+$O$15:$O$24+$P$15:$P$24)))-SUMPRODUCT(($L$185:$L$194&lt;=L248)*($M$185:$M$194+$N$185:$N$194+$O$185:$O$194))+IF(L248&gt;(Geometria!$L$21+$L$109),$L$236,0)</f>
        <v>73.6651359375</v>
      </c>
      <c r="O248">
        <f t="shared" ca="1" si="28"/>
        <v>216.85174391601564</v>
      </c>
      <c r="P248">
        <f t="shared" si="23"/>
        <v>5.8374999999999995</v>
      </c>
      <c r="Q248">
        <f>IF(L248&gt;=Geometria!$L$21,$L$239,0)-(SUM($L$10:$L$11)*(L248/100)+SUMPRODUCT(((($L$15:$L$24&lt;L248)*(L248-$L$15:$L$24))-(($M$15:$M$24&lt;L248)*(L248-$M$15:$M$24)))/100*($Q$15:$Q$24+$R$15:$R$24)))-SUMPRODUCT(($L$185:$L$194&lt;=L248)*($P$185:$P$194+$Q$185:$Q$194))+IF(L248&gt;(Geometria!$L$21+$L$109),$L$240,0)</f>
        <v>11.456093749999999</v>
      </c>
      <c r="R248">
        <f t="shared" si="29"/>
        <v>33.723875976562496</v>
      </c>
      <c r="S248">
        <f t="shared" si="24"/>
        <v>145.9375</v>
      </c>
      <c r="T248">
        <f>IF(L248&gt;=Geometria!$L$21,$L$149,0)-($L$12*(L248/100)+SUMPRODUCT(((($L$15:$L$24&lt;L248)*(L248-$L$15:$L$24))-(($M$15:$M$24&lt;L248)*(L248-$M$15:$M$24)))/100*$S$15:$S$24))-SUMPRODUCT(($L$185:$L$194&lt;=L248)*$R$185:$R$194)+IF(L248&gt;(Geometria!$L$21+$L$109),$L$150,0)</f>
        <v>286.4023437500001</v>
      </c>
      <c r="U248">
        <f t="shared" si="30"/>
        <v>843.0968994140627</v>
      </c>
      <c r="V248">
        <f t="shared" ca="1" si="25"/>
        <v>5.325</v>
      </c>
      <c r="W248">
        <f ca="1">IF(L248&gt;=Geometria!$L$21,$P$235,0)-(SUM($L$7:$L$7)*(L248/100)+SUMPRODUCT(((($L$15:$L$24&lt;L248)*(L248-$L$15:$L$24))-(($M$15:$M$24&lt;L248)*(L248-$M$15:$M$24)))/100*($N$15:$N$24)))-SUMPRODUCT(($L$185:$L$194&lt;=L248)*($M$185:$M$194))+IF(L248&gt;(Geometria!$L$21+$L$109),$P$236,0)</f>
        <v>10.450312499999995</v>
      </c>
      <c r="X248">
        <f t="shared" ca="1" si="31"/>
        <v>30.76310742187499</v>
      </c>
      <c r="AH248">
        <f t="shared" ca="1" si="26"/>
        <v>1093.6725193066409</v>
      </c>
      <c r="AI248" t="b">
        <f>AND(L248&gt;=Geometria!$L$21,L248&lt;=(Geometria!$L$21+$L$109))</f>
        <v>1</v>
      </c>
      <c r="AJ248">
        <f t="shared" ca="1" si="27"/>
        <v>1093.6725193066409</v>
      </c>
    </row>
    <row r="249" spans="11:36" x14ac:dyDescent="0.25">
      <c r="K249" t="s">
        <v>410</v>
      </c>
      <c r="L249">
        <f>L248+Geometria!$L$29/20</f>
        <v>235.5</v>
      </c>
      <c r="M249">
        <f t="shared" ca="1" si="22"/>
        <v>37.536375</v>
      </c>
      <c r="N249">
        <f ca="1">IF(L249&gt;=Geometria!$L$21,$L$235,0)-(SUM($L$7:$L$9)*(L249/100)+SUMPRODUCT(((($L$15:$L$24&lt;L249)*(L249-$L$15:$L$24))-(($M$15:$M$24&lt;L249)*(L249-$M$15:$M$24)))/100*($N$15:$N$24+$O$15:$O$24+$P$15:$P$24)))-SUMPRODUCT(($L$185:$L$194&lt;=L249)*($M$185:$M$194+$N$185:$N$194+$O$185:$O$194))+IF(L249&gt;(Geometria!$L$21+$L$109),$L$236,0)</f>
        <v>58.93210875</v>
      </c>
      <c r="O249">
        <f t="shared" ca="1" si="28"/>
        <v>242.87395318593752</v>
      </c>
      <c r="P249">
        <f t="shared" si="23"/>
        <v>5.8374999999999995</v>
      </c>
      <c r="Q249">
        <f>IF(L249&gt;=Geometria!$L$21,$L$239,0)-(SUM($L$10:$L$11)*(L249/100)+SUMPRODUCT(((($L$15:$L$24&lt;L249)*(L249-$L$15:$L$24))-(($M$15:$M$24&lt;L249)*(L249-$M$15:$M$24)))/100*($Q$15:$Q$24+$R$15:$R$24)))-SUMPRODUCT(($L$185:$L$194&lt;=L249)*($P$185:$P$194+$Q$185:$Q$194))+IF(L249&gt;(Geometria!$L$21+$L$109),$L$240,0)</f>
        <v>9.164875</v>
      </c>
      <c r="R249">
        <f t="shared" si="29"/>
        <v>37.77074109375</v>
      </c>
      <c r="S249">
        <f t="shared" si="24"/>
        <v>145.9375</v>
      </c>
      <c r="T249">
        <f>IF(L249&gt;=Geometria!$L$21,$L$149,0)-($L$12*(L249/100)+SUMPRODUCT(((($L$15:$L$24&lt;L249)*(L249-$L$15:$L$24))-(($M$15:$M$24&lt;L249)*(L249-$M$15:$M$24)))/100*$S$15:$S$24))-SUMPRODUCT(($L$185:$L$194&lt;=L249)*$R$185:$R$194)+IF(L249&gt;(Geometria!$L$21+$L$109),$L$150,0)</f>
        <v>229.1218750000001</v>
      </c>
      <c r="U249">
        <f t="shared" si="30"/>
        <v>944.2685273437503</v>
      </c>
      <c r="V249">
        <f t="shared" ca="1" si="25"/>
        <v>5.325</v>
      </c>
      <c r="W249">
        <f ca="1">IF(L249&gt;=Geometria!$L$21,$P$235,0)-(SUM($L$7:$L$7)*(L249/100)+SUMPRODUCT(((($L$15:$L$24&lt;L249)*(L249-$L$15:$L$24))-(($M$15:$M$24&lt;L249)*(L249-$M$15:$M$24)))/100*($N$15:$N$24)))-SUMPRODUCT(($L$185:$L$194&lt;=L249)*($M$185:$M$194))+IF(L249&gt;(Geometria!$L$21+$L$109),$P$236,0)</f>
        <v>8.360249999999994</v>
      </c>
      <c r="X249">
        <f t="shared" ca="1" si="31"/>
        <v>34.45468031249999</v>
      </c>
      <c r="AH249">
        <f t="shared" ca="1" si="26"/>
        <v>1224.913221623438</v>
      </c>
      <c r="AI249" t="b">
        <f>AND(L249&gt;=Geometria!$L$21,L249&lt;=(Geometria!$L$21+$L$109))</f>
        <v>1</v>
      </c>
      <c r="AJ249">
        <f t="shared" ca="1" si="27"/>
        <v>1224.913221623438</v>
      </c>
    </row>
    <row r="250" spans="11:36" x14ac:dyDescent="0.25">
      <c r="K250" t="s">
        <v>411</v>
      </c>
      <c r="L250">
        <f>L249+Geometria!$L$29/20</f>
        <v>274.75</v>
      </c>
      <c r="M250">
        <f t="shared" ca="1" si="22"/>
        <v>37.536375</v>
      </c>
      <c r="N250">
        <f ca="1">IF(L250&gt;=Geometria!$L$21,$L$235,0)-(SUM($L$7:$L$9)*(L250/100)+SUMPRODUCT(((($L$15:$L$24&lt;L250)*(L250-$L$15:$L$24))-(($M$15:$M$24&lt;L250)*(L250-$M$15:$M$24)))/100*($N$15:$N$24+$O$15:$O$24+$P$15:$P$24)))-SUMPRODUCT(($L$185:$L$194&lt;=L250)*($M$185:$M$194+$N$185:$N$194+$O$185:$O$194))+IF(L250&gt;(Geometria!$L$21+$L$109),$L$236,0)</f>
        <v>44.1990815625</v>
      </c>
      <c r="O250">
        <f t="shared" ca="1" si="28"/>
        <v>263.11344928476564</v>
      </c>
      <c r="P250">
        <f t="shared" si="23"/>
        <v>5.8374999999999995</v>
      </c>
      <c r="Q250">
        <f>IF(L250&gt;=Geometria!$L$21,$L$239,0)-(SUM($L$10:$L$11)*(L250/100)+SUMPRODUCT(((($L$15:$L$24&lt;L250)*(L250-$L$15:$L$24))-(($M$15:$M$24&lt;L250)*(L250-$M$15:$M$24)))/100*($Q$15:$Q$24+$R$15:$R$24)))-SUMPRODUCT(($L$185:$L$194&lt;=L250)*($P$185:$P$194+$Q$185:$Q$194))+IF(L250&gt;(Geometria!$L$21+$L$109),$L$240,0)</f>
        <v>6.87365625</v>
      </c>
      <c r="R250">
        <f t="shared" si="29"/>
        <v>40.918302851562494</v>
      </c>
      <c r="S250">
        <f t="shared" si="24"/>
        <v>145.9375</v>
      </c>
      <c r="T250">
        <f>IF(L250&gt;=Geometria!$L$21,$L$149,0)-($L$12*(L250/100)+SUMPRODUCT(((($L$15:$L$24&lt;L250)*(L250-$L$15:$L$24))-(($M$15:$M$24&lt;L250)*(L250-$M$15:$M$24)))/100*$S$15:$S$24))-SUMPRODUCT(($L$185:$L$194&lt;=L250)*$R$185:$R$194)+IF(L250&gt;(Geometria!$L$21+$L$109),$L$150,0)</f>
        <v>171.8414062500001</v>
      </c>
      <c r="U250">
        <f t="shared" si="30"/>
        <v>1022.9575712890628</v>
      </c>
      <c r="V250">
        <f t="shared" ca="1" si="25"/>
        <v>5.325</v>
      </c>
      <c r="W250">
        <f ca="1">IF(L250&gt;=Geometria!$L$21,$P$235,0)-(SUM($L$7:$L$7)*(L250/100)+SUMPRODUCT(((($L$15:$L$24&lt;L250)*(L250-$L$15:$L$24))-(($M$15:$M$24&lt;L250)*(L250-$M$15:$M$24)))/100*($N$15:$N$24)))-SUMPRODUCT(($L$185:$L$194&lt;=L250)*($M$185:$M$194))+IF(L250&gt;(Geometria!$L$21+$L$109),$P$236,0)</f>
        <v>6.270187499999993</v>
      </c>
      <c r="X250">
        <f t="shared" ca="1" si="31"/>
        <v>37.32590367187498</v>
      </c>
      <c r="AH250">
        <f t="shared" ca="1" si="26"/>
        <v>1326.989323425391</v>
      </c>
      <c r="AI250" t="b">
        <f>AND(L250&gt;=Geometria!$L$21,L250&lt;=(Geometria!$L$21+$L$109))</f>
        <v>1</v>
      </c>
      <c r="AJ250">
        <f t="shared" ca="1" si="27"/>
        <v>1326.989323425391</v>
      </c>
    </row>
    <row r="251" spans="11:36" x14ac:dyDescent="0.25">
      <c r="K251" t="s">
        <v>412</v>
      </c>
      <c r="L251">
        <f>L250+Geometria!$L$29/20</f>
        <v>314.0</v>
      </c>
      <c r="M251">
        <f t="shared" ca="1" si="22"/>
        <v>37.536375</v>
      </c>
      <c r="N251">
        <f ca="1">IF(L251&gt;=Geometria!$L$21,$L$235,0)-(SUM($L$7:$L$9)*(L251/100)+SUMPRODUCT(((($L$15:$L$24&lt;L251)*(L251-$L$15:$L$24))-(($M$15:$M$24&lt;L251)*(L251-$M$15:$M$24)))/100*($N$15:$N$24+$O$15:$O$24+$P$15:$P$24)))-SUMPRODUCT(($L$185:$L$194&lt;=L251)*($M$185:$M$194+$N$185:$N$194+$O$185:$O$194))+IF(L251&gt;(Geometria!$L$21+$L$109),$L$236,0)</f>
        <v>29.466054374999985</v>
      </c>
      <c r="O251">
        <f t="shared" ca="1" si="28"/>
        <v>277.5702322125</v>
      </c>
      <c r="P251">
        <f t="shared" si="23"/>
        <v>5.8374999999999995</v>
      </c>
      <c r="Q251">
        <f>IF(L251&gt;=Geometria!$L$21,$L$239,0)-(SUM($L$10:$L$11)*(L251/100)+SUMPRODUCT(((($L$15:$L$24&lt;L251)*(L251-$L$15:$L$24))-(($M$15:$M$24&lt;L251)*(L251-$M$15:$M$24)))/100*($Q$15:$Q$24+$R$15:$R$24)))-SUMPRODUCT(($L$185:$L$194&lt;=L251)*($P$185:$P$194+$Q$185:$Q$194))+IF(L251&gt;(Geometria!$L$21+$L$109),$L$240,0)</f>
        <v>4.5824374999999975</v>
      </c>
      <c r="R251">
        <f t="shared" si="29"/>
        <v>43.166561249999994</v>
      </c>
      <c r="S251">
        <f t="shared" si="24"/>
        <v>145.9375</v>
      </c>
      <c r="T251">
        <f>IF(L251&gt;=Geometria!$L$21,$L$149,0)-($L$12*(L251/100)+SUMPRODUCT(((($L$15:$L$24&lt;L251)*(L251-$L$15:$L$24))-(($M$15:$M$24&lt;L251)*(L251-$M$15:$M$24)))/100*$S$15:$S$24))-SUMPRODUCT(($L$185:$L$194&lt;=L251)*$R$185:$R$194)+IF(L251&gt;(Geometria!$L$21+$L$109),$L$150,0)</f>
        <v>114.56093750000008</v>
      </c>
      <c r="U251">
        <f t="shared" si="30"/>
        <v>1079.1640312500003</v>
      </c>
      <c r="V251">
        <f t="shared" ca="1" si="25"/>
        <v>5.325</v>
      </c>
      <c r="W251">
        <f ca="1">IF(L251&gt;=Geometria!$L$21,$P$235,0)-(SUM($L$7:$L$7)*(L251/100)+SUMPRODUCT(((($L$15:$L$24&lt;L251)*(L251-$L$15:$L$24))-(($M$15:$M$24&lt;L251)*(L251-$M$15:$M$24)))/100*($N$15:$N$24)))-SUMPRODUCT(($L$185:$L$194&lt;=L251)*($M$185:$M$194))+IF(L251&gt;(Geometria!$L$21+$L$109),$P$236,0)</f>
        <v>4.180124999999993</v>
      </c>
      <c r="X251">
        <f t="shared" ca="1" si="31"/>
        <v>39.37677749999998</v>
      </c>
      <c r="AH251">
        <f t="shared" ca="1" si="26"/>
        <v>1399.9008247125003</v>
      </c>
      <c r="AI251" t="b">
        <f>AND(L251&gt;=Geometria!$L$21,L251&lt;=(Geometria!$L$21+$L$109))</f>
        <v>1</v>
      </c>
      <c r="AJ251">
        <f t="shared" ca="1" si="27"/>
        <v>1399.9008247125003</v>
      </c>
    </row>
    <row r="252" spans="11:36" x14ac:dyDescent="0.25">
      <c r="K252" t="s">
        <v>413</v>
      </c>
      <c r="L252">
        <f>L251+Geometria!$L$29/20</f>
        <v>353.25</v>
      </c>
      <c r="M252">
        <f t="shared" ca="1" si="22"/>
        <v>37.536375</v>
      </c>
      <c r="N252">
        <f ca="1">IF(L252&gt;=Geometria!$L$21,$L$235,0)-(SUM($L$7:$L$9)*(L252/100)+SUMPRODUCT(((($L$15:$L$24&lt;L252)*(L252-$L$15:$L$24))-(($M$15:$M$24&lt;L252)*(L252-$M$15:$M$24)))/100*($N$15:$N$24+$O$15:$O$24+$P$15:$P$24)))-SUMPRODUCT(($L$185:$L$194&lt;=L252)*($M$185:$M$194+$N$185:$N$194+$O$185:$O$194))+IF(L252&gt;(Geometria!$L$21+$L$109),$L$236,0)</f>
        <v>14.7330271875</v>
      </c>
      <c r="O252">
        <f t="shared" ca="1" si="28"/>
        <v>286.2443019691406</v>
      </c>
      <c r="P252">
        <f t="shared" si="23"/>
        <v>5.8374999999999995</v>
      </c>
      <c r="Q252">
        <f>IF(L252&gt;=Geometria!$L$21,$L$239,0)-(SUM($L$10:$L$11)*(L252/100)+SUMPRODUCT(((($L$15:$L$24&lt;L252)*(L252-$L$15:$L$24))-(($M$15:$M$24&lt;L252)*(L252-$M$15:$M$24)))/100*($Q$15:$Q$24+$R$15:$R$24)))-SUMPRODUCT(($L$185:$L$194&lt;=L252)*($P$185:$P$194+$Q$185:$Q$194))+IF(L252&gt;(Geometria!$L$21+$L$109),$L$240,0)</f>
        <v>2.2912187499999987</v>
      </c>
      <c r="R252">
        <f t="shared" si="29"/>
        <v>44.5155162890625</v>
      </c>
      <c r="S252">
        <f t="shared" si="24"/>
        <v>145.9375</v>
      </c>
      <c r="T252">
        <f>IF(L252&gt;=Geometria!$L$21,$L$149,0)-($L$12*(L252/100)+SUMPRODUCT(((($L$15:$L$24&lt;L252)*(L252-$L$15:$L$24))-(($M$15:$M$24&lt;L252)*(L252-$M$15:$M$24)))/100*$S$15:$S$24))-SUMPRODUCT(($L$185:$L$194&lt;=L252)*$R$185:$R$194)+IF(L252&gt;(Geometria!$L$21+$L$109),$L$150,0)</f>
        <v>57.28046875000007</v>
      </c>
      <c r="U252">
        <f t="shared" si="30"/>
        <v>1112.887907226563</v>
      </c>
      <c r="V252">
        <f t="shared" ca="1" si="25"/>
        <v>5.325</v>
      </c>
      <c r="W252">
        <f ca="1">IF(L252&gt;=Geometria!$L$21,$P$235,0)-(SUM($L$7:$L$7)*(L252/100)+SUMPRODUCT(((($L$15:$L$24&lt;L252)*(L252-$L$15:$L$24))-(($M$15:$M$24&lt;L252)*(L252-$M$15:$M$24)))/100*($N$15:$N$24)))-SUMPRODUCT(($L$185:$L$194&lt;=L252)*($M$185:$M$194))+IF(L252&gt;(Geometria!$L$21+$L$109),$P$236,0)</f>
        <v>2.0900624999999913</v>
      </c>
      <c r="X252">
        <f t="shared" ca="1" si="31"/>
        <v>40.60730179687498</v>
      </c>
      <c r="AH252">
        <f t="shared" ca="1" si="26"/>
        <v>1443.647725484766</v>
      </c>
      <c r="AI252" t="b">
        <f>AND(L252&gt;=Geometria!$L$21,L252&lt;=(Geometria!$L$21+$L$109))</f>
        <v>1</v>
      </c>
      <c r="AJ252">
        <f t="shared" ca="1" si="27"/>
        <v>1443.647725484766</v>
      </c>
    </row>
    <row r="253" spans="11:36" x14ac:dyDescent="0.25">
      <c r="K253" t="s">
        <v>414</v>
      </c>
      <c r="L253">
        <f>L252+Geometria!$L$29/20</f>
        <v>392.5</v>
      </c>
      <c r="M253">
        <f t="shared" ca="1" si="22"/>
        <v>37.536375</v>
      </c>
      <c r="N253">
        <f ca="1">IF(L253&gt;=Geometria!$L$21,$L$235,0)-(SUM($L$7:$L$9)*(L253/100)+SUMPRODUCT(((($L$15:$L$24&lt;L253)*(L253-$L$15:$L$24))-(($M$15:$M$24&lt;L253)*(L253-$M$15:$M$24)))/100*($N$15:$N$24+$O$15:$O$24+$P$15:$P$24)))-SUMPRODUCT(($L$185:$L$194&lt;=L253)*($M$185:$M$194+$N$185:$N$194+$O$185:$O$194))+IF(L253&gt;(Geometria!$L$21+$L$109),$L$236,0)</f>
        <v>0.0</v>
      </c>
      <c r="O253">
        <f t="shared" ca="1" si="28"/>
        <v>289.1356585546875</v>
      </c>
      <c r="P253">
        <f t="shared" si="23"/>
        <v>5.8374999999999995</v>
      </c>
      <c r="Q253">
        <f>IF(L253&gt;=Geometria!$L$21,$L$239,0)-(SUM($L$10:$L$11)*(L253/100)+SUMPRODUCT(((($L$15:$L$24&lt;L253)*(L253-$L$15:$L$24))-(($M$15:$M$24&lt;L253)*(L253-$M$15:$M$24)))/100*($Q$15:$Q$24+$R$15:$R$24)))-SUMPRODUCT(($L$185:$L$194&lt;=L253)*($P$185:$P$194+$Q$185:$Q$194))+IF(L253&gt;(Geometria!$L$21+$L$109),$L$240,0)</f>
        <v>0.0</v>
      </c>
      <c r="R253">
        <f t="shared" si="29"/>
        <v>44.965167968749995</v>
      </c>
      <c r="S253">
        <f t="shared" si="24"/>
        <v>145.9375</v>
      </c>
      <c r="T253">
        <f>IF(L253&gt;=Geometria!$L$21,$L$149,0)-($L$12*(L253/100)+SUMPRODUCT(((($L$15:$L$24&lt;L253)*(L253-$L$15:$L$24))-(($M$15:$M$24&lt;L253)*(L253-$M$15:$M$24)))/100*$S$15:$S$24))-SUMPRODUCT(($L$185:$L$194&lt;=L253)*$R$185:$R$194)+IF(L253&gt;(Geometria!$L$21+$L$109),$L$150,0)</f>
        <v>0.0</v>
      </c>
      <c r="U253">
        <f t="shared" si="30"/>
        <v>1124.1291992187505</v>
      </c>
      <c r="V253">
        <f t="shared" ca="1" si="25"/>
        <v>5.325</v>
      </c>
      <c r="W253">
        <f ca="1">IF(L253&gt;=Geometria!$L$21,$P$235,0)-(SUM($L$7:$L$7)*(L253/100)+SUMPRODUCT(((($L$15:$L$24&lt;L253)*(L253-$L$15:$L$24))-(($M$15:$M$24&lt;L253)*(L253-$M$15:$M$24)))/100*($N$15:$N$24)))-SUMPRODUCT(($L$185:$L$194&lt;=L253)*($M$185:$M$194))+IF(L253&gt;(Geometria!$L$21+$L$109),$P$236,0)</f>
        <v>0.0</v>
      </c>
      <c r="X253">
        <f t="shared" ca="1" si="31"/>
        <v>41.01747656249998</v>
      </c>
      <c r="AH253">
        <f t="shared" ca="1" si="26"/>
        <v>1458.230025742188</v>
      </c>
      <c r="AI253" t="b">
        <f>AND(L253&gt;=Geometria!$L$21,L253&lt;=(Geometria!$L$21+$L$109))</f>
        <v>1</v>
      </c>
      <c r="AJ253">
        <f t="shared" ca="1" si="27"/>
        <v>1458.230025742188</v>
      </c>
    </row>
    <row r="254" spans="11:36" x14ac:dyDescent="0.25">
      <c r="K254" t="s">
        <v>415</v>
      </c>
      <c r="L254">
        <f>L253+Geometria!$L$29/20</f>
        <v>431.75</v>
      </c>
      <c r="M254">
        <f t="shared" ca="1" si="22"/>
        <v>37.536375</v>
      </c>
      <c r="N254">
        <f ca="1">IF(L254&gt;=Geometria!$L$21,$L$235,0)-(SUM($L$7:$L$9)*(L254/100)+SUMPRODUCT(((($L$15:$L$24&lt;L254)*(L254-$L$15:$L$24))-(($M$15:$M$24&lt;L254)*(L254-$M$15:$M$24)))/100*($N$15:$N$24+$O$15:$O$24+$P$15:$P$24)))-SUMPRODUCT(($L$185:$L$194&lt;=L254)*($M$185:$M$194+$N$185:$N$194+$O$185:$O$194))+IF(L254&gt;(Geometria!$L$21+$L$109),$L$236,0)</f>
        <v>-14.7330271875</v>
      </c>
      <c r="O254">
        <f t="shared" ca="1" si="28"/>
        <v>286.2443019691406</v>
      </c>
      <c r="P254">
        <f t="shared" si="23"/>
        <v>5.8374999999999995</v>
      </c>
      <c r="Q254">
        <f>IF(L254&gt;=Geometria!$L$21,$L$239,0)-(SUM($L$10:$L$11)*(L254/100)+SUMPRODUCT(((($L$15:$L$24&lt;L254)*(L254-$L$15:$L$24))-(($M$15:$M$24&lt;L254)*(L254-$M$15:$M$24)))/100*($Q$15:$Q$24+$R$15:$R$24)))-SUMPRODUCT(($L$185:$L$194&lt;=L254)*($P$185:$P$194+$Q$185:$Q$194))+IF(L254&gt;(Geometria!$L$21+$L$109),$L$240,0)</f>
        <v>-2.2912187499999987</v>
      </c>
      <c r="R254">
        <f t="shared" si="29"/>
        <v>44.5155162890625</v>
      </c>
      <c r="S254">
        <f t="shared" si="24"/>
        <v>145.9375</v>
      </c>
      <c r="T254">
        <f>IF(L254&gt;=Geometria!$L$21,$L$149,0)-($L$12*(L254/100)+SUMPRODUCT(((($L$15:$L$24&lt;L254)*(L254-$L$15:$L$24))-(($M$15:$M$24&lt;L254)*(L254-$M$15:$M$24)))/100*$S$15:$S$24))-SUMPRODUCT(($L$185:$L$194&lt;=L254)*$R$185:$R$194)+IF(L254&gt;(Geometria!$L$21+$L$109),$L$150,0)</f>
        <v>-57.28046874999984</v>
      </c>
      <c r="U254">
        <f t="shared" si="30"/>
        <v>1112.8879072265631</v>
      </c>
      <c r="V254">
        <f t="shared" ca="1" si="25"/>
        <v>5.325</v>
      </c>
      <c r="W254">
        <f ca="1">IF(L254&gt;=Geometria!$L$21,$P$235,0)-(SUM($L$7:$L$7)*(L254/100)+SUMPRODUCT(((($L$15:$L$24&lt;L254)*(L254-$L$15:$L$24))-(($M$15:$M$24&lt;L254)*(L254-$M$15:$M$24)))/100*($N$15:$N$24)))-SUMPRODUCT(($L$185:$L$194&lt;=L254)*($M$185:$M$194))+IF(L254&gt;(Geometria!$L$21+$L$109),$P$236,0)</f>
        <v>-2.0900625000000055</v>
      </c>
      <c r="X254">
        <f t="shared" ca="1" si="31"/>
        <v>40.60730179687498</v>
      </c>
      <c r="AH254">
        <f t="shared" ca="1" si="26"/>
        <v>1443.6477254847662</v>
      </c>
      <c r="AI254" t="b">
        <f>AND(L254&gt;=Geometria!$L$21,L254&lt;=(Geometria!$L$21+$L$109))</f>
        <v>1</v>
      </c>
      <c r="AJ254">
        <f t="shared" ca="1" si="27"/>
        <v>1443.6477254847662</v>
      </c>
    </row>
    <row r="255" spans="11:36" x14ac:dyDescent="0.25">
      <c r="K255" t="s">
        <v>416</v>
      </c>
      <c r="L255">
        <f>L254+Geometria!$L$29/20</f>
        <v>471.0</v>
      </c>
      <c r="M255">
        <f t="shared" ca="1" si="22"/>
        <v>37.536375</v>
      </c>
      <c r="N255">
        <f ca="1">IF(L255&gt;=Geometria!$L$21,$L$235,0)-(SUM($L$7:$L$9)*(L255/100)+SUMPRODUCT(((($L$15:$L$24&lt;L255)*(L255-$L$15:$L$24))-(($M$15:$M$24&lt;L255)*(L255-$M$15:$M$24)))/100*($N$15:$N$24+$O$15:$O$24+$P$15:$P$24)))-SUMPRODUCT(($L$185:$L$194&lt;=L255)*($M$185:$M$194+$N$185:$N$194+$O$185:$O$194))+IF(L255&gt;(Geometria!$L$21+$L$109),$L$236,0)</f>
        <v>-29.466054375</v>
      </c>
      <c r="O255">
        <f t="shared" ca="1" si="28"/>
        <v>277.5702322125</v>
      </c>
      <c r="P255">
        <f t="shared" si="23"/>
        <v>5.8374999999999995</v>
      </c>
      <c r="Q255">
        <f>IF(L255&gt;=Geometria!$L$21,$L$239,0)-(SUM($L$10:$L$11)*(L255/100)+SUMPRODUCT(((($L$15:$L$24&lt;L255)*(L255-$L$15:$L$24))-(($M$15:$M$24&lt;L255)*(L255-$M$15:$M$24)))/100*($Q$15:$Q$24+$R$15:$R$24)))-SUMPRODUCT(($L$185:$L$194&lt;=L255)*($P$185:$P$194+$Q$185:$Q$194))+IF(L255&gt;(Geometria!$L$21+$L$109),$L$240,0)</f>
        <v>-4.5824374999999975</v>
      </c>
      <c r="R255">
        <f t="shared" si="29"/>
        <v>43.166561249999994</v>
      </c>
      <c r="S255">
        <f t="shared" si="24"/>
        <v>145.9375</v>
      </c>
      <c r="T255">
        <f>IF(L255&gt;=Geometria!$L$21,$L$149,0)-($L$12*(L255/100)+SUMPRODUCT(((($L$15:$L$24&lt;L255)*(L255-$L$15:$L$24))-(($M$15:$M$24&lt;L255)*(L255-$M$15:$M$24)))/100*$S$15:$S$24))-SUMPRODUCT(($L$185:$L$194&lt;=L255)*$R$185:$R$194)+IF(L255&gt;(Geometria!$L$21+$L$109),$L$150,0)</f>
        <v>-114.56093749999991</v>
      </c>
      <c r="U255">
        <f t="shared" si="30"/>
        <v>1079.1640312500008</v>
      </c>
      <c r="V255">
        <f t="shared" ca="1" si="25"/>
        <v>5.325</v>
      </c>
      <c r="W255">
        <f ca="1">IF(L255&gt;=Geometria!$L$21,$P$235,0)-(SUM($L$7:$L$7)*(L255/100)+SUMPRODUCT(((($L$15:$L$24&lt;L255)*(L255-$L$15:$L$24))-(($M$15:$M$24&lt;L255)*(L255-$M$15:$M$24)))/100*($N$15:$N$24)))-SUMPRODUCT(($L$185:$L$194&lt;=L255)*($M$185:$M$194))+IF(L255&gt;(Geometria!$L$21+$L$109),$P$236,0)</f>
        <v>-4.180125000000007</v>
      </c>
      <c r="X255">
        <f t="shared" ca="1" si="31"/>
        <v>39.376777499999974</v>
      </c>
      <c r="AH255">
        <f t="shared" ca="1" si="26"/>
        <v>1399.9008247125007</v>
      </c>
      <c r="AI255" t="b">
        <f>AND(L255&gt;=Geometria!$L$21,L255&lt;=(Geometria!$L$21+$L$109))</f>
        <v>1</v>
      </c>
      <c r="AJ255">
        <f t="shared" ca="1" si="27"/>
        <v>1399.9008247125007</v>
      </c>
    </row>
    <row r="256" spans="11:36" x14ac:dyDescent="0.25">
      <c r="K256" t="s">
        <v>417</v>
      </c>
      <c r="L256">
        <f>L255+Geometria!$L$29/20</f>
        <v>510.25</v>
      </c>
      <c r="M256">
        <f t="shared" ca="1" si="22"/>
        <v>37.536375</v>
      </c>
      <c r="N256">
        <f ca="1">IF(L256&gt;=Geometria!$L$21,$L$235,0)-(SUM($L$7:$L$9)*(L256/100)+SUMPRODUCT(((($L$15:$L$24&lt;L256)*(L256-$L$15:$L$24))-(($M$15:$M$24&lt;L256)*(L256-$M$15:$M$24)))/100*($N$15:$N$24+$O$15:$O$24+$P$15:$P$24)))-SUMPRODUCT(($L$185:$L$194&lt;=L256)*($M$185:$M$194+$N$185:$N$194+$O$185:$O$194))+IF(L256&gt;(Geometria!$L$21+$L$109),$L$236,0)</f>
        <v>-44.1990815625</v>
      </c>
      <c r="O256">
        <f t="shared" ca="1" si="28"/>
        <v>263.11344928476564</v>
      </c>
      <c r="P256">
        <f t="shared" si="23"/>
        <v>5.8374999999999995</v>
      </c>
      <c r="Q256">
        <f>IF(L256&gt;=Geometria!$L$21,$L$239,0)-(SUM($L$10:$L$11)*(L256/100)+SUMPRODUCT(((($L$15:$L$24&lt;L256)*(L256-$L$15:$L$24))-(($M$15:$M$24&lt;L256)*(L256-$M$15:$M$24)))/100*($Q$15:$Q$24+$R$15:$R$24)))-SUMPRODUCT(($L$185:$L$194&lt;=L256)*($P$185:$P$194+$Q$185:$Q$194))+IF(L256&gt;(Geometria!$L$21+$L$109),$L$240,0)</f>
        <v>-6.87365625</v>
      </c>
      <c r="R256">
        <f t="shared" si="29"/>
        <v>40.918302851562494</v>
      </c>
      <c r="S256">
        <f t="shared" si="24"/>
        <v>145.9375</v>
      </c>
      <c r="T256">
        <f>IF(L256&gt;=Geometria!$L$21,$L$149,0)-($L$12*(L256/100)+SUMPRODUCT(((($L$15:$L$24&lt;L256)*(L256-$L$15:$L$24))-(($M$15:$M$24&lt;L256)*(L256-$M$15:$M$24)))/100*$S$15:$S$24))-SUMPRODUCT(($L$185:$L$194&lt;=L256)*$R$185:$R$194)+IF(L256&gt;(Geometria!$L$21+$L$109),$L$150,0)</f>
        <v>-171.84140624999986</v>
      </c>
      <c r="U256">
        <f t="shared" si="30"/>
        <v>1022.9575712890634</v>
      </c>
      <c r="V256">
        <f t="shared" ca="1" si="25"/>
        <v>5.325</v>
      </c>
      <c r="W256">
        <f ca="1">IF(L256&gt;=Geometria!$L$21,$P$235,0)-(SUM($L$7:$L$7)*(L256/100)+SUMPRODUCT(((($L$15:$L$24&lt;L256)*(L256-$L$15:$L$24))-(($M$15:$M$24&lt;L256)*(L256-$M$15:$M$24)))/100*($N$15:$N$24)))-SUMPRODUCT(($L$185:$L$194&lt;=L256)*($M$185:$M$194))+IF(L256&gt;(Geometria!$L$21+$L$109),$P$236,0)</f>
        <v>-6.270187500000006</v>
      </c>
      <c r="X256">
        <f t="shared" ca="1" si="31"/>
        <v>37.32590367187497</v>
      </c>
      <c r="AH256">
        <f t="shared" ca="1" si="26"/>
        <v>1326.9893234253914</v>
      </c>
      <c r="AI256" t="b">
        <f>AND(L256&gt;=Geometria!$L$21,L256&lt;=(Geometria!$L$21+$L$109))</f>
        <v>1</v>
      </c>
      <c r="AJ256">
        <f t="shared" ca="1" si="27"/>
        <v>1326.9893234253914</v>
      </c>
    </row>
    <row r="257" spans="11:39" x14ac:dyDescent="0.25">
      <c r="K257" t="s">
        <v>418</v>
      </c>
      <c r="L257">
        <f>L256+Geometria!$L$29/20</f>
        <v>549.5</v>
      </c>
      <c r="M257">
        <f t="shared" ca="1" si="22"/>
        <v>37.536375</v>
      </c>
      <c r="N257">
        <f ca="1">IF(L257&gt;=Geometria!$L$21,$L$235,0)-(SUM($L$7:$L$9)*(L257/100)+SUMPRODUCT(((($L$15:$L$24&lt;L257)*(L257-$L$15:$L$24))-(($M$15:$M$24&lt;L257)*(L257-$M$15:$M$24)))/100*($N$15:$N$24+$O$15:$O$24+$P$15:$P$24)))-SUMPRODUCT(($L$185:$L$194&lt;=L257)*($M$185:$M$194+$N$185:$N$194+$O$185:$O$194))+IF(L257&gt;(Geometria!$L$21+$L$109),$L$236,0)</f>
        <v>-58.93210875</v>
      </c>
      <c r="O257">
        <f t="shared" ca="1" si="28"/>
        <v>242.87395318593752</v>
      </c>
      <c r="P257">
        <f t="shared" si="23"/>
        <v>5.8374999999999995</v>
      </c>
      <c r="Q257">
        <f>IF(L257&gt;=Geometria!$L$21,$L$239,0)-(SUM($L$10:$L$11)*(L257/100)+SUMPRODUCT(((($L$15:$L$24&lt;L257)*(L257-$L$15:$L$24))-(($M$15:$M$24&lt;L257)*(L257-$M$15:$M$24)))/100*($Q$15:$Q$24+$R$15:$R$24)))-SUMPRODUCT(($L$185:$L$194&lt;=L257)*($P$185:$P$194+$Q$185:$Q$194))+IF(L257&gt;(Geometria!$L$21+$L$109),$L$240,0)</f>
        <v>-9.164874999999999</v>
      </c>
      <c r="R257">
        <f t="shared" si="29"/>
        <v>37.77074109375</v>
      </c>
      <c r="S257">
        <f t="shared" si="24"/>
        <v>145.9375</v>
      </c>
      <c r="T257">
        <f>IF(L257&gt;=Geometria!$L$21,$L$149,0)-($L$12*(L257/100)+SUMPRODUCT(((($L$15:$L$24&lt;L257)*(L257-$L$15:$L$24))-(($M$15:$M$24&lt;L257)*(L257-$M$15:$M$24)))/100*$S$15:$S$24))-SUMPRODUCT(($L$185:$L$194&lt;=L257)*$R$185:$R$194)+IF(L257&gt;(Geometria!$L$21+$L$109),$L$150,0)</f>
        <v>-229.12187499999993</v>
      </c>
      <c r="U257">
        <f t="shared" si="30"/>
        <v>944.2685273437509</v>
      </c>
      <c r="V257">
        <f t="shared" ca="1" si="25"/>
        <v>5.325</v>
      </c>
      <c r="W257">
        <f ca="1">IF(L257&gt;=Geometria!$L$21,$P$235,0)-(SUM($L$7:$L$7)*(L257/100)+SUMPRODUCT(((($L$15:$L$24&lt;L257)*(L257-$L$15:$L$24))-(($M$15:$M$24&lt;L257)*(L257-$M$15:$M$24)))/100*($N$15:$N$24)))-SUMPRODUCT(($L$185:$L$194&lt;=L257)*($M$185:$M$194))+IF(L257&gt;(Geometria!$L$21+$L$109),$P$236,0)</f>
        <v>-8.360250000000008</v>
      </c>
      <c r="X257">
        <f t="shared" ca="1" si="31"/>
        <v>34.45468031249997</v>
      </c>
      <c r="AH257">
        <f t="shared" ca="1" si="26"/>
        <v>1224.9132216234384</v>
      </c>
      <c r="AI257" t="b">
        <f>AND(L257&gt;=Geometria!$L$21,L257&lt;=(Geometria!$L$21+$L$109))</f>
        <v>1</v>
      </c>
      <c r="AJ257">
        <f t="shared" ca="1" si="27"/>
        <v>1224.9132216234384</v>
      </c>
    </row>
    <row r="258" spans="11:39" x14ac:dyDescent="0.25">
      <c r="K258" t="s">
        <v>419</v>
      </c>
      <c r="L258">
        <f>L257+Geometria!$L$29/20</f>
        <v>588.75</v>
      </c>
      <c r="M258">
        <f t="shared" ca="1" si="22"/>
        <v>37.536375</v>
      </c>
      <c r="N258">
        <f ca="1">IF(L258&gt;=Geometria!$L$21,$L$235,0)-(SUM($L$7:$L$9)*(L258/100)+SUMPRODUCT(((($L$15:$L$24&lt;L258)*(L258-$L$15:$L$24))-(($M$15:$M$24&lt;L258)*(L258-$M$15:$M$24)))/100*($N$15:$N$24+$O$15:$O$24+$P$15:$P$24)))-SUMPRODUCT(($L$185:$L$194&lt;=L258)*($M$185:$M$194+$N$185:$N$194+$O$185:$O$194))+IF(L258&gt;(Geometria!$L$21+$L$109),$L$236,0)</f>
        <v>-73.6651359375</v>
      </c>
      <c r="O258">
        <f t="shared" ca="1" si="28"/>
        <v>216.85174391601566</v>
      </c>
      <c r="P258">
        <f t="shared" si="23"/>
        <v>5.8374999999999995</v>
      </c>
      <c r="Q258">
        <f>IF(L258&gt;=Geometria!$L$21,$L$239,0)-(SUM($L$10:$L$11)*(L258/100)+SUMPRODUCT(((($L$15:$L$24&lt;L258)*(L258-$L$15:$L$24))-(($M$15:$M$24&lt;L258)*(L258-$M$15:$M$24)))/100*($Q$15:$Q$24+$R$15:$R$24)))-SUMPRODUCT(($L$185:$L$194&lt;=L258)*($P$185:$P$194+$Q$185:$Q$194))+IF(L258&gt;(Geometria!$L$21+$L$109),$L$240,0)</f>
        <v>-11.456093749999997</v>
      </c>
      <c r="R258">
        <f t="shared" si="29"/>
        <v>33.723875976562496</v>
      </c>
      <c r="S258">
        <f t="shared" si="24"/>
        <v>145.9375</v>
      </c>
      <c r="T258">
        <f>IF(L258&gt;=Geometria!$L$21,$L$149,0)-($L$12*(L258/100)+SUMPRODUCT(((($L$15:$L$24&lt;L258)*(L258-$L$15:$L$24))-(($M$15:$M$24&lt;L258)*(L258-$M$15:$M$24)))/100*$S$15:$S$24))-SUMPRODUCT(($L$185:$L$194&lt;=L258)*$R$185:$R$194)+IF(L258&gt;(Geometria!$L$21+$L$109),$L$150,0)</f>
        <v>-286.4023437499999</v>
      </c>
      <c r="U258">
        <f t="shared" si="30"/>
        <v>843.0968994140634</v>
      </c>
      <c r="V258">
        <f t="shared" ca="1" si="25"/>
        <v>5.325</v>
      </c>
      <c r="W258">
        <f ca="1">IF(L258&gt;=Geometria!$L$21,$P$235,0)-(SUM($L$7:$L$7)*(L258/100)+SUMPRODUCT(((($L$15:$L$24&lt;L258)*(L258-$L$15:$L$24))-(($M$15:$M$24&lt;L258)*(L258-$M$15:$M$24)))/100*($N$15:$N$24)))-SUMPRODUCT(($L$185:$L$194&lt;=L258)*($M$185:$M$194))+IF(L258&gt;(Geometria!$L$21+$L$109),$P$236,0)</f>
        <v>-10.450312500000006</v>
      </c>
      <c r="X258">
        <f t="shared" ca="1" si="31"/>
        <v>30.763107421874963</v>
      </c>
      <c r="AH258">
        <f t="shared" ca="1" si="26"/>
        <v>1093.6725193066416</v>
      </c>
      <c r="AI258" t="b">
        <f>AND(L258&gt;=Geometria!$L$21,L258&lt;=(Geometria!$L$21+$L$109))</f>
        <v>1</v>
      </c>
      <c r="AJ258">
        <f t="shared" ca="1" si="27"/>
        <v>1093.6725193066416</v>
      </c>
    </row>
    <row r="259" spans="11:39" x14ac:dyDescent="0.25">
      <c r="K259" t="s">
        <v>420</v>
      </c>
      <c r="L259">
        <f>L258+Geometria!$L$29/20</f>
        <v>628.0</v>
      </c>
      <c r="M259">
        <f t="shared" ca="1" si="22"/>
        <v>37.536375</v>
      </c>
      <c r="N259">
        <f ca="1">IF(L259&gt;=Geometria!$L$21,$L$235,0)-(SUM($L$7:$L$9)*(L259/100)+SUMPRODUCT(((($L$15:$L$24&lt;L259)*(L259-$L$15:$L$24))-(($M$15:$M$24&lt;L259)*(L259-$M$15:$M$24)))/100*($N$15:$N$24+$O$15:$O$24+$P$15:$P$24)))-SUMPRODUCT(($L$185:$L$194&lt;=L259)*($M$185:$M$194+$N$185:$N$194+$O$185:$O$194))+IF(L259&gt;(Geometria!$L$21+$L$109),$L$236,0)</f>
        <v>-88.39816312500002</v>
      </c>
      <c r="O259">
        <f t="shared" ca="1" si="28"/>
        <v>185.04682147500003</v>
      </c>
      <c r="P259">
        <f t="shared" si="23"/>
        <v>5.8374999999999995</v>
      </c>
      <c r="Q259">
        <f>IF(L259&gt;=Geometria!$L$21,$L$239,0)-(SUM($L$10:$L$11)*(L259/100)+SUMPRODUCT(((($L$15:$L$24&lt;L259)*(L259-$L$15:$L$24))-(($M$15:$M$24&lt;L259)*(L259-$M$15:$M$24)))/100*($Q$15:$Q$24+$R$15:$R$24)))-SUMPRODUCT(($L$185:$L$194&lt;=L259)*($P$185:$P$194+$Q$185:$Q$194))+IF(L259&gt;(Geometria!$L$21+$L$109),$L$240,0)</f>
        <v>-13.747312500000003</v>
      </c>
      <c r="R259">
        <f t="shared" si="29"/>
        <v>28.777707499999998</v>
      </c>
      <c r="S259">
        <f t="shared" si="24"/>
        <v>145.9375</v>
      </c>
      <c r="T259">
        <f>IF(L259&gt;=Geometria!$L$21,$L$149,0)-($L$12*(L259/100)+SUMPRODUCT(((($L$15:$L$24&lt;L259)*(L259-$L$15:$L$24))-(($M$15:$M$24&lt;L259)*(L259-$M$15:$M$24)))/100*$S$15:$S$24))-SUMPRODUCT(($L$185:$L$194&lt;=L259)*$R$185:$R$194)+IF(L259&gt;(Geometria!$L$21+$L$109),$L$150,0)</f>
        <v>-343.68281249999995</v>
      </c>
      <c r="U259">
        <f t="shared" si="30"/>
        <v>719.4426875000009</v>
      </c>
      <c r="V259">
        <f t="shared" ca="1" si="25"/>
        <v>5.325</v>
      </c>
      <c r="W259">
        <f ca="1">IF(L259&gt;=Geometria!$L$21,$P$235,0)-(SUM($L$7:$L$7)*(L259/100)+SUMPRODUCT(((($L$15:$L$24&lt;L259)*(L259-$L$15:$L$24))-(($M$15:$M$24&lt;L259)*(L259-$M$15:$M$24)))/100*($N$15:$N$24)))-SUMPRODUCT(($L$185:$L$194&lt;=L259)*($M$185:$M$194))+IF(L259&gt;(Geometria!$L$21+$L$109),$P$236,0)</f>
        <v>-12.540375000000008</v>
      </c>
      <c r="X259">
        <f t="shared" ca="1" si="31"/>
        <v>26.25118499999996</v>
      </c>
      <c r="AH259">
        <f t="shared" ca="1" si="26"/>
        <v>933.267216475001</v>
      </c>
      <c r="AI259" t="b">
        <f>AND(L259&gt;=Geometria!$L$21,L259&lt;=(Geometria!$L$21+$L$109))</f>
        <v>1</v>
      </c>
      <c r="AJ259">
        <f t="shared" ca="1" si="27"/>
        <v>933.267216475001</v>
      </c>
    </row>
    <row r="260" spans="11:39" x14ac:dyDescent="0.25">
      <c r="K260" t="s">
        <v>421</v>
      </c>
      <c r="L260">
        <f>L259+Geometria!$L$29/20</f>
        <v>667.25</v>
      </c>
      <c r="M260">
        <f t="shared" ca="1" si="22"/>
        <v>37.536375</v>
      </c>
      <c r="N260">
        <f ca="1">IF(L260&gt;=Geometria!$L$21,$L$235,0)-(SUM($L$7:$L$9)*(L260/100)+SUMPRODUCT(((($L$15:$L$24&lt;L260)*(L260-$L$15:$L$24))-(($M$15:$M$24&lt;L260)*(L260-$M$15:$M$24)))/100*($N$15:$N$24+$O$15:$O$24+$P$15:$P$24)))-SUMPRODUCT(($L$185:$L$194&lt;=L260)*($M$185:$M$194+$N$185:$N$194+$O$185:$O$194))+IF(L260&gt;(Geometria!$L$21+$L$109),$L$236,0)</f>
        <v>-103.13119031250002</v>
      </c>
      <c r="O260">
        <f t="shared" ca="1" si="28"/>
        <v>147.45918586289065</v>
      </c>
      <c r="P260">
        <f t="shared" si="23"/>
        <v>5.8374999999999995</v>
      </c>
      <c r="Q260">
        <f>IF(L260&gt;=Geometria!$L$21,$L$239,0)-(SUM($L$10:$L$11)*(L260/100)+SUMPRODUCT(((($L$15:$L$24&lt;L260)*(L260-$L$15:$L$24))-(($M$15:$M$24&lt;L260)*(L260-$M$15:$M$24)))/100*($Q$15:$Q$24+$R$15:$R$24)))-SUMPRODUCT(($L$185:$L$194&lt;=L260)*($P$185:$P$194+$Q$185:$Q$194))+IF(L260&gt;(Geometria!$L$21+$L$109),$L$240,0)</f>
        <v>-16.038531250000002</v>
      </c>
      <c r="R260">
        <f t="shared" si="29"/>
        <v>22.932235664062496</v>
      </c>
      <c r="S260">
        <f t="shared" si="24"/>
        <v>145.9375</v>
      </c>
      <c r="T260">
        <f>IF(L260&gt;=Geometria!$L$21,$L$149,0)-($L$12*(L260/100)+SUMPRODUCT(((($L$15:$L$24&lt;L260)*(L260-$L$15:$L$24))-(($M$15:$M$24&lt;L260)*(L260-$M$15:$M$24)))/100*$S$15:$S$24))-SUMPRODUCT(($L$185:$L$194&lt;=L260)*$R$185:$R$194)+IF(L260&gt;(Geometria!$L$21+$L$109),$L$150,0)</f>
        <v>-400.9632812499999</v>
      </c>
      <c r="U260">
        <f t="shared" si="30"/>
        <v>573.3058916015634</v>
      </c>
      <c r="V260">
        <f t="shared" ca="1" si="25"/>
        <v>5.325</v>
      </c>
      <c r="W260">
        <f ca="1">IF(L260&gt;=Geometria!$L$21,$P$235,0)-(SUM($L$7:$L$7)*(L260/100)+SUMPRODUCT(((($L$15:$L$24&lt;L260)*(L260-$L$15:$L$24))-(($M$15:$M$24&lt;L260)*(L260-$M$15:$M$24)))/100*($N$15:$N$24)))-SUMPRODUCT(($L$185:$L$194&lt;=L260)*($M$185:$M$194))+IF(L260&gt;(Geometria!$L$21+$L$109),$P$236,0)</f>
        <v>-14.63043750000001</v>
      </c>
      <c r="X260">
        <f t="shared" ca="1" si="31"/>
        <v>20.918913046874955</v>
      </c>
      <c r="AH260">
        <f t="shared" ca="1" si="26"/>
        <v>743.6973131285165</v>
      </c>
      <c r="AI260" t="b">
        <f>AND(L260&gt;=Geometria!$L$21,L260&lt;=(Geometria!$L$21+$L$109))</f>
        <v>1</v>
      </c>
      <c r="AJ260">
        <f t="shared" ca="1" si="27"/>
        <v>743.6973131285165</v>
      </c>
    </row>
    <row r="261" spans="11:39" x14ac:dyDescent="0.25">
      <c r="K261" t="s">
        <v>422</v>
      </c>
      <c r="L261">
        <f>L260+Geometria!$L$29/20</f>
        <v>706.5</v>
      </c>
      <c r="M261">
        <f t="shared" ca="1" si="22"/>
        <v>37.536375</v>
      </c>
      <c r="N261">
        <f ca="1">IF(L261&gt;=Geometria!$L$21,$L$235,0)-(SUM($L$7:$L$9)*(L261/100)+SUMPRODUCT(((($L$15:$L$24&lt;L261)*(L261-$L$15:$L$24))-(($M$15:$M$24&lt;L261)*(L261-$M$15:$M$24)))/100*($N$15:$N$24+$O$15:$O$24+$P$15:$P$24)))-SUMPRODUCT(($L$185:$L$194&lt;=L261)*($M$185:$M$194+$N$185:$N$194+$O$185:$O$194))+IF(L261&gt;(Geometria!$L$21+$L$109),$L$236,0)</f>
        <v>-117.8642175</v>
      </c>
      <c r="O261">
        <f t="shared" ca="1" si="28"/>
        <v>104.08883707968752</v>
      </c>
      <c r="P261">
        <f t="shared" si="23"/>
        <v>5.8374999999999995</v>
      </c>
      <c r="Q261">
        <f>IF(L261&gt;=Geometria!$L$21,$L$239,0)-(SUM($L$10:$L$11)*(L261/100)+SUMPRODUCT(((($L$15:$L$24&lt;L261)*(L261-$L$15:$L$24))-(($M$15:$M$24&lt;L261)*(L261-$M$15:$M$24)))/100*($Q$15:$Q$24+$R$15:$R$24)))-SUMPRODUCT(($L$185:$L$194&lt;=L261)*($P$185:$P$194+$Q$185:$Q$194))+IF(L261&gt;(Geometria!$L$21+$L$109),$L$240,0)</f>
        <v>-18.32975</v>
      </c>
      <c r="R261">
        <f t="shared" si="29"/>
        <v>16.187460468749997</v>
      </c>
      <c r="S261">
        <f t="shared" si="24"/>
        <v>145.9375</v>
      </c>
      <c r="T261">
        <f>IF(L261&gt;=Geometria!$L$21,$L$149,0)-($L$12*(L261/100)+SUMPRODUCT(((($L$15:$L$24&lt;L261)*(L261-$L$15:$L$24))-(($M$15:$M$24&lt;L261)*(L261-$M$15:$M$24)))/100*$S$15:$S$24))-SUMPRODUCT(($L$185:$L$194&lt;=L261)*$R$185:$R$194)+IF(L261&gt;(Geometria!$L$21+$L$109),$L$150,0)</f>
        <v>-458.24375</v>
      </c>
      <c r="U261">
        <f t="shared" si="30"/>
        <v>404.6865117187509</v>
      </c>
      <c r="V261">
        <f t="shared" ca="1" si="25"/>
        <v>5.325</v>
      </c>
      <c r="W261">
        <f ca="1">IF(L261&gt;=Geometria!$L$21,$P$235,0)-(SUM($L$7:$L$7)*(L261/100)+SUMPRODUCT(((($L$15:$L$24&lt;L261)*(L261-$L$15:$L$24))-(($M$15:$M$24&lt;L261)*(L261-$M$15:$M$24)))/100*($N$15:$N$24)))-SUMPRODUCT(($L$185:$L$194&lt;=L261)*($M$185:$M$194))+IF(L261&gt;(Geometria!$L$21+$L$109),$P$236,0)</f>
        <v>-16.720500000000012</v>
      </c>
      <c r="X261">
        <f t="shared" ca="1" si="31"/>
        <v>14.766291562499951</v>
      </c>
      <c r="AH261">
        <f t="shared" ca="1" si="26"/>
        <v>524.9628092671885</v>
      </c>
      <c r="AI261" t="b">
        <f>AND(L261&gt;=Geometria!$L$21,L261&lt;=(Geometria!$L$21+$L$109))</f>
        <v>1</v>
      </c>
      <c r="AJ261">
        <f t="shared" ca="1" si="27"/>
        <v>524.9628092671885</v>
      </c>
    </row>
    <row r="262" spans="11:39" x14ac:dyDescent="0.25">
      <c r="K262" t="s">
        <v>423</v>
      </c>
      <c r="L262">
        <f>L261+Geometria!$L$29/20</f>
        <v>745.75</v>
      </c>
      <c r="M262">
        <f t="shared" ca="1" si="22"/>
        <v>37.536375</v>
      </c>
      <c r="N262">
        <f ca="1">IF(L262&gt;=Geometria!$L$21,$L$235,0)-(SUM($L$7:$L$9)*(L262/100)+SUMPRODUCT(((($L$15:$L$24&lt;L262)*(L262-$L$15:$L$24))-(($M$15:$M$24&lt;L262)*(L262-$M$15:$M$24)))/100*($N$15:$N$24+$O$15:$O$24+$P$15:$P$24)))-SUMPRODUCT(($L$185:$L$194&lt;=L262)*($M$185:$M$194+$N$185:$N$194+$O$185:$O$194))+IF(L262&gt;(Geometria!$L$21+$L$109),$L$236,0)</f>
        <v>-132.5972446875</v>
      </c>
      <c r="O262">
        <f t="shared" ca="1" si="28"/>
        <v>54.93577512539065</v>
      </c>
      <c r="P262">
        <f t="shared" si="23"/>
        <v>5.8374999999999995</v>
      </c>
      <c r="Q262">
        <f>IF(L262&gt;=Geometria!$L$21,$L$239,0)-(SUM($L$10:$L$11)*(L262/100)+SUMPRODUCT(((($L$15:$L$24&lt;L262)*(L262-$L$15:$L$24))-(($M$15:$M$24&lt;L262)*(L262-$M$15:$M$24)))/100*($Q$15:$Q$24+$R$15:$R$24)))-SUMPRODUCT(($L$185:$L$194&lt;=L262)*($P$185:$P$194+$Q$185:$Q$194))+IF(L262&gt;(Geometria!$L$21+$L$109),$L$240,0)</f>
        <v>-20.620968749999992</v>
      </c>
      <c r="R262">
        <f t="shared" si="29"/>
        <v>8.543381914062497</v>
      </c>
      <c r="S262">
        <f t="shared" si="24"/>
        <v>145.9375</v>
      </c>
      <c r="T262">
        <f>IF(L262&gt;=Geometria!$L$21,$L$149,0)-($L$12*(L262/100)+SUMPRODUCT(((($L$15:$L$24&lt;L262)*(L262-$L$15:$L$24))-(($M$15:$M$24&lt;L262)*(L262-$M$15:$M$24)))/100*$S$15:$S$24))-SUMPRODUCT(($L$185:$L$194&lt;=L262)*$R$185:$R$194)+IF(L262&gt;(Geometria!$L$21+$L$109),$L$150,0)</f>
        <v>-515.5242187499999</v>
      </c>
      <c r="U262">
        <f t="shared" si="30"/>
        <v>213.58454785156346</v>
      </c>
      <c r="V262">
        <f t="shared" ca="1" si="25"/>
        <v>5.325</v>
      </c>
      <c r="W262">
        <f ca="1">IF(L262&gt;=Geometria!$L$21,$P$235,0)-(SUM($L$7:$L$7)*(L262/100)+SUMPRODUCT(((($L$15:$L$24&lt;L262)*(L262-$L$15:$L$24))-(($M$15:$M$24&lt;L262)*(L262-$M$15:$M$24)))/100*($N$15:$N$24)))-SUMPRODUCT(($L$185:$L$194&lt;=L262)*($M$185:$M$194))+IF(L262&gt;(Geometria!$L$21+$L$109),$P$236,0)</f>
        <v>-18.810562500000007</v>
      </c>
      <c r="X262">
        <f t="shared" ca="1" si="31"/>
        <v>7.793320546874948</v>
      </c>
      <c r="AH262">
        <f t="shared" ca="1" si="26"/>
        <v>277.0637048910166</v>
      </c>
      <c r="AI262" t="b">
        <f>AND(L262&gt;=Geometria!$L$21,L262&lt;=(Geometria!$L$21+$L$109))</f>
        <v>1</v>
      </c>
      <c r="AJ262">
        <f t="shared" ca="1" si="27"/>
        <v>277.0637048910166</v>
      </c>
    </row>
    <row r="263" spans="11:39" x14ac:dyDescent="0.25">
      <c r="K263" t="s">
        <v>424</v>
      </c>
      <c r="L263">
        <f>L262+Geometria!$L$29/20</f>
        <v>785.0</v>
      </c>
      <c r="M263">
        <f t="shared" ca="1" si="22"/>
        <v>37.536375</v>
      </c>
      <c r="N263">
        <f ca="1">IF(L263&gt;=Geometria!$L$21,$L$235,0)-(SUM($L$7:$L$9)*(L263/100)+SUMPRODUCT(((($L$15:$L$24&lt;L263)*(L263-$L$15:$L$24))-(($M$15:$M$24&lt;L263)*(L263-$M$15:$M$24)))/100*($N$15:$N$24+$O$15:$O$24+$P$15:$P$24)))-SUMPRODUCT(($L$185:$L$194&lt;=L263)*($M$185:$M$194+$N$185:$N$194+$O$185:$O$194))+IF(L263&gt;(Geometria!$L$21+$L$109),$L$236,0)</f>
        <v>-147.330271875</v>
      </c>
      <c r="O263">
        <f t="shared" ca="1" si="28"/>
        <v>0.0</v>
      </c>
      <c r="P263">
        <f t="shared" si="23"/>
        <v>5.8374999999999995</v>
      </c>
      <c r="Q263">
        <f>IF(L263&gt;=Geometria!$L$21,$L$239,0)-(SUM($L$10:$L$11)*(L263/100)+SUMPRODUCT(((($L$15:$L$24&lt;L263)*(L263-$L$15:$L$24))-(($M$15:$M$24&lt;L263)*(L263-$M$15:$M$24)))/100*($Q$15:$Q$24+$R$15:$R$24)))-SUMPRODUCT(($L$185:$L$194&lt;=L263)*($P$185:$P$194+$Q$185:$Q$194))+IF(L263&gt;(Geometria!$L$21+$L$109),$L$240,0)</f>
        <v>-22.912187499999998</v>
      </c>
      <c r="R263">
        <f t="shared" si="29"/>
        <v>0.0</v>
      </c>
      <c r="S263">
        <f t="shared" si="24"/>
        <v>145.9375</v>
      </c>
      <c r="T263">
        <f>IF(L263&gt;=Geometria!$L$21,$L$149,0)-($L$12*(L263/100)+SUMPRODUCT(((($L$15:$L$24&lt;L263)*(L263-$L$15:$L$24))-(($M$15:$M$24&lt;L263)*(L263-$M$15:$M$24)))/100*$S$15:$S$24))-SUMPRODUCT(($L$185:$L$194&lt;=L263)*$R$185:$R$194)+IF(L263&gt;(Geometria!$L$21+$L$109),$L$150,0)</f>
        <v>-572.8046874999999</v>
      </c>
      <c r="U263">
        <f t="shared" si="30"/>
        <v>9.947598300641403e-13</v>
      </c>
      <c r="V263">
        <f t="shared" ca="1" si="25"/>
        <v>5.325</v>
      </c>
      <c r="W263">
        <f ca="1">IF(L263&gt;=Geometria!$L$21,$P$235,0)-(SUM($L$7:$L$7)*(L263/100)+SUMPRODUCT(((($L$15:$L$24&lt;L263)*(L263-$L$15:$L$24))-(($M$15:$M$24&lt;L263)*(L263-$M$15:$M$24)))/100*($N$15:$N$24)))-SUMPRODUCT(($L$185:$L$194&lt;=L263)*($M$185:$M$194))+IF(L263&gt;(Geometria!$L$21+$L$109),$P$236,0)</f>
        <v>-20.900625</v>
      </c>
      <c r="X263">
        <f t="shared" ca="1" si="31"/>
        <v>-5.417888360170764e-14</v>
      </c>
      <c r="AH263">
        <f t="shared" ca="1" si="26"/>
        <v>9.947598300641403e-13</v>
      </c>
      <c r="AI263" t="b">
        <f>AND(L263&gt;=Geometria!$L$21,L263&lt;=(Geometria!$L$21+$L$109))</f>
        <v>1</v>
      </c>
      <c r="AJ263">
        <f t="shared" ca="1" si="27"/>
        <v>9.947598300641403e-13</v>
      </c>
    </row>
    <row r="264" spans="11:39" x14ac:dyDescent="0.25">
      <c r="K264" t="s">
        <v>1014</v>
      </c>
    </row>
    <row r="265" spans="11:39" x14ac:dyDescent="0.25">
      <c r="K265" t="s">
        <v>1015</v>
      </c>
    </row>
    <row r="266" spans="11:39" x14ac:dyDescent="0.25">
      <c r="K266" t="s">
        <v>1016</v>
      </c>
      <c r="AH266" t="s">
        <v>1017</v>
      </c>
      <c r="AI266">
        <f ca="1">MATCH(MAX($AJ$243:$AJ$263),$AJ$243:$AJ$263,0)</f>
        <v>11.0</v>
      </c>
    </row>
    <row r="267" spans="11:39" x14ac:dyDescent="0.25">
      <c r="K267" t="s">
        <v>1018</v>
      </c>
      <c r="AH267" t="s">
        <v>1019</v>
      </c>
      <c r="AI267">
        <f ca="1">INDEX($O$243:$O$263,$AI$266)</f>
        <v>289.1356585546875</v>
      </c>
      <c r="AJ267" t="s">
        <v>1020</v>
      </c>
      <c r="AK267">
        <f ca="1">INDEX($R$243:$R$263,$AI$266)</f>
        <v>44.965167968749995</v>
      </c>
      <c r="AL267" t="s">
        <v>1021</v>
      </c>
      <c r="AM267">
        <f ca="1">INDEX($U$243:$U$263,$AI$266)</f>
        <v>1124.1291992187505</v>
      </c>
    </row>
    <row r="268" spans="11:39" x14ac:dyDescent="0.25">
      <c r="K268" t="s">
        <v>1022</v>
      </c>
    </row>
    <row r="269" spans="11:39" x14ac:dyDescent="0.25">
      <c r="K269" t="s">
        <v>2140</v>
      </c>
    </row>
    <row r="270" spans="11:39" x14ac:dyDescent="0.25">
      <c r="K270" t="s">
        <v>2141</v>
      </c>
      <c r="L270" t="s">
        <v>968</v>
      </c>
      <c r="M270" t="s">
        <v>1000</v>
      </c>
      <c r="N270" t="s">
        <v>1003</v>
      </c>
      <c r="O270" t="s">
        <v>1006</v>
      </c>
      <c r="P270" t="s">
        <v>2142</v>
      </c>
    </row>
    <row r="271" spans="11:39" x14ac:dyDescent="0.25">
      <c r="K271" t="s">
        <v>2143</v>
      </c>
      <c r="L271">
        <f>Geometria!$L$21+'Diagrama Cortante'!$P$29</f>
        <v>42.85</v>
      </c>
      <c r="M271">
        <f ca="1">IF(L271&gt;=Geometria!$L$21,$L$235,0)-(SUM($L$7:$L$9)*(L271/100)+SUMPRODUCT(((($L$15:$L$24&lt;L271)*(L271-$L$15:$L$24))-(($M$15:$M$24&lt;L271)*(L271-$M$15:$M$24)))/100*($N$15:$N$24+$O$15:$O$24+$P$15:$P$24)))-SUMPRODUCT($T$185:$T$194*($M$185:$M$194+$N$185:$N$194+$O$185:$O$194))+IF(L271&gt;(Geometria!$L$21+$L$109),$L$236,0)</f>
        <v>131.24593518749998</v>
      </c>
      <c r="N271">
        <f>IF(L271&gt;=Geometria!$L$21,$L$239,0)-(SUM($L$10:$L$11)*(L271/100)+SUMPRODUCT(((($L$15:$L$24&lt;L271)*(L271-$L$15:$L$24))-(($M$15:$M$24&lt;L271)*(L271-$M$15:$M$24)))/100*($Q$15:$Q$24+$R$15:$R$24)))-SUMPRODUCT($T$185:$T$194*($P$185:$P$194+$Q$185:$Q$194))+IF(L271&gt;(Geometria!$L$21+$L$109),$L$240,0)</f>
        <v>20.410818749999997</v>
      </c>
      <c r="O271">
        <f>IF(L271&gt;=Geometria!$L$21,$L$149,0)-($L$12*(L271/100)+SUMPRODUCT(((($L$15:$L$24&lt;L271)*(L271-$L$15:$L$24))-(($M$15:$M$24&lt;L271)*(L271-$M$15:$M$24)))/100*$S$15:$S$24))-SUMPRODUCT($T$185:$T$194*$R$185:$R$194)+IF(L271&gt;(Geometria!$L$21+$L$109),$L$150,0)</f>
        <v>510.27046875000013</v>
      </c>
      <c r="P271">
        <f ca="1">Geometria!$N$220*M271+Geometria!$O$77*(N271+O271)</f>
        <v>917.9627621062501</v>
      </c>
    </row>
    <row r="272" spans="11:39" x14ac:dyDescent="0.25">
      <c r="K272" t="s">
        <v>2144</v>
      </c>
      <c r="L272">
        <f>Geometria!$L$21+$L$109-'Diagrama Cortante'!$P$29</f>
        <v>742.15</v>
      </c>
      <c r="M272">
        <f ca="1">IF(L272&gt;=Geometria!$L$21,$L$235,0)-(SUM($L$7:$L$9)*(L272/100)+SUMPRODUCT(((($L$15:$L$24&lt;L272)*(L272-$L$15:$L$24))-(($M$15:$M$24&lt;L272)*(L272-$M$15:$M$24)))/100*($N$15:$N$24+$O$15:$O$24+$P$15:$P$24)))-SUMPRODUCT($U$185:$U$194*($M$185:$M$194+$N$185:$N$194+$O$185:$O$194))+IF(L272&gt;(Geometria!$L$21+$L$109),$L$236,0)</f>
        <v>-131.24593518749998</v>
      </c>
      <c r="N272">
        <f>IF(L272&gt;=Geometria!$L$21,$L$239,0)-(SUM($L$10:$L$11)*(L272/100)+SUMPRODUCT(((($L$15:$L$24&lt;L272)*(L272-$L$15:$L$24))-(($M$15:$M$24&lt;L272)*(L272-$M$15:$M$24)))/100*($Q$15:$Q$24+$R$15:$R$24)))-SUMPRODUCT($U$185:$U$194*($P$185:$P$194+$Q$185:$Q$194))+IF(L272&gt;(Geometria!$L$21+$L$109),$L$240,0)</f>
        <v>-20.41081875</v>
      </c>
      <c r="O272">
        <f>IF(L272&gt;=Geometria!$L$21,$L$149,0)-($L$12*(L272/100)+SUMPRODUCT(((($L$15:$L$24&lt;L272)*(L272-$L$15:$L$24))-(($M$15:$M$24&lt;L272)*(L272-$M$15:$M$24)))/100*$S$15:$S$24))-SUMPRODUCT($U$185:$U$194*$R$185:$R$194)+IF(L272&gt;(Geometria!$L$21+$L$109),$L$150,0)</f>
        <v>-510.27046874999985</v>
      </c>
      <c r="P272">
        <f ca="1">Geometria!$N$220*M272+Geometria!$O$77*(N272+O272)</f>
        <v>-917.9627621062497</v>
      </c>
    </row>
  </sheetData>
  <mergeCells count="5">
    <mergeCell ref="K27:L27"/>
    <mergeCell ref="M27:N27"/>
    <mergeCell ref="O27:P27"/>
    <mergeCell ref="K199:L199"/>
    <mergeCell ref="M199:N199"/>
  </mergeCells>
  <conditionalFormatting sqref="M15:M24">
    <cfRule type="cellIs" dxfId="32" priority="2" operator="greaterThan">
      <formula>#REF!</formula>
    </cfRule>
  </conditionalFormatting>
  <pageMargins left="0.51180555555555596" right="0.51180555555555596" top="0.78749999999999998" bottom="0.78749999999999998" header="0.511811023622047" footer="0.511811023622047"/>
  <pageSetup paperSize="9" scale="36" fitToHeight="0" orientation="landscape"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63"/>
  <sheetViews>
    <sheetView showGridLines="0" view="pageBreakPreview" topLeftCell="C57" zoomScale="85" zoomScaleNormal="100" zoomScalePageLayoutView="85" workbookViewId="0">
      <selection activeCell="L73" sqref="L73:M75"/>
    </sheetView>
  </sheetViews>
  <sheetFormatPr defaultColWidth="8.7109375" defaultRowHeight="15" x14ac:dyDescent="0.25"/>
  <cols>
    <col min="11" max="11" width="12.7109375" customWidth="1"/>
    <col min="12" max="12" width="15.7109375" customWidth="1"/>
    <col min="13" max="13" width="7.42578125" customWidth="1"/>
    <col min="14" max="14" width="13" customWidth="1"/>
    <col min="15" max="19" width="12" customWidth="1"/>
    <col min="21" max="21" width="10.42578125" customWidth="1"/>
  </cols>
  <sheetData>
    <row r="1" spans="11:26" ht="15" customHeight="1" x14ac:dyDescent="0.25">
      <c r="K1" s="855" t="s">
        <v>1549</v>
      </c>
      <c r="L1" s="855"/>
      <c r="M1" s="855"/>
      <c r="N1" s="855"/>
      <c r="O1" s="855"/>
      <c r="P1" s="855"/>
      <c r="Q1" s="855"/>
      <c r="R1" s="855"/>
      <c r="S1" s="855"/>
      <c r="T1" s="855"/>
      <c r="U1" s="855"/>
      <c r="V1" s="855"/>
      <c r="W1" s="855"/>
      <c r="X1" s="855"/>
      <c r="Y1" s="855"/>
      <c r="Z1" s="855"/>
    </row>
    <row r="3" spans="11:26" ht="15" customHeight="1" x14ac:dyDescent="0.25">
      <c r="K3" s="856" t="s">
        <v>1550</v>
      </c>
      <c r="L3" s="856"/>
      <c r="M3" s="856"/>
      <c r="N3" s="856"/>
      <c r="O3" s="856"/>
      <c r="P3" s="856"/>
      <c r="Q3" s="856"/>
      <c r="R3" s="856"/>
      <c r="S3" s="856"/>
    </row>
    <row r="4" spans="11:26" ht="15" customHeight="1" x14ac:dyDescent="0.25">
      <c r="K4" s="856" t="s">
        <v>1551</v>
      </c>
      <c r="L4" s="856"/>
      <c r="M4" s="856"/>
      <c r="N4" s="856"/>
      <c r="O4" s="856"/>
      <c r="P4" s="856"/>
      <c r="Q4" s="856"/>
      <c r="R4" s="856"/>
      <c r="S4" s="856"/>
    </row>
    <row r="6" spans="11:26" ht="15" customHeight="1" x14ac:dyDescent="0.25">
      <c r="K6" s="850" t="s">
        <v>1552</v>
      </c>
      <c r="L6" s="850"/>
      <c r="M6" s="850"/>
      <c r="N6" s="850"/>
      <c r="O6" s="850"/>
      <c r="P6" s="850"/>
      <c r="Q6" s="850"/>
      <c r="R6" s="850"/>
      <c r="S6" s="850"/>
      <c r="T6" s="850"/>
      <c r="U6" s="850"/>
      <c r="V6" s="850"/>
      <c r="W6" s="850"/>
      <c r="X6" s="850"/>
      <c r="Y6" s="850"/>
      <c r="Z6" s="850"/>
    </row>
    <row r="7" spans="11:26" ht="15.75" customHeight="1" x14ac:dyDescent="0.25"/>
    <row r="8" spans="11:26" ht="15.75" customHeight="1" x14ac:dyDescent="0.25">
      <c r="K8" s="591" t="s">
        <v>1553</v>
      </c>
      <c r="L8" s="389">
        <v>0</v>
      </c>
      <c r="M8" s="591" t="s">
        <v>965</v>
      </c>
      <c r="N8" s="592" t="s">
        <v>1554</v>
      </c>
    </row>
    <row r="9" spans="11:26" ht="15" customHeight="1" x14ac:dyDescent="0.25">
      <c r="K9" s="591" t="s">
        <v>1555</v>
      </c>
      <c r="L9" s="593">
        <f>1.4</f>
        <v>1.4</v>
      </c>
      <c r="M9" s="591" t="s">
        <v>93</v>
      </c>
      <c r="N9" s="592" t="s">
        <v>1556</v>
      </c>
    </row>
    <row r="10" spans="11:26" ht="15" customHeight="1" x14ac:dyDescent="0.25">
      <c r="K10" s="591" t="s">
        <v>1557</v>
      </c>
      <c r="L10" s="594">
        <f>(L8*100)*L9</f>
        <v>0.0</v>
      </c>
      <c r="M10" s="591" t="s">
        <v>1558</v>
      </c>
      <c r="N10" s="592" t="s">
        <v>1559</v>
      </c>
    </row>
    <row r="12" spans="11:26" ht="15" customHeight="1" x14ac:dyDescent="0.25">
      <c r="K12" s="850" t="s">
        <v>1560</v>
      </c>
      <c r="L12" s="850"/>
      <c r="M12" s="850"/>
      <c r="N12" s="850"/>
      <c r="O12" s="850"/>
      <c r="P12" s="850"/>
      <c r="Q12" s="850"/>
      <c r="R12" s="850"/>
      <c r="S12" s="850"/>
      <c r="T12" s="850"/>
      <c r="U12" s="850"/>
      <c r="V12" s="850"/>
      <c r="W12" s="850"/>
      <c r="X12" s="850"/>
      <c r="Y12" s="850"/>
      <c r="Z12" s="850"/>
    </row>
    <row r="14" spans="11:26" ht="15" customHeight="1" x14ac:dyDescent="0.25">
      <c r="K14" s="591" t="s">
        <v>1561</v>
      </c>
      <c r="L14" s="594">
        <f>Taxas!$I$11</f>
        <v>10.0</v>
      </c>
      <c r="M14" s="591" t="s">
        <v>460</v>
      </c>
      <c r="N14" s="592" t="s">
        <v>1562</v>
      </c>
    </row>
    <row r="15" spans="11:26" ht="15" customHeight="1" x14ac:dyDescent="0.25">
      <c r="K15" s="591" t="s">
        <v>1563</v>
      </c>
      <c r="L15" s="594">
        <f>Taxas!$I$50</f>
        <v>16.0</v>
      </c>
      <c r="M15" s="591" t="s">
        <v>460</v>
      </c>
      <c r="N15" s="592" t="s">
        <v>1564</v>
      </c>
    </row>
    <row r="17" spans="11:26" ht="15" customHeight="1" x14ac:dyDescent="0.25">
      <c r="K17" s="850" t="s">
        <v>1565</v>
      </c>
      <c r="L17" s="850"/>
      <c r="M17" s="850"/>
      <c r="N17" s="850"/>
      <c r="O17" s="850"/>
      <c r="P17" s="850"/>
      <c r="Q17" s="850"/>
      <c r="R17" s="850"/>
      <c r="S17" s="850"/>
      <c r="T17" s="850"/>
      <c r="U17" s="850"/>
      <c r="V17" s="850"/>
      <c r="W17" s="850"/>
      <c r="X17" s="850"/>
      <c r="Y17" s="850"/>
      <c r="Z17" s="850"/>
    </row>
    <row r="19" spans="11:26" ht="15" customHeight="1" x14ac:dyDescent="0.25">
      <c r="K19" s="591" t="s">
        <v>1176</v>
      </c>
      <c r="L19" s="594">
        <f>Geometria!$L$26</f>
        <v>30.0</v>
      </c>
      <c r="M19" s="591" t="s">
        <v>35</v>
      </c>
      <c r="N19" s="592" t="s">
        <v>1566</v>
      </c>
    </row>
    <row r="20" spans="11:26" ht="15" customHeight="1" x14ac:dyDescent="0.25">
      <c r="K20" s="591" t="s">
        <v>726</v>
      </c>
      <c r="L20" s="594">
        <f>Geometria!$L$27</f>
        <v>60.0</v>
      </c>
      <c r="M20" s="591" t="s">
        <v>35</v>
      </c>
      <c r="N20" s="592" t="s">
        <v>1567</v>
      </c>
    </row>
    <row r="21" spans="11:26" ht="15" customHeight="1" x14ac:dyDescent="0.25">
      <c r="K21" s="591" t="s">
        <v>837</v>
      </c>
      <c r="L21" s="594">
        <f>L19*L20</f>
        <v>1800.0</v>
      </c>
      <c r="M21" s="591" t="s">
        <v>247</v>
      </c>
      <c r="N21" s="592" t="s">
        <v>1568</v>
      </c>
    </row>
    <row r="22" spans="11:26" ht="15" customHeight="1" x14ac:dyDescent="0.25">
      <c r="K22" s="591" t="s">
        <v>1569</v>
      </c>
      <c r="L22" s="594">
        <f>2*(L19+L20)</f>
        <v>180.0</v>
      </c>
      <c r="M22" s="591" t="s">
        <v>35</v>
      </c>
      <c r="N22" s="592" t="s">
        <v>1570</v>
      </c>
    </row>
    <row r="23" spans="11:26" ht="15" customHeight="1" x14ac:dyDescent="0.25">
      <c r="K23" s="591" t="s">
        <v>1571</v>
      </c>
      <c r="L23" s="594">
        <f>Geometria!$R$76+(L14/10)+(L15/10)/2</f>
        <v>4.8</v>
      </c>
      <c r="M23" s="591" t="s">
        <v>35</v>
      </c>
      <c r="N23" s="592" t="s">
        <v>1572</v>
      </c>
    </row>
    <row r="24" spans="11:26" ht="15" customHeight="1" x14ac:dyDescent="0.25">
      <c r="K24" s="591" t="s">
        <v>1573</v>
      </c>
      <c r="L24" s="594">
        <f>L21/L22</f>
        <v>10.0</v>
      </c>
      <c r="M24" s="591" t="s">
        <v>35</v>
      </c>
      <c r="N24" s="592" t="s">
        <v>1574</v>
      </c>
    </row>
    <row r="25" spans="11:26" ht="15.75" customHeight="1" x14ac:dyDescent="0.25">
      <c r="K25" s="591" t="s">
        <v>1575</v>
      </c>
      <c r="L25" s="595">
        <f>2*L23</f>
        <v>9.6</v>
      </c>
      <c r="M25" s="591" t="s">
        <v>35</v>
      </c>
      <c r="N25" s="592"/>
    </row>
    <row r="26" spans="11:26" ht="15" customHeight="1" x14ac:dyDescent="0.25">
      <c r="K26" s="852" t="s">
        <v>1576</v>
      </c>
      <c r="L26" s="854" t="str">
        <f>IF(L24&gt;=L25,"OK - t&gt;=2c1: he=t (parede espessa)",IF(L24&lt;=(MIN(L19,L20)-2*L23),"OK - t&lt;2c1, mas t&lt;=(menor lado-2c1): he=t","ATENÇÃO: seção não permite o modelo de parede fina — aumentar seção ou revisar c1"))</f>
        <v>OK - t&gt;=2c1: he=t (parede espessa)</v>
      </c>
      <c r="M26" s="854"/>
      <c r="N26" s="592" t="s">
        <v>1577</v>
      </c>
    </row>
    <row r="27" spans="11:26" ht="15.75" customHeight="1" x14ac:dyDescent="0.25">
      <c r="K27" s="852"/>
      <c r="L27" s="854"/>
      <c r="M27" s="854"/>
      <c r="N27" s="592"/>
    </row>
    <row r="28" spans="11:26" ht="15" customHeight="1" x14ac:dyDescent="0.25">
      <c r="K28" s="591" t="s">
        <v>1578</v>
      </c>
      <c r="L28" s="593">
        <f>L24</f>
        <v>10.0</v>
      </c>
      <c r="M28" s="591" t="s">
        <v>35</v>
      </c>
      <c r="N28" s="592" t="s">
        <v>1579</v>
      </c>
    </row>
    <row r="29" spans="11:26" ht="15" customHeight="1" x14ac:dyDescent="0.25">
      <c r="K29" s="591" t="s">
        <v>1580</v>
      </c>
      <c r="L29" s="594">
        <f>(L19-L28)*(L20-L28)</f>
        <v>1000.0</v>
      </c>
      <c r="M29" s="591" t="s">
        <v>247</v>
      </c>
      <c r="N29" s="592" t="s">
        <v>1581</v>
      </c>
    </row>
    <row r="30" spans="11:26" ht="15" customHeight="1" x14ac:dyDescent="0.25">
      <c r="K30" s="591" t="s">
        <v>1582</v>
      </c>
      <c r="L30" s="594">
        <f>2*(L19+L20-2*L28)</f>
        <v>140.0</v>
      </c>
      <c r="M30" s="591" t="s">
        <v>35</v>
      </c>
      <c r="N30" s="592" t="s">
        <v>1583</v>
      </c>
    </row>
    <row r="32" spans="11:26" ht="15" customHeight="1" x14ac:dyDescent="0.25">
      <c r="K32" s="850" t="s">
        <v>1584</v>
      </c>
      <c r="L32" s="850"/>
      <c r="M32" s="850"/>
      <c r="N32" s="850"/>
      <c r="O32" s="850"/>
      <c r="P32" s="850"/>
      <c r="Q32" s="850"/>
      <c r="R32" s="850"/>
      <c r="S32" s="850"/>
      <c r="T32" s="850"/>
      <c r="U32" s="850"/>
      <c r="V32" s="850"/>
      <c r="W32" s="850"/>
      <c r="X32" s="850"/>
      <c r="Y32" s="850"/>
      <c r="Z32" s="850"/>
    </row>
    <row r="34" spans="11:26" ht="15" customHeight="1" x14ac:dyDescent="0.25">
      <c r="K34" s="591" t="s">
        <v>164</v>
      </c>
      <c r="L34" s="594">
        <f>Geometria!$L$82</f>
        <v>50.0</v>
      </c>
      <c r="M34" s="591" t="s">
        <v>160</v>
      </c>
      <c r="N34" s="592" t="s">
        <v>1585</v>
      </c>
    </row>
    <row r="35" spans="11:26" ht="15" customHeight="1" x14ac:dyDescent="0.25">
      <c r="K35" s="591" t="s">
        <v>1586</v>
      </c>
      <c r="L35" s="594">
        <f>Geometria!$L$82/Geometria!$O$78</f>
        <v>35.714285714285715</v>
      </c>
      <c r="M35" s="591" t="s">
        <v>160</v>
      </c>
      <c r="N35" s="592" t="s">
        <v>1587</v>
      </c>
    </row>
    <row r="36" spans="11:26" ht="15" customHeight="1" x14ac:dyDescent="0.25">
      <c r="K36" s="591" t="s">
        <v>1588</v>
      </c>
      <c r="L36" s="594">
        <f ca="1">Taxas!$J$19</f>
        <v>1030.4601290625</v>
      </c>
      <c r="M36" s="591" t="s">
        <v>292</v>
      </c>
      <c r="N36" s="592" t="s">
        <v>1589</v>
      </c>
    </row>
    <row r="37" spans="11:26" ht="15" customHeight="1" x14ac:dyDescent="0.25">
      <c r="K37" s="591" t="s">
        <v>1590</v>
      </c>
      <c r="L37" s="594">
        <f>Taxas!$K$19</f>
        <v>1971.771428571429</v>
      </c>
      <c r="M37" s="591" t="s">
        <v>292</v>
      </c>
      <c r="N37" s="592" t="s">
        <v>1591</v>
      </c>
    </row>
    <row r="38" spans="11:26" ht="15" customHeight="1" x14ac:dyDescent="0.25">
      <c r="K38" s="591" t="s">
        <v>1592</v>
      </c>
      <c r="L38" s="594">
        <f>0.5*(1-L34/250)*(L35/10)*L29*L28</f>
        <v>14285.71428571429</v>
      </c>
      <c r="M38" s="591" t="s">
        <v>1558</v>
      </c>
      <c r="N38" s="592" t="s">
        <v>1593</v>
      </c>
    </row>
    <row r="39" spans="11:26" ht="15" customHeight="1" x14ac:dyDescent="0.25">
      <c r="K39" s="591" t="s">
        <v>1594</v>
      </c>
      <c r="L39" s="594">
        <f ca="1">L36/L37</f>
        <v>0.5226062788672622</v>
      </c>
      <c r="M39" s="591" t="s">
        <v>93</v>
      </c>
      <c r="N39" s="592"/>
    </row>
    <row r="40" spans="11:26" ht="15" customHeight="1" x14ac:dyDescent="0.25">
      <c r="K40" s="591" t="s">
        <v>1595</v>
      </c>
      <c r="L40" s="594">
        <f>L10/L38</f>
        <v>0.0</v>
      </c>
      <c r="M40" s="591" t="s">
        <v>93</v>
      </c>
      <c r="N40" s="592"/>
    </row>
    <row r="41" spans="11:26" ht="15.75" customHeight="1" x14ac:dyDescent="0.25">
      <c r="K41" s="591" t="s">
        <v>1596</v>
      </c>
      <c r="L41" s="595">
        <f ca="1">L39+L40</f>
        <v>0.5226062788672622</v>
      </c>
      <c r="M41" s="591" t="s">
        <v>93</v>
      </c>
      <c r="N41" s="592" t="s">
        <v>1597</v>
      </c>
    </row>
    <row r="42" spans="11:26" ht="15.75" customHeight="1" x14ac:dyDescent="0.25">
      <c r="K42" s="591" t="s">
        <v>1598</v>
      </c>
      <c r="L42" s="597" t="str">
        <f ca="1">IF(L41&lt;=1,"OK","NÃO ATENDE — Alterar seção")</f>
        <v>OK</v>
      </c>
      <c r="M42" s="591"/>
      <c r="N42" s="592"/>
    </row>
    <row r="44" spans="11:26" ht="15" customHeight="1" x14ac:dyDescent="0.25">
      <c r="K44" s="850" t="s">
        <v>1599</v>
      </c>
      <c r="L44" s="850"/>
      <c r="M44" s="850"/>
      <c r="N44" s="850"/>
      <c r="O44" s="850"/>
      <c r="P44" s="850"/>
      <c r="Q44" s="850"/>
      <c r="R44" s="850"/>
      <c r="S44" s="850"/>
      <c r="T44" s="850"/>
      <c r="U44" s="850"/>
      <c r="V44" s="850"/>
      <c r="W44" s="850"/>
      <c r="X44" s="850"/>
      <c r="Y44" s="850"/>
      <c r="Z44" s="850"/>
    </row>
    <row r="46" spans="11:26" ht="15" customHeight="1" x14ac:dyDescent="0.25">
      <c r="K46" s="591" t="s">
        <v>1600</v>
      </c>
      <c r="L46" s="594">
        <f>IF(L59&lt;=435,L59,435)</f>
        <v>435.0</v>
      </c>
      <c r="M46" s="591" t="s">
        <v>160</v>
      </c>
      <c r="N46" s="592" t="s">
        <v>1601</v>
      </c>
    </row>
    <row r="47" spans="11:26" ht="15" customHeight="1" x14ac:dyDescent="0.25">
      <c r="K47" s="591" t="s">
        <v>1602</v>
      </c>
      <c r="L47" s="594">
        <f>1000*L10/(2*L29*L46)</f>
        <v>0.0</v>
      </c>
      <c r="M47" s="591" t="s">
        <v>1603</v>
      </c>
      <c r="N47" s="592" t="s">
        <v>1604</v>
      </c>
    </row>
    <row r="48" spans="11:26" ht="15" customHeight="1" x14ac:dyDescent="0.25">
      <c r="K48" s="591" t="s">
        <v>1605</v>
      </c>
      <c r="L48" s="594">
        <f ca="1">Taxas!$O$5*(PI()*(L14/10)^2/4)/(Taxas!$J$11/100)</f>
        <v>18.47995678582231</v>
      </c>
      <c r="M48" s="591" t="s">
        <v>1603</v>
      </c>
      <c r="N48" s="592" t="s">
        <v>1606</v>
      </c>
    </row>
    <row r="49" spans="11:26" ht="15" customHeight="1" x14ac:dyDescent="0.25">
      <c r="K49" s="852" t="s">
        <v>1607</v>
      </c>
      <c r="L49" s="853">
        <f ca="1">L48+2*L47</f>
        <v>18.47995678582231</v>
      </c>
      <c r="M49" s="852" t="s">
        <v>1603</v>
      </c>
      <c r="N49" s="849" t="s">
        <v>1608</v>
      </c>
      <c r="O49" s="849"/>
      <c r="P49" s="849"/>
      <c r="Q49" s="849"/>
      <c r="R49" s="849"/>
      <c r="S49" s="849"/>
      <c r="T49" s="849"/>
      <c r="U49" s="849"/>
      <c r="V49" s="849"/>
      <c r="W49" s="849"/>
      <c r="X49" s="849"/>
      <c r="Y49" s="849"/>
      <c r="Z49" s="849"/>
    </row>
    <row r="50" spans="11:26" ht="15" customHeight="1" x14ac:dyDescent="0.25">
      <c r="K50" s="852"/>
      <c r="L50" s="853"/>
      <c r="M50" s="852"/>
      <c r="N50" s="852"/>
      <c r="O50" s="849"/>
      <c r="P50" s="849"/>
      <c r="Q50" s="849"/>
      <c r="R50" s="849"/>
      <c r="S50" s="849"/>
      <c r="T50" s="849"/>
      <c r="U50" s="849"/>
      <c r="V50" s="849"/>
      <c r="W50" s="849"/>
      <c r="X50" s="849"/>
      <c r="Y50" s="849"/>
      <c r="Z50" s="849"/>
    </row>
    <row r="51" spans="11:26" ht="15" customHeight="1" x14ac:dyDescent="0.25">
      <c r="K51" s="591" t="s">
        <v>1609</v>
      </c>
      <c r="L51" s="594">
        <f>0.3*L34^(2/3)</f>
        <v>4.071626424892359</v>
      </c>
      <c r="M51" s="591" t="s">
        <v>160</v>
      </c>
      <c r="N51" s="592" t="s">
        <v>1610</v>
      </c>
    </row>
    <row r="52" spans="11:26" ht="15" customHeight="1" x14ac:dyDescent="0.25">
      <c r="K52" s="591" t="s">
        <v>1611</v>
      </c>
      <c r="L52" s="594">
        <f>Geometria!$L$81</f>
        <v>500.0</v>
      </c>
      <c r="M52" s="591" t="s">
        <v>160</v>
      </c>
      <c r="N52" s="592" t="s">
        <v>1612</v>
      </c>
    </row>
    <row r="53" spans="11:26" ht="15" customHeight="1" x14ac:dyDescent="0.25">
      <c r="K53" s="591" t="s">
        <v>1613</v>
      </c>
      <c r="L53" s="599">
        <f>0.2*L51/L52</f>
        <v>0.0016286505699569436</v>
      </c>
      <c r="M53" s="591" t="s">
        <v>93</v>
      </c>
      <c r="N53" s="592" t="s">
        <v>1614</v>
      </c>
    </row>
    <row r="54" spans="11:26" ht="15.75" customHeight="1" x14ac:dyDescent="0.25">
      <c r="K54" s="591" t="s">
        <v>1615</v>
      </c>
      <c r="L54" s="595">
        <f>L53*100*L19</f>
        <v>4.885951709870831</v>
      </c>
      <c r="M54" s="591" t="s">
        <v>1603</v>
      </c>
      <c r="N54" s="592" t="s">
        <v>1616</v>
      </c>
    </row>
    <row r="55" spans="11:26" ht="15.75" customHeight="1" x14ac:dyDescent="0.25">
      <c r="K55" s="591" t="s">
        <v>1598</v>
      </c>
      <c r="L55" s="851" t="str">
        <f ca="1">IF(L49&gt;=L54,"OK","NÃO ATENDE — aumentar estribos")</f>
        <v>OK</v>
      </c>
      <c r="M55" s="851"/>
      <c r="N55" s="851"/>
    </row>
    <row r="57" spans="11:26" ht="15" customHeight="1" x14ac:dyDescent="0.25">
      <c r="K57" s="850" t="s">
        <v>1617</v>
      </c>
      <c r="L57" s="850"/>
      <c r="M57" s="850"/>
      <c r="N57" s="850"/>
      <c r="O57" s="850"/>
      <c r="P57" s="850"/>
      <c r="Q57" s="850"/>
      <c r="R57" s="850"/>
      <c r="S57" s="850"/>
      <c r="T57" s="850"/>
      <c r="U57" s="850"/>
      <c r="V57" s="850"/>
      <c r="W57" s="850"/>
      <c r="X57" s="850"/>
      <c r="Y57" s="850"/>
      <c r="Z57" s="850"/>
    </row>
    <row r="59" spans="11:26" ht="15" customHeight="1" x14ac:dyDescent="0.25">
      <c r="K59" s="591" t="s">
        <v>1618</v>
      </c>
      <c r="L59" s="594">
        <f>Geometria!$L$81/Geometria!O76</f>
        <v>454.5454545454545</v>
      </c>
      <c r="M59" s="591" t="s">
        <v>160</v>
      </c>
      <c r="N59" s="592" t="s">
        <v>1619</v>
      </c>
    </row>
    <row r="60" spans="11:26" ht="15" customHeight="1" x14ac:dyDescent="0.25">
      <c r="K60" s="591" t="s">
        <v>1620</v>
      </c>
      <c r="L60" s="594">
        <f>10*L10*L30/(2*L29*L59)</f>
        <v>0.0</v>
      </c>
      <c r="M60" s="591" t="s">
        <v>247</v>
      </c>
      <c r="N60" s="592" t="s">
        <v>1621</v>
      </c>
    </row>
    <row r="61" spans="11:26" ht="15" customHeight="1" x14ac:dyDescent="0.25">
      <c r="K61" s="591" t="s">
        <v>1622</v>
      </c>
      <c r="L61" s="594">
        <f>(L53/2)*L30*L19</f>
        <v>3.420166196909581</v>
      </c>
      <c r="M61" s="591" t="s">
        <v>247</v>
      </c>
      <c r="N61" s="592" t="s">
        <v>1623</v>
      </c>
    </row>
    <row r="62" spans="11:26" ht="15" customHeight="1" x14ac:dyDescent="0.25">
      <c r="K62" s="591" t="s">
        <v>1624</v>
      </c>
      <c r="L62" s="594">
        <f>MAX(L60,L61)</f>
        <v>3.420166196909581</v>
      </c>
      <c r="M62" s="591" t="s">
        <v>247</v>
      </c>
      <c r="N62" s="849" t="s">
        <v>1625</v>
      </c>
      <c r="O62" s="849"/>
      <c r="P62" s="849"/>
      <c r="Q62" s="849"/>
      <c r="R62" s="849"/>
      <c r="S62" s="849"/>
      <c r="T62" s="849"/>
      <c r="U62" s="849"/>
      <c r="V62" s="849"/>
      <c r="W62" s="849"/>
      <c r="X62" s="849"/>
      <c r="Y62" s="849"/>
      <c r="Z62" s="849"/>
    </row>
    <row r="63" spans="11:26" ht="15" customHeight="1" x14ac:dyDescent="0.25">
      <c r="N63" s="849"/>
      <c r="O63" s="849"/>
      <c r="P63" s="849"/>
      <c r="Q63" s="849"/>
      <c r="R63" s="849"/>
      <c r="S63" s="849"/>
      <c r="T63" s="849"/>
      <c r="U63" s="849"/>
      <c r="V63" s="849"/>
      <c r="W63" s="849"/>
      <c r="X63" s="849"/>
      <c r="Y63" s="849"/>
      <c r="Z63" s="849"/>
    </row>
    <row r="64" spans="11:26" ht="15" customHeight="1" x14ac:dyDescent="0.25">
      <c r="K64" s="850" t="s">
        <v>1626</v>
      </c>
      <c r="L64" s="850"/>
      <c r="M64" s="850"/>
      <c r="N64" s="850"/>
      <c r="O64" s="850"/>
      <c r="P64" s="850"/>
      <c r="Q64" s="850"/>
      <c r="R64" s="850"/>
      <c r="S64" s="850"/>
      <c r="T64" s="850"/>
      <c r="U64" s="850"/>
      <c r="V64" s="850"/>
      <c r="W64" s="850"/>
      <c r="X64" s="850"/>
      <c r="Y64" s="850"/>
      <c r="Z64" s="850"/>
    </row>
    <row r="66" spans="11:26" ht="15" customHeight="1" x14ac:dyDescent="0.25">
      <c r="K66" s="591" t="s">
        <v>730</v>
      </c>
      <c r="L66" s="594">
        <f>L20-(Geometria!$R$76+(L15/10)/2)</f>
        <v>56.2</v>
      </c>
      <c r="M66" s="591" t="s">
        <v>35</v>
      </c>
      <c r="N66" s="592" t="s">
        <v>1627</v>
      </c>
    </row>
    <row r="67" spans="11:26" ht="15" customHeight="1" x14ac:dyDescent="0.25">
      <c r="K67" s="591" t="s">
        <v>1628</v>
      </c>
      <c r="L67" s="594">
        <f ca="1">IF(L41&lt;=0.67,MIN(0.6*L66,30),MIN(0.3*L66,20))</f>
        <v>30.0</v>
      </c>
      <c r="M67" s="591" t="s">
        <v>35</v>
      </c>
      <c r="N67" s="592" t="s">
        <v>1629</v>
      </c>
    </row>
    <row r="68" spans="11:26" ht="15.75" customHeight="1" x14ac:dyDescent="0.25">
      <c r="K68" s="591" t="s">
        <v>1630</v>
      </c>
      <c r="L68" s="595">
        <f ca="1">Taxas!$J$11</f>
        <v>8.5</v>
      </c>
      <c r="M68" s="591" t="s">
        <v>35</v>
      </c>
      <c r="N68" s="592" t="s">
        <v>1631</v>
      </c>
    </row>
    <row r="69" spans="11:26" ht="15.75" customHeight="1" x14ac:dyDescent="0.25">
      <c r="K69" s="591" t="s">
        <v>1598</v>
      </c>
      <c r="L69" s="851" t="str">
        <f ca="1">IF(L68&lt;=L67,"OK","NÃO ATENDE — reduzir espaçamento")</f>
        <v>OK</v>
      </c>
      <c r="M69" s="851"/>
      <c r="N69" s="851"/>
    </row>
    <row r="70" spans="11:26" ht="15" customHeight="1" x14ac:dyDescent="0.25">
      <c r="K70" t="s">
        <v>1632</v>
      </c>
      <c r="N70" t="s">
        <v>1633</v>
      </c>
    </row>
    <row r="71" spans="11:26" ht="15" customHeight="1" x14ac:dyDescent="0.25">
      <c r="K71" s="850" t="s">
        <v>1634</v>
      </c>
      <c r="L71" s="850"/>
      <c r="M71" s="850"/>
      <c r="N71" s="850"/>
      <c r="O71" s="850"/>
      <c r="P71" s="850"/>
      <c r="Q71" s="850"/>
      <c r="R71" s="850"/>
      <c r="S71" s="850"/>
      <c r="T71" s="850"/>
      <c r="U71" s="850"/>
      <c r="V71" s="850"/>
      <c r="W71" s="850"/>
      <c r="X71" s="850"/>
      <c r="Y71" s="850"/>
      <c r="Z71" s="850"/>
    </row>
    <row r="72" spans="11:26" ht="15.75" customHeight="1" x14ac:dyDescent="0.25"/>
    <row r="73" spans="11:26" ht="15.75" customHeight="1" x14ac:dyDescent="0.25">
      <c r="K73" s="591" t="s">
        <v>1635</v>
      </c>
      <c r="L73" s="848" t="str">
        <f ca="1">IF(AND(L42="OK",L55="OK",L69="OK"),IF(L75&lt;=L74,"OK - Compat. desprezavel","OK"),"VERIFICAR ITENS ACIMA")</f>
        <v>OK - Compat. desprezavel</v>
      </c>
      <c r="M73" s="848"/>
      <c r="N73" s="849" t="s">
        <v>1636</v>
      </c>
      <c r="O73" s="849"/>
      <c r="P73" s="849"/>
      <c r="Q73" s="849"/>
      <c r="R73" s="849"/>
      <c r="S73" s="849"/>
      <c r="T73" s="849"/>
      <c r="U73" s="849"/>
      <c r="V73" s="849"/>
      <c r="W73" s="849"/>
      <c r="X73" s="849"/>
      <c r="Y73" s="849"/>
      <c r="Z73" s="849"/>
    </row>
    <row r="74" spans="11:26" ht="15" customHeight="1" x14ac:dyDescent="0.25">
      <c r="K74" t="s">
        <v>1637</v>
      </c>
      <c r="L74" s="848">
        <f>0.7*L37</f>
        <v>1380.2400000000002</v>
      </c>
      <c r="M74" s="848" t="s">
        <v>292</v>
      </c>
      <c r="N74" s="849" t="s">
        <v>1638</v>
      </c>
      <c r="O74" s="849"/>
      <c r="P74" s="849"/>
      <c r="Q74" s="849"/>
      <c r="R74" s="849"/>
      <c r="S74" s="849"/>
      <c r="T74" s="849"/>
      <c r="U74" s="849"/>
      <c r="V74" s="849"/>
      <c r="W74" s="849"/>
      <c r="X74" s="849"/>
      <c r="Y74" s="849"/>
      <c r="Z74" s="849"/>
    </row>
    <row r="75" spans="11:26" ht="15.75" customHeight="1" x14ac:dyDescent="0.25">
      <c r="K75" t="s">
        <v>1588</v>
      </c>
      <c r="L75" s="848">
        <f ca="1">L36</f>
        <v>1030.4601290625</v>
      </c>
      <c r="M75" s="848" t="s">
        <v>292</v>
      </c>
      <c r="N75" s="849"/>
      <c r="O75" s="849"/>
      <c r="P75" s="849"/>
      <c r="Q75" s="849"/>
      <c r="R75" s="849"/>
      <c r="S75" s="849"/>
      <c r="T75" s="849"/>
      <c r="U75" s="849"/>
      <c r="V75" s="849"/>
      <c r="W75" s="849"/>
      <c r="X75" s="849"/>
      <c r="Y75" s="849"/>
      <c r="Z75" s="849"/>
    </row>
    <row r="76" spans="11:26" ht="15" customHeight="1" x14ac:dyDescent="0.25">
      <c r="K76" t="s">
        <v>1598</v>
      </c>
      <c r="L76" t="str">
        <f ca="1">IF(L75&lt;=L74,"Compatibilidade desprezavel (Vsd &lt;= 0,7*Vrd2)","Nao desprezavel - dimensionar para torcao")</f>
        <v>Compatibilidade desprezavel (Vsd &lt;= 0,7*Vrd2)</v>
      </c>
      <c r="N76" t="s">
        <v>1639</v>
      </c>
    </row>
    <row r="77" spans="11:26" ht="15" customHeight="1" x14ac:dyDescent="0.25">
      <c r="K77" s="850" t="s">
        <v>1640</v>
      </c>
      <c r="L77" s="850"/>
      <c r="M77" s="850"/>
      <c r="N77" s="850"/>
      <c r="O77" s="850"/>
      <c r="P77" s="850"/>
      <c r="Q77" s="850"/>
      <c r="R77" s="850"/>
      <c r="S77" s="850"/>
      <c r="T77" s="850"/>
      <c r="U77" s="850"/>
      <c r="V77" s="850"/>
      <c r="W77" s="850"/>
      <c r="X77" s="850"/>
      <c r="Y77" s="850"/>
      <c r="Z77" s="850"/>
    </row>
    <row r="79" spans="11:26" ht="15" customHeight="1" x14ac:dyDescent="0.25">
      <c r="K79" s="845" t="s">
        <v>1641</v>
      </c>
      <c r="L79" s="845"/>
      <c r="M79" s="845"/>
      <c r="N79" s="845"/>
      <c r="O79" s="845"/>
      <c r="P79" s="845"/>
      <c r="Q79" s="845"/>
      <c r="R79" s="845"/>
      <c r="S79" s="845"/>
    </row>
    <row r="80" spans="11:26" ht="15" customHeight="1" x14ac:dyDescent="0.25">
      <c r="K80" s="591" t="s">
        <v>1642</v>
      </c>
      <c r="L80" s="600">
        <f>MAX(0.0001,L54-2*L47)</f>
        <v>4.885951709870831</v>
      </c>
      <c r="M80" s="591" t="s">
        <v>1603</v>
      </c>
      <c r="N80" s="592" t="s">
        <v>1643</v>
      </c>
    </row>
    <row r="81" spans="11:26" ht="15" customHeight="1" x14ac:dyDescent="0.25">
      <c r="K81" s="591" t="s">
        <v>1644</v>
      </c>
      <c r="L81" s="600">
        <f ca="1">IF(L55="OK",L68,ROUNDDOWN(((Taxas!$O$5*(PI()*(L14/10)^2/4))*100)/L80,1))</f>
        <v>8.5</v>
      </c>
      <c r="M81" s="591" t="s">
        <v>35</v>
      </c>
      <c r="N81" s="592" t="s">
        <v>1645</v>
      </c>
    </row>
    <row r="82" spans="11:26" ht="15" customHeight="1" x14ac:dyDescent="0.25">
      <c r="K82" s="591" t="s">
        <v>1646</v>
      </c>
      <c r="L82" s="601" t="str">
        <f ca="1">L14&amp;" mm c/ "&amp;TEXT(L81,"0.0")&amp;" cm ("&amp;Taxas!$O$5&amp;" ramos)"</f>
        <v>10 mm c/ 8.5 cm (2 ramos)</v>
      </c>
      <c r="M82" s="591"/>
      <c r="N82" s="592" t="s">
        <v>1647</v>
      </c>
    </row>
    <row r="84" spans="11:26" ht="15" customHeight="1" x14ac:dyDescent="0.25">
      <c r="K84" s="845" t="s">
        <v>1648</v>
      </c>
      <c r="L84" s="845"/>
      <c r="M84" s="845"/>
      <c r="N84" s="845"/>
      <c r="O84" s="845"/>
      <c r="P84" s="845"/>
      <c r="Q84" s="845"/>
      <c r="R84" s="845"/>
      <c r="S84" s="845"/>
    </row>
    <row r="85" spans="11:26" ht="15" customHeight="1" x14ac:dyDescent="0.25">
      <c r="K85" s="591" t="s">
        <v>1649</v>
      </c>
      <c r="L85" s="602">
        <f>MAX(4,ROUNDUP(L30/35,0))</f>
        <v>4.0</v>
      </c>
      <c r="M85" s="591" t="s">
        <v>818</v>
      </c>
      <c r="N85" s="592" t="s">
        <v>1650</v>
      </c>
    </row>
    <row r="86" spans="11:26" ht="15" customHeight="1" x14ac:dyDescent="0.25">
      <c r="K86" s="591" t="s">
        <v>1651</v>
      </c>
      <c r="L86" s="600">
        <f>L62/L85</f>
        <v>0.8550415492273953</v>
      </c>
      <c r="M86" s="591" t="s">
        <v>247</v>
      </c>
      <c r="N86" s="592" t="s">
        <v>1652</v>
      </c>
    </row>
    <row r="87" spans="11:26" ht="15" customHeight="1" x14ac:dyDescent="0.25">
      <c r="K87" s="591" t="s">
        <v>1653</v>
      </c>
      <c r="L87" s="600">
        <f>SQRT(4*L86/PI())*10</f>
        <v>10.433948020130908</v>
      </c>
      <c r="M87" s="591" t="s">
        <v>460</v>
      </c>
      <c r="N87" s="592" t="s">
        <v>1654</v>
      </c>
    </row>
    <row r="88" spans="11:26" ht="15" customHeight="1" x14ac:dyDescent="0.25">
      <c r="K88" s="591" t="s">
        <v>1655</v>
      </c>
      <c r="L88" s="603">
        <f>IF(L87&lt;=6.3,6.3,IF(L87&lt;=8,8,IF(L87&lt;=10,10,IF(L87&lt;=12.5,12.5,IF(L87&lt;=16,16,IF(L87&lt;=20,20,IF(L87&lt;=25,25,32)))))))</f>
        <v>12.5</v>
      </c>
      <c r="M88" s="591" t="s">
        <v>460</v>
      </c>
      <c r="N88" s="592" t="s">
        <v>1656</v>
      </c>
    </row>
    <row r="89" spans="11:26" ht="15" customHeight="1" x14ac:dyDescent="0.25">
      <c r="K89" s="591" t="s">
        <v>1657</v>
      </c>
      <c r="L89" s="600">
        <f>L85*(PI()*(L88/10)^2/4)</f>
        <v>4.908738521234052</v>
      </c>
      <c r="M89" s="591" t="s">
        <v>247</v>
      </c>
      <c r="N89" s="592" t="s">
        <v>1658</v>
      </c>
    </row>
    <row r="90" spans="11:26" ht="15" customHeight="1" x14ac:dyDescent="0.25">
      <c r="K90" s="591" t="s">
        <v>1598</v>
      </c>
      <c r="L90" s="591" t="str">
        <f>IF(L89&gt;=L62,"OK","Aumentar quantidade/bitola")</f>
        <v>OK</v>
      </c>
      <c r="M90" s="591"/>
      <c r="N90" s="592"/>
    </row>
    <row r="91" spans="11:26" ht="15" customHeight="1" x14ac:dyDescent="0.25">
      <c r="K91" s="591" t="s">
        <v>1659</v>
      </c>
      <c r="L91" s="843" t="str">
        <f>L85&amp;" barras de "&amp;TEXT(L88,"0.0")&amp;" mm ("&amp;TEXT(L89,"0.00")&amp;" cm²)"</f>
        <v>4 barras de 12.5 mm (4.91 cm²)</v>
      </c>
      <c r="M91" s="591"/>
      <c r="N91" s="844" t="s">
        <v>1660</v>
      </c>
      <c r="O91" s="844"/>
      <c r="P91" s="844"/>
      <c r="Q91" s="844"/>
      <c r="R91" s="844"/>
      <c r="S91" s="844"/>
      <c r="T91" s="844"/>
      <c r="U91" s="844"/>
      <c r="V91" s="844"/>
      <c r="W91" s="844"/>
      <c r="X91" s="844"/>
      <c r="Y91" s="844"/>
      <c r="Z91" s="844"/>
    </row>
    <row r="92" spans="11:26" x14ac:dyDescent="0.25">
      <c r="L92" s="843"/>
      <c r="N92" s="844"/>
      <c r="O92" s="844"/>
      <c r="P92" s="844"/>
      <c r="Q92" s="844"/>
      <c r="R92" s="844"/>
      <c r="S92" s="844"/>
      <c r="T92" s="844"/>
      <c r="U92" s="844"/>
      <c r="V92" s="844"/>
      <c r="W92" s="844"/>
      <c r="X92" s="844"/>
      <c r="Y92" s="844"/>
      <c r="Z92" s="844"/>
    </row>
    <row r="93" spans="11:26" ht="15" customHeight="1" x14ac:dyDescent="0.25">
      <c r="K93" s="845" t="s">
        <v>1661</v>
      </c>
      <c r="L93" s="845"/>
      <c r="M93" s="845"/>
      <c r="N93" s="845"/>
      <c r="O93" s="845"/>
      <c r="P93" s="845"/>
      <c r="Q93" s="845"/>
      <c r="R93" s="845"/>
      <c r="S93" s="845"/>
    </row>
    <row r="94" spans="11:26" ht="50.25" customHeight="1" x14ac:dyDescent="0.25">
      <c r="K94" s="846" t="s">
        <v>1662</v>
      </c>
      <c r="L94" s="846"/>
      <c r="M94" s="846"/>
      <c r="N94" s="846"/>
      <c r="O94" s="846"/>
      <c r="P94" s="846"/>
      <c r="Q94" s="846"/>
      <c r="R94" s="846"/>
      <c r="S94" s="846"/>
    </row>
    <row r="95" spans="11:26" x14ac:dyDescent="0.25">
      <c r="K95" t="s">
        <v>1663</v>
      </c>
      <c r="L95" s="604">
        <v>4</v>
      </c>
      <c r="M95" t="s">
        <v>8</v>
      </c>
    </row>
    <row r="96" spans="11:26" x14ac:dyDescent="0.25">
      <c r="K96" t="s">
        <v>1664</v>
      </c>
      <c r="L96" s="605">
        <v>10</v>
      </c>
      <c r="M96" t="s">
        <v>460</v>
      </c>
      <c r="P96" s="376"/>
    </row>
    <row r="97" spans="11:22" x14ac:dyDescent="0.25">
      <c r="K97" t="s">
        <v>1665</v>
      </c>
      <c r="L97" s="1">
        <f>3.14*(L96/20)^2*L95</f>
        <v>3.14</v>
      </c>
      <c r="M97" t="s">
        <v>247</v>
      </c>
      <c r="N97" s="376"/>
    </row>
    <row r="98" spans="11:22" x14ac:dyDescent="0.25">
      <c r="N98" s="847" t="s">
        <v>1666</v>
      </c>
      <c r="O98" s="847"/>
      <c r="P98" s="847"/>
      <c r="Q98" s="847"/>
      <c r="R98" s="847"/>
      <c r="S98" s="847"/>
      <c r="T98" s="847"/>
      <c r="U98" s="847"/>
      <c r="V98" s="847"/>
    </row>
    <row r="99" spans="11:22" x14ac:dyDescent="0.25">
      <c r="N99" s="606">
        <f>Taxas!$O$5</f>
        <v>2.0</v>
      </c>
      <c r="O99" s="607" t="s">
        <v>1667</v>
      </c>
      <c r="P99" s="608">
        <f>L14</f>
        <v>10.0</v>
      </c>
      <c r="Q99" s="609" t="s">
        <v>460</v>
      </c>
      <c r="R99" s="609" t="s">
        <v>1668</v>
      </c>
      <c r="S99" s="608">
        <f ca="1">L81</f>
        <v>8.5</v>
      </c>
      <c r="T99" s="609" t="s">
        <v>35</v>
      </c>
      <c r="U99" s="610" t="s">
        <v>1669</v>
      </c>
      <c r="V99" s="611"/>
    </row>
    <row r="100" spans="11:22" x14ac:dyDescent="0.25">
      <c r="N100" s="841" t="s">
        <v>1670</v>
      </c>
      <c r="O100" s="841"/>
      <c r="P100" s="841"/>
      <c r="Q100" s="841"/>
      <c r="R100" s="841"/>
      <c r="S100" s="841"/>
      <c r="T100" s="841"/>
      <c r="U100" s="841"/>
      <c r="V100" s="841"/>
    </row>
    <row r="101" spans="11:22" x14ac:dyDescent="0.25">
      <c r="N101" s="612">
        <f>IF(MAX(L97,L89)=L97,L95,L85)</f>
        <v>4.0</v>
      </c>
      <c r="O101" s="607" t="s">
        <v>1667</v>
      </c>
      <c r="P101" s="608">
        <f>IF(MAX(L97,L89)=L97,L96,L88)</f>
        <v>12.5</v>
      </c>
      <c r="Q101" s="609" t="s">
        <v>460</v>
      </c>
      <c r="R101" s="609" t="s">
        <v>1671</v>
      </c>
      <c r="S101" s="608">
        <f>L30/(IF(MAX(L97,L89)=L97,L95,L85))</f>
        <v>35.0</v>
      </c>
      <c r="T101" s="609" t="s">
        <v>35</v>
      </c>
      <c r="U101" s="610" t="s">
        <v>1672</v>
      </c>
      <c r="V101" s="611"/>
    </row>
    <row r="102" spans="11:22" ht="15" customHeight="1" x14ac:dyDescent="0.25">
      <c r="N102" s="842" t="s">
        <v>1673</v>
      </c>
      <c r="O102" s="842"/>
      <c r="P102" s="842"/>
      <c r="Q102" s="842"/>
      <c r="R102" s="842"/>
      <c r="S102" s="842"/>
      <c r="T102" s="842"/>
      <c r="U102" s="842"/>
      <c r="V102" s="842"/>
    </row>
    <row r="103" spans="11:22" ht="12" customHeight="1" x14ac:dyDescent="0.25"/>
    <row r="104" spans="11:22" ht="3.75" customHeight="1" x14ac:dyDescent="0.25"/>
    <row r="105" spans="11:22" ht="15" customHeight="1" x14ac:dyDescent="0.25"/>
    <row r="150" spans="11:13" ht="15" customHeight="1" x14ac:dyDescent="0.25">
      <c r="K150" t="s">
        <v>1674</v>
      </c>
    </row>
    <row r="151" spans="11:13" ht="15" customHeight="1" x14ac:dyDescent="0.25">
      <c r="K151" t="s">
        <v>1675</v>
      </c>
      <c r="L151" t="s">
        <v>968</v>
      </c>
      <c r="M151" t="s">
        <v>1676</v>
      </c>
    </row>
    <row r="152" spans="11:13" ht="15" customHeight="1" x14ac:dyDescent="0.25">
      <c r="K152">
        <f>1</f>
        <v>1.0</v>
      </c>
      <c r="L152">
        <f t="shared" ref="L152:L163" si="0">IF($K152&lt;=4,IF(OR($K152=1,$K152=3),-($L$19/2-$L$23),($L$19/2-$L$23)),IF($K152&lt;=$N$101,IF(MOD($K152,2)=1,-($L$19/2-$L$23),($L$19/2-$L$23)),NA()))</f>
        <v>-10.2</v>
      </c>
      <c r="M152" s="376">
        <f t="shared" ref="M152:M163" si="1">IF($K152&lt;=4,IF($K152&lt;=2,$L$23,$L$20-$L$23),IF($K152&lt;=$N$101,$L$23+($L$20-2*$L$23)*ROUNDUP(($K152-4)/2,0)/(ROUNDUP(MAX(0,$N$101-4)/2,0)+1),NA()))</f>
        <v>4.8</v>
      </c>
    </row>
    <row r="153" spans="11:13" ht="15" customHeight="1" x14ac:dyDescent="0.25">
      <c r="K153">
        <f>2</f>
        <v>2.0</v>
      </c>
      <c r="L153">
        <f t="shared" si="0"/>
        <v>10.2</v>
      </c>
      <c r="M153" s="376">
        <f t="shared" si="1"/>
        <v>4.8</v>
      </c>
    </row>
    <row r="154" spans="11:13" ht="15" customHeight="1" x14ac:dyDescent="0.25">
      <c r="K154">
        <f>3</f>
        <v>3.0</v>
      </c>
      <c r="L154">
        <f t="shared" si="0"/>
        <v>-10.2</v>
      </c>
      <c r="M154">
        <f t="shared" si="1"/>
        <v>55.2</v>
      </c>
    </row>
    <row r="155" spans="11:13" ht="15" customHeight="1" x14ac:dyDescent="0.25">
      <c r="K155">
        <f>4</f>
        <v>4.0</v>
      </c>
      <c r="L155">
        <f t="shared" si="0"/>
        <v>10.2</v>
      </c>
      <c r="M155">
        <f t="shared" si="1"/>
        <v>55.2</v>
      </c>
    </row>
    <row r="156" spans="11:13" ht="15" customHeight="1" x14ac:dyDescent="0.25">
      <c r="K156">
        <f>5</f>
        <v>5.0</v>
      </c>
      <c r="L156" t="e">
        <f t="shared" si="0"/>
        <v>#N/A</v>
      </c>
      <c r="M156" t="e">
        <f t="shared" si="1"/>
        <v>#N/A</v>
      </c>
    </row>
    <row r="157" spans="11:13" ht="15" customHeight="1" x14ac:dyDescent="0.25">
      <c r="K157">
        <f>6</f>
        <v>6.0</v>
      </c>
      <c r="L157" t="e">
        <f t="shared" si="0"/>
        <v>#N/A</v>
      </c>
      <c r="M157" t="e">
        <f t="shared" si="1"/>
        <v>#N/A</v>
      </c>
    </row>
    <row r="158" spans="11:13" ht="15" customHeight="1" x14ac:dyDescent="0.25">
      <c r="K158">
        <f>7</f>
        <v>7.0</v>
      </c>
      <c r="L158" t="e">
        <f t="shared" si="0"/>
        <v>#N/A</v>
      </c>
      <c r="M158" t="e">
        <f t="shared" si="1"/>
        <v>#N/A</v>
      </c>
    </row>
    <row r="159" spans="11:13" ht="15" customHeight="1" x14ac:dyDescent="0.25">
      <c r="K159">
        <f>8</f>
        <v>8.0</v>
      </c>
      <c r="L159" t="e">
        <f t="shared" si="0"/>
        <v>#N/A</v>
      </c>
      <c r="M159" t="e">
        <f t="shared" si="1"/>
        <v>#N/A</v>
      </c>
    </row>
    <row r="160" spans="11:13" ht="15" customHeight="1" x14ac:dyDescent="0.25">
      <c r="K160">
        <f>9</f>
        <v>9.0</v>
      </c>
      <c r="L160" t="e">
        <f t="shared" si="0"/>
        <v>#N/A</v>
      </c>
      <c r="M160" t="e">
        <f t="shared" si="1"/>
        <v>#N/A</v>
      </c>
    </row>
    <row r="161" spans="11:13" ht="15" customHeight="1" x14ac:dyDescent="0.25">
      <c r="K161">
        <f>10</f>
        <v>10.0</v>
      </c>
      <c r="L161" t="e">
        <f t="shared" si="0"/>
        <v>#N/A</v>
      </c>
      <c r="M161" t="e">
        <f t="shared" si="1"/>
        <v>#N/A</v>
      </c>
    </row>
    <row r="162" spans="11:13" ht="15" customHeight="1" x14ac:dyDescent="0.25">
      <c r="K162">
        <f>11</f>
        <v>11.0</v>
      </c>
      <c r="L162" t="e">
        <f t="shared" si="0"/>
        <v>#N/A</v>
      </c>
      <c r="M162" t="e">
        <f t="shared" si="1"/>
        <v>#N/A</v>
      </c>
    </row>
    <row r="163" spans="11:13" ht="15" customHeight="1" x14ac:dyDescent="0.25">
      <c r="K163">
        <f>12</f>
        <v>12.0</v>
      </c>
      <c r="L163" t="e">
        <f t="shared" si="0"/>
        <v>#N/A</v>
      </c>
      <c r="M163" t="e">
        <f t="shared" si="1"/>
        <v>#N/A</v>
      </c>
    </row>
  </sheetData>
  <mergeCells count="32">
    <mergeCell ref="K1:Z1"/>
    <mergeCell ref="K3:S3"/>
    <mergeCell ref="K4:S4"/>
    <mergeCell ref="K6:Z6"/>
    <mergeCell ref="K12:Z12"/>
    <mergeCell ref="K17:Z17"/>
    <mergeCell ref="K26:K27"/>
    <mergeCell ref="L26:M27"/>
    <mergeCell ref="K32:Z32"/>
    <mergeCell ref="K44:Z44"/>
    <mergeCell ref="K49:K50"/>
    <mergeCell ref="L49:L50"/>
    <mergeCell ref="M49:M50"/>
    <mergeCell ref="N49:Z50"/>
    <mergeCell ref="L55:N55"/>
    <mergeCell ref="K57:Z57"/>
    <mergeCell ref="N62:Z63"/>
    <mergeCell ref="K64:Z64"/>
    <mergeCell ref="L69:N69"/>
    <mergeCell ref="K71:Z71"/>
    <mergeCell ref="L73:M75"/>
    <mergeCell ref="N73:Z75"/>
    <mergeCell ref="K77:Z77"/>
    <mergeCell ref="K79:S79"/>
    <mergeCell ref="K84:S84"/>
    <mergeCell ref="N100:V100"/>
    <mergeCell ref="N102:V102"/>
    <mergeCell ref="L91:L92"/>
    <mergeCell ref="N91:Z92"/>
    <mergeCell ref="K93:S93"/>
    <mergeCell ref="K94:S94"/>
    <mergeCell ref="N98:V98"/>
  </mergeCells>
  <conditionalFormatting sqref="L26">
    <cfRule type="expression" dxfId="31" priority="2">
      <formula>ISNUMBER(SEARCH("OK",L26))</formula>
    </cfRule>
    <cfRule type="expression" dxfId="30" priority="3">
      <formula>ISNUMBER(SEARCH("NÃO ATENDE",L26))</formula>
    </cfRule>
    <cfRule type="expression" dxfId="29" priority="4">
      <formula>ISNUMBER(SEARCH("ATENÇÃO",L26))</formula>
    </cfRule>
  </conditionalFormatting>
  <conditionalFormatting sqref="L42">
    <cfRule type="expression" dxfId="28" priority="5">
      <formula>ISNUMBER(SEARCH("OK",L42))</formula>
    </cfRule>
    <cfRule type="expression" dxfId="27" priority="6">
      <formula>ISNUMBER(SEARCH("NÃO ATENDE",L42))</formula>
    </cfRule>
    <cfRule type="expression" dxfId="26" priority="7">
      <formula>ISNUMBER(SEARCH("ATENÇÃO",L42))</formula>
    </cfRule>
  </conditionalFormatting>
  <conditionalFormatting sqref="L55">
    <cfRule type="expression" dxfId="25" priority="8">
      <formula>ISNUMBER(SEARCH("OK",L55))</formula>
    </cfRule>
    <cfRule type="expression" dxfId="24" priority="9">
      <formula>ISNUMBER(SEARCH("NÃO ATENDE",L55))</formula>
    </cfRule>
    <cfRule type="expression" dxfId="23" priority="10">
      <formula>ISNUMBER(SEARCH("ATENÇÃO",L55))</formula>
    </cfRule>
  </conditionalFormatting>
  <conditionalFormatting sqref="L69">
    <cfRule type="expression" dxfId="22" priority="11">
      <formula>ISNUMBER(SEARCH("OK",L69))</formula>
    </cfRule>
    <cfRule type="expression" dxfId="21" priority="12">
      <formula>ISNUMBER(SEARCH("NÃO ATENDE",L69))</formula>
    </cfRule>
    <cfRule type="expression" dxfId="20" priority="13">
      <formula>ISNUMBER(SEARCH("ATENÇÃO",L69))</formula>
    </cfRule>
  </conditionalFormatting>
  <conditionalFormatting sqref="L73">
    <cfRule type="expression" dxfId="19" priority="14">
      <formula>ISNUMBER(SEARCH("TORÇÃO OK",L73))</formula>
    </cfRule>
    <cfRule type="expression" dxfId="18" priority="15">
      <formula>ISNUMBER(SEARCH("VERIFICAR",L73))</formula>
    </cfRule>
  </conditionalFormatting>
  <conditionalFormatting sqref="L90">
    <cfRule type="expression" dxfId="17" priority="16">
      <formula>ISNUMBER(SEARCH("OK",L90))</formula>
    </cfRule>
    <cfRule type="expression" dxfId="16" priority="17">
      <formula>ISNUMBER(SEARCH("Aumentar",L90))</formula>
    </cfRule>
  </conditionalFormatting>
  <pageMargins left="0.75" right="0.75" top="1" bottom="1" header="0.511811023622047" footer="0.511811023622047"/>
  <pageSetup paperSize="9" scale="50" orientation="portrait" horizontalDpi="300" verticalDpi="300" r:id="rId1"/>
  <rowBreaks count="1" manualBreakCount="1">
    <brk id="70"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102"/>
  <sheetViews>
    <sheetView showGridLines="0" view="pageBreakPreview" topLeftCell="F1" zoomScale="85" zoomScaleNormal="85" zoomScalePageLayoutView="85" workbookViewId="0">
      <selection activeCell="R44" sqref="R44"/>
    </sheetView>
  </sheetViews>
  <sheetFormatPr defaultColWidth="8.5703125" defaultRowHeight="15" x14ac:dyDescent="0.25"/>
  <cols>
    <col min="10" max="10" width="3" customWidth="1"/>
    <col min="11" max="11" width="34" customWidth="1"/>
    <col min="12" max="12" width="18" customWidth="1"/>
    <col min="13" max="13" width="9" customWidth="1"/>
    <col min="14" max="23" width="9.42578125" customWidth="1"/>
  </cols>
  <sheetData>
    <row r="1" spans="11:23" ht="15" customHeight="1" x14ac:dyDescent="0.25">
      <c r="K1" s="855" t="s">
        <v>1677</v>
      </c>
      <c r="L1" s="855"/>
      <c r="M1" s="855"/>
      <c r="N1" s="855"/>
      <c r="O1" s="855"/>
      <c r="P1" s="855"/>
      <c r="Q1" s="855"/>
      <c r="R1" s="855"/>
      <c r="S1" s="855"/>
      <c r="T1" s="855"/>
      <c r="U1" s="855"/>
      <c r="V1" s="855"/>
      <c r="W1" s="855"/>
    </row>
    <row r="3" spans="11:23" ht="15" customHeight="1" x14ac:dyDescent="0.25">
      <c r="K3" s="856" t="s">
        <v>1678</v>
      </c>
      <c r="L3" s="856"/>
      <c r="M3" s="856"/>
      <c r="N3" s="856"/>
      <c r="O3" s="856"/>
      <c r="P3" s="856"/>
      <c r="Q3" s="856"/>
      <c r="R3" s="856"/>
      <c r="S3" s="856"/>
      <c r="T3" s="856"/>
      <c r="U3" s="856"/>
      <c r="V3" s="856"/>
      <c r="W3" s="856"/>
    </row>
    <row r="4" spans="11:23" ht="15" customHeight="1" x14ac:dyDescent="0.25">
      <c r="K4" s="856" t="s">
        <v>1679</v>
      </c>
      <c r="L4" s="856"/>
      <c r="M4" s="856"/>
      <c r="N4" s="856"/>
      <c r="O4" s="856"/>
      <c r="P4" s="856"/>
      <c r="Q4" s="856"/>
      <c r="R4" s="856"/>
      <c r="S4" s="856"/>
      <c r="T4" s="856"/>
      <c r="U4" s="856"/>
      <c r="V4" s="856"/>
      <c r="W4" s="856"/>
    </row>
    <row r="6" spans="11:23" ht="15" customHeight="1" x14ac:dyDescent="0.25">
      <c r="K6" s="850" t="s">
        <v>1680</v>
      </c>
      <c r="L6" s="850"/>
      <c r="M6" s="850"/>
      <c r="N6" s="850"/>
      <c r="O6" s="850"/>
      <c r="P6" s="850"/>
      <c r="Q6" s="850"/>
      <c r="R6" s="850"/>
      <c r="S6" s="850"/>
      <c r="T6" s="850"/>
      <c r="U6" s="850"/>
      <c r="V6" s="850"/>
      <c r="W6" s="850"/>
    </row>
    <row r="8" spans="11:23" ht="15" customHeight="1" x14ac:dyDescent="0.25">
      <c r="K8" s="591" t="s">
        <v>1681</v>
      </c>
      <c r="L8" s="594" t="str">
        <f>Geometria!M19</f>
        <v>1 - Retângular</v>
      </c>
      <c r="M8" s="591"/>
      <c r="N8" s="849" t="s">
        <v>1682</v>
      </c>
      <c r="O8" s="849"/>
      <c r="P8" s="849"/>
      <c r="Q8" s="849"/>
      <c r="R8" s="849"/>
      <c r="S8" s="849"/>
      <c r="T8" s="849"/>
      <c r="U8" s="849"/>
      <c r="V8" s="849"/>
      <c r="W8" s="849"/>
    </row>
    <row r="9" spans="11:23" ht="15" customHeight="1" x14ac:dyDescent="0.25">
      <c r="K9" s="591" t="s">
        <v>1683</v>
      </c>
      <c r="L9" s="594" t="str">
        <f>Geometria!M18</f>
        <v>1 - Sim</v>
      </c>
      <c r="M9" s="591"/>
      <c r="N9" s="849" t="s">
        <v>1684</v>
      </c>
      <c r="O9" s="849"/>
      <c r="P9" s="849"/>
      <c r="Q9" s="849"/>
      <c r="R9" s="849"/>
      <c r="S9" s="849"/>
      <c r="T9" s="849"/>
      <c r="U9" s="849"/>
      <c r="V9" s="849"/>
      <c r="W9" s="849"/>
    </row>
    <row r="10" spans="11:23" ht="15" customHeight="1" x14ac:dyDescent="0.25">
      <c r="K10" s="591" t="s">
        <v>1685</v>
      </c>
      <c r="L10" s="389" t="s">
        <v>1144</v>
      </c>
      <c r="M10" s="591"/>
      <c r="N10" s="849" t="s">
        <v>1686</v>
      </c>
      <c r="O10" s="849"/>
      <c r="P10" s="849"/>
      <c r="Q10" s="849"/>
      <c r="R10" s="849"/>
      <c r="S10" s="849"/>
      <c r="T10" s="849"/>
      <c r="U10" s="849"/>
      <c r="V10" s="849"/>
      <c r="W10" s="849"/>
    </row>
    <row r="11" spans="11:23" ht="15" customHeight="1" x14ac:dyDescent="0.25">
      <c r="K11" s="850" t="s">
        <v>1687</v>
      </c>
      <c r="L11" s="850"/>
      <c r="M11" s="850"/>
      <c r="N11" s="850"/>
      <c r="O11" s="850"/>
      <c r="P11" s="850"/>
      <c r="Q11" s="850"/>
      <c r="R11" s="850"/>
      <c r="S11" s="850"/>
      <c r="T11" s="850"/>
      <c r="U11" s="850"/>
      <c r="V11" s="850"/>
      <c r="W11" s="850"/>
    </row>
    <row r="13" spans="11:23" ht="15" customHeight="1" x14ac:dyDescent="0.25">
      <c r="K13" s="591" t="s">
        <v>164</v>
      </c>
      <c r="L13" s="594">
        <f>Geometria!L82</f>
        <v>50.0</v>
      </c>
      <c r="M13" s="591" t="s">
        <v>160</v>
      </c>
      <c r="N13" s="849" t="s">
        <v>1688</v>
      </c>
      <c r="O13" s="849"/>
      <c r="P13" s="849"/>
      <c r="Q13" s="849"/>
      <c r="R13" s="849"/>
      <c r="S13" s="849"/>
      <c r="T13" s="849"/>
      <c r="U13" s="849"/>
      <c r="V13" s="849"/>
      <c r="W13" s="849"/>
    </row>
    <row r="14" spans="11:23" ht="15" customHeight="1" x14ac:dyDescent="0.25">
      <c r="K14" s="591" t="s">
        <v>159</v>
      </c>
      <c r="L14" s="594">
        <f>Geometria!L81</f>
        <v>500.0</v>
      </c>
      <c r="M14" s="591" t="s">
        <v>160</v>
      </c>
      <c r="N14" s="849" t="s">
        <v>1689</v>
      </c>
      <c r="O14" s="849"/>
      <c r="P14" s="849"/>
      <c r="Q14" s="849"/>
      <c r="R14" s="849"/>
      <c r="S14" s="849"/>
      <c r="T14" s="849"/>
      <c r="U14" s="849"/>
      <c r="V14" s="849"/>
      <c r="W14" s="849"/>
    </row>
    <row r="15" spans="11:23" ht="15" customHeight="1" x14ac:dyDescent="0.25">
      <c r="K15" s="591" t="s">
        <v>2219</v>
      </c>
      <c r="L15" s="595">
        <f>IF(Geometria!$M$18="1 - Sim",Geometria!$R$78,Geometria!$O$78)</f>
        <v>1.4</v>
      </c>
      <c r="M15" s="591"/>
      <c r="N15" s="849" t="s">
        <v>1691</v>
      </c>
      <c r="O15" s="849"/>
      <c r="P15" s="849"/>
      <c r="Q15" s="849"/>
      <c r="R15" s="849"/>
      <c r="S15" s="849"/>
      <c r="T15" s="849"/>
      <c r="U15" s="849"/>
      <c r="V15" s="849"/>
      <c r="W15" s="849"/>
    </row>
    <row r="16" spans="11:23" ht="15" customHeight="1" x14ac:dyDescent="0.25">
      <c r="K16" s="591" t="s">
        <v>1692</v>
      </c>
      <c r="L16" s="613">
        <f>Geometria!O76</f>
        <v>1.1</v>
      </c>
      <c r="M16" s="591"/>
      <c r="N16" s="849" t="s">
        <v>1693</v>
      </c>
      <c r="O16" s="849"/>
      <c r="P16" s="849"/>
      <c r="Q16" s="849"/>
      <c r="R16" s="849"/>
      <c r="S16" s="849"/>
      <c r="T16" s="849"/>
      <c r="U16" s="849"/>
      <c r="V16" s="849"/>
      <c r="W16" s="849"/>
    </row>
    <row r="17" spans="11:23" ht="15" customHeight="1" x14ac:dyDescent="0.25">
      <c r="K17" s="591" t="s">
        <v>1694</v>
      </c>
      <c r="L17" s="593">
        <f>L14/L16</f>
        <v>454.5454545454545</v>
      </c>
      <c r="M17" s="591" t="s">
        <v>160</v>
      </c>
      <c r="N17" s="849" t="s">
        <v>1695</v>
      </c>
      <c r="O17" s="849"/>
      <c r="P17" s="849"/>
      <c r="Q17" s="849"/>
      <c r="R17" s="849"/>
      <c r="S17" s="849"/>
      <c r="T17" s="849"/>
      <c r="U17" s="849"/>
      <c r="V17" s="849"/>
      <c r="W17" s="849"/>
    </row>
    <row r="18" spans="11:23" ht="15" customHeight="1" x14ac:dyDescent="0.25">
      <c r="K18" s="591" t="s">
        <v>1696</v>
      </c>
      <c r="L18" s="389">
        <v>210000</v>
      </c>
      <c r="M18" s="591" t="s">
        <v>160</v>
      </c>
      <c r="N18" s="849" t="s">
        <v>1697</v>
      </c>
      <c r="O18" s="849"/>
      <c r="P18" s="849"/>
      <c r="Q18" s="849"/>
      <c r="R18" s="849"/>
      <c r="S18" s="849"/>
      <c r="T18" s="849"/>
      <c r="U18" s="849"/>
      <c r="V18" s="849"/>
      <c r="W18" s="849"/>
    </row>
    <row r="19" spans="11:23" ht="15" customHeight="1" x14ac:dyDescent="0.25">
      <c r="K19" s="591" t="s">
        <v>1698</v>
      </c>
      <c r="L19" s="594">
        <f>L17/L18</f>
        <v>0.0021645021645021645</v>
      </c>
      <c r="M19" s="591"/>
      <c r="N19" s="849" t="s">
        <v>1699</v>
      </c>
      <c r="O19" s="849"/>
      <c r="P19" s="849"/>
      <c r="Q19" s="849"/>
      <c r="R19" s="849"/>
      <c r="S19" s="849"/>
      <c r="T19" s="849"/>
      <c r="U19" s="849"/>
      <c r="V19" s="849"/>
      <c r="W19" s="849"/>
    </row>
    <row r="20" spans="11:23" ht="15" customHeight="1" x14ac:dyDescent="0.25">
      <c r="K20" s="591" t="s">
        <v>1700</v>
      </c>
      <c r="L20" s="614">
        <v>3.5000000000000001E-3</v>
      </c>
      <c r="M20" s="591"/>
      <c r="N20" s="849" t="s">
        <v>1701</v>
      </c>
      <c r="O20" s="849"/>
      <c r="P20" s="849"/>
      <c r="Q20" s="849"/>
      <c r="R20" s="849"/>
      <c r="S20" s="849"/>
      <c r="T20" s="849"/>
      <c r="U20" s="849"/>
      <c r="V20" s="849"/>
      <c r="W20" s="849"/>
    </row>
    <row r="21" spans="11:23" ht="15" customHeight="1" x14ac:dyDescent="0.25">
      <c r="K21" s="591" t="s">
        <v>1702</v>
      </c>
      <c r="L21" s="594">
        <f>IF(Geometria!$M$18="1 - Sim",IF(IF(Geometria!$M$18="1 - Sim",Geometria!$L$83,Geometria!$L$82)&lt;=50,0.8,0.8-(IF(Geometria!$M$18="1 - Sim",Geometria!$L$83,Geometria!$L$82)-50)/400),Apoio!B26)</f>
        <v>0.8</v>
      </c>
      <c r="M21" s="591"/>
      <c r="N21" s="849" t="s">
        <v>1703</v>
      </c>
      <c r="O21" s="849"/>
      <c r="P21" s="849"/>
      <c r="Q21" s="849"/>
      <c r="R21" s="849"/>
      <c r="S21" s="849"/>
      <c r="T21" s="849"/>
      <c r="U21" s="849"/>
      <c r="V21" s="849"/>
      <c r="W21" s="849"/>
    </row>
    <row r="22" spans="11:23" ht="15" customHeight="1" x14ac:dyDescent="0.25">
      <c r="K22" s="591" t="s">
        <v>1704</v>
      </c>
      <c r="L22" s="594">
        <f>IF(Geometria!$M$18="1 - Sim",IF(IF(Geometria!$M$18="1 - Sim",Geometria!$L$83,Geometria!$L$82)&lt;=50,0.85,0.85*(1-(IF(Geometria!$M$18="1 - Sim",Geometria!$L$83,Geometria!$L$82)-50)/200)),Apoio!B28)</f>
        <v>0.85</v>
      </c>
      <c r="M22" s="591"/>
      <c r="N22" s="849" t="s">
        <v>1705</v>
      </c>
      <c r="O22" s="849"/>
      <c r="P22" s="849"/>
      <c r="Q22" s="849"/>
      <c r="R22" s="849"/>
      <c r="S22" s="849"/>
      <c r="T22" s="849"/>
      <c r="U22" s="849"/>
      <c r="V22" s="849"/>
      <c r="W22" s="849"/>
    </row>
    <row r="23" spans="11:23" ht="15" customHeight="1" x14ac:dyDescent="0.25">
      <c r="K23" s="591" t="s">
        <v>1706</v>
      </c>
      <c r="L23" s="594">
        <f>IF(Geometria!$M$18="1 - Sim",IF(IF(Geometria!$M$18="1 - Sim",Geometria!$L$83,Geometria!$L$82)&lt;=40,1,(40/IF(Geometria!$M$18="1 - Sim",Geometria!$L$83,Geometria!$L$82))^(1/3)),Apoio!B29)</f>
        <v>1.0</v>
      </c>
      <c r="M23" s="591"/>
      <c r="N23" s="849" t="s">
        <v>1707</v>
      </c>
      <c r="O23" s="849"/>
      <c r="P23" s="849"/>
      <c r="Q23" s="849"/>
      <c r="R23" s="849"/>
      <c r="S23" s="849"/>
      <c r="T23" s="849"/>
      <c r="U23" s="849"/>
      <c r="V23" s="849"/>
      <c r="W23" s="849"/>
    </row>
    <row r="24" spans="11:23" ht="15" customHeight="1" x14ac:dyDescent="0.25">
      <c r="K24" s="591" t="s">
        <v>523</v>
      </c>
      <c r="L24" s="594">
        <f>IF(Geometria!$M$18="1 - Sim",IF(IF(Geometria!$M$18="1 - Sim",Geometria!$L$83,Geometria!$L$82)&lt;=50,0.45,0.35),Apoio!B31)</f>
        <v>0.45</v>
      </c>
      <c r="M24" s="591"/>
      <c r="N24" s="849" t="s">
        <v>1708</v>
      </c>
      <c r="O24" s="849"/>
      <c r="P24" s="849"/>
      <c r="Q24" s="849"/>
      <c r="R24" s="849"/>
      <c r="S24" s="849"/>
      <c r="T24" s="849"/>
      <c r="U24" s="849"/>
      <c r="V24" s="849"/>
      <c r="W24" s="849"/>
    </row>
    <row r="25" spans="11:23" ht="15" customHeight="1" x14ac:dyDescent="0.25">
      <c r="K25" s="591" t="s">
        <v>2220</v>
      </c>
      <c r="L25" s="594">
        <f>L22*L23*(IF(Geometria!$M$18="1 - Sim",Geometria!$L$83,Geometria!$L$82)/(10*L15))</f>
        <v>1.8214285714285714</v>
      </c>
      <c r="M25" s="591" t="s">
        <v>241</v>
      </c>
      <c r="N25" s="849" t="s">
        <v>1709</v>
      </c>
      <c r="O25" s="849"/>
      <c r="P25" s="849"/>
      <c r="Q25" s="849"/>
      <c r="R25" s="849"/>
      <c r="S25" s="849"/>
      <c r="T25" s="849"/>
      <c r="U25" s="849"/>
      <c r="V25" s="849"/>
      <c r="W25" s="849"/>
    </row>
    <row r="27" spans="11:23" ht="15" customHeight="1" x14ac:dyDescent="0.25">
      <c r="K27" s="850" t="s">
        <v>1710</v>
      </c>
      <c r="L27" s="850"/>
      <c r="M27" s="850"/>
      <c r="N27" s="850"/>
      <c r="O27" s="850"/>
      <c r="P27" s="850"/>
      <c r="Q27" s="850"/>
      <c r="R27" s="850"/>
      <c r="S27" s="850"/>
      <c r="T27" s="850"/>
      <c r="U27" s="850"/>
      <c r="V27" s="850"/>
      <c r="W27" s="850"/>
    </row>
    <row r="29" spans="11:23" ht="15" customHeight="1" x14ac:dyDescent="0.25">
      <c r="K29" s="591" t="s">
        <v>2221</v>
      </c>
      <c r="L29" s="594">
        <f>IF(Geometria!M19="1 - Retângular",IF(Geometria!M18="1 - Sim",Geometria!L44,Geometria!L26),Geometria!L61)</f>
        <v>30.0</v>
      </c>
      <c r="M29" s="591" t="s">
        <v>35</v>
      </c>
      <c r="N29" s="849" t="s">
        <v>1712</v>
      </c>
      <c r="O29" s="849"/>
      <c r="P29" s="849"/>
      <c r="Q29" s="849"/>
      <c r="R29" s="849"/>
      <c r="S29" s="849"/>
      <c r="T29" s="849"/>
      <c r="U29" s="849"/>
      <c r="V29" s="849"/>
      <c r="W29" s="849"/>
    </row>
    <row r="30" spans="11:23" ht="15" customHeight="1" x14ac:dyDescent="0.25">
      <c r="K30" s="591" t="s">
        <v>726</v>
      </c>
      <c r="L30" s="594">
        <f>IF(Geometria!M19="1 - Retângular",Geometria!L27,Geometria!L70)</f>
        <v>60.0</v>
      </c>
      <c r="M30" s="591" t="s">
        <v>35</v>
      </c>
      <c r="N30" s="849" t="s">
        <v>1713</v>
      </c>
      <c r="O30" s="849"/>
      <c r="P30" s="849"/>
      <c r="Q30" s="849"/>
      <c r="R30" s="849"/>
      <c r="S30" s="849"/>
      <c r="T30" s="849"/>
      <c r="U30" s="849"/>
      <c r="V30" s="849"/>
      <c r="W30" s="849"/>
    </row>
    <row r="31" spans="11:23" ht="15" customHeight="1" x14ac:dyDescent="0.25">
      <c r="K31" s="591" t="s">
        <v>1714</v>
      </c>
      <c r="L31" s="594">
        <f>Geometria!R76</f>
        <v>3.0</v>
      </c>
      <c r="M31" s="591" t="s">
        <v>35</v>
      </c>
      <c r="N31" s="849" t="s">
        <v>1715</v>
      </c>
      <c r="O31" s="849"/>
      <c r="P31" s="849"/>
      <c r="Q31" s="849"/>
      <c r="R31" s="849"/>
      <c r="S31" s="849"/>
      <c r="T31" s="849"/>
      <c r="U31" s="849"/>
      <c r="V31" s="849"/>
      <c r="W31" s="849"/>
    </row>
    <row r="32" spans="11:23" ht="15" customHeight="1" x14ac:dyDescent="0.25">
      <c r="K32" s="591" t="s">
        <v>1716</v>
      </c>
      <c r="L32" s="594">
        <f>Geometria!O1153</f>
        <v>16.0</v>
      </c>
      <c r="M32" s="591" t="s">
        <v>460</v>
      </c>
      <c r="N32" s="849" t="s">
        <v>1717</v>
      </c>
      <c r="O32" s="849"/>
      <c r="P32" s="849"/>
      <c r="Q32" s="849"/>
      <c r="R32" s="849"/>
      <c r="S32" s="849"/>
      <c r="T32" s="849"/>
      <c r="U32" s="849"/>
      <c r="V32" s="849"/>
      <c r="W32" s="849"/>
    </row>
    <row r="33" spans="11:23" ht="15" customHeight="1" x14ac:dyDescent="0.25">
      <c r="K33" s="591" t="s">
        <v>1718</v>
      </c>
      <c r="L33" s="594">
        <f>Geometria!O1153</f>
        <v>16.0</v>
      </c>
      <c r="M33" s="591" t="s">
        <v>460</v>
      </c>
      <c r="N33" s="849" t="s">
        <v>1719</v>
      </c>
      <c r="O33" s="849"/>
      <c r="P33" s="849"/>
      <c r="Q33" s="849"/>
      <c r="R33" s="849"/>
      <c r="S33" s="849"/>
      <c r="T33" s="849"/>
      <c r="U33" s="849"/>
      <c r="V33" s="849"/>
      <c r="W33" s="849"/>
    </row>
    <row r="34" spans="11:23" ht="15" customHeight="1" x14ac:dyDescent="0.25">
      <c r="K34" s="591" t="s">
        <v>730</v>
      </c>
      <c r="L34" s="594">
        <f>IF(Geometria!M19="1 - Retângular",(IF(Geometria!M18="1 - Sim",Geometria!L27+Geometria!L42+Geometria!L45,Geometria!L27))-L31-(L32/20),Geometria!L70-L31)</f>
        <v>86.2</v>
      </c>
      <c r="M34" s="591" t="s">
        <v>35</v>
      </c>
      <c r="N34" s="849" t="s">
        <v>1720</v>
      </c>
      <c r="O34" s="849"/>
      <c r="P34" s="849"/>
      <c r="Q34" s="849"/>
      <c r="R34" s="849"/>
      <c r="S34" s="849"/>
      <c r="T34" s="849"/>
      <c r="U34" s="849"/>
      <c r="V34" s="849"/>
      <c r="W34" s="849"/>
    </row>
    <row r="35" spans="11:23" ht="15" customHeight="1" x14ac:dyDescent="0.25">
      <c r="K35" s="591" t="s">
        <v>1721</v>
      </c>
      <c r="L35" s="594">
        <f>L31+(L33/20)</f>
        <v>3.8</v>
      </c>
      <c r="M35" s="591" t="s">
        <v>35</v>
      </c>
      <c r="N35" s="849" t="s">
        <v>1722</v>
      </c>
      <c r="O35" s="849"/>
      <c r="P35" s="849"/>
      <c r="Q35" s="849"/>
      <c r="R35" s="849"/>
      <c r="S35" s="849"/>
      <c r="T35" s="849"/>
      <c r="U35" s="849"/>
      <c r="V35" s="849"/>
      <c r="W35" s="849"/>
    </row>
    <row r="36" spans="11:23" ht="15" customHeight="1" x14ac:dyDescent="0.25">
      <c r="K36" s="591" t="s">
        <v>1723</v>
      </c>
      <c r="L36" s="594">
        <f>IF(Geometria!M19="1 - Retângular",IF(Geometria!M18="1 - Sim",Geometria!L43,0),IF($L$10="Não",0,Geometria!L60))</f>
        <v>187.0</v>
      </c>
      <c r="M36" s="591" t="s">
        <v>35</v>
      </c>
      <c r="N36" s="849" t="s">
        <v>1724</v>
      </c>
      <c r="O36" s="849"/>
      <c r="P36" s="849"/>
      <c r="Q36" s="849"/>
      <c r="R36" s="849"/>
      <c r="S36" s="849"/>
      <c r="T36" s="849"/>
      <c r="U36" s="849"/>
      <c r="V36" s="849"/>
      <c r="W36" s="849"/>
    </row>
    <row r="37" spans="11:23" ht="15" customHeight="1" x14ac:dyDescent="0.25">
      <c r="K37" s="591" t="s">
        <v>1725</v>
      </c>
      <c r="L37" s="594">
        <f>IF(Geometria!M19="1 - Retângular",IF(Geometria!M18="1 - Sim",Geometria!L45,0),Geometria!L63)</f>
        <v>5.0</v>
      </c>
      <c r="M37" s="591" t="s">
        <v>35</v>
      </c>
      <c r="N37" s="849" t="s">
        <v>1726</v>
      </c>
      <c r="O37" s="849"/>
      <c r="P37" s="849"/>
      <c r="Q37" s="849"/>
      <c r="R37" s="849"/>
      <c r="S37" s="849"/>
      <c r="T37" s="849"/>
      <c r="U37" s="849"/>
      <c r="V37" s="849"/>
      <c r="W37" s="849"/>
    </row>
    <row r="39" spans="11:23" ht="15" customHeight="1" x14ac:dyDescent="0.25">
      <c r="K39" s="850" t="s">
        <v>1727</v>
      </c>
      <c r="L39" s="850"/>
      <c r="M39" s="850"/>
      <c r="N39" s="850"/>
      <c r="O39" s="850"/>
      <c r="P39" s="850"/>
      <c r="Q39" s="850"/>
      <c r="R39" s="850"/>
      <c r="S39" s="850"/>
      <c r="T39" s="850"/>
      <c r="U39" s="850"/>
      <c r="V39" s="850"/>
      <c r="W39" s="850"/>
    </row>
    <row r="41" spans="11:23" ht="15" customHeight="1" x14ac:dyDescent="0.25">
      <c r="K41" s="591" t="s">
        <v>1728</v>
      </c>
      <c r="L41" s="594">
        <f ca="1">Geometria!L1038</f>
        <v>2022.2780032851567</v>
      </c>
      <c r="M41" s="591" t="s">
        <v>1729</v>
      </c>
      <c r="N41" s="849" t="s">
        <v>1730</v>
      </c>
      <c r="O41" s="849"/>
      <c r="P41" s="849"/>
      <c r="Q41" s="849"/>
      <c r="R41" s="849"/>
      <c r="S41" s="849"/>
      <c r="T41" s="849"/>
      <c r="U41" s="849"/>
      <c r="V41" s="849"/>
      <c r="W41" s="849"/>
    </row>
    <row r="43" spans="11:23" ht="15" customHeight="1" x14ac:dyDescent="0.25">
      <c r="K43" s="850" t="s">
        <v>1731</v>
      </c>
      <c r="L43" s="850"/>
      <c r="M43" s="850"/>
      <c r="N43" s="850"/>
      <c r="O43" s="850"/>
      <c r="P43" s="850"/>
      <c r="Q43" s="850"/>
      <c r="R43" s="850"/>
      <c r="S43" s="850"/>
      <c r="T43" s="850"/>
      <c r="U43" s="850"/>
      <c r="V43" s="850"/>
      <c r="W43" s="850"/>
    </row>
    <row r="45" spans="11:23" ht="15" customHeight="1" x14ac:dyDescent="0.25">
      <c r="K45" s="591" t="s">
        <v>1732</v>
      </c>
      <c r="L45" s="594">
        <f>L24*L34</f>
        <v>38.79</v>
      </c>
      <c r="M45" s="591" t="s">
        <v>35</v>
      </c>
      <c r="N45" s="849" t="s">
        <v>1733</v>
      </c>
      <c r="O45" s="849"/>
      <c r="P45" s="849"/>
      <c r="Q45" s="849"/>
      <c r="R45" s="849"/>
      <c r="S45" s="849"/>
      <c r="T45" s="849"/>
      <c r="U45" s="849"/>
      <c r="V45" s="849"/>
      <c r="W45" s="849"/>
    </row>
    <row r="46" spans="11:23" ht="15" customHeight="1" x14ac:dyDescent="0.25">
      <c r="K46" s="591" t="s">
        <v>1734</v>
      </c>
      <c r="L46" s="594">
        <f>L21*L45</f>
        <v>31.032</v>
      </c>
      <c r="M46" s="591" t="s">
        <v>35</v>
      </c>
      <c r="N46" s="849" t="s">
        <v>1735</v>
      </c>
      <c r="O46" s="849"/>
      <c r="P46" s="849"/>
      <c r="Q46" s="849"/>
      <c r="R46" s="849"/>
      <c r="S46" s="849"/>
      <c r="T46" s="849"/>
      <c r="U46" s="849"/>
      <c r="V46" s="849"/>
      <c r="W46" s="849"/>
    </row>
    <row r="47" spans="11:23" ht="15" customHeight="1" x14ac:dyDescent="0.25">
      <c r="K47" s="591" t="s">
        <v>1736</v>
      </c>
      <c r="L47" s="597" t="str">
        <f>IF(L36&gt;L29,"Sim","Não")</f>
        <v>Sim</v>
      </c>
      <c r="M47" s="591"/>
      <c r="N47" s="849" t="s">
        <v>1737</v>
      </c>
      <c r="O47" s="849"/>
      <c r="P47" s="849"/>
      <c r="Q47" s="849"/>
      <c r="R47" s="849"/>
      <c r="S47" s="849"/>
      <c r="T47" s="849"/>
      <c r="U47" s="849"/>
      <c r="V47" s="849"/>
      <c r="W47" s="849"/>
    </row>
    <row r="48" spans="11:23" ht="15" customHeight="1" x14ac:dyDescent="0.25">
      <c r="K48" s="591" t="s">
        <v>1738</v>
      </c>
      <c r="L48" s="594">
        <f>IF(L47="Sim",IF(L46&lt;=L37,L25*L36*L46,L25*(L36*L37+L29*(L46-L37))),L25*L29*L46)</f>
        <v>3125.4985714285713</v>
      </c>
      <c r="M48" s="591" t="s">
        <v>292</v>
      </c>
      <c r="N48" s="849" t="s">
        <v>1739</v>
      </c>
      <c r="O48" s="849"/>
      <c r="P48" s="849"/>
      <c r="Q48" s="849"/>
      <c r="R48" s="849"/>
      <c r="S48" s="849"/>
      <c r="T48" s="849"/>
      <c r="U48" s="849"/>
      <c r="V48" s="849"/>
      <c r="W48" s="849"/>
    </row>
    <row r="49" spans="11:23" ht="15" customHeight="1" x14ac:dyDescent="0.25">
      <c r="K49" s="591" t="s">
        <v>1740</v>
      </c>
      <c r="L49" s="594">
        <f>(IF(L47="Sim",IF(L46&lt;=L37,L25*L36*L46*(L34-L46/2),L25*L36*L37*(L34-L37/2)+L25*L29*(L46-L37)*(L34-L37-(L46-L37)/2)),L25*L29*L46*(L34-L46/2)))/100</f>
        <v>2395.3329673714284</v>
      </c>
      <c r="M49" s="591" t="s">
        <v>1729</v>
      </c>
      <c r="N49" s="849" t="s">
        <v>1741</v>
      </c>
      <c r="O49" s="849"/>
      <c r="P49" s="849"/>
      <c r="Q49" s="849"/>
      <c r="R49" s="849"/>
      <c r="S49" s="849"/>
      <c r="T49" s="849"/>
      <c r="U49" s="849"/>
      <c r="V49" s="849"/>
      <c r="W49" s="849"/>
    </row>
    <row r="51" spans="11:23" ht="15" customHeight="1" x14ac:dyDescent="0.25">
      <c r="K51" s="850" t="s">
        <v>1742</v>
      </c>
      <c r="L51" s="850"/>
      <c r="M51" s="850"/>
      <c r="N51" s="850"/>
      <c r="O51" s="850"/>
      <c r="P51" s="850"/>
      <c r="Q51" s="850"/>
      <c r="R51" s="850"/>
      <c r="S51" s="850"/>
      <c r="T51" s="850"/>
      <c r="U51" s="850"/>
      <c r="V51" s="850"/>
      <c r="W51" s="850"/>
    </row>
    <row r="53" spans="11:23" ht="15" customHeight="1" x14ac:dyDescent="0.25">
      <c r="K53" s="591" t="s">
        <v>1598</v>
      </c>
      <c r="L53" s="597" t="str">
        <f ca="1">IF(L41&lt;=L49,"Armadura simples","Armadura dupla")</f>
        <v>Armadura simples</v>
      </c>
      <c r="M53" s="591"/>
      <c r="N53" s="849" t="s">
        <v>1743</v>
      </c>
      <c r="O53" s="849"/>
      <c r="P53" s="849"/>
      <c r="Q53" s="849"/>
      <c r="R53" s="849"/>
      <c r="S53" s="849"/>
      <c r="T53" s="849"/>
      <c r="U53" s="849"/>
      <c r="V53" s="849"/>
      <c r="W53" s="849"/>
    </row>
    <row r="55" spans="11:23" ht="15" customHeight="1" x14ac:dyDescent="0.25">
      <c r="K55" s="850" t="s">
        <v>1744</v>
      </c>
      <c r="L55" s="850"/>
      <c r="M55" s="850"/>
      <c r="N55" s="850"/>
      <c r="O55" s="850"/>
      <c r="P55" s="850"/>
      <c r="Q55" s="850"/>
      <c r="R55" s="850"/>
      <c r="S55" s="850"/>
      <c r="T55" s="850"/>
      <c r="U55" s="850"/>
      <c r="V55" s="850"/>
      <c r="W55" s="850"/>
    </row>
    <row r="57" spans="11:23" ht="15" customHeight="1" x14ac:dyDescent="0.25">
      <c r="K57" s="591" t="s">
        <v>1745</v>
      </c>
      <c r="L57" s="594">
        <f>IF(L47="Sim",L36,L29)</f>
        <v>187.0</v>
      </c>
      <c r="M57" s="591" t="s">
        <v>35</v>
      </c>
      <c r="N57" s="849" t="s">
        <v>1746</v>
      </c>
      <c r="O57" s="849"/>
      <c r="P57" s="849"/>
      <c r="Q57" s="849"/>
      <c r="R57" s="849"/>
      <c r="S57" s="849"/>
      <c r="T57" s="849"/>
      <c r="U57" s="849"/>
      <c r="V57" s="849"/>
      <c r="W57" s="849"/>
    </row>
    <row r="58" spans="11:23" ht="15" customHeight="1" x14ac:dyDescent="0.25">
      <c r="K58" s="591" t="s">
        <v>1747</v>
      </c>
      <c r="L58" s="594">
        <f>L21*L57*L25</f>
        <v>272.48571428571427</v>
      </c>
      <c r="M58" s="591"/>
      <c r="N58" s="849" t="s">
        <v>1748</v>
      </c>
      <c r="O58" s="849"/>
      <c r="P58" s="849"/>
      <c r="Q58" s="849"/>
      <c r="R58" s="849"/>
      <c r="S58" s="849"/>
      <c r="T58" s="849"/>
      <c r="U58" s="849"/>
      <c r="V58" s="849"/>
      <c r="W58" s="849"/>
    </row>
    <row r="59" spans="11:23" ht="15" customHeight="1" x14ac:dyDescent="0.25">
      <c r="K59" s="591" t="s">
        <v>1749</v>
      </c>
      <c r="L59" s="594">
        <f ca="1">(L58*L34)^2-4*(0.4*L58)*(L41*100)</f>
        <v>463532061.89004797</v>
      </c>
      <c r="M59" s="591"/>
      <c r="N59" s="849" t="s">
        <v>1750</v>
      </c>
      <c r="O59" s="849"/>
      <c r="P59" s="849"/>
      <c r="Q59" s="849"/>
      <c r="R59" s="849"/>
      <c r="S59" s="849"/>
      <c r="T59" s="849"/>
      <c r="U59" s="849"/>
      <c r="V59" s="849"/>
      <c r="W59" s="849"/>
    </row>
    <row r="60" spans="11:23" ht="15" customHeight="1" x14ac:dyDescent="0.25">
      <c r="K60" s="591" t="s">
        <v>1751</v>
      </c>
      <c r="L60" s="594">
        <f ca="1">(L58*L34-SQRT(L59))/(2*0.4*L58)</f>
        <v>8.984295876688236</v>
      </c>
      <c r="M60" s="591" t="s">
        <v>35</v>
      </c>
      <c r="N60" s="849" t="s">
        <v>1752</v>
      </c>
      <c r="O60" s="849"/>
      <c r="P60" s="849"/>
      <c r="Q60" s="849"/>
      <c r="R60" s="849"/>
      <c r="S60" s="849"/>
      <c r="T60" s="849"/>
      <c r="U60" s="849"/>
      <c r="V60" s="849"/>
      <c r="W60" s="849"/>
    </row>
    <row r="61" spans="11:23" ht="15" customHeight="1" x14ac:dyDescent="0.25">
      <c r="K61" s="591" t="s">
        <v>1753</v>
      </c>
      <c r="L61" s="594">
        <f ca="1">L21*L60</f>
        <v>7.187436701350589</v>
      </c>
      <c r="M61" s="591" t="s">
        <v>35</v>
      </c>
      <c r="N61" s="849" t="s">
        <v>1754</v>
      </c>
      <c r="O61" s="849"/>
      <c r="P61" s="849"/>
      <c r="Q61" s="849"/>
      <c r="R61" s="849"/>
      <c r="S61" s="849"/>
      <c r="T61" s="849"/>
      <c r="U61" s="849"/>
      <c r="V61" s="849"/>
      <c r="W61" s="849"/>
    </row>
    <row r="62" spans="11:23" ht="15" customHeight="1" x14ac:dyDescent="0.25">
      <c r="K62" s="591" t="s">
        <v>1755</v>
      </c>
      <c r="L62" s="597" t="str">
        <f ca="1">IF(OR(L47="Não",L61&lt;=L37),"Sim","Não")</f>
        <v>Não</v>
      </c>
      <c r="M62" s="591"/>
      <c r="N62" s="849" t="s">
        <v>1756</v>
      </c>
      <c r="O62" s="849"/>
      <c r="P62" s="849"/>
      <c r="Q62" s="849"/>
      <c r="R62" s="849"/>
      <c r="S62" s="849"/>
      <c r="T62" s="849"/>
      <c r="U62" s="849"/>
      <c r="V62" s="849"/>
      <c r="W62" s="849"/>
    </row>
    <row r="63" spans="11:23" ht="15" customHeight="1" x14ac:dyDescent="0.25">
      <c r="K63" s="591" t="s">
        <v>1757</v>
      </c>
      <c r="L63" s="594">
        <f ca="1">IF(L62="Não",L41*100-L25*L36*L37*(L34-L37/2),0)</f>
        <v>59683.711042801384</v>
      </c>
      <c r="M63" s="591" t="s">
        <v>1758</v>
      </c>
      <c r="N63" s="849" t="s">
        <v>1759</v>
      </c>
      <c r="O63" s="849"/>
      <c r="P63" s="849"/>
      <c r="Q63" s="849"/>
      <c r="R63" s="849"/>
      <c r="S63" s="849"/>
      <c r="T63" s="849"/>
      <c r="U63" s="849"/>
      <c r="V63" s="849"/>
      <c r="W63" s="849"/>
    </row>
    <row r="64" spans="11:23" ht="15" customHeight="1" x14ac:dyDescent="0.25">
      <c r="K64" s="591" t="s">
        <v>1760</v>
      </c>
      <c r="L64" s="594">
        <f>0.5*L25*L29</f>
        <v>27.32142857142857</v>
      </c>
      <c r="M64" s="591"/>
      <c r="N64" s="849" t="s">
        <v>1761</v>
      </c>
      <c r="O64" s="849"/>
      <c r="P64" s="849"/>
      <c r="Q64" s="849"/>
      <c r="R64" s="849"/>
      <c r="S64" s="849"/>
      <c r="T64" s="849"/>
      <c r="U64" s="849"/>
      <c r="V64" s="849"/>
      <c r="W64" s="849"/>
    </row>
    <row r="65" spans="11:23" ht="15" customHeight="1" x14ac:dyDescent="0.25">
      <c r="K65" s="591" t="s">
        <v>1762</v>
      </c>
      <c r="L65" s="594">
        <f>L25*L29*(L34-L37)</f>
        <v>4437.0</v>
      </c>
      <c r="M65" s="591"/>
      <c r="N65" s="849" t="s">
        <v>1763</v>
      </c>
      <c r="O65" s="849"/>
      <c r="P65" s="849"/>
      <c r="Q65" s="849"/>
      <c r="R65" s="849"/>
      <c r="S65" s="849"/>
      <c r="T65" s="849"/>
      <c r="U65" s="849"/>
      <c r="V65" s="849"/>
      <c r="W65" s="849"/>
    </row>
    <row r="66" spans="11:23" ht="15" customHeight="1" x14ac:dyDescent="0.25">
      <c r="K66" s="591" t="s">
        <v>1764</v>
      </c>
      <c r="L66" s="594">
        <f ca="1">L65^2-4*L64*L63</f>
        <v>13164392.007465277</v>
      </c>
      <c r="M66" s="591"/>
      <c r="N66" s="849" t="s">
        <v>1765</v>
      </c>
      <c r="O66" s="849"/>
      <c r="P66" s="849"/>
      <c r="Q66" s="849"/>
      <c r="R66" s="849"/>
      <c r="S66" s="849"/>
      <c r="T66" s="849"/>
      <c r="U66" s="849"/>
      <c r="V66" s="849"/>
      <c r="W66" s="849"/>
    </row>
    <row r="67" spans="11:23" ht="15" customHeight="1" x14ac:dyDescent="0.25">
      <c r="K67" s="591" t="s">
        <v>1766</v>
      </c>
      <c r="L67" s="594">
        <f ca="1">IF(L62="Não",(L65-SQRT(L66))/(2*L64),0)</f>
        <v>14.800164473768932</v>
      </c>
      <c r="M67" s="591" t="s">
        <v>35</v>
      </c>
      <c r="N67" s="849" t="s">
        <v>1767</v>
      </c>
      <c r="O67" s="849"/>
      <c r="P67" s="849"/>
      <c r="Q67" s="849"/>
      <c r="R67" s="849"/>
      <c r="S67" s="849"/>
      <c r="T67" s="849"/>
      <c r="U67" s="849"/>
      <c r="V67" s="849"/>
      <c r="W67" s="849"/>
    </row>
    <row r="68" spans="11:23" ht="15" customHeight="1" x14ac:dyDescent="0.25">
      <c r="K68" s="591" t="s">
        <v>1768</v>
      </c>
      <c r="L68" s="594">
        <f ca="1">IF(L62="Sim",L60,(L67+L37)/L21)</f>
        <v>24.750205592211163</v>
      </c>
      <c r="M68" s="591" t="s">
        <v>35</v>
      </c>
      <c r="N68" s="849" t="s">
        <v>1769</v>
      </c>
      <c r="O68" s="849"/>
      <c r="P68" s="849"/>
      <c r="Q68" s="849"/>
      <c r="R68" s="849"/>
      <c r="S68" s="849"/>
      <c r="T68" s="849"/>
      <c r="U68" s="849"/>
      <c r="V68" s="849"/>
      <c r="W68" s="849"/>
    </row>
    <row r="69" spans="11:23" ht="15" customHeight="1" x14ac:dyDescent="0.25">
      <c r="K69" s="591" t="s">
        <v>1770</v>
      </c>
      <c r="L69" s="597" t="str">
        <f ca="1">IF(L68/L34&lt;=0.259,"Domínio 2",IF(L68/L34&lt;=L24,"Domínio 3","Domínio 4"))</f>
        <v>Domínio 3</v>
      </c>
      <c r="M69" s="591"/>
      <c r="N69" s="849" t="s">
        <v>1771</v>
      </c>
      <c r="O69" s="849"/>
      <c r="P69" s="849"/>
      <c r="Q69" s="849"/>
      <c r="R69" s="849"/>
      <c r="S69" s="849"/>
      <c r="T69" s="849"/>
      <c r="U69" s="849"/>
      <c r="V69" s="849"/>
      <c r="W69" s="849"/>
    </row>
    <row r="70" spans="11:23" ht="15" customHeight="1" x14ac:dyDescent="0.25">
      <c r="K70" s="591" t="s">
        <v>1772</v>
      </c>
      <c r="L70" s="594">
        <f ca="1">IF(L62="Sim",L25*L57*L61,L25*L36*L37+L25*L29*L67)</f>
        <v>2511.7589873166594</v>
      </c>
      <c r="M70" s="591" t="s">
        <v>292</v>
      </c>
      <c r="N70" s="849" t="s">
        <v>1773</v>
      </c>
      <c r="O70" s="849"/>
      <c r="P70" s="849"/>
      <c r="Q70" s="849"/>
      <c r="R70" s="849"/>
      <c r="S70" s="849"/>
      <c r="T70" s="849"/>
      <c r="U70" s="849"/>
      <c r="V70" s="849"/>
      <c r="W70" s="849"/>
    </row>
    <row r="71" spans="11:23" ht="15" customHeight="1" x14ac:dyDescent="0.25">
      <c r="K71" s="591" t="s">
        <v>1774</v>
      </c>
      <c r="L71" s="594">
        <f ca="1">IF(L53="Armadura simples",MAX(L70-Geometria!L1143,0)/(L17/10),0)</f>
        <v>16.685934954363347</v>
      </c>
      <c r="M71" s="591" t="s">
        <v>247</v>
      </c>
      <c r="N71" s="849" t="s">
        <v>1775</v>
      </c>
      <c r="O71" s="849"/>
      <c r="P71" s="849"/>
      <c r="Q71" s="849"/>
      <c r="R71" s="849"/>
      <c r="S71" s="849"/>
      <c r="T71" s="849"/>
      <c r="U71" s="849"/>
      <c r="V71" s="849"/>
      <c r="W71" s="849"/>
    </row>
    <row r="73" spans="11:23" ht="15" customHeight="1" x14ac:dyDescent="0.25">
      <c r="K73" s="850" t="s">
        <v>1776</v>
      </c>
      <c r="L73" s="850"/>
      <c r="M73" s="850"/>
      <c r="N73" s="850"/>
      <c r="O73" s="850"/>
      <c r="P73" s="850"/>
      <c r="Q73" s="850"/>
      <c r="R73" s="850"/>
      <c r="S73" s="850"/>
      <c r="T73" s="850"/>
      <c r="U73" s="850"/>
      <c r="V73" s="850"/>
      <c r="W73" s="850"/>
    </row>
    <row r="75" spans="11:23" ht="15" customHeight="1" x14ac:dyDescent="0.25">
      <c r="K75" s="591" t="s">
        <v>1777</v>
      </c>
      <c r="L75" s="594">
        <f ca="1">IF(L53="Armadura dupla",L41-L49,0)</f>
        <v>0.0</v>
      </c>
      <c r="M75" s="591" t="s">
        <v>1729</v>
      </c>
      <c r="N75" s="849" t="s">
        <v>1778</v>
      </c>
      <c r="O75" s="849"/>
      <c r="P75" s="849"/>
      <c r="Q75" s="849"/>
      <c r="R75" s="849"/>
      <c r="S75" s="849"/>
      <c r="T75" s="849"/>
      <c r="U75" s="849"/>
      <c r="V75" s="849"/>
      <c r="W75" s="849"/>
    </row>
    <row r="76" spans="11:23" ht="15" customHeight="1" x14ac:dyDescent="0.25">
      <c r="K76" s="591" t="s">
        <v>1779</v>
      </c>
      <c r="L76" s="594">
        <f ca="1">IF(L53="Armadura dupla",L75*100/(L34-L35),0)</f>
        <v>0.0</v>
      </c>
      <c r="M76" s="591" t="s">
        <v>292</v>
      </c>
      <c r="N76" s="849" t="s">
        <v>1780</v>
      </c>
      <c r="O76" s="849"/>
      <c r="P76" s="849"/>
      <c r="Q76" s="849"/>
      <c r="R76" s="849"/>
      <c r="S76" s="849"/>
      <c r="T76" s="849"/>
      <c r="U76" s="849"/>
      <c r="V76" s="849"/>
      <c r="W76" s="849"/>
    </row>
    <row r="77" spans="11:23" ht="15" customHeight="1" x14ac:dyDescent="0.25">
      <c r="K77" s="591" t="s">
        <v>1781</v>
      </c>
      <c r="L77" s="594">
        <f ca="1">IF(L53="Armadura dupla",L20*(L45-L35)/L45,0)</f>
        <v>0.0</v>
      </c>
      <c r="M77" s="591"/>
      <c r="N77" s="849" t="s">
        <v>1782</v>
      </c>
      <c r="O77" s="849"/>
      <c r="P77" s="849"/>
      <c r="Q77" s="849"/>
      <c r="R77" s="849"/>
      <c r="S77" s="849"/>
      <c r="T77" s="849"/>
      <c r="U77" s="849"/>
      <c r="V77" s="849"/>
      <c r="W77" s="849"/>
    </row>
    <row r="78" spans="11:23" ht="15" customHeight="1" x14ac:dyDescent="0.25">
      <c r="K78" s="591" t="s">
        <v>1783</v>
      </c>
      <c r="L78" s="594">
        <f ca="1">IF(L53="Armadura dupla",MIN(L19,L77)*L18,0)</f>
        <v>0.0</v>
      </c>
      <c r="M78" s="591" t="s">
        <v>160</v>
      </c>
      <c r="N78" s="849" t="s">
        <v>1784</v>
      </c>
      <c r="O78" s="849"/>
      <c r="P78" s="849"/>
      <c r="Q78" s="849"/>
      <c r="R78" s="849"/>
      <c r="S78" s="849"/>
      <c r="T78" s="849"/>
      <c r="U78" s="849"/>
      <c r="V78" s="849"/>
      <c r="W78" s="849"/>
    </row>
    <row r="79" spans="11:23" ht="15" customHeight="1" x14ac:dyDescent="0.25">
      <c r="K79" s="591" t="s">
        <v>1785</v>
      </c>
      <c r="L79" s="594">
        <f ca="1">IF(L53="Armadura dupla",L76/(L78/10),0)</f>
        <v>0.0</v>
      </c>
      <c r="M79" s="591" t="s">
        <v>247</v>
      </c>
      <c r="N79" s="849" t="s">
        <v>1786</v>
      </c>
      <c r="O79" s="849"/>
      <c r="P79" s="849"/>
      <c r="Q79" s="849"/>
      <c r="R79" s="849"/>
      <c r="S79" s="849"/>
      <c r="T79" s="849"/>
      <c r="U79" s="849"/>
      <c r="V79" s="849"/>
      <c r="W79" s="849"/>
    </row>
    <row r="80" spans="11:23" ht="15" customHeight="1" x14ac:dyDescent="0.25">
      <c r="K80" s="591" t="s">
        <v>1787</v>
      </c>
      <c r="L80" s="594">
        <f ca="1">IF(L53="Armadura dupla",L48+L76,L70)</f>
        <v>2511.7589873166594</v>
      </c>
      <c r="M80" s="591" t="s">
        <v>292</v>
      </c>
      <c r="N80" s="849" t="s">
        <v>1788</v>
      </c>
      <c r="O80" s="849"/>
      <c r="P80" s="849"/>
      <c r="Q80" s="849"/>
      <c r="R80" s="849"/>
      <c r="S80" s="849"/>
      <c r="T80" s="849"/>
      <c r="U80" s="849"/>
      <c r="V80" s="849"/>
      <c r="W80" s="849"/>
    </row>
    <row r="81" spans="11:23" ht="15" customHeight="1" x14ac:dyDescent="0.25">
      <c r="K81" s="591" t="s">
        <v>1789</v>
      </c>
      <c r="L81" s="594">
        <f ca="1">IF(L53="Armadura dupla",MAX(L80-Geometria!L1143,0)/(L17/10),0)</f>
        <v>0.0</v>
      </c>
      <c r="M81" s="591" t="s">
        <v>247</v>
      </c>
      <c r="N81" s="849" t="s">
        <v>1790</v>
      </c>
      <c r="O81" s="849"/>
      <c r="P81" s="849"/>
      <c r="Q81" s="849"/>
      <c r="R81" s="849"/>
      <c r="S81" s="849"/>
      <c r="T81" s="849"/>
      <c r="U81" s="849"/>
      <c r="V81" s="849"/>
      <c r="W81" s="849"/>
    </row>
    <row r="83" spans="11:23" ht="15" customHeight="1" x14ac:dyDescent="0.25">
      <c r="K83" s="850" t="s">
        <v>1791</v>
      </c>
      <c r="L83" s="850"/>
      <c r="M83" s="850"/>
      <c r="N83" s="850"/>
      <c r="O83" s="850"/>
      <c r="P83" s="850"/>
      <c r="Q83" s="850"/>
      <c r="R83" s="850"/>
      <c r="S83" s="850"/>
      <c r="T83" s="850"/>
      <c r="U83" s="850"/>
      <c r="V83" s="850"/>
      <c r="W83" s="850"/>
    </row>
    <row r="85" spans="11:23" ht="15" customHeight="1" x14ac:dyDescent="0.25">
      <c r="K85" s="591" t="s">
        <v>1792</v>
      </c>
      <c r="L85" s="594">
        <f>(VLOOKUP(L13,Geometria!X1128:Y1142,2))/100*IF(Geometria!M19="1 - Retângular",Geometria!L26,Geometria!L61)*L30</f>
        <v>3.7439999999999998</v>
      </c>
      <c r="M85" s="591" t="s">
        <v>247</v>
      </c>
      <c r="N85" s="849" t="s">
        <v>1793</v>
      </c>
      <c r="O85" s="849"/>
      <c r="P85" s="849"/>
      <c r="Q85" s="849"/>
      <c r="R85" s="849"/>
      <c r="S85" s="849"/>
      <c r="T85" s="849"/>
      <c r="U85" s="849"/>
      <c r="V85" s="849"/>
      <c r="W85" s="849"/>
    </row>
    <row r="86" spans="11:23" ht="15" customHeight="1" x14ac:dyDescent="0.25">
      <c r="K86" s="596" t="s">
        <v>1794</v>
      </c>
      <c r="L86" s="598">
        <f ca="1">MAX(IF(L53="Armadura dupla",L81,L71),L85)</f>
        <v>16.685934954363347</v>
      </c>
      <c r="M86" s="596" t="s">
        <v>247</v>
      </c>
      <c r="N86" s="849" t="s">
        <v>1795</v>
      </c>
      <c r="O86" s="849"/>
      <c r="P86" s="849"/>
      <c r="Q86" s="849"/>
      <c r="R86" s="849"/>
      <c r="S86" s="849"/>
      <c r="T86" s="849"/>
      <c r="U86" s="849"/>
      <c r="V86" s="849"/>
      <c r="W86" s="849"/>
    </row>
    <row r="87" spans="11:23" ht="15" customHeight="1" x14ac:dyDescent="0.25">
      <c r="K87" s="596" t="s">
        <v>1796</v>
      </c>
      <c r="L87" s="598">
        <f ca="1">L79</f>
        <v>0.0</v>
      </c>
      <c r="M87" s="596" t="s">
        <v>247</v>
      </c>
      <c r="N87" s="849" t="s">
        <v>1797</v>
      </c>
      <c r="O87" s="849"/>
      <c r="P87" s="849"/>
      <c r="Q87" s="849"/>
      <c r="R87" s="849"/>
      <c r="S87" s="849"/>
      <c r="T87" s="849"/>
      <c r="U87" s="849"/>
      <c r="V87" s="849"/>
      <c r="W87" s="849"/>
    </row>
    <row r="88" spans="11:23" ht="15" customHeight="1" x14ac:dyDescent="0.25">
      <c r="K88" s="591" t="s">
        <v>1798</v>
      </c>
      <c r="L88" s="594">
        <f ca="1">IF(L86&gt;0,ROUNDUP(L86/(VLOOKUP(L32,Taxas!V22:W29,2)),0),0)</f>
        <v>9.0</v>
      </c>
      <c r="M88" s="591"/>
      <c r="N88" s="849" t="s">
        <v>1799</v>
      </c>
      <c r="O88" s="849"/>
      <c r="P88" s="849"/>
      <c r="Q88" s="849"/>
      <c r="R88" s="849"/>
      <c r="S88" s="849"/>
      <c r="T88" s="849"/>
      <c r="U88" s="849"/>
      <c r="V88" s="849"/>
      <c r="W88" s="849"/>
    </row>
    <row r="89" spans="11:23" ht="15" customHeight="1" x14ac:dyDescent="0.25">
      <c r="K89" s="591" t="s">
        <v>1800</v>
      </c>
      <c r="L89" s="594">
        <f ca="1">IF(L87&gt;0,ROUNDUP(L87/(VLOOKUP(L33,Taxas!V22:W29,2)),0),0)</f>
        <v>0.0</v>
      </c>
      <c r="M89" s="591"/>
      <c r="N89" s="849" t="s">
        <v>1801</v>
      </c>
      <c r="O89" s="849"/>
      <c r="P89" s="849"/>
      <c r="Q89" s="849"/>
      <c r="R89" s="849"/>
      <c r="S89" s="849"/>
      <c r="T89" s="849"/>
      <c r="U89" s="849"/>
      <c r="V89" s="849"/>
      <c r="W89" s="849"/>
    </row>
    <row r="91" spans="11:23" ht="15" customHeight="1" x14ac:dyDescent="0.25">
      <c r="K91" s="850" t="s">
        <v>1802</v>
      </c>
      <c r="L91" s="850"/>
      <c r="M91" s="850"/>
      <c r="N91" s="850"/>
      <c r="O91" s="850"/>
      <c r="P91" s="850"/>
      <c r="Q91" s="850"/>
      <c r="R91" s="850"/>
      <c r="S91" s="850"/>
      <c r="T91" s="850"/>
      <c r="U91" s="850"/>
      <c r="V91" s="850"/>
      <c r="W91" s="850"/>
    </row>
    <row r="93" spans="11:23" ht="15" customHeight="1" x14ac:dyDescent="0.25">
      <c r="K93" s="591" t="s">
        <v>1803</v>
      </c>
      <c r="L93" s="594">
        <f ca="1">IF(L53="Armadura dupla",L45,L68)</f>
        <v>24.750205592211163</v>
      </c>
      <c r="M93" s="591" t="s">
        <v>35</v>
      </c>
      <c r="N93" s="849" t="s">
        <v>1804</v>
      </c>
      <c r="O93" s="849"/>
      <c r="P93" s="849"/>
      <c r="Q93" s="849"/>
      <c r="R93" s="849"/>
      <c r="S93" s="849"/>
      <c r="T93" s="849"/>
      <c r="U93" s="849"/>
      <c r="V93" s="849"/>
      <c r="W93" s="849"/>
    </row>
    <row r="94" spans="11:23" ht="15" customHeight="1" x14ac:dyDescent="0.25">
      <c r="K94" s="591" t="s">
        <v>1805</v>
      </c>
      <c r="L94" s="594">
        <f ca="1">L34-L93</f>
        <v>61.44979440778884</v>
      </c>
      <c r="M94" s="591" t="s">
        <v>35</v>
      </c>
      <c r="N94" s="849" t="s">
        <v>1806</v>
      </c>
      <c r="O94" s="849"/>
      <c r="P94" s="849"/>
      <c r="Q94" s="849"/>
      <c r="R94" s="849"/>
      <c r="S94" s="849"/>
      <c r="T94" s="849"/>
      <c r="U94" s="849"/>
      <c r="V94" s="849"/>
      <c r="W94" s="849"/>
    </row>
    <row r="95" spans="11:23" ht="15" customHeight="1" x14ac:dyDescent="0.25">
      <c r="K95" s="591" t="s">
        <v>1807</v>
      </c>
      <c r="L95" s="594">
        <f ca="1">L20*(L34-L93)/L93*1000</f>
        <v>8.68979773222346</v>
      </c>
      <c r="M95" s="591" t="s">
        <v>929</v>
      </c>
      <c r="N95" s="849" t="s">
        <v>1808</v>
      </c>
      <c r="O95" s="849"/>
      <c r="P95" s="849"/>
      <c r="Q95" s="849"/>
      <c r="R95" s="849"/>
      <c r="S95" s="849"/>
      <c r="T95" s="849"/>
      <c r="U95" s="849"/>
      <c r="V95" s="849"/>
      <c r="W95" s="849"/>
    </row>
    <row r="97" spans="11:13" ht="15" customHeight="1" x14ac:dyDescent="0.25">
      <c r="K97" s="591" t="s">
        <v>1809</v>
      </c>
      <c r="L97" s="591" t="s">
        <v>1810</v>
      </c>
      <c r="M97" s="591" t="s">
        <v>1811</v>
      </c>
    </row>
    <row r="98" spans="11:13" ht="15" customHeight="1" x14ac:dyDescent="0.25">
      <c r="K98" s="591"/>
      <c r="L98" s="591">
        <v>0</v>
      </c>
      <c r="M98" s="600">
        <f>M99</f>
        <v>86.2</v>
      </c>
    </row>
    <row r="99" spans="11:13" ht="15" customHeight="1" x14ac:dyDescent="0.25">
      <c r="K99" s="594" t="s">
        <v>1812</v>
      </c>
      <c r="L99" s="594">
        <f>L20*1000</f>
        <v>3.5</v>
      </c>
      <c r="M99" s="594">
        <f>L34</f>
        <v>86.2</v>
      </c>
    </row>
    <row r="100" spans="11:13" ht="15" customHeight="1" x14ac:dyDescent="0.25">
      <c r="K100" s="594" t="s">
        <v>564</v>
      </c>
      <c r="L100" s="594">
        <v>0</v>
      </c>
      <c r="M100" s="594">
        <f ca="1">L94</f>
        <v>61.44979440778884</v>
      </c>
    </row>
    <row r="101" spans="11:13" ht="15" customHeight="1" x14ac:dyDescent="0.25">
      <c r="K101" s="594" t="s">
        <v>1813</v>
      </c>
      <c r="L101" s="594">
        <f ca="1">-L95</f>
        <v>-8.68979773222346</v>
      </c>
      <c r="M101" s="594">
        <v>0</v>
      </c>
    </row>
    <row r="102" spans="11:13" x14ac:dyDescent="0.25">
      <c r="L102">
        <v>0</v>
      </c>
      <c r="M102">
        <v>0</v>
      </c>
    </row>
  </sheetData>
  <mergeCells count="75">
    <mergeCell ref="K1:W1"/>
    <mergeCell ref="K3:W3"/>
    <mergeCell ref="K4:W4"/>
    <mergeCell ref="K6:W6"/>
    <mergeCell ref="N8:W8"/>
    <mergeCell ref="N9:W9"/>
    <mergeCell ref="N10:W10"/>
    <mergeCell ref="K11:W11"/>
    <mergeCell ref="N13:W13"/>
    <mergeCell ref="N14:W14"/>
    <mergeCell ref="N15:W15"/>
    <mergeCell ref="N16:W16"/>
    <mergeCell ref="N17:W17"/>
    <mergeCell ref="N18:W18"/>
    <mergeCell ref="N19:W19"/>
    <mergeCell ref="N20:W20"/>
    <mergeCell ref="N21:W21"/>
    <mergeCell ref="N22:W22"/>
    <mergeCell ref="N23:W23"/>
    <mergeCell ref="N24:W24"/>
    <mergeCell ref="N25:W25"/>
    <mergeCell ref="K27:W27"/>
    <mergeCell ref="N29:W29"/>
    <mergeCell ref="N30:W30"/>
    <mergeCell ref="N31:W31"/>
    <mergeCell ref="N32:W32"/>
    <mergeCell ref="N33:W33"/>
    <mergeCell ref="N34:W34"/>
    <mergeCell ref="N35:W35"/>
    <mergeCell ref="N36:W36"/>
    <mergeCell ref="N37:W37"/>
    <mergeCell ref="K39:W39"/>
    <mergeCell ref="N41:W41"/>
    <mergeCell ref="K43:W43"/>
    <mergeCell ref="N45:W45"/>
    <mergeCell ref="N46:W46"/>
    <mergeCell ref="N47:W47"/>
    <mergeCell ref="N48:W48"/>
    <mergeCell ref="N49:W49"/>
    <mergeCell ref="K51:W51"/>
    <mergeCell ref="N53:W53"/>
    <mergeCell ref="K55:W55"/>
    <mergeCell ref="N57:W57"/>
    <mergeCell ref="N58:W58"/>
    <mergeCell ref="N59:W59"/>
    <mergeCell ref="N60:W60"/>
    <mergeCell ref="N61:W61"/>
    <mergeCell ref="N62:W62"/>
    <mergeCell ref="N63:W63"/>
    <mergeCell ref="N64:W64"/>
    <mergeCell ref="N65:W65"/>
    <mergeCell ref="N66:W66"/>
    <mergeCell ref="N67:W67"/>
    <mergeCell ref="N68:W68"/>
    <mergeCell ref="N69:W69"/>
    <mergeCell ref="N70:W70"/>
    <mergeCell ref="N71:W71"/>
    <mergeCell ref="K73:W73"/>
    <mergeCell ref="N75:W75"/>
    <mergeCell ref="N76:W76"/>
    <mergeCell ref="N77:W77"/>
    <mergeCell ref="N78:W78"/>
    <mergeCell ref="N79:W79"/>
    <mergeCell ref="N80:W80"/>
    <mergeCell ref="N81:W81"/>
    <mergeCell ref="K83:W83"/>
    <mergeCell ref="N85:W85"/>
    <mergeCell ref="N86:W86"/>
    <mergeCell ref="N87:W87"/>
    <mergeCell ref="N88:W88"/>
    <mergeCell ref="N89:W89"/>
    <mergeCell ref="K91:W91"/>
    <mergeCell ref="N93:W93"/>
    <mergeCell ref="N94:W94"/>
    <mergeCell ref="N95:W95"/>
  </mergeCells>
  <dataValidations count="1">
    <dataValidation type="list" allowBlank="1" showInputMessage="1" showErrorMessage="1" sqref="L10" xr:uid="{00000000-0002-0000-1200-000000000000}">
      <formula1>"Sim,Não"</formula1>
      <formula2>0</formula2>
    </dataValidation>
  </dataValidations>
  <pageMargins left="0.7" right="0.7" top="0.75" bottom="0.75" header="0.511811023622047" footer="0.511811023622047"/>
  <pageSetup paperSize="9" scale="56" orientation="portrait" horizontalDpi="300" verticalDpi="300" r:id="rId1"/>
  <rowBreaks count="1" manualBreakCount="1">
    <brk id="82"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C487"/>
  <sheetViews>
    <sheetView showGridLines="0" view="pageBreakPreview" topLeftCell="C1" zoomScale="85" zoomScaleNormal="100" zoomScalePageLayoutView="85" workbookViewId="0">
      <selection activeCell="Z33" sqref="Z33"/>
    </sheetView>
  </sheetViews>
  <sheetFormatPr defaultColWidth="8.5703125" defaultRowHeight="15" x14ac:dyDescent="0.25"/>
  <cols>
    <col min="10" max="10" width="3" customWidth="1"/>
    <col min="11" max="11" width="32" customWidth="1"/>
    <col min="12" max="12" width="16" customWidth="1"/>
    <col min="13" max="13" width="9" customWidth="1"/>
    <col min="14" max="20" width="9.42578125" customWidth="1"/>
    <col min="21" max="21" width="12.140625" customWidth="1"/>
    <col min="22" max="24" width="9.42578125" customWidth="1"/>
    <col min="25" max="25" width="18.42578125" customWidth="1"/>
  </cols>
  <sheetData>
    <row r="1" spans="11:28" ht="30" customHeight="1" x14ac:dyDescent="0.25">
      <c r="K1" s="858" t="s">
        <v>1814</v>
      </c>
      <c r="L1" s="858"/>
      <c r="M1" s="858"/>
      <c r="N1" s="858"/>
      <c r="O1" s="858"/>
      <c r="P1" s="858"/>
      <c r="Q1" s="858"/>
      <c r="R1" s="858"/>
      <c r="S1" s="858"/>
      <c r="T1" s="858"/>
      <c r="U1" s="858"/>
      <c r="V1" s="858"/>
      <c r="W1" s="858"/>
    </row>
    <row r="4" spans="11:28" x14ac:dyDescent="0.25">
      <c r="K4" s="857" t="s">
        <v>1815</v>
      </c>
      <c r="L4" s="857"/>
      <c r="M4" s="857"/>
      <c r="N4" s="857"/>
      <c r="O4" s="857"/>
      <c r="P4" s="857"/>
      <c r="Q4" s="857"/>
      <c r="R4" s="857"/>
      <c r="S4" s="857"/>
      <c r="T4" s="857"/>
      <c r="U4" s="857"/>
      <c r="V4" s="857"/>
      <c r="W4" s="857"/>
    </row>
    <row r="5" spans="11:28" x14ac:dyDescent="0.25">
      <c r="X5" t="s">
        <v>1816</v>
      </c>
      <c r="Y5" s="632" t="s">
        <v>2137</v>
      </c>
    </row>
    <row r="6" spans="11:28" ht="15" customHeight="1" x14ac:dyDescent="0.25">
      <c r="K6" s="591" t="s">
        <v>164</v>
      </c>
      <c r="L6" s="615">
        <f>Geometria!L82</f>
        <v>50.0</v>
      </c>
      <c r="M6" s="591" t="s">
        <v>160</v>
      </c>
      <c r="N6" s="849" t="s">
        <v>1817</v>
      </c>
      <c r="O6" s="849"/>
      <c r="P6" s="849"/>
      <c r="Q6" s="849"/>
      <c r="R6" s="849"/>
      <c r="S6" s="849"/>
      <c r="T6" s="849"/>
      <c r="U6" s="849"/>
      <c r="V6" s="849"/>
      <c r="W6" s="849"/>
      <c r="Y6" t="s">
        <v>1818</v>
      </c>
      <c r="Z6">
        <f>Geometria!L88</f>
        <v>190.0</v>
      </c>
      <c r="AA6" t="s">
        <v>177</v>
      </c>
      <c r="AB6" t="s">
        <v>1819</v>
      </c>
    </row>
    <row r="7" spans="11:28" ht="15" customHeight="1" x14ac:dyDescent="0.25">
      <c r="K7" s="591" t="s">
        <v>159</v>
      </c>
      <c r="L7" s="615">
        <f>Geometria!L81</f>
        <v>500.0</v>
      </c>
      <c r="M7" s="591" t="s">
        <v>160</v>
      </c>
      <c r="N7" s="849" t="s">
        <v>1820</v>
      </c>
      <c r="O7" s="849"/>
      <c r="P7" s="849"/>
      <c r="Q7" s="849"/>
      <c r="R7" s="849"/>
      <c r="S7" s="849"/>
      <c r="T7" s="849"/>
      <c r="U7" s="849"/>
      <c r="V7" s="849"/>
      <c r="W7" s="849"/>
      <c r="Y7" t="s">
        <v>1821</v>
      </c>
      <c r="Z7">
        <f>Z6*10</f>
        <v>1900.0</v>
      </c>
      <c r="AA7" t="s">
        <v>160</v>
      </c>
      <c r="AB7" t="s">
        <v>1819</v>
      </c>
    </row>
    <row r="8" spans="11:28" ht="15" customHeight="1" x14ac:dyDescent="0.25">
      <c r="K8" s="591" t="s">
        <v>1690</v>
      </c>
      <c r="L8" s="615">
        <f>Geometria!$O$78</f>
        <v>1.4</v>
      </c>
      <c r="N8" s="849" t="s">
        <v>1822</v>
      </c>
      <c r="O8" s="849"/>
      <c r="P8" s="849"/>
      <c r="Q8" s="849"/>
      <c r="R8" s="849"/>
      <c r="S8" s="849"/>
      <c r="T8" s="849"/>
      <c r="U8" s="849"/>
      <c r="V8" s="849"/>
      <c r="W8" s="849"/>
      <c r="Y8" t="s">
        <v>1823</v>
      </c>
      <c r="Z8">
        <f>Geometria!L89</f>
        <v>1710.0</v>
      </c>
      <c r="AA8" t="s">
        <v>160</v>
      </c>
      <c r="AB8" t="s">
        <v>180</v>
      </c>
    </row>
    <row r="9" spans="11:28" ht="15" customHeight="1" x14ac:dyDescent="0.25">
      <c r="K9" s="591" t="s">
        <v>1692</v>
      </c>
      <c r="L9" s="615">
        <f>Geometria!O76</f>
        <v>1.1</v>
      </c>
      <c r="N9" s="849" t="s">
        <v>1824</v>
      </c>
      <c r="O9" s="849"/>
      <c r="P9" s="849"/>
      <c r="Q9" s="849"/>
      <c r="R9" s="849"/>
      <c r="S9" s="849"/>
      <c r="T9" s="849"/>
      <c r="U9" s="849"/>
      <c r="V9" s="849"/>
      <c r="W9" s="849"/>
      <c r="Y9" t="s">
        <v>1825</v>
      </c>
      <c r="Z9">
        <v>200000</v>
      </c>
      <c r="AA9" t="s">
        <v>160</v>
      </c>
      <c r="AB9" t="s">
        <v>1826</v>
      </c>
    </row>
    <row r="10" spans="11:28" ht="15" customHeight="1" x14ac:dyDescent="0.25">
      <c r="K10" s="591" t="s">
        <v>1827</v>
      </c>
      <c r="L10" s="615">
        <v>210000</v>
      </c>
      <c r="M10" s="591" t="s">
        <v>160</v>
      </c>
      <c r="N10" s="849" t="s">
        <v>1828</v>
      </c>
      <c r="O10" s="849"/>
      <c r="P10" s="849"/>
      <c r="Q10" s="849"/>
      <c r="R10" s="849"/>
      <c r="S10" s="849"/>
      <c r="T10" s="849"/>
      <c r="U10" s="849"/>
      <c r="V10" s="849"/>
      <c r="W10" s="849"/>
      <c r="Y10" t="s">
        <v>1829</v>
      </c>
      <c r="Z10">
        <f>Z8/$L$9</f>
        <v>1554.5454545454545</v>
      </c>
      <c r="AA10" t="s">
        <v>160</v>
      </c>
      <c r="AB10" t="s">
        <v>1830</v>
      </c>
    </row>
    <row r="11" spans="11:28" ht="15" customHeight="1" x14ac:dyDescent="0.25">
      <c r="K11" s="591" t="s">
        <v>1694</v>
      </c>
      <c r="L11" s="615">
        <f>L7/L9</f>
        <v>454.5454545454545</v>
      </c>
      <c r="M11" s="591" t="s">
        <v>160</v>
      </c>
      <c r="N11" s="849" t="s">
        <v>1831</v>
      </c>
      <c r="O11" s="849"/>
      <c r="P11" s="849"/>
      <c r="Q11" s="849"/>
      <c r="R11" s="849"/>
      <c r="S11" s="849"/>
      <c r="T11" s="849"/>
      <c r="U11" s="849"/>
      <c r="V11" s="849"/>
      <c r="W11" s="849"/>
      <c r="Y11" t="s">
        <v>1832</v>
      </c>
      <c r="Z11">
        <f>Z7/$L$9</f>
        <v>1727.272727272727</v>
      </c>
      <c r="AA11" t="s">
        <v>160</v>
      </c>
      <c r="AB11" t="s">
        <v>1833</v>
      </c>
    </row>
    <row r="12" spans="11:28" ht="15" customHeight="1" x14ac:dyDescent="0.25">
      <c r="K12" s="591" t="s">
        <v>1698</v>
      </c>
      <c r="L12" s="615">
        <f>L11/L10*1000</f>
        <v>2.1645021645021645</v>
      </c>
      <c r="M12" s="591" t="s">
        <v>929</v>
      </c>
      <c r="N12" s="849" t="s">
        <v>1834</v>
      </c>
      <c r="O12" s="849"/>
      <c r="P12" s="849"/>
      <c r="Q12" s="849"/>
      <c r="R12" s="849"/>
      <c r="S12" s="849"/>
      <c r="T12" s="849"/>
      <c r="U12" s="849"/>
      <c r="V12" s="849"/>
      <c r="W12" s="849"/>
      <c r="Y12" t="s">
        <v>1835</v>
      </c>
      <c r="Z12">
        <f>Z10/Z9*1000</f>
        <v>7.7727272727272725</v>
      </c>
      <c r="AA12" t="s">
        <v>559</v>
      </c>
      <c r="AB12" t="s">
        <v>1836</v>
      </c>
    </row>
    <row r="13" spans="11:28" ht="15" customHeight="1" x14ac:dyDescent="0.25">
      <c r="K13" s="591" t="s">
        <v>1700</v>
      </c>
      <c r="L13" s="615">
        <v>3.5</v>
      </c>
      <c r="M13" s="591" t="s">
        <v>929</v>
      </c>
      <c r="N13" s="849" t="s">
        <v>1837</v>
      </c>
      <c r="O13" s="849"/>
      <c r="P13" s="849"/>
      <c r="Q13" s="849"/>
      <c r="R13" s="849"/>
      <c r="S13" s="849"/>
      <c r="T13" s="849"/>
      <c r="U13" s="849"/>
      <c r="V13" s="849"/>
      <c r="W13" s="849"/>
      <c r="Y13" t="s">
        <v>1838</v>
      </c>
      <c r="Z13">
        <v>10</v>
      </c>
      <c r="AA13" t="s">
        <v>559</v>
      </c>
      <c r="AB13" t="s">
        <v>1839</v>
      </c>
    </row>
    <row r="14" spans="11:28" ht="15" customHeight="1" x14ac:dyDescent="0.25">
      <c r="K14" s="591" t="s">
        <v>1840</v>
      </c>
      <c r="L14" s="615">
        <f>Apoio!B26</f>
        <v>0.8</v>
      </c>
      <c r="N14" s="849" t="s">
        <v>1841</v>
      </c>
      <c r="O14" s="849"/>
      <c r="P14" s="849"/>
      <c r="Q14" s="849"/>
      <c r="R14" s="849"/>
      <c r="S14" s="849"/>
      <c r="T14" s="849"/>
      <c r="U14" s="849"/>
      <c r="V14" s="849"/>
      <c r="W14" s="849"/>
    </row>
    <row r="15" spans="11:28" ht="15" customHeight="1" x14ac:dyDescent="0.25">
      <c r="K15" s="591" t="s">
        <v>1842</v>
      </c>
      <c r="L15" s="615">
        <f>Apoio!B28</f>
        <v>0.85</v>
      </c>
      <c r="N15" s="849" t="s">
        <v>1843</v>
      </c>
      <c r="O15" s="849"/>
      <c r="P15" s="849"/>
      <c r="Q15" s="849"/>
      <c r="R15" s="849"/>
      <c r="S15" s="849"/>
      <c r="T15" s="849"/>
      <c r="U15" s="849"/>
      <c r="V15" s="849"/>
      <c r="W15" s="849"/>
    </row>
    <row r="16" spans="11:28" ht="15" customHeight="1" x14ac:dyDescent="0.25">
      <c r="K16" s="591" t="s">
        <v>1844</v>
      </c>
      <c r="L16" s="615">
        <f>Apoio!B29</f>
        <v>0.9283177667225558</v>
      </c>
      <c r="N16" s="849" t="s">
        <v>1845</v>
      </c>
      <c r="O16" s="849"/>
      <c r="P16" s="849"/>
      <c r="Q16" s="849"/>
      <c r="R16" s="849"/>
      <c r="S16" s="849"/>
      <c r="T16" s="849"/>
      <c r="U16" s="849"/>
      <c r="V16" s="849"/>
      <c r="W16" s="849"/>
    </row>
    <row r="17" spans="11:23" ht="15" customHeight="1" x14ac:dyDescent="0.25">
      <c r="K17" s="591" t="s">
        <v>1846</v>
      </c>
      <c r="L17" s="615">
        <f>Apoio!B31</f>
        <v>0.45</v>
      </c>
      <c r="N17" s="849" t="s">
        <v>1847</v>
      </c>
      <c r="O17" s="849"/>
      <c r="P17" s="849"/>
      <c r="Q17" s="849"/>
      <c r="R17" s="849"/>
      <c r="S17" s="849"/>
      <c r="T17" s="849"/>
      <c r="U17" s="849"/>
      <c r="V17" s="849"/>
      <c r="W17" s="849"/>
    </row>
    <row r="18" spans="11:23" ht="15" customHeight="1" x14ac:dyDescent="0.25">
      <c r="K18" s="591" t="s">
        <v>1848</v>
      </c>
      <c r="L18" s="615">
        <f>L15*L16*(L6/(10*L8))</f>
        <v>2.8181075061220446</v>
      </c>
      <c r="M18" s="591" t="s">
        <v>241</v>
      </c>
      <c r="N18" s="849" t="s">
        <v>1849</v>
      </c>
      <c r="O18" s="849"/>
      <c r="P18" s="849"/>
      <c r="Q18" s="849"/>
      <c r="R18" s="849"/>
      <c r="S18" s="849"/>
      <c r="T18" s="849"/>
      <c r="U18" s="849"/>
      <c r="V18" s="849"/>
      <c r="W18" s="849"/>
    </row>
    <row r="20" spans="11:23" x14ac:dyDescent="0.25">
      <c r="K20" s="857" t="s">
        <v>1850</v>
      </c>
      <c r="L20" s="857"/>
      <c r="M20" s="857"/>
      <c r="N20" s="857"/>
      <c r="O20" s="857"/>
      <c r="P20" s="857"/>
      <c r="Q20" s="857"/>
      <c r="R20" s="857"/>
      <c r="S20" s="857"/>
      <c r="T20" s="857"/>
      <c r="U20" s="857"/>
      <c r="V20" s="857"/>
      <c r="W20" s="857"/>
    </row>
    <row r="22" spans="11:23" x14ac:dyDescent="0.25">
      <c r="K22" s="845" t="s">
        <v>1851</v>
      </c>
      <c r="L22" s="845"/>
      <c r="M22" s="845"/>
      <c r="N22" s="845"/>
      <c r="O22" s="845"/>
      <c r="P22" s="845"/>
      <c r="Q22" s="845"/>
      <c r="R22" s="845"/>
      <c r="S22" s="845"/>
      <c r="T22" s="845"/>
      <c r="U22" s="845"/>
      <c r="V22" s="845"/>
      <c r="W22" s="845"/>
    </row>
    <row r="23" spans="11:23" ht="15" customHeight="1" x14ac:dyDescent="0.25">
      <c r="K23" s="591" t="s">
        <v>718</v>
      </c>
      <c r="L23" s="616">
        <f>Geometria!O4</f>
        <v>16.0</v>
      </c>
      <c r="M23" s="591" t="s">
        <v>460</v>
      </c>
      <c r="N23" s="849" t="s">
        <v>1852</v>
      </c>
      <c r="O23" s="849"/>
      <c r="P23" s="849"/>
      <c r="Q23" s="849"/>
      <c r="R23" s="849"/>
      <c r="S23" s="849"/>
      <c r="T23" s="849"/>
      <c r="U23" s="849"/>
      <c r="V23" s="849"/>
      <c r="W23" s="849"/>
    </row>
    <row r="24" spans="11:23" ht="15" customHeight="1" x14ac:dyDescent="0.25">
      <c r="K24" s="591" t="s">
        <v>1853</v>
      </c>
      <c r="L24" s="615">
        <f ca="1">Geometria!N4</f>
        <v>3.0</v>
      </c>
      <c r="M24" s="591" t="s">
        <v>818</v>
      </c>
      <c r="N24" s="849" t="s">
        <v>1854</v>
      </c>
      <c r="O24" s="849"/>
      <c r="P24" s="849"/>
      <c r="Q24" s="849"/>
      <c r="R24" s="849"/>
      <c r="S24" s="849"/>
      <c r="T24" s="849"/>
      <c r="U24" s="849"/>
      <c r="V24" s="849"/>
      <c r="W24" s="849"/>
    </row>
    <row r="25" spans="11:23" ht="15" customHeight="1" x14ac:dyDescent="0.25">
      <c r="K25" s="591" t="s">
        <v>1855</v>
      </c>
      <c r="L25" s="617">
        <f ca="1">Taxas!K51</f>
        <v>6.0288</v>
      </c>
      <c r="M25" s="591" t="s">
        <v>247</v>
      </c>
      <c r="N25" s="849" t="s">
        <v>1856</v>
      </c>
      <c r="O25" s="849"/>
      <c r="P25" s="849"/>
      <c r="Q25" s="849"/>
      <c r="R25" s="849"/>
      <c r="S25" s="849"/>
      <c r="T25" s="849"/>
      <c r="U25" s="849"/>
      <c r="V25" s="849"/>
      <c r="W25" s="849"/>
    </row>
    <row r="26" spans="11:23" ht="15" customHeight="1" x14ac:dyDescent="0.25">
      <c r="K26" s="591" t="s">
        <v>1857</v>
      </c>
      <c r="L26" s="615">
        <f>Geometria!R76+L23/20</f>
        <v>3.8</v>
      </c>
      <c r="M26" s="591" t="s">
        <v>35</v>
      </c>
      <c r="N26" s="849" t="s">
        <v>1858</v>
      </c>
      <c r="O26" s="849"/>
      <c r="P26" s="849"/>
      <c r="Q26" s="849"/>
      <c r="R26" s="849"/>
      <c r="S26" s="849"/>
      <c r="T26" s="849"/>
      <c r="U26" s="849"/>
      <c r="V26" s="849"/>
      <c r="W26" s="849"/>
    </row>
    <row r="27" spans="11:23" x14ac:dyDescent="0.25">
      <c r="K27" s="845" t="s">
        <v>1859</v>
      </c>
      <c r="L27" s="845"/>
      <c r="M27" s="845"/>
      <c r="N27" s="845"/>
      <c r="O27" s="845"/>
      <c r="P27" s="845"/>
      <c r="Q27" s="845"/>
      <c r="R27" s="845"/>
      <c r="S27" s="845"/>
      <c r="T27" s="845"/>
      <c r="U27" s="845"/>
      <c r="V27" s="845"/>
      <c r="W27" s="845"/>
    </row>
    <row r="28" spans="11:23" ht="15" customHeight="1" x14ac:dyDescent="0.25">
      <c r="K28" s="591" t="s">
        <v>718</v>
      </c>
      <c r="L28" s="616">
        <f>Geometria!O5</f>
        <v>16.0</v>
      </c>
      <c r="M28" s="591" t="s">
        <v>460</v>
      </c>
      <c r="N28" s="849" t="s">
        <v>1852</v>
      </c>
      <c r="O28" s="849"/>
      <c r="P28" s="849"/>
      <c r="Q28" s="849"/>
      <c r="R28" s="849"/>
      <c r="S28" s="849"/>
      <c r="T28" s="849"/>
      <c r="U28" s="849"/>
      <c r="V28" s="849"/>
      <c r="W28" s="849"/>
    </row>
    <row r="29" spans="11:23" ht="15" customHeight="1" x14ac:dyDescent="0.25">
      <c r="K29" s="591" t="s">
        <v>1853</v>
      </c>
      <c r="L29" s="618">
        <f ca="1">Geometria!N5</f>
        <v>12.0</v>
      </c>
      <c r="M29" s="591" t="s">
        <v>818</v>
      </c>
      <c r="N29" s="849" t="s">
        <v>1854</v>
      </c>
      <c r="O29" s="849"/>
      <c r="P29" s="849"/>
      <c r="Q29" s="849"/>
      <c r="R29" s="849"/>
      <c r="S29" s="849"/>
      <c r="T29" s="849"/>
      <c r="U29" s="849"/>
      <c r="V29" s="849"/>
      <c r="W29" s="849"/>
    </row>
    <row r="30" spans="11:23" ht="15" customHeight="1" x14ac:dyDescent="0.25">
      <c r="K30" s="591" t="s">
        <v>1860</v>
      </c>
      <c r="L30" s="617">
        <f ca="1">Taxas!K58</f>
        <v>24.1152</v>
      </c>
      <c r="M30" s="591" t="s">
        <v>247</v>
      </c>
      <c r="N30" s="849" t="s">
        <v>1856</v>
      </c>
      <c r="O30" s="849"/>
      <c r="P30" s="849"/>
      <c r="Q30" s="849"/>
      <c r="R30" s="849"/>
      <c r="S30" s="849"/>
      <c r="T30" s="849"/>
      <c r="U30" s="849"/>
      <c r="V30" s="849"/>
      <c r="W30" s="849"/>
    </row>
    <row r="31" spans="11:23" ht="15" customHeight="1" x14ac:dyDescent="0.25">
      <c r="K31" s="591" t="s">
        <v>1861</v>
      </c>
      <c r="L31" s="615">
        <f>Geometria!R76+L28/20</f>
        <v>3.8</v>
      </c>
      <c r="M31" s="591" t="s">
        <v>35</v>
      </c>
      <c r="N31" s="849" t="s">
        <v>1862</v>
      </c>
      <c r="O31" s="849"/>
      <c r="P31" s="849"/>
      <c r="Q31" s="849"/>
      <c r="R31" s="849"/>
      <c r="S31" s="849"/>
      <c r="T31" s="849"/>
      <c r="U31" s="849"/>
      <c r="V31" s="849"/>
      <c r="W31" s="849"/>
    </row>
    <row r="32" spans="11:23" x14ac:dyDescent="0.25">
      <c r="K32" s="845" t="s">
        <v>1863</v>
      </c>
      <c r="L32" s="845"/>
      <c r="M32" s="845"/>
      <c r="N32" s="845"/>
      <c r="O32" s="845"/>
      <c r="P32" s="845"/>
      <c r="Q32" s="845"/>
      <c r="R32" s="845"/>
      <c r="S32" s="845"/>
      <c r="T32" s="845"/>
      <c r="U32" s="845"/>
      <c r="V32" s="845"/>
      <c r="W32" s="845"/>
    </row>
    <row r="33" spans="11:23" ht="15" customHeight="1" x14ac:dyDescent="0.25">
      <c r="K33" s="591" t="s">
        <v>1864</v>
      </c>
      <c r="L33" s="615">
        <f>Geometria!K251</f>
        <v>8.0</v>
      </c>
      <c r="M33" s="591" t="s">
        <v>818</v>
      </c>
      <c r="N33" s="849" t="s">
        <v>1865</v>
      </c>
      <c r="O33" s="849"/>
      <c r="P33" s="849"/>
      <c r="Q33" s="849"/>
      <c r="R33" s="849"/>
      <c r="S33" s="849"/>
      <c r="T33" s="849"/>
      <c r="U33" s="849"/>
      <c r="V33" s="849"/>
      <c r="W33" s="849"/>
    </row>
    <row r="34" spans="11:23" ht="15" customHeight="1" x14ac:dyDescent="0.25">
      <c r="K34" s="591" t="s">
        <v>585</v>
      </c>
      <c r="L34" s="617">
        <f>Geometria!L252</f>
        <v>11.2</v>
      </c>
      <c r="M34" s="591" t="s">
        <v>247</v>
      </c>
      <c r="N34" s="849" t="s">
        <v>1866</v>
      </c>
      <c r="O34" s="849"/>
      <c r="P34" s="849"/>
      <c r="Q34" s="849"/>
      <c r="R34" s="849"/>
      <c r="S34" s="849"/>
      <c r="T34" s="849"/>
      <c r="U34" s="849"/>
      <c r="V34" s="849"/>
      <c r="W34" s="849"/>
    </row>
    <row r="35" spans="11:23" ht="15" customHeight="1" x14ac:dyDescent="0.25">
      <c r="K35" s="591" t="s">
        <v>1867</v>
      </c>
      <c r="L35" s="617">
        <f>Geometria!R253</f>
        <v>11.25</v>
      </c>
      <c r="M35" s="591" t="s">
        <v>35</v>
      </c>
      <c r="N35" s="849" t="s">
        <v>1868</v>
      </c>
      <c r="O35" s="849"/>
      <c r="P35" s="849"/>
      <c r="Q35" s="849"/>
      <c r="R35" s="849"/>
      <c r="S35" s="849"/>
      <c r="T35" s="849"/>
      <c r="U35" s="849"/>
      <c r="V35" s="849"/>
      <c r="W35" s="849"/>
    </row>
    <row r="36" spans="11:23" ht="15" customHeight="1" x14ac:dyDescent="0.25">
      <c r="K36" s="591" t="s">
        <v>1869</v>
      </c>
      <c r="L36" s="617">
        <f ca="1">Geometria!L1202</f>
        <v>5.3651309425196345</v>
      </c>
      <c r="M36" s="591" t="s">
        <v>929</v>
      </c>
      <c r="N36" s="849" t="s">
        <v>1870</v>
      </c>
      <c r="O36" s="849"/>
      <c r="P36" s="849"/>
      <c r="Q36" s="849"/>
      <c r="R36" s="849"/>
      <c r="S36" s="849"/>
      <c r="T36" s="849"/>
      <c r="U36" s="849"/>
      <c r="V36" s="849"/>
      <c r="W36" s="849"/>
    </row>
    <row r="37" spans="11:23" x14ac:dyDescent="0.25">
      <c r="K37" s="845" t="s">
        <v>1871</v>
      </c>
      <c r="L37" s="845"/>
      <c r="M37" s="845"/>
      <c r="N37" s="845"/>
      <c r="O37" s="845"/>
      <c r="P37" s="845"/>
      <c r="Q37" s="845"/>
      <c r="R37" s="845"/>
      <c r="S37" s="845"/>
      <c r="T37" s="845"/>
      <c r="U37" s="845"/>
      <c r="V37" s="845"/>
      <c r="W37" s="845"/>
    </row>
    <row r="38" spans="11:23" ht="15" customHeight="1" x14ac:dyDescent="0.25">
      <c r="K38" s="591" t="s">
        <v>1864</v>
      </c>
      <c r="L38" s="615">
        <f>Geometria!K265</f>
        <v>0.0</v>
      </c>
      <c r="M38" s="591" t="s">
        <v>818</v>
      </c>
      <c r="N38" s="849" t="s">
        <v>1872</v>
      </c>
      <c r="O38" s="849"/>
      <c r="P38" s="849"/>
      <c r="Q38" s="849"/>
      <c r="R38" s="849"/>
      <c r="S38" s="849"/>
      <c r="T38" s="849"/>
      <c r="U38" s="849"/>
      <c r="V38" s="849"/>
      <c r="W38" s="849"/>
    </row>
    <row r="39" spans="11:23" ht="15" customHeight="1" x14ac:dyDescent="0.25">
      <c r="K39" s="591" t="s">
        <v>1873</v>
      </c>
      <c r="L39" s="617">
        <f>Geometria!L266</f>
        <v>0.0</v>
      </c>
      <c r="M39" s="591" t="s">
        <v>247</v>
      </c>
      <c r="N39" s="849" t="s">
        <v>1874</v>
      </c>
      <c r="O39" s="849"/>
      <c r="P39" s="849"/>
      <c r="Q39" s="849"/>
      <c r="R39" s="849"/>
      <c r="S39" s="849"/>
      <c r="T39" s="849"/>
      <c r="U39" s="849"/>
      <c r="V39" s="849"/>
      <c r="W39" s="849"/>
    </row>
    <row r="40" spans="11:23" ht="27.75" customHeight="1" x14ac:dyDescent="0.25">
      <c r="K40" s="591" t="s">
        <v>1875</v>
      </c>
      <c r="L40" s="615">
        <f>Geometria!R267</f>
        <v>0.0</v>
      </c>
      <c r="M40" s="591" t="s">
        <v>35</v>
      </c>
      <c r="N40" s="849" t="s">
        <v>1876</v>
      </c>
      <c r="O40" s="849"/>
      <c r="P40" s="849"/>
      <c r="Q40" s="849"/>
      <c r="R40" s="849"/>
      <c r="S40" s="849"/>
      <c r="T40" s="849"/>
      <c r="U40" s="849"/>
      <c r="V40" s="849"/>
      <c r="W40" s="849"/>
    </row>
    <row r="41" spans="11:23" ht="41.25" customHeight="1" x14ac:dyDescent="0.25">
      <c r="K41" s="591" t="s">
        <v>1877</v>
      </c>
      <c r="L41" s="615">
        <f ca="1">((Geometria!$N$369*10*Geometria!$L$1200)/200000)*1000</f>
        <v>5.544308758809232</v>
      </c>
      <c r="M41" s="591" t="s">
        <v>929</v>
      </c>
      <c r="N41" s="849" t="s">
        <v>1878</v>
      </c>
      <c r="O41" s="849"/>
      <c r="P41" s="849"/>
      <c r="Q41" s="849"/>
      <c r="R41" s="849"/>
      <c r="S41" s="849"/>
      <c r="T41" s="849"/>
      <c r="U41" s="849"/>
      <c r="V41" s="849"/>
      <c r="W41" s="849"/>
    </row>
    <row r="42" spans="11:23" x14ac:dyDescent="0.25">
      <c r="K42" s="619"/>
    </row>
    <row r="44" spans="11:23" x14ac:dyDescent="0.25">
      <c r="K44" s="857" t="s">
        <v>1879</v>
      </c>
      <c r="L44" s="857"/>
      <c r="M44" s="857"/>
      <c r="N44" s="857"/>
      <c r="O44" s="857"/>
      <c r="P44" s="857"/>
      <c r="Q44" s="857"/>
      <c r="R44" s="857"/>
      <c r="S44" s="857"/>
      <c r="T44" s="857"/>
      <c r="U44" s="857"/>
      <c r="V44" s="857"/>
      <c r="W44" s="857"/>
    </row>
    <row r="47" spans="11:23" ht="15" customHeight="1" x14ac:dyDescent="0.25">
      <c r="K47" s="591" t="s">
        <v>1880</v>
      </c>
      <c r="L47" s="620">
        <f>Geometria!L27</f>
        <v>60.0</v>
      </c>
      <c r="M47" s="591" t="s">
        <v>35</v>
      </c>
      <c r="N47" s="849" t="s">
        <v>1881</v>
      </c>
      <c r="O47" s="849"/>
      <c r="P47" s="849"/>
      <c r="Q47" s="849"/>
      <c r="R47" s="849"/>
      <c r="S47" s="849"/>
      <c r="T47" s="849"/>
      <c r="U47" s="849"/>
      <c r="V47" s="849"/>
      <c r="W47" s="849"/>
    </row>
    <row r="48" spans="11:23" x14ac:dyDescent="0.25">
      <c r="K48" s="591" t="s">
        <v>1711</v>
      </c>
      <c r="L48" s="620">
        <f>Geometria!L26</f>
        <v>30.0</v>
      </c>
      <c r="M48" s="591" t="s">
        <v>35</v>
      </c>
    </row>
    <row r="49" spans="11:23" x14ac:dyDescent="0.25">
      <c r="K49" s="591" t="s">
        <v>1882</v>
      </c>
      <c r="L49" s="620">
        <f>Geometria!L26</f>
        <v>30.0</v>
      </c>
      <c r="M49" s="591" t="s">
        <v>35</v>
      </c>
    </row>
    <row r="50" spans="11:23" ht="15" customHeight="1" x14ac:dyDescent="0.25">
      <c r="K50" s="591" t="s">
        <v>1883</v>
      </c>
      <c r="L50" s="615">
        <v>9999</v>
      </c>
      <c r="M50" s="591" t="s">
        <v>35</v>
      </c>
      <c r="N50" s="849" t="s">
        <v>1884</v>
      </c>
      <c r="O50" s="849"/>
      <c r="P50" s="849"/>
      <c r="Q50" s="849"/>
      <c r="R50" s="849"/>
      <c r="S50" s="849"/>
      <c r="T50" s="849"/>
      <c r="U50" s="849"/>
      <c r="V50" s="849"/>
      <c r="W50" s="849"/>
    </row>
    <row r="51" spans="11:23" ht="15" customHeight="1" x14ac:dyDescent="0.25">
      <c r="K51" s="591" t="s">
        <v>1885</v>
      </c>
      <c r="L51" s="615">
        <f>L26</f>
        <v>3.8</v>
      </c>
      <c r="M51" s="591" t="s">
        <v>35</v>
      </c>
      <c r="N51" s="849" t="s">
        <v>1886</v>
      </c>
      <c r="O51" s="849"/>
      <c r="P51" s="849"/>
      <c r="Q51" s="849"/>
      <c r="R51" s="849"/>
      <c r="S51" s="849"/>
      <c r="T51" s="849"/>
      <c r="U51" s="849"/>
      <c r="V51" s="849"/>
      <c r="W51" s="849"/>
    </row>
    <row r="52" spans="11:23" ht="15" customHeight="1" x14ac:dyDescent="0.25">
      <c r="K52" s="591" t="s">
        <v>1887</v>
      </c>
      <c r="L52" s="615">
        <f>L47-L31</f>
        <v>56.2</v>
      </c>
      <c r="M52" s="591" t="s">
        <v>35</v>
      </c>
      <c r="N52" s="849" t="s">
        <v>1888</v>
      </c>
      <c r="O52" s="849"/>
      <c r="P52" s="849"/>
      <c r="Q52" s="849"/>
      <c r="R52" s="849"/>
      <c r="S52" s="849"/>
      <c r="T52" s="849"/>
      <c r="U52" s="849"/>
      <c r="V52" s="849"/>
      <c r="W52" s="849"/>
    </row>
    <row r="53" spans="11:23" ht="15" customHeight="1" x14ac:dyDescent="0.25">
      <c r="K53" s="591" t="s">
        <v>1889</v>
      </c>
      <c r="L53" s="615">
        <f>L47-L35</f>
        <v>48.75</v>
      </c>
      <c r="M53" s="591" t="s">
        <v>35</v>
      </c>
      <c r="N53" s="849" t="s">
        <v>1890</v>
      </c>
      <c r="O53" s="849"/>
      <c r="P53" s="849"/>
      <c r="Q53" s="849"/>
      <c r="R53" s="849"/>
      <c r="S53" s="849"/>
      <c r="T53" s="849"/>
      <c r="U53" s="849"/>
      <c r="V53" s="849"/>
      <c r="W53" s="849"/>
    </row>
    <row r="54" spans="11:23" ht="15" customHeight="1" x14ac:dyDescent="0.25">
      <c r="K54" s="591" t="s">
        <v>1891</v>
      </c>
      <c r="L54" s="615">
        <f>L40</f>
        <v>0.0</v>
      </c>
      <c r="M54" s="591" t="s">
        <v>35</v>
      </c>
      <c r="N54" s="849" t="s">
        <v>1892</v>
      </c>
      <c r="O54" s="849"/>
      <c r="P54" s="849"/>
      <c r="Q54" s="849"/>
      <c r="R54" s="849"/>
      <c r="S54" s="849"/>
      <c r="T54" s="849"/>
      <c r="U54" s="849"/>
      <c r="V54" s="849"/>
      <c r="W54" s="849"/>
    </row>
    <row r="56" spans="11:23" x14ac:dyDescent="0.25">
      <c r="K56" s="591" t="s">
        <v>1893</v>
      </c>
      <c r="L56" s="615">
        <v>0.5</v>
      </c>
      <c r="M56" s="591" t="s">
        <v>35</v>
      </c>
    </row>
    <row r="57" spans="11:23" x14ac:dyDescent="0.25">
      <c r="K57" s="591" t="s">
        <v>1894</v>
      </c>
      <c r="L57" s="615">
        <f>L47-0.5</f>
        <v>59.5</v>
      </c>
      <c r="M57" s="591" t="s">
        <v>35</v>
      </c>
    </row>
    <row r="58" spans="11:23" ht="27.75" customHeight="1" x14ac:dyDescent="0.25">
      <c r="K58" s="591" t="s">
        <v>1895</v>
      </c>
      <c r="L58" s="615">
        <f>(L57-L56)/100</f>
        <v>0.59</v>
      </c>
      <c r="M58" s="591" t="s">
        <v>35</v>
      </c>
      <c r="N58" s="849" t="s">
        <v>1896</v>
      </c>
      <c r="O58" s="849"/>
      <c r="P58" s="849"/>
      <c r="Q58" s="849"/>
      <c r="R58" s="849"/>
      <c r="S58" s="849"/>
      <c r="T58" s="849"/>
      <c r="U58" s="849"/>
      <c r="V58" s="849"/>
      <c r="W58" s="849"/>
    </row>
    <row r="60" spans="11:23" x14ac:dyDescent="0.25">
      <c r="K60" s="621" t="s">
        <v>968</v>
      </c>
      <c r="L60" s="621" t="s">
        <v>1897</v>
      </c>
      <c r="M60" s="621" t="s">
        <v>1898</v>
      </c>
      <c r="N60" s="621" t="s">
        <v>1899</v>
      </c>
      <c r="O60" s="621" t="s">
        <v>1900</v>
      </c>
      <c r="P60" s="621" t="s">
        <v>1901</v>
      </c>
      <c r="Q60" s="621" t="s">
        <v>1902</v>
      </c>
      <c r="R60" s="621" t="s">
        <v>546</v>
      </c>
      <c r="S60" s="621" t="s">
        <v>1903</v>
      </c>
      <c r="T60" s="621" t="s">
        <v>1904</v>
      </c>
      <c r="U60" s="621" t="s">
        <v>1905</v>
      </c>
      <c r="V60" s="621" t="s">
        <v>1906</v>
      </c>
      <c r="W60" s="621" t="s">
        <v>1907</v>
      </c>
    </row>
    <row r="61" spans="11:23" x14ac:dyDescent="0.25">
      <c r="K61" s="622">
        <f>$L$56+0*$L$58</f>
        <v>0.5</v>
      </c>
      <c r="L61" s="622">
        <f t="shared" ref="L61:L92" si="0">IF(($L$14*K61)&lt;=$L$50,$L$49*$L$18*($L$14*K61),$L$49*$L$18*$L$50+$L$48*$L$18*(($L$14*K61)-$L$50))</f>
        <v>33.817290073464534</v>
      </c>
      <c r="M61" s="622">
        <f t="shared" ref="M61:M92" si="1">$L$13*(K61-$L$51)/K61</f>
        <v>-23.099999999999998</v>
      </c>
      <c r="N61" s="622">
        <f t="shared" ref="N61:N92" ca="1" si="2">$L$25*(SIGN(M61)*MIN(ABS(M61)*$L$10/1000,$L$11))/10</f>
        <v>-274.03636363636366</v>
      </c>
      <c r="O61" s="622">
        <f t="shared" ref="O61:O92" si="3">$L$13*($L$52-K61)/K61</f>
        <v>389.90000000000003</v>
      </c>
      <c r="P61" s="622">
        <f t="shared" ref="P61:P92" ca="1" si="4">$L$30*(SIGN(O61)*MIN(ABS(O61)*$L$10/1000,$L$11))/10</f>
        <v>1096.1454545454546</v>
      </c>
      <c r="Q61" s="622">
        <f t="shared" ref="Q61:Q92" ca="1" si="5">$L$36+$L$13*($L$53-K61)/K61</f>
        <v>343.1151309425196</v>
      </c>
      <c r="R61">
        <f t="shared" ref="R61:R92" ca="1" si="6">SIGN(Q61)*IF(ABS(Q61)&lt;=$Z$12,$Z$9*ABS(Q61)/1000,IF(ABS(Q61)&lt;=$Z$13,$Z$10+($Z$11-$Z$10)*(ABS(Q61)-$Z$12)/($Z$13-$Z$12),$Z$11))/10</f>
        <v>172.7272727272727</v>
      </c>
      <c r="S61" s="622">
        <f t="shared" ref="S61:S92" ca="1" si="7">$L$34*(R61/$L$9)</f>
        <v>1758.6776859504128</v>
      </c>
      <c r="T61" s="622">
        <f t="shared" ref="T61:T92" ca="1" si="8">$L$41+$L$13*($L$54-K61)/K61</f>
        <v>2.0443087588092324</v>
      </c>
      <c r="U61">
        <f t="shared" ref="U61:U92" ca="1" si="9">SIGN(T61)*IF(ABS(T61)&lt;=$Z$12,$Z$9*ABS(T61)/1000,IF(ABS(T61)&lt;=$Z$13,$Z$10+($Z$11-$Z$10)*(ABS(T61)-$Z$12)/($Z$13-$Z$12),$Z$11))/10</f>
        <v>40.88617517618464</v>
      </c>
      <c r="V61" s="622">
        <f t="shared" ref="V61:V92" ca="1" si="10">$L$39*(U61/$L$9)</f>
        <v>0.0</v>
      </c>
      <c r="W61" s="622">
        <f t="shared" ref="W61:W92" ca="1" si="11">L61+N61-P61-S61-V61</f>
        <v>-3095.0422140587666</v>
      </c>
    </row>
    <row r="62" spans="11:23" x14ac:dyDescent="0.25">
      <c r="K62" s="622">
        <f>$L$56+1*$L$58</f>
        <v>1.0899999999999999</v>
      </c>
      <c r="L62" s="622">
        <f t="shared" si="0"/>
        <v>73.72169236015267</v>
      </c>
      <c r="M62" s="622">
        <f t="shared" si="1"/>
        <v>-8.701834862385322</v>
      </c>
      <c r="N62" s="622">
        <f t="shared" ca="1" si="2"/>
        <v>-274.03636363636366</v>
      </c>
      <c r="O62" s="622">
        <f t="shared" si="3"/>
        <v>176.95871559633028</v>
      </c>
      <c r="P62" s="622">
        <f t="shared" ca="1" si="4"/>
        <v>1096.1454545454546</v>
      </c>
      <c r="Q62" s="622">
        <f t="shared" ca="1" si="5"/>
        <v>158.4018281902261</v>
      </c>
      <c r="R62">
        <f t="shared" ca="1" si="6"/>
        <v>172.7272727272727</v>
      </c>
      <c r="S62" s="622">
        <f t="shared" ca="1" si="7"/>
        <v>1758.6776859504128</v>
      </c>
      <c r="T62" s="622">
        <f t="shared" ca="1" si="8"/>
        <v>2.0443087588092324</v>
      </c>
      <c r="U62">
        <f t="shared" ca="1" si="9"/>
        <v>40.88617517618464</v>
      </c>
      <c r="V62" s="622">
        <f t="shared" ca="1" si="10"/>
        <v>0.0</v>
      </c>
      <c r="W62" s="622">
        <f t="shared" ca="1" si="11"/>
        <v>-3055.1378117720783</v>
      </c>
    </row>
    <row r="63" spans="11:23" x14ac:dyDescent="0.25">
      <c r="K63" s="622">
        <f>$L$56+2*$L$58</f>
        <v>1.68</v>
      </c>
      <c r="L63" s="622">
        <f t="shared" si="0"/>
        <v>113.62609464684084</v>
      </c>
      <c r="M63" s="622">
        <f t="shared" si="1"/>
        <v>-4.416666666666667</v>
      </c>
      <c r="N63" s="622">
        <f t="shared" ca="1" si="2"/>
        <v>-274.03636363636366</v>
      </c>
      <c r="O63" s="622">
        <f t="shared" si="3"/>
        <v>113.58333333333336</v>
      </c>
      <c r="P63" s="622">
        <f t="shared" ca="1" si="4"/>
        <v>1096.1454545454546</v>
      </c>
      <c r="Q63" s="622">
        <f t="shared" ca="1" si="5"/>
        <v>103.42763094251964</v>
      </c>
      <c r="R63">
        <f t="shared" ca="1" si="6"/>
        <v>172.7272727272727</v>
      </c>
      <c r="S63" s="622">
        <f t="shared" ca="1" si="7"/>
        <v>1758.6776859504128</v>
      </c>
      <c r="T63" s="622">
        <f t="shared" ca="1" si="8"/>
        <v>2.0443087588092324</v>
      </c>
      <c r="U63">
        <f t="shared" ca="1" si="9"/>
        <v>40.88617517618464</v>
      </c>
      <c r="V63" s="622">
        <f t="shared" ca="1" si="10"/>
        <v>0.0</v>
      </c>
      <c r="W63" s="622">
        <f t="shared" ca="1" si="11"/>
        <v>-3015.2334094853904</v>
      </c>
    </row>
    <row r="64" spans="11:23" x14ac:dyDescent="0.25">
      <c r="K64" s="622">
        <f>$L$56+3*$L$58</f>
        <v>2.27</v>
      </c>
      <c r="L64" s="622">
        <f t="shared" si="0"/>
        <v>153.53049693352898</v>
      </c>
      <c r="M64" s="622">
        <f t="shared" si="1"/>
        <v>-2.359030837004405</v>
      </c>
      <c r="N64" s="622">
        <f t="shared" ca="1" si="2"/>
        <v>-274.03636363636366</v>
      </c>
      <c r="O64" s="622">
        <f t="shared" si="3"/>
        <v>83.15198237885463</v>
      </c>
      <c r="P64" s="622">
        <f t="shared" ca="1" si="4"/>
        <v>1096.1454545454546</v>
      </c>
      <c r="Q64" s="622">
        <f t="shared" ca="1" si="5"/>
        <v>77.03032918040509</v>
      </c>
      <c r="R64">
        <f t="shared" ca="1" si="6"/>
        <v>172.7272727272727</v>
      </c>
      <c r="S64" s="622">
        <f t="shared" ca="1" si="7"/>
        <v>1758.6776859504128</v>
      </c>
      <c r="T64" s="622">
        <f t="shared" ca="1" si="8"/>
        <v>2.0443087588092324</v>
      </c>
      <c r="U64">
        <f t="shared" ca="1" si="9"/>
        <v>40.88617517618464</v>
      </c>
      <c r="V64" s="622">
        <f t="shared" ca="1" si="10"/>
        <v>0.0</v>
      </c>
      <c r="W64" s="622">
        <f t="shared" ca="1" si="11"/>
        <v>-2975.329007198702</v>
      </c>
    </row>
    <row r="65" spans="11:23" x14ac:dyDescent="0.25">
      <c r="K65" s="622">
        <f>$L$56+4*$L$58</f>
        <v>2.86</v>
      </c>
      <c r="L65" s="622">
        <f t="shared" si="0"/>
        <v>193.43489922021712</v>
      </c>
      <c r="M65" s="622">
        <f t="shared" si="1"/>
        <v>-1.1503496503496504</v>
      </c>
      <c r="N65" s="622">
        <f t="shared" ca="1" si="2"/>
        <v>-145.63978741258742</v>
      </c>
      <c r="O65" s="622">
        <f t="shared" si="3"/>
        <v>65.27622377622377</v>
      </c>
      <c r="P65" s="622">
        <f t="shared" ca="1" si="4"/>
        <v>1096.1454545454546</v>
      </c>
      <c r="Q65" s="622">
        <f t="shared" ca="1" si="5"/>
        <v>61.52422185161055</v>
      </c>
      <c r="R65">
        <f t="shared" ca="1" si="6"/>
        <v>172.7272727272727</v>
      </c>
      <c r="S65" s="622">
        <f t="shared" ca="1" si="7"/>
        <v>1758.6776859504128</v>
      </c>
      <c r="T65" s="622">
        <f t="shared" ca="1" si="8"/>
        <v>2.0443087588092324</v>
      </c>
      <c r="U65">
        <f t="shared" ca="1" si="9"/>
        <v>40.88617517618464</v>
      </c>
      <c r="V65" s="622">
        <f t="shared" ca="1" si="10"/>
        <v>0.0</v>
      </c>
      <c r="W65" s="622">
        <f t="shared" ca="1" si="11"/>
        <v>-2807.028028688238</v>
      </c>
    </row>
    <row r="66" spans="11:23" x14ac:dyDescent="0.25">
      <c r="K66" s="622">
        <f>$L$56+5*$L$58</f>
        <v>3.4499999999999997</v>
      </c>
      <c r="L66" s="622">
        <f t="shared" si="0"/>
        <v>233.33930150690526</v>
      </c>
      <c r="M66" s="622">
        <f t="shared" si="1"/>
        <v>-0.3550724637681161</v>
      </c>
      <c r="N66" s="622">
        <f t="shared" ca="1" si="2"/>
        <v>-44.95387826086959</v>
      </c>
      <c r="O66" s="622">
        <f t="shared" si="3"/>
        <v>53.514492753623195</v>
      </c>
      <c r="P66" s="622">
        <f t="shared" ca="1" si="4"/>
        <v>1096.1454545454546</v>
      </c>
      <c r="Q66" s="622">
        <f t="shared" ca="1" si="5"/>
        <v>51.321652681650065</v>
      </c>
      <c r="R66">
        <f t="shared" ca="1" si="6"/>
        <v>172.7272727272727</v>
      </c>
      <c r="S66" s="622">
        <f t="shared" ca="1" si="7"/>
        <v>1758.6776859504128</v>
      </c>
      <c r="T66" s="622">
        <f t="shared" ca="1" si="8"/>
        <v>2.0443087588092324</v>
      </c>
      <c r="U66">
        <f t="shared" ca="1" si="9"/>
        <v>40.88617517618464</v>
      </c>
      <c r="V66" s="622">
        <f t="shared" ca="1" si="10"/>
        <v>0.0</v>
      </c>
      <c r="W66" s="622">
        <f t="shared" ca="1" si="11"/>
        <v>-2666.4377172498316</v>
      </c>
    </row>
    <row r="67" spans="11:23" x14ac:dyDescent="0.25">
      <c r="K67" s="622">
        <f>$L$56+6*$L$58</f>
        <v>4.04</v>
      </c>
      <c r="L67" s="622">
        <f t="shared" si="0"/>
        <v>273.24370379359345</v>
      </c>
      <c r="M67" s="622">
        <f t="shared" si="1"/>
        <v>0.2079207920792081</v>
      </c>
      <c r="N67" s="622">
        <f t="shared" ca="1" si="2"/>
        <v>26.32377029702973</v>
      </c>
      <c r="O67" s="622">
        <f t="shared" si="3"/>
        <v>45.18811881188119</v>
      </c>
      <c r="P67" s="622">
        <f t="shared" ca="1" si="4"/>
        <v>1096.1454545454546</v>
      </c>
      <c r="Q67" s="622">
        <f t="shared" ca="1" si="5"/>
        <v>44.099041833608744</v>
      </c>
      <c r="R67">
        <f t="shared" ca="1" si="6"/>
        <v>172.7272727272727</v>
      </c>
      <c r="S67" s="622">
        <f t="shared" ca="1" si="7"/>
        <v>1758.6776859504128</v>
      </c>
      <c r="T67" s="622">
        <f t="shared" ca="1" si="8"/>
        <v>2.0443087588092324</v>
      </c>
      <c r="U67">
        <f t="shared" ca="1" si="9"/>
        <v>40.88617517618464</v>
      </c>
      <c r="V67" s="622">
        <f t="shared" ca="1" si="10"/>
        <v>0.0</v>
      </c>
      <c r="W67" s="622">
        <f t="shared" ca="1" si="11"/>
        <v>-2555.2556664052445</v>
      </c>
    </row>
    <row r="68" spans="11:23" x14ac:dyDescent="0.25">
      <c r="K68" s="622">
        <f>$L$56+7*$L$58</f>
        <v>4.63</v>
      </c>
      <c r="L68" s="622">
        <f t="shared" si="0"/>
        <v>313.1481060802816</v>
      </c>
      <c r="M68" s="622">
        <f t="shared" si="1"/>
        <v>0.6274298056155508</v>
      </c>
      <c r="N68" s="622">
        <f t="shared" ca="1" si="2"/>
        <v>79.43562505399571</v>
      </c>
      <c r="O68" s="622">
        <f t="shared" si="3"/>
        <v>38.98380129589633</v>
      </c>
      <c r="P68" s="622">
        <f t="shared" ca="1" si="4"/>
        <v>1096.1454545454546</v>
      </c>
      <c r="Q68" s="622">
        <f t="shared" ca="1" si="5"/>
        <v>38.71718277837277</v>
      </c>
      <c r="R68">
        <f t="shared" ca="1" si="6"/>
        <v>172.7272727272727</v>
      </c>
      <c r="S68" s="622">
        <f t="shared" ca="1" si="7"/>
        <v>1758.6776859504128</v>
      </c>
      <c r="T68" s="622">
        <f t="shared" ca="1" si="8"/>
        <v>2.044308758809233</v>
      </c>
      <c r="U68">
        <f t="shared" ca="1" si="9"/>
        <v>40.88617517618466</v>
      </c>
      <c r="V68" s="622">
        <f t="shared" ca="1" si="10"/>
        <v>0.0</v>
      </c>
      <c r="W68" s="622">
        <f t="shared" ca="1" si="11"/>
        <v>-2462.2394093615903</v>
      </c>
    </row>
    <row r="69" spans="11:23" x14ac:dyDescent="0.25">
      <c r="K69" s="622">
        <f>$L$56+8*$L$58</f>
        <v>5.22</v>
      </c>
      <c r="L69" s="622">
        <f t="shared" si="0"/>
        <v>353.05250836696973</v>
      </c>
      <c r="M69" s="622">
        <f t="shared" si="1"/>
        <v>0.9521072796934866</v>
      </c>
      <c r="N69" s="622">
        <f t="shared" ca="1" si="2"/>
        <v>120.54135172413794</v>
      </c>
      <c r="O69" s="622">
        <f t="shared" si="3"/>
        <v>34.18199233716475</v>
      </c>
      <c r="P69" s="622">
        <f t="shared" ca="1" si="4"/>
        <v>1096.1454545454546</v>
      </c>
      <c r="Q69" s="622">
        <f t="shared" ca="1" si="5"/>
        <v>34.55191255171504</v>
      </c>
      <c r="R69">
        <f t="shared" ca="1" si="6"/>
        <v>172.7272727272727</v>
      </c>
      <c r="S69" s="622">
        <f t="shared" ca="1" si="7"/>
        <v>1758.6776859504128</v>
      </c>
      <c r="T69" s="622">
        <f t="shared" ca="1" si="8"/>
        <v>2.0443087588092324</v>
      </c>
      <c r="U69">
        <f t="shared" ca="1" si="9"/>
        <v>40.88617517618464</v>
      </c>
      <c r="V69" s="622">
        <f t="shared" ca="1" si="10"/>
        <v>0.0</v>
      </c>
      <c r="W69" s="622">
        <f t="shared" ca="1" si="11"/>
        <v>-2381.2292804047597</v>
      </c>
    </row>
    <row r="70" spans="11:23" x14ac:dyDescent="0.25">
      <c r="K70" s="622">
        <f>$L$56+9*$L$58</f>
        <v>5.81</v>
      </c>
      <c r="L70" s="622">
        <f t="shared" si="0"/>
        <v>392.95691065365787</v>
      </c>
      <c r="M70" s="622">
        <f t="shared" si="1"/>
        <v>1.2108433734939759</v>
      </c>
      <c r="N70" s="622">
        <f t="shared" ca="1" si="2"/>
        <v>153.29858313253013</v>
      </c>
      <c r="O70" s="622">
        <f t="shared" si="3"/>
        <v>30.355421686746993</v>
      </c>
      <c r="P70" s="622">
        <f t="shared" ca="1" si="4"/>
        <v>1096.1454545454546</v>
      </c>
      <c r="Q70" s="622">
        <f t="shared" ca="1" si="5"/>
        <v>31.232600822037707</v>
      </c>
      <c r="R70">
        <f t="shared" ca="1" si="6"/>
        <v>172.7272727272727</v>
      </c>
      <c r="S70" s="622">
        <f t="shared" ca="1" si="7"/>
        <v>1758.6776859504128</v>
      </c>
      <c r="T70" s="622">
        <f t="shared" ca="1" si="8"/>
        <v>2.044308758809233</v>
      </c>
      <c r="U70">
        <f t="shared" ca="1" si="9"/>
        <v>40.88617517618466</v>
      </c>
      <c r="V70" s="622">
        <f t="shared" ca="1" si="10"/>
        <v>0.0</v>
      </c>
      <c r="W70" s="622">
        <f t="shared" ca="1" si="11"/>
        <v>-2308.567646709679</v>
      </c>
    </row>
    <row r="71" spans="11:23" x14ac:dyDescent="0.25">
      <c r="K71" s="622">
        <f>$L$56+10*$L$58</f>
        <v>6.3999999999999995</v>
      </c>
      <c r="L71" s="622">
        <f t="shared" si="0"/>
        <v>432.86131294034607</v>
      </c>
      <c r="M71" s="622">
        <f t="shared" si="1"/>
        <v>1.4218749999999998</v>
      </c>
      <c r="N71" s="622">
        <f t="shared" ca="1" si="2"/>
        <v>180.01619999999997</v>
      </c>
      <c r="O71" s="622">
        <f t="shared" si="3"/>
        <v>27.234375000000004</v>
      </c>
      <c r="P71" s="622">
        <f t="shared" ca="1" si="4"/>
        <v>1096.1454545454546</v>
      </c>
      <c r="Q71" s="622">
        <f t="shared" ca="1" si="5"/>
        <v>28.525287192519635</v>
      </c>
      <c r="R71">
        <f t="shared" ca="1" si="6"/>
        <v>172.7272727272727</v>
      </c>
      <c r="S71" s="622">
        <f t="shared" ca="1" si="7"/>
        <v>1758.6776859504128</v>
      </c>
      <c r="T71" s="622">
        <f t="shared" ca="1" si="8"/>
        <v>2.0443087588092324</v>
      </c>
      <c r="U71">
        <f t="shared" ca="1" si="9"/>
        <v>40.88617517618464</v>
      </c>
      <c r="V71" s="622">
        <f t="shared" ca="1" si="10"/>
        <v>0.0</v>
      </c>
      <c r="W71" s="622">
        <f t="shared" ca="1" si="11"/>
        <v>-2241.9456275555212</v>
      </c>
    </row>
    <row r="72" spans="11:23" x14ac:dyDescent="0.25">
      <c r="K72" s="622">
        <f>$L$56+11*$L$58</f>
        <v>6.989999999999999</v>
      </c>
      <c r="L72" s="622">
        <f t="shared" si="0"/>
        <v>472.76571522703415</v>
      </c>
      <c r="M72" s="622">
        <f t="shared" si="1"/>
        <v>1.5972818311874106</v>
      </c>
      <c r="N72" s="622">
        <f t="shared" ca="1" si="2"/>
        <v>202.2235467811159</v>
      </c>
      <c r="O72" s="622">
        <f t="shared" si="3"/>
        <v>24.640200286123036</v>
      </c>
      <c r="P72" s="622">
        <f t="shared" ca="1" si="4"/>
        <v>1096.1454545454546</v>
      </c>
      <c r="Q72" s="622">
        <f t="shared" ca="1" si="5"/>
        <v>26.27500218715483</v>
      </c>
      <c r="R72">
        <f t="shared" ca="1" si="6"/>
        <v>172.7272727272727</v>
      </c>
      <c r="S72" s="622">
        <f t="shared" ca="1" si="7"/>
        <v>1758.6776859504128</v>
      </c>
      <c r="T72" s="622">
        <f t="shared" ca="1" si="8"/>
        <v>2.0443087588092324</v>
      </c>
      <c r="U72">
        <f t="shared" ca="1" si="9"/>
        <v>40.88617517618464</v>
      </c>
      <c r="V72" s="622">
        <f t="shared" ca="1" si="10"/>
        <v>0.0</v>
      </c>
      <c r="W72" s="622">
        <f t="shared" ca="1" si="11"/>
        <v>-2179.8338784877174</v>
      </c>
    </row>
    <row r="73" spans="11:23" x14ac:dyDescent="0.25">
      <c r="K73" s="622">
        <f>$L$56+12*$L$58</f>
        <v>7.58</v>
      </c>
      <c r="L73" s="622">
        <f t="shared" si="0"/>
        <v>512.6701175137223</v>
      </c>
      <c r="M73" s="622">
        <f t="shared" si="1"/>
        <v>1.745382585751979</v>
      </c>
      <c r="N73" s="622">
        <f t="shared" ca="1" si="2"/>
        <v>220.97381319261217</v>
      </c>
      <c r="O73" s="622">
        <f t="shared" si="3"/>
        <v>22.44986807387863</v>
      </c>
      <c r="P73" s="622">
        <f t="shared" ca="1" si="4"/>
        <v>1096.1454545454546</v>
      </c>
      <c r="Q73" s="622">
        <f t="shared" ca="1" si="5"/>
        <v>24.375025401622537</v>
      </c>
      <c r="R73">
        <f t="shared" ca="1" si="6"/>
        <v>172.7272727272727</v>
      </c>
      <c r="S73" s="622">
        <f t="shared" ca="1" si="7"/>
        <v>1758.6776859504128</v>
      </c>
      <c r="T73" s="622">
        <f t="shared" ca="1" si="8"/>
        <v>2.0443087588092324</v>
      </c>
      <c r="U73">
        <f t="shared" ca="1" si="9"/>
        <v>40.88617517618464</v>
      </c>
      <c r="V73" s="622">
        <f t="shared" ca="1" si="10"/>
        <v>0.0</v>
      </c>
      <c r="W73" s="622">
        <f t="shared" ca="1" si="11"/>
        <v>-2121.179209789533</v>
      </c>
    </row>
    <row r="74" spans="11:23" x14ac:dyDescent="0.25">
      <c r="K74" s="622">
        <f>$L$56+13*$L$58</f>
        <v>8.17</v>
      </c>
      <c r="L74" s="622">
        <f t="shared" si="0"/>
        <v>552.5745198004105</v>
      </c>
      <c r="M74" s="622">
        <f t="shared" si="1"/>
        <v>1.872093023255814</v>
      </c>
      <c r="N74" s="622">
        <f t="shared" ca="1" si="2"/>
        <v>237.01596279069767</v>
      </c>
      <c r="O74" s="622">
        <f t="shared" si="3"/>
        <v>20.57588739290086</v>
      </c>
      <c r="P74" s="622">
        <f t="shared" ca="1" si="4"/>
        <v>1096.1454545454546</v>
      </c>
      <c r="Q74" s="622">
        <f t="shared" ca="1" si="5"/>
        <v>22.74946386785623</v>
      </c>
      <c r="R74">
        <f t="shared" ca="1" si="6"/>
        <v>172.7272727272727</v>
      </c>
      <c r="S74" s="622">
        <f t="shared" ca="1" si="7"/>
        <v>1758.6776859504128</v>
      </c>
      <c r="T74" s="622">
        <f t="shared" ca="1" si="8"/>
        <v>2.0443087588092324</v>
      </c>
      <c r="U74">
        <f t="shared" ca="1" si="9"/>
        <v>40.88617517618464</v>
      </c>
      <c r="V74" s="622">
        <f t="shared" ca="1" si="10"/>
        <v>0.0</v>
      </c>
      <c r="W74" s="622">
        <f t="shared" ca="1" si="11"/>
        <v>-2065.2326579047594</v>
      </c>
    </row>
    <row r="75" spans="11:23" x14ac:dyDescent="0.25">
      <c r="K75" s="622">
        <f>$L$56+14*$L$58</f>
        <v>8.76</v>
      </c>
      <c r="L75" s="622">
        <f t="shared" si="0"/>
        <v>592.4789220870987</v>
      </c>
      <c r="M75" s="622">
        <f t="shared" si="1"/>
        <v>1.9817351598173516</v>
      </c>
      <c r="N75" s="622">
        <f t="shared" ca="1" si="2"/>
        <v>250.89718356164386</v>
      </c>
      <c r="O75" s="622">
        <f t="shared" si="3"/>
        <v>18.954337899543383</v>
      </c>
      <c r="P75" s="622">
        <f t="shared" ca="1" si="4"/>
        <v>1096.1454545454546</v>
      </c>
      <c r="Q75" s="622">
        <f t="shared" ca="1" si="5"/>
        <v>21.342870668547032</v>
      </c>
      <c r="R75">
        <f t="shared" ca="1" si="6"/>
        <v>172.7272727272727</v>
      </c>
      <c r="S75" s="622">
        <f t="shared" ca="1" si="7"/>
        <v>1758.6776859504128</v>
      </c>
      <c r="T75" s="622">
        <f t="shared" ca="1" si="8"/>
        <v>2.0443087588092324</v>
      </c>
      <c r="U75">
        <f t="shared" ca="1" si="9"/>
        <v>40.88617517618464</v>
      </c>
      <c r="V75" s="622">
        <f t="shared" ca="1" si="10"/>
        <v>0.0</v>
      </c>
      <c r="W75" s="622">
        <f t="shared" ca="1" si="11"/>
        <v>-2011.447034847125</v>
      </c>
    </row>
    <row r="76" spans="11:23" x14ac:dyDescent="0.25">
      <c r="K76" s="622">
        <f>$L$56+15*$L$58</f>
        <v>9.35</v>
      </c>
      <c r="L76" s="622">
        <f t="shared" si="0"/>
        <v>632.3833243737868</v>
      </c>
      <c r="M76" s="622">
        <f t="shared" si="1"/>
        <v>2.0775401069518717</v>
      </c>
      <c r="N76" s="622">
        <f t="shared" ca="1" si="2"/>
        <v>263.0265497326203</v>
      </c>
      <c r="O76" s="622">
        <f t="shared" si="3"/>
        <v>17.537433155080215</v>
      </c>
      <c r="P76" s="622">
        <f t="shared" ca="1" si="4"/>
        <v>1096.1454545454546</v>
      </c>
      <c r="Q76" s="622">
        <f t="shared" ca="1" si="5"/>
        <v>20.113794044123914</v>
      </c>
      <c r="R76">
        <f t="shared" ca="1" si="6"/>
        <v>172.7272727272727</v>
      </c>
      <c r="S76" s="622">
        <f t="shared" ca="1" si="7"/>
        <v>1758.6776859504128</v>
      </c>
      <c r="T76" s="622">
        <f t="shared" ca="1" si="8"/>
        <v>2.044308758809232</v>
      </c>
      <c r="U76">
        <f t="shared" ca="1" si="9"/>
        <v>40.886175176184636</v>
      </c>
      <c r="V76" s="622">
        <f t="shared" ca="1" si="10"/>
        <v>0.0</v>
      </c>
      <c r="W76" s="622">
        <f t="shared" ca="1" si="11"/>
        <v>-1959.4132663894602</v>
      </c>
    </row>
    <row r="77" spans="11:23" x14ac:dyDescent="0.25">
      <c r="K77" s="622">
        <f>$L$56+16*$L$58</f>
        <v>9.94</v>
      </c>
      <c r="L77" s="622">
        <f t="shared" si="0"/>
        <v>672.287726660475</v>
      </c>
      <c r="M77" s="622">
        <f t="shared" si="1"/>
        <v>2.1619718309859155</v>
      </c>
      <c r="N77" s="622">
        <f t="shared" ca="1" si="2"/>
        <v>273.71601126760567</v>
      </c>
      <c r="O77" s="622">
        <f t="shared" si="3"/>
        <v>16.2887323943662</v>
      </c>
      <c r="P77" s="622">
        <f t="shared" ca="1" si="4"/>
        <v>1096.1454545454546</v>
      </c>
      <c r="Q77" s="622">
        <f t="shared" ca="1" si="5"/>
        <v>19.030623900266114</v>
      </c>
      <c r="R77">
        <f t="shared" ca="1" si="6"/>
        <v>172.7272727272727</v>
      </c>
      <c r="S77" s="622">
        <f t="shared" ca="1" si="7"/>
        <v>1758.6776859504128</v>
      </c>
      <c r="T77" s="622">
        <f t="shared" ca="1" si="8"/>
        <v>2.0443087588092324</v>
      </c>
      <c r="U77">
        <f t="shared" ca="1" si="9"/>
        <v>40.88617517618464</v>
      </c>
      <c r="V77" s="622">
        <f t="shared" ca="1" si="10"/>
        <v>0.0</v>
      </c>
      <c r="W77" s="622">
        <f t="shared" ca="1" si="11"/>
        <v>-1908.8194025677867</v>
      </c>
    </row>
    <row r="78" spans="11:23" x14ac:dyDescent="0.25">
      <c r="K78" s="622">
        <f>$L$56+17*$L$58</f>
        <v>10.53</v>
      </c>
      <c r="L78" s="622">
        <f t="shared" si="0"/>
        <v>712.192128947163</v>
      </c>
      <c r="M78" s="622">
        <f t="shared" si="1"/>
        <v>2.2369420702754037</v>
      </c>
      <c r="N78" s="622">
        <f t="shared" ca="1" si="2"/>
        <v>274.03636363636366</v>
      </c>
      <c r="O78" s="622">
        <f t="shared" si="3"/>
        <v>15.179962013295347</v>
      </c>
      <c r="P78" s="622">
        <f t="shared" ca="1" si="4"/>
        <v>1096.1454545454546</v>
      </c>
      <c r="Q78" s="622">
        <f t="shared" ca="1" si="5"/>
        <v>18.068834646223337</v>
      </c>
      <c r="R78">
        <f t="shared" ca="1" si="6"/>
        <v>172.7272727272727</v>
      </c>
      <c r="S78" s="622">
        <f t="shared" ca="1" si="7"/>
        <v>1758.6776859504128</v>
      </c>
      <c r="T78" s="622">
        <f t="shared" ca="1" si="8"/>
        <v>2.0443087588092324</v>
      </c>
      <c r="U78">
        <f t="shared" ca="1" si="9"/>
        <v>40.88617517618464</v>
      </c>
      <c r="V78" s="622">
        <f t="shared" ca="1" si="10"/>
        <v>0.0</v>
      </c>
      <c r="W78" s="622">
        <f t="shared" ca="1" si="11"/>
        <v>-1868.5946479123406</v>
      </c>
    </row>
    <row r="79" spans="11:23" x14ac:dyDescent="0.25">
      <c r="K79" s="622">
        <f>$L$56+18*$L$58</f>
        <v>11.12</v>
      </c>
      <c r="L79" s="622">
        <f t="shared" si="0"/>
        <v>752.0965312338511</v>
      </c>
      <c r="M79" s="622">
        <f t="shared" si="1"/>
        <v>2.303956834532374</v>
      </c>
      <c r="N79" s="622">
        <f t="shared" ca="1" si="2"/>
        <v>274.03636363636366</v>
      </c>
      <c r="O79" s="622">
        <f t="shared" si="3"/>
        <v>14.188848920863313</v>
      </c>
      <c r="P79" s="622">
        <f t="shared" ca="1" si="4"/>
        <v>1096.1454545454546</v>
      </c>
      <c r="Q79" s="622">
        <f t="shared" ca="1" si="5"/>
        <v>17.20910576266352</v>
      </c>
      <c r="R79">
        <f t="shared" ca="1" si="6"/>
        <v>172.7272727272727</v>
      </c>
      <c r="S79" s="622">
        <f t="shared" ca="1" si="7"/>
        <v>1758.6776859504128</v>
      </c>
      <c r="T79" s="622">
        <f t="shared" ca="1" si="8"/>
        <v>2.044308758809233</v>
      </c>
      <c r="U79">
        <f t="shared" ca="1" si="9"/>
        <v>40.88617517618466</v>
      </c>
      <c r="V79" s="622">
        <f t="shared" ca="1" si="10"/>
        <v>0.0</v>
      </c>
      <c r="W79" s="622">
        <f t="shared" ca="1" si="11"/>
        <v>-1828.6902456256526</v>
      </c>
    </row>
    <row r="80" spans="11:23" x14ac:dyDescent="0.25">
      <c r="K80" s="622">
        <f>$L$56+19*$L$58</f>
        <v>11.709999999999999</v>
      </c>
      <c r="L80" s="622">
        <f t="shared" si="0"/>
        <v>792.0009335205394</v>
      </c>
      <c r="M80" s="622">
        <f t="shared" si="1"/>
        <v>2.3642186165670367</v>
      </c>
      <c r="N80" s="622">
        <f t="shared" ca="1" si="2"/>
        <v>274.03636363636366</v>
      </c>
      <c r="O80" s="622">
        <f t="shared" si="3"/>
        <v>13.297608881298038</v>
      </c>
      <c r="P80" s="622">
        <f t="shared" ca="1" si="4"/>
        <v>1096.1454545454546</v>
      </c>
      <c r="Q80" s="622">
        <f t="shared" ca="1" si="5"/>
        <v>16.436010532613572</v>
      </c>
      <c r="R80">
        <f t="shared" ca="1" si="6"/>
        <v>172.7272727272727</v>
      </c>
      <c r="S80" s="622">
        <f t="shared" ca="1" si="7"/>
        <v>1758.6776859504128</v>
      </c>
      <c r="T80" s="622">
        <f t="shared" ca="1" si="8"/>
        <v>2.044308758809232</v>
      </c>
      <c r="U80">
        <f t="shared" ca="1" si="9"/>
        <v>40.886175176184636</v>
      </c>
      <c r="V80" s="622">
        <f t="shared" ca="1" si="10"/>
        <v>0.0</v>
      </c>
      <c r="W80" s="622">
        <f t="shared" ca="1" si="11"/>
        <v>-1788.7858433389642</v>
      </c>
    </row>
    <row r="81" spans="11:23" x14ac:dyDescent="0.25">
      <c r="K81" s="622">
        <f>$L$56+20*$L$58</f>
        <v>12.299999999999999</v>
      </c>
      <c r="L81" s="622">
        <f t="shared" si="0"/>
        <v>831.9053358072275</v>
      </c>
      <c r="M81" s="622">
        <f t="shared" si="1"/>
        <v>2.41869918699187</v>
      </c>
      <c r="N81" s="622">
        <f t="shared" ca="1" si="2"/>
        <v>274.03636363636366</v>
      </c>
      <c r="O81" s="622">
        <f t="shared" si="3"/>
        <v>12.49186991869919</v>
      </c>
      <c r="P81" s="622">
        <f t="shared" ca="1" si="4"/>
        <v>1096.1454545454546</v>
      </c>
      <c r="Q81" s="622">
        <f t="shared" ca="1" si="5"/>
        <v>15.737082162031832</v>
      </c>
      <c r="R81">
        <f t="shared" ca="1" si="6"/>
        <v>172.7272727272727</v>
      </c>
      <c r="S81" s="622">
        <f t="shared" ca="1" si="7"/>
        <v>1758.6776859504128</v>
      </c>
      <c r="T81" s="622">
        <f t="shared" ca="1" si="8"/>
        <v>2.0443087588092324</v>
      </c>
      <c r="U81">
        <f t="shared" ca="1" si="9"/>
        <v>40.88617517618464</v>
      </c>
      <c r="V81" s="622">
        <f t="shared" ca="1" si="10"/>
        <v>0.0</v>
      </c>
      <c r="W81" s="622">
        <f t="shared" ca="1" si="11"/>
        <v>-1748.8814410522762</v>
      </c>
    </row>
    <row r="82" spans="11:23" x14ac:dyDescent="0.25">
      <c r="K82" s="622">
        <f>$L$56+21*$L$58</f>
        <v>12.889999999999999</v>
      </c>
      <c r="L82" s="622">
        <f t="shared" si="0"/>
        <v>871.8097380939156</v>
      </c>
      <c r="M82" s="622">
        <f t="shared" si="1"/>
        <v>2.4681923972071376</v>
      </c>
      <c r="N82" s="622">
        <f t="shared" ca="1" si="2"/>
        <v>274.03636363636366</v>
      </c>
      <c r="O82" s="622">
        <f t="shared" si="3"/>
        <v>11.759891388673392</v>
      </c>
      <c r="P82" s="622">
        <f t="shared" ca="1" si="4"/>
        <v>1096.1454545454546</v>
      </c>
      <c r="Q82" s="622">
        <f t="shared" ca="1" si="5"/>
        <v>15.102136373085965</v>
      </c>
      <c r="R82">
        <f t="shared" ca="1" si="6"/>
        <v>172.7272727272727</v>
      </c>
      <c r="S82" s="622">
        <f t="shared" ca="1" si="7"/>
        <v>1758.6776859504128</v>
      </c>
      <c r="T82" s="622">
        <f t="shared" ca="1" si="8"/>
        <v>2.0443087588092324</v>
      </c>
      <c r="U82">
        <f t="shared" ca="1" si="9"/>
        <v>40.88617517618464</v>
      </c>
      <c r="V82" s="622">
        <f t="shared" ca="1" si="10"/>
        <v>0.0</v>
      </c>
      <c r="W82" s="622">
        <f t="shared" ca="1" si="11"/>
        <v>-1708.977038765588</v>
      </c>
    </row>
    <row r="83" spans="11:23" x14ac:dyDescent="0.25">
      <c r="K83" s="622">
        <f>$L$56+22*$L$58</f>
        <v>13.479999999999999</v>
      </c>
      <c r="L83" s="622">
        <f t="shared" si="0"/>
        <v>911.7141403806038</v>
      </c>
      <c r="M83" s="622">
        <f t="shared" si="1"/>
        <v>2.513353115727003</v>
      </c>
      <c r="N83" s="622">
        <f t="shared" ca="1" si="2"/>
        <v>274.03636363636366</v>
      </c>
      <c r="O83" s="622">
        <f t="shared" si="3"/>
        <v>11.0919881305638</v>
      </c>
      <c r="P83" s="622">
        <f t="shared" ca="1" si="4"/>
        <v>1096.1454545454546</v>
      </c>
      <c r="Q83" s="622">
        <f t="shared" ca="1" si="5"/>
        <v>14.522771892074532</v>
      </c>
      <c r="R83">
        <f t="shared" ca="1" si="6"/>
        <v>172.7272727272727</v>
      </c>
      <c r="S83" s="622">
        <f t="shared" ca="1" si="7"/>
        <v>1758.6776859504128</v>
      </c>
      <c r="T83" s="622">
        <f t="shared" ca="1" si="8"/>
        <v>2.0443087588092324</v>
      </c>
      <c r="U83">
        <f t="shared" ca="1" si="9"/>
        <v>40.88617517618464</v>
      </c>
      <c r="V83" s="622">
        <f t="shared" ca="1" si="10"/>
        <v>0.0</v>
      </c>
      <c r="W83" s="622">
        <f t="shared" ca="1" si="11"/>
        <v>-1669.0726364789</v>
      </c>
    </row>
    <row r="84" spans="11:23" x14ac:dyDescent="0.25">
      <c r="K84" s="622">
        <f>$L$56+23*$L$58</f>
        <v>14.069999999999999</v>
      </c>
      <c r="L84" s="622">
        <f t="shared" si="0"/>
        <v>951.618542667292</v>
      </c>
      <c r="M84" s="622">
        <f t="shared" si="1"/>
        <v>2.554726368159204</v>
      </c>
      <c r="N84" s="622">
        <f t="shared" ca="1" si="2"/>
        <v>274.03636363636366</v>
      </c>
      <c r="O84" s="622">
        <f t="shared" si="3"/>
        <v>10.480099502487564</v>
      </c>
      <c r="P84" s="622">
        <f t="shared" ca="1" si="4"/>
        <v>1096.1454545454546</v>
      </c>
      <c r="Q84" s="622">
        <f t="shared" ca="1" si="5"/>
        <v>13.991996614161426</v>
      </c>
      <c r="R84">
        <f t="shared" ca="1" si="6"/>
        <v>172.7272727272727</v>
      </c>
      <c r="S84" s="622">
        <f t="shared" ca="1" si="7"/>
        <v>1758.6776859504128</v>
      </c>
      <c r="T84" s="622">
        <f t="shared" ca="1" si="8"/>
        <v>2.0443087588092324</v>
      </c>
      <c r="U84">
        <f t="shared" ca="1" si="9"/>
        <v>40.88617517618464</v>
      </c>
      <c r="V84" s="622">
        <f t="shared" ca="1" si="10"/>
        <v>0.0</v>
      </c>
      <c r="W84" s="622">
        <f t="shared" ca="1" si="11"/>
        <v>-1629.1682341922117</v>
      </c>
    </row>
    <row r="85" spans="11:23" x14ac:dyDescent="0.25">
      <c r="K85" s="622">
        <f>$L$56+24*$L$58</f>
        <v>14.66</v>
      </c>
      <c r="L85" s="622">
        <f t="shared" si="0"/>
        <v>991.5229449539803</v>
      </c>
      <c r="M85" s="622">
        <f t="shared" si="1"/>
        <v>2.592769440654843</v>
      </c>
      <c r="N85" s="622">
        <f t="shared" ca="1" si="2"/>
        <v>274.03636363636366</v>
      </c>
      <c r="O85" s="622">
        <f t="shared" si="3"/>
        <v>9.917462482946794</v>
      </c>
      <c r="P85" s="622">
        <f t="shared" ca="1" si="4"/>
        <v>1096.1454545454546</v>
      </c>
      <c r="Q85" s="622">
        <f t="shared" ca="1" si="5"/>
        <v>13.503944039381846</v>
      </c>
      <c r="R85">
        <f t="shared" ca="1" si="6"/>
        <v>172.7272727272727</v>
      </c>
      <c r="S85" s="622">
        <f t="shared" ca="1" si="7"/>
        <v>1758.6776859504128</v>
      </c>
      <c r="T85" s="622">
        <f t="shared" ca="1" si="8"/>
        <v>2.0443087588092324</v>
      </c>
      <c r="U85">
        <f t="shared" ca="1" si="9"/>
        <v>40.88617517618464</v>
      </c>
      <c r="V85" s="622">
        <f t="shared" ca="1" si="10"/>
        <v>0.0</v>
      </c>
      <c r="W85" s="622">
        <f t="shared" ca="1" si="11"/>
        <v>-1589.2638319055234</v>
      </c>
    </row>
    <row r="86" spans="11:23" x14ac:dyDescent="0.25">
      <c r="K86" s="622">
        <f>$L$56+25*$L$58</f>
        <v>15.25</v>
      </c>
      <c r="L86" s="622">
        <f t="shared" si="0"/>
        <v>1031.4273472406683</v>
      </c>
      <c r="M86" s="622">
        <f t="shared" si="1"/>
        <v>2.627868852459016</v>
      </c>
      <c r="N86" s="622">
        <f t="shared" ca="1" si="2"/>
        <v>274.03636363636366</v>
      </c>
      <c r="O86" s="622">
        <f t="shared" si="3"/>
        <v>9.398360655737706</v>
      </c>
      <c r="P86" s="622">
        <f t="shared" ca="1" si="4"/>
        <v>1096.1454545454546</v>
      </c>
      <c r="Q86" s="622">
        <f t="shared" ca="1" si="5"/>
        <v>13.05365553268357</v>
      </c>
      <c r="R86">
        <f t="shared" ca="1" si="6"/>
        <v>172.7272727272727</v>
      </c>
      <c r="S86" s="622">
        <f t="shared" ca="1" si="7"/>
        <v>1758.6776859504128</v>
      </c>
      <c r="T86" s="622">
        <f t="shared" ca="1" si="8"/>
        <v>2.0443087588092324</v>
      </c>
      <c r="U86">
        <f t="shared" ca="1" si="9"/>
        <v>40.88617517618464</v>
      </c>
      <c r="V86" s="622">
        <f t="shared" ca="1" si="10"/>
        <v>0.0</v>
      </c>
      <c r="W86" s="622">
        <f t="shared" ca="1" si="11"/>
        <v>-1549.3594296188355</v>
      </c>
    </row>
    <row r="87" spans="11:23" x14ac:dyDescent="0.25">
      <c r="K87" s="622">
        <f>$L$56+26*$L$58</f>
        <v>15.84</v>
      </c>
      <c r="L87" s="622">
        <f t="shared" si="0"/>
        <v>1071.3317495273566</v>
      </c>
      <c r="M87" s="622">
        <f t="shared" si="1"/>
        <v>2.6603535353535355</v>
      </c>
      <c r="N87" s="622">
        <f t="shared" ca="1" si="2"/>
        <v>274.03636363636366</v>
      </c>
      <c r="O87" s="622">
        <f t="shared" si="3"/>
        <v>8.917929292929292</v>
      </c>
      <c r="P87" s="622">
        <f t="shared" ca="1" si="4"/>
        <v>1096.1454545454546</v>
      </c>
      <c r="Q87" s="622">
        <f t="shared" ca="1" si="5"/>
        <v>12.636911245549937</v>
      </c>
      <c r="R87">
        <f t="shared" ca="1" si="6"/>
        <v>172.7272727272727</v>
      </c>
      <c r="S87" s="622">
        <f t="shared" ca="1" si="7"/>
        <v>1758.6776859504128</v>
      </c>
      <c r="T87" s="622">
        <f t="shared" ca="1" si="8"/>
        <v>2.0443087588092324</v>
      </c>
      <c r="U87">
        <f t="shared" ca="1" si="9"/>
        <v>40.88617517618464</v>
      </c>
      <c r="V87" s="622">
        <f t="shared" ca="1" si="10"/>
        <v>0.0</v>
      </c>
      <c r="W87" s="622">
        <f t="shared" ca="1" si="11"/>
        <v>-1509.4550273321472</v>
      </c>
    </row>
    <row r="88" spans="11:23" x14ac:dyDescent="0.25">
      <c r="K88" s="622">
        <f>$L$56+27*$L$58</f>
        <v>16.43</v>
      </c>
      <c r="L88" s="622">
        <f t="shared" si="0"/>
        <v>1111.2361518140447</v>
      </c>
      <c r="M88" s="622">
        <f t="shared" si="1"/>
        <v>2.690505173463177</v>
      </c>
      <c r="N88" s="622">
        <f t="shared" ca="1" si="2"/>
        <v>274.03636363636366</v>
      </c>
      <c r="O88" s="622">
        <f t="shared" si="3"/>
        <v>8.472002434570909</v>
      </c>
      <c r="P88" s="622">
        <f t="shared" ca="1" si="4"/>
        <v>1096.1454545454546</v>
      </c>
      <c r="Q88" s="622">
        <f t="shared" ca="1" si="5"/>
        <v>12.250097467169665</v>
      </c>
      <c r="R88">
        <f t="shared" ca="1" si="6"/>
        <v>172.7272727272727</v>
      </c>
      <c r="S88" s="622">
        <f t="shared" ca="1" si="7"/>
        <v>1758.6776859504128</v>
      </c>
      <c r="T88" s="622">
        <f t="shared" ca="1" si="8"/>
        <v>2.0443087588092324</v>
      </c>
      <c r="U88">
        <f t="shared" ca="1" si="9"/>
        <v>40.88617517618464</v>
      </c>
      <c r="V88" s="622">
        <f t="shared" ca="1" si="10"/>
        <v>0.0</v>
      </c>
      <c r="W88" s="622">
        <f t="shared" ca="1" si="11"/>
        <v>-1469.5506250454591</v>
      </c>
    </row>
    <row r="89" spans="11:23" x14ac:dyDescent="0.25">
      <c r="K89" s="622">
        <f>$L$56+28*$L$58</f>
        <v>17.02</v>
      </c>
      <c r="L89" s="622">
        <f t="shared" si="0"/>
        <v>1151.1405541007327</v>
      </c>
      <c r="M89" s="622">
        <f t="shared" si="1"/>
        <v>2.7185663924794357</v>
      </c>
      <c r="N89" s="622">
        <f t="shared" ca="1" si="2"/>
        <v>274.03636363636366</v>
      </c>
      <c r="O89" s="622">
        <f t="shared" si="3"/>
        <v>8.05699177438308</v>
      </c>
      <c r="P89" s="622">
        <f t="shared" ca="1" si="4"/>
        <v>1096.1454545454546</v>
      </c>
      <c r="Q89" s="622">
        <f t="shared" ca="1" si="5"/>
        <v>11.890101565316344</v>
      </c>
      <c r="R89">
        <f t="shared" ca="1" si="6"/>
        <v>172.7272727272727</v>
      </c>
      <c r="S89" s="622">
        <f t="shared" ca="1" si="7"/>
        <v>1758.6776859504128</v>
      </c>
      <c r="T89" s="622">
        <f t="shared" ca="1" si="8"/>
        <v>2.0443087588092324</v>
      </c>
      <c r="U89">
        <f t="shared" ca="1" si="9"/>
        <v>40.88617517618464</v>
      </c>
      <c r="V89" s="622">
        <f t="shared" ca="1" si="10"/>
        <v>0.0</v>
      </c>
      <c r="W89" s="622">
        <f t="shared" ca="1" si="11"/>
        <v>-1429.646222758771</v>
      </c>
    </row>
    <row r="90" spans="11:23" x14ac:dyDescent="0.25">
      <c r="K90" s="622">
        <f>$L$56+29*$L$58</f>
        <v>17.61</v>
      </c>
      <c r="L90" s="622">
        <f t="shared" si="0"/>
        <v>1191.044956387421</v>
      </c>
      <c r="M90" s="622">
        <f t="shared" si="1"/>
        <v>2.7447473026689377</v>
      </c>
      <c r="N90" s="622">
        <f t="shared" ca="1" si="2"/>
        <v>274.03636363636366</v>
      </c>
      <c r="O90" s="622">
        <f t="shared" si="3"/>
        <v>7.669789892106758</v>
      </c>
      <c r="P90" s="622">
        <f t="shared" ca="1" si="4"/>
        <v>1096.1454545454546</v>
      </c>
      <c r="Q90" s="622">
        <f t="shared" ca="1" si="5"/>
        <v>11.554228046437863</v>
      </c>
      <c r="R90">
        <f t="shared" ca="1" si="6"/>
        <v>172.7272727272727</v>
      </c>
      <c r="S90" s="622">
        <f t="shared" ca="1" si="7"/>
        <v>1758.6776859504128</v>
      </c>
      <c r="T90" s="622">
        <f t="shared" ca="1" si="8"/>
        <v>2.0443087588092324</v>
      </c>
      <c r="U90">
        <f t="shared" ca="1" si="9"/>
        <v>40.88617517618464</v>
      </c>
      <c r="V90" s="622">
        <f t="shared" ca="1" si="10"/>
        <v>0.0</v>
      </c>
      <c r="W90" s="622">
        <f t="shared" ca="1" si="11"/>
        <v>-1389.7418204720827</v>
      </c>
    </row>
    <row r="91" spans="11:23" x14ac:dyDescent="0.25">
      <c r="K91" s="622">
        <f>$L$56+30*$L$58</f>
        <v>18.2</v>
      </c>
      <c r="L91" s="622">
        <f t="shared" si="0"/>
        <v>1230.9493586741091</v>
      </c>
      <c r="M91" s="622">
        <f t="shared" si="1"/>
        <v>2.7692307692307687</v>
      </c>
      <c r="N91" s="622">
        <f t="shared" ca="1" si="2"/>
        <v>274.03636363636366</v>
      </c>
      <c r="O91" s="622">
        <f t="shared" si="3"/>
        <v>7.307692307692308</v>
      </c>
      <c r="P91" s="622">
        <f t="shared" ca="1" si="4"/>
        <v>1096.1454545454546</v>
      </c>
      <c r="Q91" s="622">
        <f t="shared" ca="1" si="5"/>
        <v>11.240130942519635</v>
      </c>
      <c r="R91">
        <f t="shared" ca="1" si="6"/>
        <v>172.7272727272727</v>
      </c>
      <c r="S91" s="622">
        <f t="shared" ca="1" si="7"/>
        <v>1758.6776859504128</v>
      </c>
      <c r="T91" s="622">
        <f t="shared" ca="1" si="8"/>
        <v>2.0443087588092324</v>
      </c>
      <c r="U91">
        <f t="shared" ca="1" si="9"/>
        <v>40.88617517618464</v>
      </c>
      <c r="V91" s="622">
        <f t="shared" ca="1" si="10"/>
        <v>0.0</v>
      </c>
      <c r="W91" s="622">
        <f t="shared" ca="1" si="11"/>
        <v>-1349.8374181853947</v>
      </c>
    </row>
    <row r="92" spans="11:23" x14ac:dyDescent="0.25">
      <c r="K92" s="622">
        <f>$L$56+31*$L$58</f>
        <v>18.79</v>
      </c>
      <c r="L92" s="622">
        <f t="shared" si="0"/>
        <v>1270.8537609607972</v>
      </c>
      <c r="M92" s="622">
        <f t="shared" si="1"/>
        <v>2.792176689728579</v>
      </c>
      <c r="N92" s="622">
        <f t="shared" ca="1" si="2"/>
        <v>274.03636363636366</v>
      </c>
      <c r="O92" s="622">
        <f t="shared" si="3"/>
        <v>6.968334220329963</v>
      </c>
      <c r="P92" s="622">
        <f t="shared" ca="1" si="4"/>
        <v>1096.1454545454546</v>
      </c>
      <c r="Q92" s="622">
        <f t="shared" ca="1" si="5"/>
        <v>10.94575893613326</v>
      </c>
      <c r="R92">
        <f t="shared" ca="1" si="6"/>
        <v>172.7272727272727</v>
      </c>
      <c r="S92" s="622">
        <f t="shared" ca="1" si="7"/>
        <v>1758.6776859504128</v>
      </c>
      <c r="T92" s="622">
        <f t="shared" ca="1" si="8"/>
        <v>2.0443087588092324</v>
      </c>
      <c r="U92">
        <f t="shared" ca="1" si="9"/>
        <v>40.88617517618464</v>
      </c>
      <c r="V92" s="622">
        <f t="shared" ca="1" si="10"/>
        <v>0.0</v>
      </c>
      <c r="W92" s="622">
        <f t="shared" ca="1" si="11"/>
        <v>-1309.9330158987066</v>
      </c>
    </row>
    <row r="93" spans="11:23" x14ac:dyDescent="0.25">
      <c r="K93" s="622">
        <f>$L$56+32*$L$58</f>
        <v>19.38</v>
      </c>
      <c r="L93" s="622">
        <f t="shared" ref="L93:L124" si="12">IF(($L$14*K93)&lt;=$L$50,$L$49*$L$18*($L$14*K93),$L$49*$L$18*$L$50+$L$48*$L$18*(($L$14*K93)-$L$50))</f>
        <v>1310.7581632474853</v>
      </c>
      <c r="M93" s="622">
        <f t="shared" ref="M93:M124" si="13">$L$13*(K93-$L$51)/K93</f>
        <v>2.813725490196078</v>
      </c>
      <c r="N93" s="622">
        <f t="shared" ref="N93:N124" ca="1" si="14">$L$25*(SIGN(M93)*MIN(ABS(M93)*$L$10/1000,$L$11))/10</f>
        <v>274.03636363636366</v>
      </c>
      <c r="O93" s="622">
        <f t="shared" ref="O93:O124" si="15">$L$13*($L$52-K93)/K93</f>
        <v>6.649638802889579</v>
      </c>
      <c r="P93" s="622">
        <f t="shared" ref="P93:P124" ca="1" si="16">$L$30*(SIGN(O93)*MIN(ABS(O93)*$L$10/1000,$L$11))/10</f>
        <v>1096.1454545454546</v>
      </c>
      <c r="Q93" s="622">
        <f t="shared" ref="Q93:Q124" ca="1" si="17">$L$36+$L$13*($L$53-K93)/K93</f>
        <v>10.669310509083102</v>
      </c>
      <c r="R93">
        <f t="shared" ref="R93:R124" ca="1" si="18">SIGN(Q93)*IF(ABS(Q93)&lt;=$Z$12,$Z$9*ABS(Q93)/1000,IF(ABS(Q93)&lt;=$Z$13,$Z$10+($Z$11-$Z$10)*(ABS(Q93)-$Z$12)/($Z$13-$Z$12),$Z$11))/10</f>
        <v>172.7272727272727</v>
      </c>
      <c r="S93" s="622">
        <f t="shared" ref="S93:S124" ca="1" si="19">$L$34*(R93/$L$9)</f>
        <v>1758.6776859504128</v>
      </c>
      <c r="T93" s="622">
        <f t="shared" ref="T93:T124" ca="1" si="20">$L$41+$L$13*($L$54-K93)/K93</f>
        <v>2.0443087588092324</v>
      </c>
      <c r="U93">
        <f t="shared" ref="U93:U124" ca="1" si="21">SIGN(T93)*IF(ABS(T93)&lt;=$Z$12,$Z$9*ABS(T93)/1000,IF(ABS(T93)&lt;=$Z$13,$Z$10+($Z$11-$Z$10)*(ABS(T93)-$Z$12)/($Z$13-$Z$12),$Z$11))/10</f>
        <v>40.88617517618464</v>
      </c>
      <c r="V93" s="622">
        <f t="shared" ref="V93:V124" ca="1" si="22">$L$39*(U93/$L$9)</f>
        <v>0.0</v>
      </c>
      <c r="W93" s="622">
        <f t="shared" ref="W93:W124" ca="1" si="23">L93+N93-P93-S93-V93</f>
        <v>-1270.0286136120185</v>
      </c>
    </row>
    <row r="94" spans="11:23" x14ac:dyDescent="0.25">
      <c r="K94" s="622">
        <f>$L$56+33*$L$58</f>
        <v>19.97</v>
      </c>
      <c r="L94" s="622">
        <f t="shared" si="12"/>
        <v>1350.6625655341734</v>
      </c>
      <c r="M94" s="622">
        <f t="shared" si="13"/>
        <v>2.834001001502253</v>
      </c>
      <c r="N94" s="622">
        <f t="shared" ca="1" si="14"/>
        <v>274.03636363636366</v>
      </c>
      <c r="O94" s="622">
        <f t="shared" si="15"/>
        <v>6.34977466199299</v>
      </c>
      <c r="P94" s="622">
        <f t="shared" ca="1" si="16"/>
        <v>1096.1454545454546</v>
      </c>
      <c r="Q94" s="622">
        <f t="shared" ca="1" si="17"/>
        <v>10.409197041668358</v>
      </c>
      <c r="R94">
        <f t="shared" ca="1" si="18"/>
        <v>172.7272727272727</v>
      </c>
      <c r="S94" s="622">
        <f t="shared" ca="1" si="19"/>
        <v>1758.6776859504128</v>
      </c>
      <c r="T94" s="622">
        <f t="shared" ca="1" si="20"/>
        <v>2.0443087588092324</v>
      </c>
      <c r="U94">
        <f t="shared" ca="1" si="21"/>
        <v>40.88617517618464</v>
      </c>
      <c r="V94" s="622">
        <f t="shared" ca="1" si="22"/>
        <v>0.0</v>
      </c>
      <c r="W94" s="622">
        <f t="shared" ca="1" si="23"/>
        <v>-1230.1242113253304</v>
      </c>
    </row>
    <row r="95" spans="11:23" x14ac:dyDescent="0.25">
      <c r="K95" s="622">
        <f>$L$56+34*$L$58</f>
        <v>20.56</v>
      </c>
      <c r="L95" s="622">
        <f t="shared" si="12"/>
        <v>1390.5669678208617</v>
      </c>
      <c r="M95" s="622">
        <f t="shared" si="13"/>
        <v>2.853112840466926</v>
      </c>
      <c r="N95" s="622">
        <f t="shared" ca="1" si="14"/>
        <v>274.03636363636366</v>
      </c>
      <c r="O95" s="622">
        <f t="shared" si="15"/>
        <v>6.067120622568094</v>
      </c>
      <c r="P95" s="622">
        <f t="shared" ca="1" si="16"/>
        <v>1096.1454545454546</v>
      </c>
      <c r="Q95" s="622">
        <f t="shared" ca="1" si="17"/>
        <v>10.164012265476835</v>
      </c>
      <c r="R95">
        <f t="shared" ca="1" si="18"/>
        <v>172.7272727272727</v>
      </c>
      <c r="S95" s="622">
        <f t="shared" ca="1" si="19"/>
        <v>1758.6776859504128</v>
      </c>
      <c r="T95" s="622">
        <f t="shared" ca="1" si="20"/>
        <v>2.0443087588092324</v>
      </c>
      <c r="U95">
        <f t="shared" ca="1" si="21"/>
        <v>40.88617517618464</v>
      </c>
      <c r="V95" s="622">
        <f t="shared" ca="1" si="22"/>
        <v>0.0</v>
      </c>
      <c r="W95" s="622">
        <f t="shared" ca="1" si="23"/>
        <v>-1190.219809038642</v>
      </c>
    </row>
    <row r="96" spans="11:23" x14ac:dyDescent="0.25">
      <c r="K96" s="622">
        <f>$L$56+35*$L$58</f>
        <v>21.15</v>
      </c>
      <c r="L96" s="622">
        <f t="shared" si="12"/>
        <v>1430.4713701075495</v>
      </c>
      <c r="M96" s="622">
        <f t="shared" si="13"/>
        <v>2.871158392434988</v>
      </c>
      <c r="N96" s="622">
        <f t="shared" ca="1" si="14"/>
        <v>274.03636363636366</v>
      </c>
      <c r="O96" s="622">
        <f t="shared" si="15"/>
        <v>5.800236406619386</v>
      </c>
      <c r="P96" s="622">
        <f t="shared" ca="1" si="16"/>
        <v>1096.1454545454546</v>
      </c>
      <c r="Q96" s="622">
        <f t="shared" ca="1" si="17"/>
        <v>9.932506829044458</v>
      </c>
      <c r="R96">
        <f t="shared" ca="1" si="18"/>
        <v>172.20385629945423</v>
      </c>
      <c r="S96" s="622">
        <f t="shared" ca="1" si="19"/>
        <v>1753.3483550489884</v>
      </c>
      <c r="T96" s="622">
        <f t="shared" ca="1" si="20"/>
        <v>2.0443087588092324</v>
      </c>
      <c r="U96">
        <f t="shared" ca="1" si="21"/>
        <v>40.88617517618464</v>
      </c>
      <c r="V96" s="622">
        <f t="shared" ca="1" si="22"/>
        <v>0.0</v>
      </c>
      <c r="W96" s="622">
        <f t="shared" ca="1" si="23"/>
        <v>-1144.98607585053</v>
      </c>
    </row>
    <row r="97" spans="11:23" x14ac:dyDescent="0.25">
      <c r="K97" s="622">
        <f>$L$56+36*$L$58</f>
        <v>21.74</v>
      </c>
      <c r="L97" s="622">
        <f t="shared" si="12"/>
        <v>1470.3757723942379</v>
      </c>
      <c r="M97" s="622">
        <f t="shared" si="13"/>
        <v>2.888224471021159</v>
      </c>
      <c r="N97" s="622">
        <f t="shared" ca="1" si="14"/>
        <v>274.03636363636366</v>
      </c>
      <c r="O97" s="622">
        <f t="shared" si="15"/>
        <v>5.547838086476543</v>
      </c>
      <c r="P97" s="622">
        <f t="shared" ca="1" si="16"/>
        <v>1096.1454545454546</v>
      </c>
      <c r="Q97" s="622">
        <f t="shared" ca="1" si="17"/>
        <v>9.713567005077133</v>
      </c>
      <c r="R97">
        <f t="shared" ca="1" si="18"/>
        <v>170.50595562378925</v>
      </c>
      <c r="S97" s="622">
        <f t="shared" ca="1" si="19"/>
        <v>1736.0606390785813</v>
      </c>
      <c r="T97" s="622">
        <f t="shared" ca="1" si="20"/>
        <v>2.044308758809233</v>
      </c>
      <c r="U97">
        <f t="shared" ca="1" si="21"/>
        <v>40.88617517618466</v>
      </c>
      <c r="V97" s="622">
        <f t="shared" ca="1" si="22"/>
        <v>0.0</v>
      </c>
      <c r="W97" s="622">
        <f t="shared" ca="1" si="23"/>
        <v>-1087.7939575934345</v>
      </c>
    </row>
    <row r="98" spans="11:23" x14ac:dyDescent="0.25">
      <c r="K98" s="622">
        <f>$L$56+37*$L$58</f>
        <v>22.33</v>
      </c>
      <c r="L98" s="622">
        <f t="shared" si="12"/>
        <v>1510.2801746809262</v>
      </c>
      <c r="M98" s="622">
        <f t="shared" si="13"/>
        <v>2.904388714733542</v>
      </c>
      <c r="N98" s="622">
        <f t="shared" ca="1" si="14"/>
        <v>274.03636363636366</v>
      </c>
      <c r="O98" s="622">
        <f t="shared" si="15"/>
        <v>5.308777429467086</v>
      </c>
      <c r="P98" s="622">
        <f t="shared" ca="1" si="16"/>
        <v>1096.1454545454546</v>
      </c>
      <c r="Q98" s="622">
        <f t="shared" ca="1" si="17"/>
        <v>9.506196773240639</v>
      </c>
      <c r="R98">
        <f t="shared" ca="1" si="18"/>
        <v>168.8977783156695</v>
      </c>
      <c r="S98" s="622">
        <f t="shared" ca="1" si="19"/>
        <v>1719.6864701231802</v>
      </c>
      <c r="T98" s="622">
        <f t="shared" ca="1" si="20"/>
        <v>2.044308758809232</v>
      </c>
      <c r="U98">
        <f t="shared" ca="1" si="21"/>
        <v>40.886175176184636</v>
      </c>
      <c r="V98" s="622">
        <f t="shared" ca="1" si="22"/>
        <v>0.0</v>
      </c>
      <c r="W98" s="622">
        <f t="shared" ca="1" si="23"/>
        <v>-1031.5153863513451</v>
      </c>
    </row>
    <row r="99" spans="11:23" x14ac:dyDescent="0.25">
      <c r="K99" s="622">
        <f>$L$56+38*$L$58</f>
        <v>22.919999999999998</v>
      </c>
      <c r="L99" s="622">
        <f t="shared" si="12"/>
        <v>1550.184576967614</v>
      </c>
      <c r="M99" s="622">
        <f t="shared" si="13"/>
        <v>2.919720767888307</v>
      </c>
      <c r="N99" s="622">
        <f t="shared" ca="1" si="14"/>
        <v>274.03636363636366</v>
      </c>
      <c r="O99" s="622">
        <f t="shared" si="15"/>
        <v>5.0820244328097735</v>
      </c>
      <c r="P99" s="622">
        <f t="shared" ca="1" si="16"/>
        <v>1096.1454545454546</v>
      </c>
      <c r="Q99" s="622">
        <f t="shared" ca="1" si="17"/>
        <v>9.309502670268326</v>
      </c>
      <c r="R99">
        <f t="shared" ca="1" si="18"/>
        <v>167.37239547629238</v>
      </c>
      <c r="S99" s="622">
        <f t="shared" ca="1" si="19"/>
        <v>1704.1552993949767</v>
      </c>
      <c r="T99" s="622">
        <f t="shared" ca="1" si="20"/>
        <v>2.044308758809232</v>
      </c>
      <c r="U99">
        <f t="shared" ca="1" si="21"/>
        <v>40.886175176184636</v>
      </c>
      <c r="V99" s="622">
        <f t="shared" ca="1" si="22"/>
        <v>0.0</v>
      </c>
      <c r="W99" s="622">
        <f t="shared" ca="1" si="23"/>
        <v>-976.0798133364538</v>
      </c>
    </row>
    <row r="100" spans="11:23" x14ac:dyDescent="0.25">
      <c r="K100" s="622">
        <f>$L$56+39*$L$58</f>
        <v>23.509999999999998</v>
      </c>
      <c r="L100" s="622">
        <f t="shared" si="12"/>
        <v>1590.0889792543023</v>
      </c>
      <c r="M100" s="622">
        <f t="shared" si="13"/>
        <v>2.9342832837090596</v>
      </c>
      <c r="N100" s="622">
        <f t="shared" ca="1" si="14"/>
        <v>274.03636363636366</v>
      </c>
      <c r="O100" s="622">
        <f t="shared" si="15"/>
        <v>4.866652488302851</v>
      </c>
      <c r="P100" s="622">
        <f t="shared" ca="1" si="16"/>
        <v>1096.1454545454546</v>
      </c>
      <c r="Q100" s="622">
        <f t="shared" ca="1" si="17"/>
        <v>9.122680921252089</v>
      </c>
      <c r="R100">
        <f t="shared" ca="1" si="18"/>
        <v>165.9235737492277</v>
      </c>
      <c r="S100" s="622">
        <f t="shared" ca="1" si="19"/>
        <v>1689.4036599921362</v>
      </c>
      <c r="T100" s="622">
        <f t="shared" ca="1" si="20"/>
        <v>2.0443087588092324</v>
      </c>
      <c r="U100">
        <f t="shared" ca="1" si="21"/>
        <v>40.88617517618464</v>
      </c>
      <c r="V100" s="622">
        <f t="shared" ca="1" si="22"/>
        <v>0.0</v>
      </c>
      <c r="W100" s="622">
        <f t="shared" ca="1" si="23"/>
        <v>-921.4237716469249</v>
      </c>
    </row>
    <row r="101" spans="11:23" x14ac:dyDescent="0.25">
      <c r="K101" s="622">
        <f>$L$56+40*$L$58</f>
        <v>24.099999999999998</v>
      </c>
      <c r="L101" s="622">
        <f t="shared" si="12"/>
        <v>1629.9933815409906</v>
      </c>
      <c r="M101" s="622">
        <f t="shared" si="13"/>
        <v>2.9481327800829873</v>
      </c>
      <c r="N101" s="622">
        <f t="shared" ca="1" si="14"/>
        <v>274.03636363636366</v>
      </c>
      <c r="O101" s="622">
        <f t="shared" si="15"/>
        <v>4.66182572614108</v>
      </c>
      <c r="P101" s="622">
        <f t="shared" ca="1" si="16"/>
        <v>1096.1454545454546</v>
      </c>
      <c r="Q101" s="622">
        <f t="shared" ca="1" si="17"/>
        <v>8.945006461191834</v>
      </c>
      <c r="R101">
        <f t="shared" ca="1" si="18"/>
        <v>164.54569018141348</v>
      </c>
      <c r="S101" s="622">
        <f t="shared" ca="1" si="19"/>
        <v>1675.3743000289371</v>
      </c>
      <c r="T101" s="622">
        <f t="shared" ca="1" si="20"/>
        <v>2.0443087588092324</v>
      </c>
      <c r="U101">
        <f t="shared" ca="1" si="21"/>
        <v>40.88617517618464</v>
      </c>
      <c r="V101" s="622">
        <f t="shared" ca="1" si="22"/>
        <v>0.0</v>
      </c>
      <c r="W101" s="622">
        <f t="shared" ca="1" si="23"/>
        <v>-867.4900093970375</v>
      </c>
    </row>
    <row r="102" spans="11:23" x14ac:dyDescent="0.25">
      <c r="K102" s="622">
        <f>$L$56+41*$L$58</f>
        <v>24.689999999999998</v>
      </c>
      <c r="L102" s="622">
        <f t="shared" si="12"/>
        <v>1669.8977838276785</v>
      </c>
      <c r="M102" s="622">
        <f t="shared" si="13"/>
        <v>2.961320372620494</v>
      </c>
      <c r="N102" s="622">
        <f t="shared" ca="1" si="14"/>
        <v>274.03636363636366</v>
      </c>
      <c r="O102" s="622">
        <f t="shared" si="15"/>
        <v>4.466788173349536</v>
      </c>
      <c r="P102" s="622">
        <f t="shared" ca="1" si="16"/>
        <v>1096.1454545454546</v>
      </c>
      <c r="Q102" s="622">
        <f t="shared" ca="1" si="17"/>
        <v>8.77582353061198</v>
      </c>
      <c r="R102">
        <f t="shared" ca="1" si="18"/>
        <v>163.23365929120237</v>
      </c>
      <c r="S102" s="622">
        <f t="shared" ca="1" si="19"/>
        <v>1662.0154400558783</v>
      </c>
      <c r="T102" s="622">
        <f t="shared" ca="1" si="20"/>
        <v>2.0443087588092324</v>
      </c>
      <c r="U102">
        <f t="shared" ca="1" si="21"/>
        <v>40.88617517618464</v>
      </c>
      <c r="V102" s="622">
        <f t="shared" ca="1" si="22"/>
        <v>0.0</v>
      </c>
      <c r="W102" s="622">
        <f t="shared" ca="1" si="23"/>
        <v>-814.2267471372909</v>
      </c>
    </row>
    <row r="103" spans="11:23" x14ac:dyDescent="0.25">
      <c r="K103" s="622">
        <f>$L$56+42*$L$58</f>
        <v>25.279999999999998</v>
      </c>
      <c r="L103" s="622">
        <f t="shared" si="12"/>
        <v>1709.8021861143668</v>
      </c>
      <c r="M103" s="622">
        <f t="shared" si="13"/>
        <v>2.973892405063291</v>
      </c>
      <c r="N103" s="622">
        <f t="shared" ca="1" si="14"/>
        <v>274.03636363636366</v>
      </c>
      <c r="O103" s="622">
        <f t="shared" si="15"/>
        <v>4.2808544303797476</v>
      </c>
      <c r="P103" s="622">
        <f t="shared" ca="1" si="16"/>
        <v>1096.1454545454546</v>
      </c>
      <c r="Q103" s="622">
        <f t="shared" ca="1" si="17"/>
        <v>8.614537588089256</v>
      </c>
      <c r="R103">
        <f t="shared" ca="1" si="18"/>
        <v>161.9828703491894</v>
      </c>
      <c r="S103" s="622">
        <f t="shared" ca="1" si="19"/>
        <v>1649.2801344644736</v>
      </c>
      <c r="T103" s="622">
        <f t="shared" ca="1" si="20"/>
        <v>2.0443087588092324</v>
      </c>
      <c r="U103">
        <f t="shared" ca="1" si="21"/>
        <v>40.88617517618464</v>
      </c>
      <c r="V103" s="622">
        <f t="shared" ca="1" si="22"/>
        <v>0.0</v>
      </c>
      <c r="W103" s="622">
        <f t="shared" ca="1" si="23"/>
        <v>-761.5870392591978</v>
      </c>
    </row>
    <row r="104" spans="11:23" x14ac:dyDescent="0.25">
      <c r="K104" s="622">
        <f>$L$56+43*$L$58</f>
        <v>25.869999999999997</v>
      </c>
      <c r="L104" s="622">
        <f t="shared" si="12"/>
        <v>1749.706588401055</v>
      </c>
      <c r="M104" s="622">
        <f t="shared" si="13"/>
        <v>2.985890993428682</v>
      </c>
      <c r="N104" s="622">
        <f t="shared" ca="1" si="14"/>
        <v>274.03636363636366</v>
      </c>
      <c r="O104" s="622">
        <f t="shared" si="15"/>
        <v>4.103401623502127</v>
      </c>
      <c r="P104" s="622">
        <f t="shared" ca="1" si="16"/>
        <v>1096.1454545454546</v>
      </c>
      <c r="Q104" s="622">
        <f t="shared" ca="1" si="17"/>
        <v>8.46060832945431</v>
      </c>
      <c r="R104">
        <f t="shared" ca="1" si="18"/>
        <v>160.78913324140817</v>
      </c>
      <c r="S104" s="622">
        <f t="shared" ca="1" si="19"/>
        <v>1637.1257202761556</v>
      </c>
      <c r="T104" s="622">
        <f t="shared" ca="1" si="20"/>
        <v>2.0443087588092324</v>
      </c>
      <c r="U104">
        <f t="shared" ca="1" si="21"/>
        <v>40.88617517618464</v>
      </c>
      <c r="V104" s="622">
        <f t="shared" ca="1" si="22"/>
        <v>0.0</v>
      </c>
      <c r="W104" s="622">
        <f t="shared" ca="1" si="23"/>
        <v>-709.5282227841917</v>
      </c>
    </row>
    <row r="105" spans="11:23" x14ac:dyDescent="0.25">
      <c r="K105" s="622">
        <f>$L$56+44*$L$58</f>
        <v>26.459999999999997</v>
      </c>
      <c r="L105" s="622">
        <f t="shared" si="12"/>
        <v>1789.610990687743</v>
      </c>
      <c r="M105" s="622">
        <f t="shared" si="13"/>
        <v>2.997354497354497</v>
      </c>
      <c r="N105" s="622">
        <f t="shared" ca="1" si="14"/>
        <v>274.03636363636366</v>
      </c>
      <c r="O105" s="622">
        <f t="shared" si="15"/>
        <v>3.933862433862435</v>
      </c>
      <c r="P105" s="622">
        <f t="shared" ca="1" si="16"/>
        <v>1096.1454545454546</v>
      </c>
      <c r="Q105" s="622">
        <f t="shared" ca="1" si="17"/>
        <v>8.313543640932334</v>
      </c>
      <c r="R105">
        <f t="shared" ca="1" si="18"/>
        <v>159.64863157531937</v>
      </c>
      <c r="S105" s="622">
        <f t="shared" ca="1" si="19"/>
        <v>1625.5133396759788</v>
      </c>
      <c r="T105" s="622">
        <f t="shared" ca="1" si="20"/>
        <v>2.0443087588092324</v>
      </c>
      <c r="U105">
        <f t="shared" ca="1" si="21"/>
        <v>40.88617517618464</v>
      </c>
      <c r="V105" s="622">
        <f t="shared" ca="1" si="22"/>
        <v>0.0</v>
      </c>
      <c r="W105" s="622">
        <f t="shared" ca="1" si="23"/>
        <v>-658.0114398973267</v>
      </c>
    </row>
    <row r="106" spans="11:23" x14ac:dyDescent="0.25">
      <c r="K106" s="622">
        <f>$L$56+45*$L$58</f>
        <v>27.049999999999997</v>
      </c>
      <c r="L106" s="622">
        <f t="shared" si="12"/>
        <v>1829.5153929744313</v>
      </c>
      <c r="M106" s="622">
        <f t="shared" si="13"/>
        <v>3.0083179297597042</v>
      </c>
      <c r="N106" s="622">
        <f t="shared" ca="1" si="14"/>
        <v>274.03636363636366</v>
      </c>
      <c r="O106" s="622">
        <f t="shared" si="15"/>
        <v>3.7717190388170065</v>
      </c>
      <c r="P106" s="622">
        <f t="shared" ca="1" si="16"/>
        <v>1096.1454545454546</v>
      </c>
      <c r="Q106" s="622">
        <f t="shared" ca="1" si="17"/>
        <v>8.172894343628693</v>
      </c>
      <c r="R106">
        <f t="shared" ca="1" si="18"/>
        <v>158.55788192276054</v>
      </c>
      <c r="S106" s="622">
        <f t="shared" ca="1" si="19"/>
        <v>1614.4075250317437</v>
      </c>
      <c r="T106" s="622">
        <f t="shared" ca="1" si="20"/>
        <v>2.044308758809233</v>
      </c>
      <c r="U106">
        <f t="shared" ca="1" si="21"/>
        <v>40.88617517618466</v>
      </c>
      <c r="V106" s="622">
        <f t="shared" ca="1" si="22"/>
        <v>0.0</v>
      </c>
      <c r="W106" s="622">
        <f t="shared" ca="1" si="23"/>
        <v>-607.0012229664032</v>
      </c>
    </row>
    <row r="107" spans="11:23" x14ac:dyDescent="0.25">
      <c r="K107" s="622">
        <f>$L$56+46*$L$58</f>
        <v>27.639999999999997</v>
      </c>
      <c r="L107" s="622">
        <f t="shared" si="12"/>
        <v>1869.4197952611194</v>
      </c>
      <c r="M107" s="622">
        <f t="shared" si="13"/>
        <v>3.0188133140376263</v>
      </c>
      <c r="N107" s="622">
        <f t="shared" ca="1" si="14"/>
        <v>274.03636363636366</v>
      </c>
      <c r="O107" s="622">
        <f t="shared" si="15"/>
        <v>3.616497829232997</v>
      </c>
      <c r="P107" s="622">
        <f t="shared" ca="1" si="16"/>
        <v>1096.1454545454546</v>
      </c>
      <c r="Q107" s="622">
        <f t="shared" ca="1" si="17"/>
        <v>8.038249611115873</v>
      </c>
      <c r="R107">
        <f t="shared" ca="1" si="18"/>
        <v>157.5136982828652</v>
      </c>
      <c r="S107" s="622">
        <f t="shared" ca="1" si="19"/>
        <v>1603.7758370619</v>
      </c>
      <c r="T107" s="622">
        <f t="shared" ca="1" si="20"/>
        <v>2.0443087588092324</v>
      </c>
      <c r="U107">
        <f t="shared" ca="1" si="21"/>
        <v>40.88617517618464</v>
      </c>
      <c r="V107" s="622">
        <f t="shared" ca="1" si="22"/>
        <v>0.0</v>
      </c>
      <c r="W107" s="622">
        <f t="shared" ca="1" si="23"/>
        <v>-556.4651327098716</v>
      </c>
    </row>
    <row r="108" spans="11:23" x14ac:dyDescent="0.25">
      <c r="K108" s="622">
        <f>$L$56+47*$L$58</f>
        <v>28.229999999999997</v>
      </c>
      <c r="L108" s="622">
        <f t="shared" si="12"/>
        <v>1909.3241975478074</v>
      </c>
      <c r="M108" s="622">
        <f t="shared" si="13"/>
        <v>3.0288699964576686</v>
      </c>
      <c r="N108" s="622">
        <f t="shared" ca="1" si="14"/>
        <v>274.03636363636366</v>
      </c>
      <c r="O108" s="622">
        <f t="shared" si="15"/>
        <v>3.4677647892313153</v>
      </c>
      <c r="P108" s="622">
        <f t="shared" ca="1" si="16"/>
        <v>1096.1454545454546</v>
      </c>
      <c r="Q108" s="622">
        <f t="shared" ca="1" si="17"/>
        <v>7.909232961648222</v>
      </c>
      <c r="R108">
        <f t="shared" ca="1" si="18"/>
        <v>156.51316100127934</v>
      </c>
      <c r="S108" s="622">
        <f t="shared" ca="1" si="19"/>
        <v>1593.5885483766624</v>
      </c>
      <c r="T108" s="622">
        <f t="shared" ca="1" si="20"/>
        <v>2.0443087588092324</v>
      </c>
      <c r="U108">
        <f t="shared" ca="1" si="21"/>
        <v>40.88617517618464</v>
      </c>
      <c r="V108" s="622">
        <f t="shared" ca="1" si="22"/>
        <v>0.0</v>
      </c>
      <c r="W108" s="622">
        <f t="shared" ca="1" si="23"/>
        <v>-506.37344173794577</v>
      </c>
    </row>
    <row r="109" spans="11:23" x14ac:dyDescent="0.25">
      <c r="K109" s="622">
        <f>$L$56+48*$L$58</f>
        <v>28.82</v>
      </c>
      <c r="L109" s="622">
        <f t="shared" si="12"/>
        <v>1949.2285998344958</v>
      </c>
      <c r="M109" s="622">
        <f t="shared" si="13"/>
        <v>3.0385149201943094</v>
      </c>
      <c r="N109" s="622">
        <f t="shared" ca="1" si="14"/>
        <v>274.03636363636366</v>
      </c>
      <c r="O109" s="622">
        <f t="shared" si="15"/>
        <v>3.3251214434420544</v>
      </c>
      <c r="P109" s="622">
        <f t="shared" ca="1" si="16"/>
        <v>1096.1454545454546</v>
      </c>
      <c r="Q109" s="622">
        <f t="shared" ca="1" si="17"/>
        <v>7.785498742658427</v>
      </c>
      <c r="R109">
        <f t="shared" ca="1" si="18"/>
        <v>155.5535895070728</v>
      </c>
      <c r="S109" s="622">
        <f t="shared" ca="1" si="19"/>
        <v>1583.8183658901955</v>
      </c>
      <c r="T109" s="622">
        <f t="shared" ca="1" si="20"/>
        <v>2.0443087588092324</v>
      </c>
      <c r="U109">
        <f t="shared" ca="1" si="21"/>
        <v>40.88617517618464</v>
      </c>
      <c r="V109" s="622">
        <f t="shared" ca="1" si="22"/>
        <v>0.0</v>
      </c>
      <c r="W109" s="622">
        <f t="shared" ca="1" si="23"/>
        <v>-456.6988569647906</v>
      </c>
    </row>
    <row r="110" spans="11:23" x14ac:dyDescent="0.25">
      <c r="K110" s="622">
        <f>$L$56+49*$L$58</f>
        <v>29.41</v>
      </c>
      <c r="L110" s="622">
        <f t="shared" si="12"/>
        <v>1989.133002121184</v>
      </c>
      <c r="M110" s="622">
        <f t="shared" si="13"/>
        <v>3.047772866371982</v>
      </c>
      <c r="N110" s="622">
        <f t="shared" ca="1" si="14"/>
        <v>274.03636363636366</v>
      </c>
      <c r="O110" s="622">
        <f t="shared" si="15"/>
        <v>3.188201292077525</v>
      </c>
      <c r="P110" s="622">
        <f t="shared" ca="1" si="16"/>
        <v>1096.1454545454546</v>
      </c>
      <c r="Q110" s="622">
        <f t="shared" ca="1" si="17"/>
        <v>7.666729038405387</v>
      </c>
      <c r="R110">
        <f t="shared" ca="1" si="18"/>
        <v>153.33458076810774</v>
      </c>
      <c r="S110" s="622">
        <f t="shared" ca="1" si="19"/>
        <v>1561.2248223661877</v>
      </c>
      <c r="T110" s="622">
        <f t="shared" ca="1" si="20"/>
        <v>2.0443087588092324</v>
      </c>
      <c r="U110">
        <f t="shared" ca="1" si="21"/>
        <v>40.88617517618464</v>
      </c>
      <c r="V110" s="622">
        <f t="shared" ca="1" si="22"/>
        <v>0.0</v>
      </c>
      <c r="W110" s="622">
        <f t="shared" ca="1" si="23"/>
        <v>-394.20091115409446</v>
      </c>
    </row>
    <row r="111" spans="11:23" x14ac:dyDescent="0.25">
      <c r="K111" s="622">
        <f>$L$56+50*$L$58</f>
        <v>30.0</v>
      </c>
      <c r="L111" s="622">
        <f t="shared" si="12"/>
        <v>2029.0374044078721</v>
      </c>
      <c r="M111" s="622">
        <f t="shared" si="13"/>
        <v>3.0566666666666666</v>
      </c>
      <c r="N111" s="622">
        <f t="shared" ca="1" si="14"/>
        <v>274.03636363636366</v>
      </c>
      <c r="O111" s="622">
        <f t="shared" si="15"/>
        <v>3.056666666666667</v>
      </c>
      <c r="P111" s="622">
        <f t="shared" ca="1" si="16"/>
        <v>1096.1454545454546</v>
      </c>
      <c r="Q111" s="622">
        <f t="shared" ca="1" si="17"/>
        <v>7.5526309425196345</v>
      </c>
      <c r="R111">
        <f t="shared" ca="1" si="18"/>
        <v>151.0526188503927</v>
      </c>
      <c r="S111" s="622">
        <f t="shared" ca="1" si="19"/>
        <v>1537.9903010221801</v>
      </c>
      <c r="T111" s="622">
        <f t="shared" ca="1" si="20"/>
        <v>2.0443087588092324</v>
      </c>
      <c r="U111">
        <f t="shared" ca="1" si="21"/>
        <v>40.88617517618464</v>
      </c>
      <c r="V111" s="622">
        <f t="shared" ca="1" si="22"/>
        <v>0.0</v>
      </c>
      <c r="W111" s="622">
        <f t="shared" ca="1" si="23"/>
        <v>-331.061987523399</v>
      </c>
    </row>
    <row r="112" spans="11:23" x14ac:dyDescent="0.25">
      <c r="K112" s="622">
        <f>$L$56+51*$L$58</f>
        <v>30.59</v>
      </c>
      <c r="L112" s="622">
        <f t="shared" si="12"/>
        <v>2068.9418066945605</v>
      </c>
      <c r="M112" s="622">
        <f t="shared" si="13"/>
        <v>3.0652173913043477</v>
      </c>
      <c r="N112" s="622">
        <f t="shared" ca="1" si="14"/>
        <v>274.03636363636366</v>
      </c>
      <c r="O112" s="622">
        <f t="shared" si="15"/>
        <v>2.930205949656751</v>
      </c>
      <c r="P112" s="622">
        <f t="shared" ca="1" si="16"/>
        <v>1096.1454545454546</v>
      </c>
      <c r="Q112" s="622">
        <f t="shared" ca="1" si="17"/>
        <v>7.442934146180962</v>
      </c>
      <c r="R112">
        <f t="shared" ca="1" si="18"/>
        <v>148.85868292361926</v>
      </c>
      <c r="S112" s="622">
        <f t="shared" ca="1" si="19"/>
        <v>1515.652044313214</v>
      </c>
      <c r="T112" s="622">
        <f t="shared" ca="1" si="20"/>
        <v>2.0443087588092324</v>
      </c>
      <c r="U112">
        <f t="shared" ca="1" si="21"/>
        <v>40.88617517618464</v>
      </c>
      <c r="V112" s="622">
        <f t="shared" ca="1" si="22"/>
        <v>0.0</v>
      </c>
      <c r="W112" s="622">
        <f t="shared" ca="1" si="23"/>
        <v>-268.8193285277446</v>
      </c>
    </row>
    <row r="113" spans="11:23" x14ac:dyDescent="0.25">
      <c r="K113" s="622">
        <f>$L$56+52*$L$58</f>
        <v>31.18</v>
      </c>
      <c r="L113" s="622">
        <f t="shared" si="12"/>
        <v>2108.8462089812488</v>
      </c>
      <c r="M113" s="622">
        <f t="shared" si="13"/>
        <v>3.073444515715202</v>
      </c>
      <c r="N113" s="622">
        <f t="shared" ca="1" si="14"/>
        <v>274.03636363636366</v>
      </c>
      <c r="O113" s="622">
        <f t="shared" si="15"/>
        <v>2.8085311096856964</v>
      </c>
      <c r="P113" s="622">
        <f t="shared" ca="1" si="16"/>
        <v>1096.1454545454546</v>
      </c>
      <c r="Q113" s="622">
        <f t="shared" ca="1" si="17"/>
        <v>7.337388800120661</v>
      </c>
      <c r="R113">
        <f t="shared" ca="1" si="18"/>
        <v>146.74777600241322</v>
      </c>
      <c r="S113" s="622">
        <f t="shared" ca="1" si="19"/>
        <v>1494.1591738427524</v>
      </c>
      <c r="T113" s="622">
        <f t="shared" ca="1" si="20"/>
        <v>2.0443087588092324</v>
      </c>
      <c r="U113">
        <f t="shared" ca="1" si="21"/>
        <v>40.88617517618464</v>
      </c>
      <c r="V113" s="622">
        <f t="shared" ca="1" si="22"/>
        <v>0.0</v>
      </c>
      <c r="W113" s="622">
        <f t="shared" ca="1" si="23"/>
        <v>-207.42205577059462</v>
      </c>
    </row>
    <row r="114" spans="11:23" x14ac:dyDescent="0.25">
      <c r="K114" s="622">
        <f>$L$56+53*$L$58</f>
        <v>31.77</v>
      </c>
      <c r="L114" s="622">
        <f t="shared" si="12"/>
        <v>2148.7506112679366</v>
      </c>
      <c r="M114" s="622">
        <f t="shared" si="13"/>
        <v>3.0813660686181934</v>
      </c>
      <c r="N114" s="622">
        <f t="shared" ca="1" si="14"/>
        <v>274.03636363636366</v>
      </c>
      <c r="O114" s="622">
        <f t="shared" si="15"/>
        <v>2.6913755114888263</v>
      </c>
      <c r="P114" s="622">
        <f t="shared" ca="1" si="16"/>
        <v>1096.1454545454546</v>
      </c>
      <c r="Q114" s="622">
        <f t="shared" ca="1" si="17"/>
        <v>7.235763614852024</v>
      </c>
      <c r="R114">
        <f t="shared" ca="1" si="18"/>
        <v>144.71527229704049</v>
      </c>
      <c r="S114" s="622">
        <f t="shared" ca="1" si="19"/>
        <v>1473.4645906607757</v>
      </c>
      <c r="T114" s="622">
        <f t="shared" ca="1" si="20"/>
        <v>2.0443087588092324</v>
      </c>
      <c r="U114">
        <f t="shared" ca="1" si="21"/>
        <v>40.88617517618464</v>
      </c>
      <c r="V114" s="622">
        <f t="shared" ca="1" si="22"/>
        <v>0.0</v>
      </c>
      <c r="W114" s="622">
        <f t="shared" ca="1" si="23"/>
        <v>-146.8230703019301</v>
      </c>
    </row>
    <row r="115" spans="11:23" x14ac:dyDescent="0.25">
      <c r="K115" s="622">
        <f>$L$56+54*$L$58</f>
        <v>32.36</v>
      </c>
      <c r="L115" s="622">
        <f t="shared" si="12"/>
        <v>2188.655013554625</v>
      </c>
      <c r="M115" s="622">
        <f t="shared" si="13"/>
        <v>3.0889987639060568</v>
      </c>
      <c r="N115" s="622">
        <f t="shared" ca="1" si="14"/>
        <v>274.03636363636366</v>
      </c>
      <c r="O115" s="622">
        <f t="shared" si="15"/>
        <v>2.57849196538937</v>
      </c>
      <c r="P115" s="622">
        <f t="shared" ca="1" si="16"/>
        <v>1096.1454545454546</v>
      </c>
      <c r="Q115" s="622">
        <f t="shared" ca="1" si="17"/>
        <v>7.137844168724826</v>
      </c>
      <c r="R115">
        <f t="shared" ca="1" si="18"/>
        <v>142.75688337449654</v>
      </c>
      <c r="S115" s="622">
        <f t="shared" ca="1" si="19"/>
        <v>1453.5246307221464</v>
      </c>
      <c r="T115" s="622">
        <f t="shared" ca="1" si="20"/>
        <v>2.0443087588092324</v>
      </c>
      <c r="U115">
        <f t="shared" ca="1" si="21"/>
        <v>40.88617517618464</v>
      </c>
      <c r="V115" s="622">
        <f t="shared" ca="1" si="22"/>
        <v>0.0</v>
      </c>
      <c r="W115" s="622">
        <f t="shared" ca="1" si="23"/>
        <v>-86.97870807661252</v>
      </c>
    </row>
    <row r="116" spans="11:23" x14ac:dyDescent="0.25">
      <c r="K116" s="622">
        <f>$L$56+55*$L$58</f>
        <v>32.949999999999996</v>
      </c>
      <c r="L116" s="622">
        <f t="shared" si="12"/>
        <v>2228.559415841313</v>
      </c>
      <c r="M116" s="622">
        <f t="shared" si="13"/>
        <v>3.096358118361153</v>
      </c>
      <c r="N116" s="622">
        <f t="shared" ca="1" si="14"/>
        <v>274.03636363636366</v>
      </c>
      <c r="O116" s="622">
        <f t="shared" si="15"/>
        <v>2.469650986342945</v>
      </c>
      <c r="P116" s="622">
        <f t="shared" ca="1" si="16"/>
        <v>1096.1454545454546</v>
      </c>
      <c r="Q116" s="622">
        <f t="shared" ca="1" si="17"/>
        <v>7.04343139775484</v>
      </c>
      <c r="R116">
        <f t="shared" ca="1" si="18"/>
        <v>140.8686279550968</v>
      </c>
      <c r="S116" s="622">
        <f t="shared" ca="1" si="19"/>
        <v>1434.2987573609855</v>
      </c>
      <c r="T116" s="622">
        <f t="shared" ca="1" si="20"/>
        <v>2.0443087588092324</v>
      </c>
      <c r="U116">
        <f t="shared" ca="1" si="21"/>
        <v>40.88617517618464</v>
      </c>
      <c r="V116" s="622">
        <f t="shared" ca="1" si="22"/>
        <v>0.0</v>
      </c>
      <c r="W116" s="622">
        <f t="shared" ca="1" si="23"/>
        <v>-27.848432428763772</v>
      </c>
    </row>
    <row r="117" spans="11:23" x14ac:dyDescent="0.25">
      <c r="K117" s="622">
        <f>$L$56+56*$L$58</f>
        <v>33.54</v>
      </c>
      <c r="L117" s="622">
        <f t="shared" si="12"/>
        <v>2268.463818128001</v>
      </c>
      <c r="M117" s="622">
        <f t="shared" si="13"/>
        <v>3.103458556946929</v>
      </c>
      <c r="N117" s="622">
        <f t="shared" ca="1" si="14"/>
        <v>274.03636363636366</v>
      </c>
      <c r="O117" s="622">
        <f t="shared" si="15"/>
        <v>2.3646392367322604</v>
      </c>
      <c r="P117" s="622">
        <f t="shared" ca="1" si="16"/>
        <v>1096.1454545454546</v>
      </c>
      <c r="Q117" s="622">
        <f t="shared" ca="1" si="17"/>
        <v>6.952340244845216</v>
      </c>
      <c r="R117">
        <f t="shared" ca="1" si="18"/>
        <v>139.04680489690432</v>
      </c>
      <c r="S117" s="622">
        <f t="shared" ca="1" si="19"/>
        <v>1415.7492862230256</v>
      </c>
      <c r="T117" s="622">
        <f t="shared" ca="1" si="20"/>
        <v>2.0443087588092324</v>
      </c>
      <c r="U117">
        <f t="shared" ca="1" si="21"/>
        <v>40.88617517618464</v>
      </c>
      <c r="V117" s="622">
        <f t="shared" ca="1" si="22"/>
        <v>0.0</v>
      </c>
      <c r="W117" s="622">
        <f t="shared" ca="1" si="23"/>
        <v>30.605440995884464</v>
      </c>
    </row>
    <row r="118" spans="11:23" x14ac:dyDescent="0.25">
      <c r="K118" s="622">
        <f>$L$56+57*$L$58</f>
        <v>34.129999999999995</v>
      </c>
      <c r="L118" s="622">
        <f t="shared" si="12"/>
        <v>2308.368220414689</v>
      </c>
      <c r="M118" s="622">
        <f t="shared" si="13"/>
        <v>3.1103135071784354</v>
      </c>
      <c r="N118" s="622">
        <f t="shared" ca="1" si="14"/>
        <v>274.03636363636366</v>
      </c>
      <c r="O118" s="622">
        <f t="shared" si="15"/>
        <v>2.2632581306768254</v>
      </c>
      <c r="P118" s="622">
        <f t="shared" ca="1" si="16"/>
        <v>1096.1454545454546</v>
      </c>
      <c r="Q118" s="622">
        <f t="shared" ca="1" si="17"/>
        <v>6.864398449112076</v>
      </c>
      <c r="R118">
        <f t="shared" ca="1" si="18"/>
        <v>137.28796898224152</v>
      </c>
      <c r="S118" s="622">
        <f t="shared" ca="1" si="19"/>
        <v>1397.8411387282772</v>
      </c>
      <c r="T118" s="622">
        <f t="shared" ca="1" si="20"/>
        <v>2.0443087588092324</v>
      </c>
      <c r="U118">
        <f t="shared" ca="1" si="21"/>
        <v>40.88617517618464</v>
      </c>
      <c r="V118" s="622">
        <f t="shared" ca="1" si="22"/>
        <v>0.0</v>
      </c>
      <c r="W118" s="622">
        <f t="shared" ca="1" si="23"/>
        <v>88.41799077732071</v>
      </c>
    </row>
    <row r="119" spans="11:23" x14ac:dyDescent="0.25">
      <c r="K119" s="622">
        <f>$L$56+58*$L$58</f>
        <v>34.72</v>
      </c>
      <c r="L119" s="622">
        <f t="shared" si="12"/>
        <v>2348.2726227013773</v>
      </c>
      <c r="M119" s="622">
        <f t="shared" si="13"/>
        <v>3.116935483870968</v>
      </c>
      <c r="N119" s="622">
        <f t="shared" ca="1" si="14"/>
        <v>274.03636363636366</v>
      </c>
      <c r="O119" s="622">
        <f t="shared" si="15"/>
        <v>2.1653225806451615</v>
      </c>
      <c r="P119" s="622">
        <f t="shared" ca="1" si="16"/>
        <v>1096.1454545454546</v>
      </c>
      <c r="Q119" s="622">
        <f t="shared" ca="1" si="17"/>
        <v>6.7794454586486665</v>
      </c>
      <c r="R119">
        <f t="shared" ca="1" si="18"/>
        <v>135.58890917297333</v>
      </c>
      <c r="S119" s="622">
        <f t="shared" ca="1" si="19"/>
        <v>1380.5416206702737</v>
      </c>
      <c r="T119" s="622">
        <f t="shared" ca="1" si="20"/>
        <v>2.0443087588092324</v>
      </c>
      <c r="U119">
        <f t="shared" ca="1" si="21"/>
        <v>40.88617517618464</v>
      </c>
      <c r="V119" s="622">
        <f t="shared" ca="1" si="22"/>
        <v>0.0</v>
      </c>
      <c r="W119" s="622">
        <f t="shared" ca="1" si="23"/>
        <v>145.62191112201253</v>
      </c>
    </row>
    <row r="120" spans="11:23" x14ac:dyDescent="0.25">
      <c r="K120" s="622">
        <f>$L$56+59*$L$58</f>
        <v>35.309999999999995</v>
      </c>
      <c r="L120" s="622">
        <f t="shared" si="12"/>
        <v>2388.177024988065</v>
      </c>
      <c r="M120" s="622">
        <f t="shared" si="13"/>
        <v>3.12333616539224</v>
      </c>
      <c r="N120" s="622">
        <f t="shared" ca="1" si="14"/>
        <v>274.03636363636366</v>
      </c>
      <c r="O120" s="622">
        <f t="shared" si="15"/>
        <v>2.0706598697252914</v>
      </c>
      <c r="P120" s="622">
        <f t="shared" ca="1" si="16"/>
        <v>1048.6219146983863</v>
      </c>
      <c r="Q120" s="622">
        <f t="shared" ca="1" si="17"/>
        <v>6.697331452290238</v>
      </c>
      <c r="R120">
        <f t="shared" ca="1" si="18"/>
        <v>133.94662904580477</v>
      </c>
      <c r="S120" s="622">
        <f t="shared" ca="1" si="19"/>
        <v>1363.8202230118302</v>
      </c>
      <c r="T120" s="622">
        <f t="shared" ca="1" si="20"/>
        <v>2.0443087588092324</v>
      </c>
      <c r="U120">
        <f t="shared" ca="1" si="21"/>
        <v>40.88617517618464</v>
      </c>
      <c r="V120" s="622">
        <f t="shared" ca="1" si="22"/>
        <v>0.0</v>
      </c>
      <c r="W120" s="622">
        <f t="shared" ca="1" si="23"/>
        <v>249.77125091421226</v>
      </c>
    </row>
    <row r="121" spans="11:23" x14ac:dyDescent="0.25">
      <c r="K121" s="622">
        <f>$L$56+60*$L$58</f>
        <v>35.9</v>
      </c>
      <c r="L121" s="622">
        <f t="shared" si="12"/>
        <v>2428.0814272747534</v>
      </c>
      <c r="M121" s="622">
        <f t="shared" si="13"/>
        <v>3.1295264623955434</v>
      </c>
      <c r="N121" s="622">
        <f t="shared" ca="1" si="14"/>
        <v>274.03636363636366</v>
      </c>
      <c r="O121" s="622">
        <f t="shared" si="15"/>
        <v>1.9791086350974934</v>
      </c>
      <c r="P121" s="622">
        <f t="shared" ca="1" si="16"/>
        <v>1002.2586116991646</v>
      </c>
      <c r="Q121" s="622">
        <f t="shared" ca="1" si="17"/>
        <v>6.617916457839969</v>
      </c>
      <c r="R121">
        <f t="shared" ca="1" si="18"/>
        <v>132.35832915679939</v>
      </c>
      <c r="S121" s="622">
        <f t="shared" ca="1" si="19"/>
        <v>1347.6484423237753</v>
      </c>
      <c r="T121" s="622">
        <f t="shared" ca="1" si="20"/>
        <v>2.0443087588092324</v>
      </c>
      <c r="U121">
        <f t="shared" ca="1" si="21"/>
        <v>40.88617517618464</v>
      </c>
      <c r="V121" s="622">
        <f t="shared" ca="1" si="22"/>
        <v>0.0</v>
      </c>
      <c r="W121" s="622">
        <f t="shared" ca="1" si="23"/>
        <v>352.21073688817705</v>
      </c>
    </row>
    <row r="122" spans="11:23" x14ac:dyDescent="0.25">
      <c r="K122" s="622">
        <f>$L$56+61*$L$58</f>
        <v>36.489999999999995</v>
      </c>
      <c r="L122" s="622">
        <f t="shared" si="12"/>
        <v>2467.9858295614413</v>
      </c>
      <c r="M122" s="622">
        <f t="shared" si="13"/>
        <v>3.1355165798849</v>
      </c>
      <c r="N122" s="622">
        <f t="shared" ca="1" si="14"/>
        <v>274.03636363636366</v>
      </c>
      <c r="O122" s="622">
        <f t="shared" si="15"/>
        <v>1.8905179501233225</v>
      </c>
      <c r="P122" s="622">
        <f t="shared" ca="1" si="16"/>
        <v>957.3945878870927</v>
      </c>
      <c r="Q122" s="622">
        <f t="shared" ca="1" si="17"/>
        <v>6.5410695558383525</v>
      </c>
      <c r="R122">
        <f t="shared" ca="1" si="18"/>
        <v>130.82139111676705</v>
      </c>
      <c r="S122" s="622">
        <f t="shared" ca="1" si="19"/>
        <v>1331.9996186434462</v>
      </c>
      <c r="T122" s="622">
        <f t="shared" ca="1" si="20"/>
        <v>2.0443087588092324</v>
      </c>
      <c r="U122">
        <f t="shared" ca="1" si="21"/>
        <v>40.88617517618464</v>
      </c>
      <c r="V122" s="622">
        <f t="shared" ca="1" si="22"/>
        <v>0.0</v>
      </c>
      <c r="W122" s="622">
        <f t="shared" ca="1" si="23"/>
        <v>452.627986667266</v>
      </c>
    </row>
    <row r="123" spans="11:23" x14ac:dyDescent="0.25">
      <c r="K123" s="622">
        <f>$L$56+62*$L$58</f>
        <v>37.08</v>
      </c>
      <c r="L123" s="622">
        <f t="shared" si="12"/>
        <v>2507.89023184813</v>
      </c>
      <c r="M123" s="622">
        <f t="shared" si="13"/>
        <v>3.1413160733549086</v>
      </c>
      <c r="N123" s="622">
        <f t="shared" ca="1" si="14"/>
        <v>274.03636363636366</v>
      </c>
      <c r="O123" s="622">
        <f t="shared" si="15"/>
        <v>1.804746494066883</v>
      </c>
      <c r="P123" s="622">
        <f t="shared" ca="1" si="16"/>
        <v>913.9582757281556</v>
      </c>
      <c r="Q123" s="622">
        <f t="shared" ca="1" si="17"/>
        <v>6.466668159348114</v>
      </c>
      <c r="R123">
        <f t="shared" ca="1" si="18"/>
        <v>129.33336318696226</v>
      </c>
      <c r="S123" s="622">
        <f t="shared" ca="1" si="19"/>
        <v>1316.8487888127065</v>
      </c>
      <c r="T123" s="622">
        <f t="shared" ca="1" si="20"/>
        <v>2.0443087588092324</v>
      </c>
      <c r="U123">
        <f t="shared" ca="1" si="21"/>
        <v>40.88617517618464</v>
      </c>
      <c r="V123" s="622">
        <f t="shared" ca="1" si="22"/>
        <v>0.0</v>
      </c>
      <c r="W123" s="622">
        <f t="shared" ca="1" si="23"/>
        <v>551.1195309436316</v>
      </c>
    </row>
    <row r="124" spans="11:23" x14ac:dyDescent="0.25">
      <c r="K124" s="622">
        <f>$L$56+63*$L$58</f>
        <v>37.669999999999995</v>
      </c>
      <c r="L124" s="622">
        <f t="shared" si="12"/>
        <v>2547.7946341348174</v>
      </c>
      <c r="M124" s="622">
        <f t="shared" si="13"/>
        <v>3.146933899654898</v>
      </c>
      <c r="N124" s="622">
        <f t="shared" ca="1" si="14"/>
        <v>274.03636363636366</v>
      </c>
      <c r="O124" s="622">
        <f t="shared" si="15"/>
        <v>1.721661799840723</v>
      </c>
      <c r="P124" s="622">
        <f t="shared" ca="1" si="16"/>
        <v>871.8825913458992</v>
      </c>
      <c r="Q124" s="622">
        <f t="shared" ca="1" si="17"/>
        <v>6.394597361420617</v>
      </c>
      <c r="R124">
        <f t="shared" ca="1" si="18"/>
        <v>127.89194722841232</v>
      </c>
      <c r="S124" s="622">
        <f t="shared" ca="1" si="19"/>
        <v>1302.1725535983799</v>
      </c>
      <c r="T124" s="622">
        <f t="shared" ca="1" si="20"/>
        <v>2.044308758809233</v>
      </c>
      <c r="U124">
        <f t="shared" ca="1" si="21"/>
        <v>40.88617517618466</v>
      </c>
      <c r="V124" s="622">
        <f t="shared" ca="1" si="22"/>
        <v>0.0</v>
      </c>
      <c r="W124" s="622">
        <f t="shared" ca="1" si="23"/>
        <v>647.7758528269021</v>
      </c>
    </row>
    <row r="125" spans="11:23" x14ac:dyDescent="0.25">
      <c r="K125" s="622">
        <f>$L$56+64*$L$58</f>
        <v>38.26</v>
      </c>
      <c r="L125" s="622">
        <f t="shared" ref="L125:L156" si="24">IF(($L$14*K125)&lt;=$L$50,$L$49*$L$18*($L$14*K125),$L$49*$L$18*$L$50+$L$48*$L$18*(($L$14*K125)-$L$50))</f>
        <v>2587.699036421506</v>
      </c>
      <c r="M125" s="622">
        <f t="shared" ref="M125:M161" si="25">$L$13*(K125-$L$51)/K125</f>
        <v>3.15237846314689</v>
      </c>
      <c r="N125" s="622">
        <f t="shared" ref="N125:N156" ca="1" si="26">$L$25*(SIGN(M125)*MIN(ABS(M125)*$L$10/1000,$L$11))/10</f>
        <v>274.03636363636366</v>
      </c>
      <c r="O125" s="622">
        <f t="shared" ref="O125:O161" si="27">$L$13*($L$52-K125)/K125</f>
        <v>1.641139571353895</v>
      </c>
      <c r="P125" s="622">
        <f t="shared" ref="P125:P156" ca="1" si="28">$L$30*(SIGN(O125)*MIN(ABS(O125)*$L$10/1000,$L$11))/10</f>
        <v>831.1045888133825</v>
      </c>
      <c r="Q125" s="622">
        <f t="shared" ref="Q125:Q161" ca="1" si="29">$L$36+$L$13*($L$53-K125)/K125</f>
        <v>6.324749342937826</v>
      </c>
      <c r="R125">
        <f t="shared" ref="R125:R156" ca="1" si="30">SIGN(Q125)*IF(ABS(Q125)&lt;=$Z$12,$Z$9*ABS(Q125)/1000,IF(ABS(Q125)&lt;=$Z$13,$Z$10+($Z$11-$Z$10)*(ABS(Q125)-$Z$12)/($Z$13-$Z$12),$Z$11))/10</f>
        <v>126.49498685875653</v>
      </c>
      <c r="S125" s="622">
        <f t="shared" ref="S125:S156" ca="1" si="31">$L$34*(R125/$L$9)</f>
        <v>1287.948957107339</v>
      </c>
      <c r="T125" s="622">
        <f t="shared" ref="T125:T161" ca="1" si="32">$L$41+$L$13*($L$54-K125)/K125</f>
        <v>2.0443087588092324</v>
      </c>
      <c r="U125">
        <f t="shared" ref="U125:U156" ca="1" si="33">SIGN(T125)*IF(ABS(T125)&lt;=$Z$12,$Z$9*ABS(T125)/1000,IF(ABS(T125)&lt;=$Z$13,$Z$10+($Z$11-$Z$10)*(ABS(T125)-$Z$12)/($Z$13-$Z$12),$Z$11))/10</f>
        <v>40.88617517618464</v>
      </c>
      <c r="V125" s="622">
        <f t="shared" ref="V125:V156" ca="1" si="34">$L$39*(U125/$L$9)</f>
        <v>0.0</v>
      </c>
      <c r="W125" s="622">
        <f t="shared" ref="W125:W156" ca="1" si="35">L125+N125-P125-S125-V125</f>
        <v>742.6818541371481</v>
      </c>
    </row>
    <row r="126" spans="11:23" x14ac:dyDescent="0.25">
      <c r="K126" s="622">
        <f>$L$56+65*$L$58</f>
        <v>38.85</v>
      </c>
      <c r="L126" s="622">
        <f t="shared" si="24"/>
        <v>2627.6034387081945</v>
      </c>
      <c r="M126" s="622">
        <f t="shared" si="25"/>
        <v>3.157657657657658</v>
      </c>
      <c r="N126" s="622">
        <f t="shared" ca="1" si="26"/>
        <v>274.03636363636366</v>
      </c>
      <c r="O126" s="622">
        <f t="shared" si="27"/>
        <v>1.5630630630630633</v>
      </c>
      <c r="P126" s="622">
        <f t="shared" ca="1" si="28"/>
        <v>791.5651459459461</v>
      </c>
      <c r="Q126" s="622">
        <f t="shared" ca="1" si="29"/>
        <v>6.257022834411526</v>
      </c>
      <c r="R126">
        <f t="shared" ca="1" si="30"/>
        <v>125.1404566882305</v>
      </c>
      <c r="S126" s="622">
        <f t="shared" ca="1" si="31"/>
        <v>1274.1573771892558</v>
      </c>
      <c r="T126" s="622">
        <f t="shared" ca="1" si="32"/>
        <v>2.044308758809233</v>
      </c>
      <c r="U126">
        <f t="shared" ca="1" si="33"/>
        <v>40.88617517618466</v>
      </c>
      <c r="V126" s="622">
        <f t="shared" ca="1" si="34"/>
        <v>0.0</v>
      </c>
      <c r="W126" s="622">
        <f t="shared" ca="1" si="35"/>
        <v>835.9172792093564</v>
      </c>
    </row>
    <row r="127" spans="11:23" x14ac:dyDescent="0.25">
      <c r="K127" s="622">
        <f>$L$56+66*$L$58</f>
        <v>39.44</v>
      </c>
      <c r="L127" s="622">
        <f t="shared" si="24"/>
        <v>2667.5078409948824</v>
      </c>
      <c r="M127" s="622">
        <f t="shared" si="25"/>
        <v>3.162778904665315</v>
      </c>
      <c r="N127" s="622">
        <f t="shared" ca="1" si="26"/>
        <v>274.03636363636366</v>
      </c>
      <c r="O127" s="622">
        <f t="shared" si="27"/>
        <v>1.4873225152129823</v>
      </c>
      <c r="P127" s="622">
        <f t="shared" ca="1" si="28"/>
        <v>753.2086782961464</v>
      </c>
      <c r="Q127" s="622">
        <f t="shared" ca="1" si="29"/>
        <v>6.191322626089614</v>
      </c>
      <c r="R127">
        <f t="shared" ca="1" si="30"/>
        <v>123.82645252179229</v>
      </c>
      <c r="S127" s="622">
        <f t="shared" ca="1" si="31"/>
        <v>1260.7784256764303</v>
      </c>
      <c r="T127" s="622">
        <f t="shared" ca="1" si="32"/>
        <v>2.0443087588092324</v>
      </c>
      <c r="U127">
        <f t="shared" ca="1" si="33"/>
        <v>40.88617517618464</v>
      </c>
      <c r="V127" s="622">
        <f t="shared" ca="1" si="34"/>
        <v>0.0</v>
      </c>
      <c r="W127" s="622">
        <f t="shared" ca="1" si="35"/>
        <v>927.5571006586692</v>
      </c>
    </row>
    <row r="128" spans="11:23" x14ac:dyDescent="0.25">
      <c r="K128" s="622">
        <f>$L$56+67*$L$58</f>
        <v>40.03</v>
      </c>
      <c r="L128" s="622">
        <f t="shared" si="24"/>
        <v>2707.4122432815707</v>
      </c>
      <c r="M128" s="622">
        <f t="shared" si="25"/>
        <v>3.1677491881089184</v>
      </c>
      <c r="N128" s="622">
        <f t="shared" ca="1" si="26"/>
        <v>274.03636363636366</v>
      </c>
      <c r="O128" s="622">
        <f t="shared" si="27"/>
        <v>1.4138146390207345</v>
      </c>
      <c r="P128" s="622">
        <f t="shared" ca="1" si="28"/>
        <v>715.9828784411692</v>
      </c>
      <c r="Q128" s="622">
        <f t="shared" ca="1" si="29"/>
        <v>6.1275591213854845</v>
      </c>
      <c r="R128">
        <f t="shared" ca="1" si="30"/>
        <v>122.55118242770968</v>
      </c>
      <c r="S128" s="622">
        <f t="shared" ca="1" si="31"/>
        <v>1247.793857445771</v>
      </c>
      <c r="T128" s="622">
        <f t="shared" ca="1" si="32"/>
        <v>2.044308758809232</v>
      </c>
      <c r="U128">
        <f t="shared" ca="1" si="33"/>
        <v>40.886175176184636</v>
      </c>
      <c r="V128" s="622">
        <f t="shared" ca="1" si="34"/>
        <v>0.0</v>
      </c>
      <c r="W128" s="622">
        <f t="shared" ca="1" si="35"/>
        <v>1017.671871030994</v>
      </c>
    </row>
    <row r="129" spans="11:23" x14ac:dyDescent="0.25">
      <c r="K129" s="622">
        <f>$L$56+68*$L$58</f>
        <v>40.62</v>
      </c>
      <c r="L129" s="622">
        <f t="shared" si="24"/>
        <v>2747.316645568259</v>
      </c>
      <c r="M129" s="622">
        <f t="shared" si="25"/>
        <v>3.1725750861644513</v>
      </c>
      <c r="N129" s="622">
        <f t="shared" ca="1" si="26"/>
        <v>274.03636363636366</v>
      </c>
      <c r="O129" s="622">
        <f t="shared" si="27"/>
        <v>1.3424421467257512</v>
      </c>
      <c r="P129" s="622">
        <f t="shared" ca="1" si="28"/>
        <v>679.8384779911376</v>
      </c>
      <c r="Q129" s="622">
        <f t="shared" ca="1" si="29"/>
        <v>6.065647929225691</v>
      </c>
      <c r="R129">
        <f t="shared" ca="1" si="30"/>
        <v>121.31295858451381</v>
      </c>
      <c r="S129" s="622">
        <f t="shared" ca="1" si="31"/>
        <v>1235.1864874059586</v>
      </c>
      <c r="T129" s="622">
        <f t="shared" ca="1" si="32"/>
        <v>2.0443087588092324</v>
      </c>
      <c r="U129">
        <f t="shared" ca="1" si="33"/>
        <v>40.88617517618464</v>
      </c>
      <c r="V129" s="622">
        <f t="shared" ca="1" si="34"/>
        <v>0.0</v>
      </c>
      <c r="W129" s="622">
        <f t="shared" ca="1" si="35"/>
        <v>1106.3280438075265</v>
      </c>
    </row>
    <row r="130" spans="11:23" x14ac:dyDescent="0.25">
      <c r="K130" s="622">
        <f>$L$56+69*$L$58</f>
        <v>41.21</v>
      </c>
      <c r="L130" s="622">
        <f t="shared" si="24"/>
        <v>2787.2210478549473</v>
      </c>
      <c r="M130" s="622">
        <f t="shared" si="25"/>
        <v>3.1772628002911913</v>
      </c>
      <c r="N130" s="622">
        <f t="shared" ca="1" si="26"/>
        <v>274.03636363636366</v>
      </c>
      <c r="O130" s="622">
        <f t="shared" si="27"/>
        <v>1.2731133220092212</v>
      </c>
      <c r="P130" s="622">
        <f t="shared" ca="1" si="28"/>
        <v>644.7290300412521</v>
      </c>
      <c r="Q130" s="622">
        <f t="shared" ca="1" si="29"/>
        <v>6.005509491415533</v>
      </c>
      <c r="R130">
        <f t="shared" ca="1" si="30"/>
        <v>120.11018982831067</v>
      </c>
      <c r="S130" s="622">
        <f t="shared" ca="1" si="31"/>
        <v>1222.9401146155267</v>
      </c>
      <c r="T130" s="622">
        <f t="shared" ca="1" si="32"/>
        <v>2.044308758809232</v>
      </c>
      <c r="U130">
        <f t="shared" ca="1" si="33"/>
        <v>40.886175176184636</v>
      </c>
      <c r="V130" s="622">
        <f t="shared" ca="1" si="34"/>
        <v>0.0</v>
      </c>
      <c r="W130" s="622">
        <f t="shared" ca="1" si="35"/>
        <v>1193.5882668345323</v>
      </c>
    </row>
    <row r="131" spans="11:23" x14ac:dyDescent="0.25">
      <c r="K131" s="622">
        <f>$L$56+70*$L$58</f>
        <v>41.8</v>
      </c>
      <c r="L131" s="622">
        <f t="shared" si="24"/>
        <v>2827.1254501416347</v>
      </c>
      <c r="M131" s="622">
        <f t="shared" si="25"/>
        <v>3.181818181818182</v>
      </c>
      <c r="N131" s="622">
        <f t="shared" ca="1" si="26"/>
        <v>274.03636363636366</v>
      </c>
      <c r="O131" s="622">
        <f t="shared" si="27"/>
        <v>1.205741626794259</v>
      </c>
      <c r="P131" s="622">
        <f t="shared" ca="1" si="28"/>
        <v>610.6107100478472</v>
      </c>
      <c r="Q131" s="622">
        <f t="shared" ca="1" si="29"/>
        <v>5.947068741562697</v>
      </c>
      <c r="R131">
        <f t="shared" ca="1" si="30"/>
        <v>118.94137483125394</v>
      </c>
      <c r="S131" s="622">
        <f t="shared" ca="1" si="31"/>
        <v>1211.0394528273125</v>
      </c>
      <c r="T131" s="622">
        <f t="shared" ca="1" si="32"/>
        <v>2.0443087588092324</v>
      </c>
      <c r="U131">
        <f t="shared" ca="1" si="33"/>
        <v>40.88617517618464</v>
      </c>
      <c r="V131" s="622">
        <f t="shared" ca="1" si="34"/>
        <v>0.0</v>
      </c>
      <c r="W131" s="622">
        <f t="shared" ca="1" si="35"/>
        <v>1279.5116509028387</v>
      </c>
    </row>
    <row r="132" spans="11:23" x14ac:dyDescent="0.25">
      <c r="K132" s="622">
        <f>$L$56+71*$L$58</f>
        <v>42.39</v>
      </c>
      <c r="L132" s="622">
        <f t="shared" si="24"/>
        <v>2867.029852428323</v>
      </c>
      <c r="M132" s="622">
        <f t="shared" si="25"/>
        <v>3.1862467563104504</v>
      </c>
      <c r="N132" s="622">
        <f t="shared" ca="1" si="26"/>
        <v>274.03636363636366</v>
      </c>
      <c r="O132" s="622">
        <f t="shared" si="27"/>
        <v>1.1402453408822837</v>
      </c>
      <c r="P132" s="622">
        <f t="shared" ca="1" si="28"/>
        <v>577.4421333333335</v>
      </c>
      <c r="Q132" s="622">
        <f t="shared" ca="1" si="29"/>
        <v>5.8902547924842485</v>
      </c>
      <c r="R132">
        <f t="shared" ca="1" si="30"/>
        <v>117.80509584968497</v>
      </c>
      <c r="S132" s="622">
        <f t="shared" ca="1" si="31"/>
        <v>1199.470066833156</v>
      </c>
      <c r="T132" s="622">
        <f t="shared" ca="1" si="32"/>
        <v>2.0443087588092324</v>
      </c>
      <c r="U132">
        <f t="shared" ca="1" si="33"/>
        <v>40.88617517618464</v>
      </c>
      <c r="V132" s="622">
        <f t="shared" ca="1" si="34"/>
        <v>0.0</v>
      </c>
      <c r="W132" s="622">
        <f t="shared" ca="1" si="35"/>
        <v>1364.1540158981973</v>
      </c>
    </row>
    <row r="133" spans="11:23" x14ac:dyDescent="0.25">
      <c r="K133" s="622">
        <f>$L$56+72*$L$58</f>
        <v>42.98</v>
      </c>
      <c r="L133" s="622">
        <f t="shared" si="24"/>
        <v>2906.9342547150113</v>
      </c>
      <c r="M133" s="622">
        <f t="shared" si="25"/>
        <v>3.190553745928339</v>
      </c>
      <c r="N133" s="622">
        <f t="shared" ca="1" si="26"/>
        <v>274.03636363636366</v>
      </c>
      <c r="O133" s="622">
        <f t="shared" si="27"/>
        <v>1.076547231270359</v>
      </c>
      <c r="P133" s="622">
        <f t="shared" ca="1" si="28"/>
        <v>545.1841876221503</v>
      </c>
      <c r="Q133" s="622">
        <f t="shared" ca="1" si="29"/>
        <v>5.835000649360025</v>
      </c>
      <c r="R133">
        <f t="shared" ca="1" si="30"/>
        <v>116.7000129872005</v>
      </c>
      <c r="S133" s="622">
        <f t="shared" ca="1" si="31"/>
        <v>1188.2183140514958</v>
      </c>
      <c r="T133" s="622">
        <f t="shared" ca="1" si="32"/>
        <v>2.044308758809233</v>
      </c>
      <c r="U133">
        <f t="shared" ca="1" si="33"/>
        <v>40.88617517618466</v>
      </c>
      <c r="V133" s="622">
        <f t="shared" ca="1" si="34"/>
        <v>0.0</v>
      </c>
      <c r="W133" s="622">
        <f t="shared" ca="1" si="35"/>
        <v>1447.568116677729</v>
      </c>
    </row>
    <row r="134" spans="11:23" x14ac:dyDescent="0.25">
      <c r="K134" s="622">
        <f>$L$56+73*$L$58</f>
        <v>43.57</v>
      </c>
      <c r="L134" s="622">
        <f t="shared" si="24"/>
        <v>2946.8386570016996</v>
      </c>
      <c r="M134" s="622">
        <f t="shared" si="25"/>
        <v>3.1947440899701633</v>
      </c>
      <c r="N134" s="622">
        <f t="shared" ca="1" si="26"/>
        <v>274.03636363636366</v>
      </c>
      <c r="O134" s="622">
        <f t="shared" si="27"/>
        <v>1.0145742483360114</v>
      </c>
      <c r="P134" s="622">
        <f t="shared" ca="1" si="28"/>
        <v>513.7998791829242</v>
      </c>
      <c r="Q134" s="622">
        <f t="shared" ca="1" si="29"/>
        <v>5.781242946191886</v>
      </c>
      <c r="R134">
        <f t="shared" ca="1" si="30"/>
        <v>115.62485892383772</v>
      </c>
      <c r="S134" s="622">
        <f t="shared" ca="1" si="31"/>
        <v>1177.271290860893</v>
      </c>
      <c r="T134" s="622">
        <f t="shared" ca="1" si="32"/>
        <v>2.0443087588092324</v>
      </c>
      <c r="U134">
        <f t="shared" ca="1" si="33"/>
        <v>40.88617517618464</v>
      </c>
      <c r="V134" s="622">
        <f t="shared" ca="1" si="34"/>
        <v>0.0</v>
      </c>
      <c r="W134" s="622">
        <f t="shared" ca="1" si="35"/>
        <v>1529.8038505942461</v>
      </c>
    </row>
    <row r="135" spans="11:23" x14ac:dyDescent="0.25">
      <c r="K135" s="622">
        <f>$L$56+74*$L$58</f>
        <v>44.16</v>
      </c>
      <c r="L135" s="622">
        <f t="shared" si="24"/>
        <v>2986.7430592883875</v>
      </c>
      <c r="M135" s="622">
        <f t="shared" si="25"/>
        <v>3.198822463768116</v>
      </c>
      <c r="N135" s="622">
        <f t="shared" ca="1" si="26"/>
        <v>274.03636363636366</v>
      </c>
      <c r="O135" s="622">
        <f t="shared" si="27"/>
        <v>0.9542572463768122</v>
      </c>
      <c r="P135" s="622">
        <f t="shared" ca="1" si="28"/>
        <v>483.2541913043481</v>
      </c>
      <c r="Q135" s="622">
        <f t="shared" ca="1" si="29"/>
        <v>5.7289217033892</v>
      </c>
      <c r="R135">
        <f t="shared" ca="1" si="30"/>
        <v>114.578434067784</v>
      </c>
      <c r="S135" s="622">
        <f t="shared" ca="1" si="31"/>
        <v>1166.6167832356186</v>
      </c>
      <c r="T135" s="622">
        <f t="shared" ca="1" si="32"/>
        <v>2.044308758809232</v>
      </c>
      <c r="U135">
        <f t="shared" ca="1" si="33"/>
        <v>40.886175176184636</v>
      </c>
      <c r="V135" s="622">
        <f t="shared" ca="1" si="34"/>
        <v>0.0</v>
      </c>
      <c r="W135" s="622">
        <f t="shared" ca="1" si="35"/>
        <v>1610.9084483847842</v>
      </c>
    </row>
    <row r="136" spans="11:23" x14ac:dyDescent="0.25">
      <c r="K136" s="622">
        <f>$L$56+75*$L$58</f>
        <v>44.75</v>
      </c>
      <c r="L136" s="622">
        <f t="shared" si="24"/>
        <v>3026.6474615750762</v>
      </c>
      <c r="M136" s="622">
        <f t="shared" si="25"/>
        <v>3.2027932960893857</v>
      </c>
      <c r="N136" s="622">
        <f t="shared" ca="1" si="26"/>
        <v>274.03636363636366</v>
      </c>
      <c r="O136" s="622">
        <f t="shared" si="27"/>
        <v>0.8955307262569835</v>
      </c>
      <c r="P136" s="622">
        <f t="shared" ca="1" si="28"/>
        <v>453.5139539664806</v>
      </c>
      <c r="Q136" s="622">
        <f t="shared" ca="1" si="29"/>
        <v>5.677980104530808</v>
      </c>
      <c r="R136">
        <f t="shared" ca="1" si="30"/>
        <v>113.55960209061615</v>
      </c>
      <c r="S136" s="622">
        <f t="shared" ca="1" si="31"/>
        <v>1156.2432212862734</v>
      </c>
      <c r="T136" s="622">
        <f t="shared" ca="1" si="32"/>
        <v>2.0443087588092324</v>
      </c>
      <c r="U136">
        <f t="shared" ca="1" si="33"/>
        <v>40.88617517618464</v>
      </c>
      <c r="V136" s="622">
        <f t="shared" ca="1" si="34"/>
        <v>0.0</v>
      </c>
      <c r="W136" s="622">
        <f t="shared" ca="1" si="35"/>
        <v>1690.9266499586859</v>
      </c>
    </row>
    <row r="137" spans="11:23" x14ac:dyDescent="0.25">
      <c r="K137" s="622">
        <f>$L$56+76*$L$58</f>
        <v>45.339999999999996</v>
      </c>
      <c r="L137" s="622">
        <f t="shared" si="24"/>
        <v>3066.5518638617636</v>
      </c>
      <c r="M137" s="622">
        <f t="shared" si="25"/>
        <v>3.20666078517865</v>
      </c>
      <c r="N137" s="622">
        <f t="shared" ca="1" si="26"/>
        <v>274.03636363636366</v>
      </c>
      <c r="O137" s="622">
        <f t="shared" si="27"/>
        <v>0.8383325981473317</v>
      </c>
      <c r="P137" s="622">
        <f t="shared" ca="1" si="28"/>
        <v>424.5477236876933</v>
      </c>
      <c r="Q137" s="622">
        <f t="shared" ca="1" si="29"/>
        <v>5.628364290556688</v>
      </c>
      <c r="R137">
        <f t="shared" ca="1" si="30"/>
        <v>112.56728581113377</v>
      </c>
      <c r="S137" s="622">
        <f t="shared" ca="1" si="31"/>
        <v>1146.1396373497255</v>
      </c>
      <c r="T137" s="622">
        <f t="shared" ca="1" si="32"/>
        <v>2.044308758809232</v>
      </c>
      <c r="U137">
        <f t="shared" ca="1" si="33"/>
        <v>40.886175176184636</v>
      </c>
      <c r="V137" s="622">
        <f t="shared" ca="1" si="34"/>
        <v>0.0</v>
      </c>
      <c r="W137" s="622">
        <f t="shared" ca="1" si="35"/>
        <v>1769.9008664607086</v>
      </c>
    </row>
    <row r="138" spans="11:23" x14ac:dyDescent="0.25">
      <c r="K138" s="622">
        <f>$L$56+77*$L$58</f>
        <v>45.93</v>
      </c>
      <c r="L138" s="622">
        <f t="shared" si="24"/>
        <v>3106.456266148452</v>
      </c>
      <c r="M138" s="622">
        <f t="shared" si="25"/>
        <v>3.2104289135641197</v>
      </c>
      <c r="N138" s="622">
        <f t="shared" ca="1" si="26"/>
        <v>274.03636363636366</v>
      </c>
      <c r="O138" s="622">
        <f t="shared" si="27"/>
        <v>0.7826039625517093</v>
      </c>
      <c r="P138" s="622">
        <f t="shared" ca="1" si="28"/>
        <v>396.32567263226656</v>
      </c>
      <c r="Q138" s="622">
        <f t="shared" ca="1" si="29"/>
        <v>5.580023169822051</v>
      </c>
      <c r="R138">
        <f t="shared" ca="1" si="30"/>
        <v>111.60046339644103</v>
      </c>
      <c r="S138" s="622">
        <f t="shared" ca="1" si="31"/>
        <v>1136.2956273092175</v>
      </c>
      <c r="T138" s="622">
        <f t="shared" ca="1" si="32"/>
        <v>2.0443087588092324</v>
      </c>
      <c r="U138">
        <f t="shared" ca="1" si="33"/>
        <v>40.88617517618464</v>
      </c>
      <c r="V138" s="622">
        <f t="shared" ca="1" si="34"/>
        <v>0.0</v>
      </c>
      <c r="W138" s="622">
        <f t="shared" ca="1" si="35"/>
        <v>1847.8713298433315</v>
      </c>
    </row>
    <row r="139" spans="11:23" x14ac:dyDescent="0.25">
      <c r="K139" s="622">
        <f>$L$56+78*$L$58</f>
        <v>46.519999999999996</v>
      </c>
      <c r="L139" s="622">
        <f t="shared" si="24"/>
        <v>3146.3606684351403</v>
      </c>
      <c r="M139" s="622">
        <f t="shared" si="25"/>
        <v>3.2141014617368873</v>
      </c>
      <c r="N139" s="622">
        <f t="shared" ca="1" si="26"/>
        <v>274.03636363636366</v>
      </c>
      <c r="O139" s="622">
        <f t="shared" si="27"/>
        <v>0.7282889079965612</v>
      </c>
      <c r="P139" s="622">
        <f t="shared" ca="1" si="28"/>
        <v>368.81948615649213</v>
      </c>
      <c r="Q139" s="622">
        <f t="shared" ca="1" si="29"/>
        <v>5.532908242605619</v>
      </c>
      <c r="R139">
        <f t="shared" ca="1" si="30"/>
        <v>110.65816485211239</v>
      </c>
      <c r="S139" s="622">
        <f t="shared" ca="1" si="31"/>
        <v>1126.7013148578715</v>
      </c>
      <c r="T139" s="622">
        <f t="shared" ca="1" si="32"/>
        <v>2.0443087588092324</v>
      </c>
      <c r="U139">
        <f t="shared" ca="1" si="33"/>
        <v>40.88617517618464</v>
      </c>
      <c r="V139" s="622">
        <f t="shared" ca="1" si="34"/>
        <v>0.0</v>
      </c>
      <c r="W139" s="622">
        <f t="shared" ca="1" si="35"/>
        <v>1924.8762310571403</v>
      </c>
    </row>
    <row r="140" spans="11:23" x14ac:dyDescent="0.25">
      <c r="K140" s="622">
        <f>$L$56+79*$L$58</f>
        <v>47.11</v>
      </c>
      <c r="L140" s="622">
        <f t="shared" si="24"/>
        <v>3186.2650707218286</v>
      </c>
      <c r="M140" s="622">
        <f t="shared" si="25"/>
        <v>3.2176820208023775</v>
      </c>
      <c r="N140" s="622">
        <f t="shared" ca="1" si="26"/>
        <v>274.03636363636366</v>
      </c>
      <c r="O140" s="622">
        <f t="shared" si="27"/>
        <v>0.6753343239227343</v>
      </c>
      <c r="P140" s="622">
        <f t="shared" ca="1" si="28"/>
        <v>342.002268053492</v>
      </c>
      <c r="Q140" s="622">
        <f t="shared" ca="1" si="29"/>
        <v>5.486973438804925</v>
      </c>
      <c r="R140">
        <f t="shared" ca="1" si="30"/>
        <v>109.73946877609849</v>
      </c>
      <c r="S140" s="622">
        <f t="shared" ca="1" si="31"/>
        <v>1117.347318447548</v>
      </c>
      <c r="T140" s="622">
        <f t="shared" ca="1" si="32"/>
        <v>2.0443087588092324</v>
      </c>
      <c r="U140">
        <f t="shared" ca="1" si="33"/>
        <v>40.88617517618464</v>
      </c>
      <c r="V140" s="622">
        <f t="shared" ca="1" si="34"/>
        <v>0.0</v>
      </c>
      <c r="W140" s="622">
        <f t="shared" ca="1" si="35"/>
        <v>2000.951847857152</v>
      </c>
    </row>
    <row r="141" spans="11:23" x14ac:dyDescent="0.25">
      <c r="K141" s="622">
        <f>$L$56+80*$L$58</f>
        <v>47.699999999999996</v>
      </c>
      <c r="L141" s="622">
        <f t="shared" si="24"/>
        <v>3226.1694730085164</v>
      </c>
      <c r="M141" s="622">
        <f t="shared" si="25"/>
        <v>3.2211740041928727</v>
      </c>
      <c r="N141" s="622">
        <f t="shared" ca="1" si="26"/>
        <v>274.03636363636366</v>
      </c>
      <c r="O141" s="622">
        <f t="shared" si="27"/>
        <v>0.623689727463313</v>
      </c>
      <c r="P141" s="622">
        <f t="shared" ca="1" si="28"/>
        <v>315.848452830189</v>
      </c>
      <c r="Q141" s="622">
        <f t="shared" ca="1" si="29"/>
        <v>5.442174967676867</v>
      </c>
      <c r="R141">
        <f t="shared" ca="1" si="30"/>
        <v>108.84349935353734</v>
      </c>
      <c r="S141" s="622">
        <f t="shared" ca="1" si="31"/>
        <v>1108.224720690562</v>
      </c>
      <c r="T141" s="622">
        <f t="shared" ca="1" si="32"/>
        <v>2.0443087588092324</v>
      </c>
      <c r="U141">
        <f t="shared" ca="1" si="33"/>
        <v>40.88617517618464</v>
      </c>
      <c r="V141" s="622">
        <f t="shared" ca="1" si="34"/>
        <v>0.0</v>
      </c>
      <c r="W141" s="622">
        <f t="shared" ca="1" si="35"/>
        <v>2076.132663124129</v>
      </c>
    </row>
    <row r="142" spans="11:23" x14ac:dyDescent="0.25">
      <c r="K142" s="622">
        <f>$L$56+81*$L$58</f>
        <v>48.29</v>
      </c>
      <c r="L142" s="622">
        <f t="shared" si="24"/>
        <v>3266.073875295205</v>
      </c>
      <c r="M142" s="622">
        <f t="shared" si="25"/>
        <v>3.224580658521433</v>
      </c>
      <c r="N142" s="622">
        <f t="shared" ca="1" si="26"/>
        <v>274.03636363636366</v>
      </c>
      <c r="O142" s="622">
        <f t="shared" si="27"/>
        <v>0.5733071029198594</v>
      </c>
      <c r="P142" s="622">
        <f t="shared" ca="1" si="28"/>
        <v>290.3337244149929</v>
      </c>
      <c r="Q142" s="622">
        <f t="shared" ca="1" si="29"/>
        <v>5.398471178593356</v>
      </c>
      <c r="R142">
        <f t="shared" ca="1" si="30"/>
        <v>107.96942357186713</v>
      </c>
      <c r="S142" s="622">
        <f t="shared" ca="1" si="31"/>
        <v>1099.325040004465</v>
      </c>
      <c r="T142" s="622">
        <f t="shared" ca="1" si="32"/>
        <v>2.0443087588092324</v>
      </c>
      <c r="U142">
        <f t="shared" ca="1" si="33"/>
        <v>40.88617517618464</v>
      </c>
      <c r="V142" s="622">
        <f t="shared" ca="1" si="34"/>
        <v>0.0</v>
      </c>
      <c r="W142" s="622">
        <f t="shared" ca="1" si="35"/>
        <v>2150.4514745121105</v>
      </c>
    </row>
    <row r="143" spans="11:23" x14ac:dyDescent="0.25">
      <c r="K143" s="622">
        <f>$L$56+82*$L$58</f>
        <v>48.879999999999995</v>
      </c>
      <c r="L143" s="622">
        <f t="shared" si="24"/>
        <v>3305.9782775818926</v>
      </c>
      <c r="M143" s="622">
        <f t="shared" si="25"/>
        <v>3.227905073649755</v>
      </c>
      <c r="N143" s="622">
        <f t="shared" ca="1" si="26"/>
        <v>274.03636363636366</v>
      </c>
      <c r="O143" s="622">
        <f t="shared" si="27"/>
        <v>0.5241407528641577</v>
      </c>
      <c r="P143" s="622">
        <f t="shared" ca="1" si="28"/>
        <v>265.4349407528645</v>
      </c>
      <c r="Q143" s="622">
        <f t="shared" ca="1" si="29"/>
        <v>5.355822431881337</v>
      </c>
      <c r="R143">
        <f t="shared" ca="1" si="30"/>
        <v>107.11644863762675</v>
      </c>
      <c r="S143" s="622">
        <f t="shared" ca="1" si="31"/>
        <v>1090.6402043103813</v>
      </c>
      <c r="T143" s="622">
        <f t="shared" ca="1" si="32"/>
        <v>2.0443087588092324</v>
      </c>
      <c r="U143">
        <f t="shared" ca="1" si="33"/>
        <v>40.88617517618464</v>
      </c>
      <c r="V143" s="622">
        <f t="shared" ca="1" si="34"/>
        <v>0.0</v>
      </c>
      <c r="W143" s="622">
        <f t="shared" ca="1" si="35"/>
        <v>2223.9394961550106</v>
      </c>
    </row>
    <row r="144" spans="11:23" x14ac:dyDescent="0.25">
      <c r="K144" s="622">
        <f>$L$56+83*$L$58</f>
        <v>49.47</v>
      </c>
      <c r="L144" s="622">
        <f t="shared" si="24"/>
        <v>3345.882679868581</v>
      </c>
      <c r="M144" s="622">
        <f t="shared" si="25"/>
        <v>3.231150192035577</v>
      </c>
      <c r="N144" s="622">
        <f t="shared" ca="1" si="26"/>
        <v>274.03636363636366</v>
      </c>
      <c r="O144" s="622">
        <f t="shared" si="27"/>
        <v>0.4761471598948861</v>
      </c>
      <c r="P144" s="622">
        <f t="shared" ca="1" si="28"/>
        <v>241.1300637962403</v>
      </c>
      <c r="Q144" s="622">
        <f t="shared" ca="1" si="29"/>
        <v>5.314190978905323</v>
      </c>
      <c r="R144">
        <f t="shared" ca="1" si="30"/>
        <v>106.28381957810647</v>
      </c>
      <c r="S144" s="622">
        <f t="shared" ca="1" si="31"/>
        <v>1082.1625266134477</v>
      </c>
      <c r="T144" s="622">
        <f t="shared" ca="1" si="32"/>
        <v>2.044308758809233</v>
      </c>
      <c r="U144">
        <f t="shared" ca="1" si="33"/>
        <v>40.88617517618466</v>
      </c>
      <c r="V144" s="622">
        <f t="shared" ca="1" si="34"/>
        <v>0.0</v>
      </c>
      <c r="W144" s="622">
        <f t="shared" ca="1" si="35"/>
        <v>2296.6264530952567</v>
      </c>
    </row>
    <row r="145" spans="11:23" x14ac:dyDescent="0.25">
      <c r="K145" s="622">
        <f>$L$56+84*$L$58</f>
        <v>50.059999999999995</v>
      </c>
      <c r="L145" s="622">
        <f t="shared" si="24"/>
        <v>3385.787082155269</v>
      </c>
      <c r="M145" s="622">
        <f t="shared" si="25"/>
        <v>3.2343188174190973</v>
      </c>
      <c r="N145" s="622">
        <f t="shared" ca="1" si="26"/>
        <v>274.03636363636366</v>
      </c>
      <c r="O145" s="622">
        <f t="shared" si="27"/>
        <v>0.42928485817019635</v>
      </c>
      <c r="P145" s="622">
        <f t="shared" ca="1" si="28"/>
        <v>217.3980944466643</v>
      </c>
      <c r="Q145" s="622">
        <f t="shared" ca="1" si="29"/>
        <v>5.273540850629902</v>
      </c>
      <c r="R145">
        <f t="shared" ca="1" si="30"/>
        <v>105.47081701259803</v>
      </c>
      <c r="S145" s="622">
        <f t="shared" ca="1" si="31"/>
        <v>1073.884682310089</v>
      </c>
      <c r="T145" s="622">
        <f t="shared" ca="1" si="32"/>
        <v>2.0443087588092324</v>
      </c>
      <c r="U145">
        <f t="shared" ca="1" si="33"/>
        <v>40.88617517618464</v>
      </c>
      <c r="V145" s="622">
        <f t="shared" ca="1" si="34"/>
        <v>0.0</v>
      </c>
      <c r="W145" s="622">
        <f t="shared" ca="1" si="35"/>
        <v>2368.5406690348796</v>
      </c>
    </row>
    <row r="146" spans="11:23" x14ac:dyDescent="0.25">
      <c r="K146" s="622">
        <f>$L$56+85*$L$58</f>
        <v>50.65</v>
      </c>
      <c r="L146" s="622">
        <f t="shared" si="24"/>
        <v>3425.6914844419575</v>
      </c>
      <c r="M146" s="622">
        <f t="shared" si="25"/>
        <v>3.2374136229022703</v>
      </c>
      <c r="N146" s="622">
        <f t="shared" ca="1" si="26"/>
        <v>274.03636363636366</v>
      </c>
      <c r="O146" s="622">
        <f t="shared" si="27"/>
        <v>0.3835143139190526</v>
      </c>
      <c r="P146" s="622">
        <f t="shared" ca="1" si="28"/>
        <v>194.2190120434355</v>
      </c>
      <c r="Q146" s="622">
        <f t="shared" ca="1" si="29"/>
        <v>5.23383775397077</v>
      </c>
      <c r="R146">
        <f t="shared" ca="1" si="30"/>
        <v>104.6767550794154</v>
      </c>
      <c r="S146" s="622">
        <f t="shared" ca="1" si="31"/>
        <v>1065.7996880813203</v>
      </c>
      <c r="T146" s="622">
        <f t="shared" ca="1" si="32"/>
        <v>2.0443087588092324</v>
      </c>
      <c r="U146">
        <f t="shared" ca="1" si="33"/>
        <v>40.88617517618464</v>
      </c>
      <c r="V146" s="622">
        <f t="shared" ca="1" si="34"/>
        <v>0.0</v>
      </c>
      <c r="W146" s="622">
        <f t="shared" ca="1" si="35"/>
        <v>2439.709147953565</v>
      </c>
    </row>
    <row r="147" spans="11:23" x14ac:dyDescent="0.25">
      <c r="K147" s="622">
        <f>$L$56+86*$L$58</f>
        <v>51.239999999999995</v>
      </c>
      <c r="L147" s="622">
        <f t="shared" si="24"/>
        <v>3465.5958867286454</v>
      </c>
      <c r="M147" s="622">
        <f t="shared" si="25"/>
        <v>3.2404371584699456</v>
      </c>
      <c r="N147" s="622">
        <f t="shared" ca="1" si="26"/>
        <v>274.03636363636366</v>
      </c>
      <c r="O147" s="622">
        <f t="shared" si="27"/>
        <v>0.33879781420765087</v>
      </c>
      <c r="P147" s="622">
        <f t="shared" ca="1" si="28"/>
        <v>171.5737180327872</v>
      </c>
      <c r="Q147" s="622">
        <f t="shared" ca="1" si="29"/>
        <v>5.19504897530652</v>
      </c>
      <c r="R147">
        <f t="shared" ca="1" si="30"/>
        <v>103.9009795061304</v>
      </c>
      <c r="S147" s="622">
        <f t="shared" ca="1" si="31"/>
        <v>1057.9008822442368</v>
      </c>
      <c r="T147" s="622">
        <f t="shared" ca="1" si="32"/>
        <v>2.0443087588092324</v>
      </c>
      <c r="U147">
        <f t="shared" ca="1" si="33"/>
        <v>40.88617517618464</v>
      </c>
      <c r="V147" s="622">
        <f t="shared" ca="1" si="34"/>
        <v>0.0</v>
      </c>
      <c r="W147" s="622">
        <f t="shared" ca="1" si="35"/>
        <v>2510.1576500879846</v>
      </c>
    </row>
    <row r="148" spans="11:23" x14ac:dyDescent="0.25">
      <c r="K148" s="622">
        <f>$L$56+87*$L$58</f>
        <v>51.83</v>
      </c>
      <c r="L148" s="622">
        <f t="shared" si="24"/>
        <v>3505.5002890153337</v>
      </c>
      <c r="M148" s="622">
        <f t="shared" si="25"/>
        <v>3.2433918579972993</v>
      </c>
      <c r="N148" s="622">
        <f t="shared" ca="1" si="26"/>
        <v>274.03636363636366</v>
      </c>
      <c r="O148" s="622">
        <f t="shared" si="27"/>
        <v>0.2950993633031066</v>
      </c>
      <c r="P148" s="622">
        <f t="shared" ca="1" si="28"/>
        <v>149.44398348446862</v>
      </c>
      <c r="Q148" s="622">
        <f t="shared" ca="1" si="29"/>
        <v>5.157143290580603</v>
      </c>
      <c r="R148">
        <f t="shared" ca="1" si="30"/>
        <v>103.14286581161204</v>
      </c>
      <c r="S148" s="622">
        <f t="shared" ca="1" si="31"/>
        <v>1050.1819064455042</v>
      </c>
      <c r="T148" s="622">
        <f t="shared" ca="1" si="32"/>
        <v>2.0443087588092324</v>
      </c>
      <c r="U148">
        <f t="shared" ca="1" si="33"/>
        <v>40.88617517618464</v>
      </c>
      <c r="V148" s="622">
        <f t="shared" ca="1" si="34"/>
        <v>0.0</v>
      </c>
      <c r="W148" s="622">
        <f t="shared" ca="1" si="35"/>
        <v>2579.9107627217245</v>
      </c>
    </row>
    <row r="149" spans="11:23" x14ac:dyDescent="0.25">
      <c r="K149" s="622">
        <f>$L$56+88*$L$58</f>
        <v>52.419999999999995</v>
      </c>
      <c r="L149" s="622">
        <f t="shared" si="24"/>
        <v>3545.4046913020215</v>
      </c>
      <c r="M149" s="622">
        <f t="shared" si="25"/>
        <v>3.246280045784052</v>
      </c>
      <c r="N149" s="622">
        <f t="shared" ca="1" si="26"/>
        <v>274.03636363636366</v>
      </c>
      <c r="O149" s="622">
        <f t="shared" si="27"/>
        <v>0.2523845860358648</v>
      </c>
      <c r="P149" s="622">
        <f t="shared" ca="1" si="28"/>
        <v>127.8124001526138</v>
      </c>
      <c r="Q149" s="622">
        <f t="shared" ca="1" si="29"/>
        <v>5.1200908814742325</v>
      </c>
      <c r="R149">
        <f t="shared" ca="1" si="30"/>
        <v>102.40181762948464</v>
      </c>
      <c r="S149" s="622">
        <f t="shared" ca="1" si="31"/>
        <v>1042.6366885911161</v>
      </c>
      <c r="T149" s="622">
        <f t="shared" ca="1" si="32"/>
        <v>2.0443087588092324</v>
      </c>
      <c r="U149">
        <f t="shared" ca="1" si="33"/>
        <v>40.88617517618464</v>
      </c>
      <c r="V149" s="622">
        <f t="shared" ca="1" si="34"/>
        <v>0.0</v>
      </c>
      <c r="W149" s="622">
        <f t="shared" ca="1" si="35"/>
        <v>2648.991966194655</v>
      </c>
    </row>
    <row r="150" spans="11:23" x14ac:dyDescent="0.25">
      <c r="K150" s="622">
        <f>$L$56+89*$L$58</f>
        <v>53.01</v>
      </c>
      <c r="L150" s="622">
        <f t="shared" si="24"/>
        <v>3585.30909358871</v>
      </c>
      <c r="M150" s="622">
        <f t="shared" si="25"/>
        <v>3.2491039426523303</v>
      </c>
      <c r="N150" s="622">
        <f t="shared" ca="1" si="26"/>
        <v>274.03636363636366</v>
      </c>
      <c r="O150" s="622">
        <f t="shared" si="27"/>
        <v>0.21062063761554456</v>
      </c>
      <c r="P150" s="622">
        <f t="shared" ca="1" si="28"/>
        <v>106.66233480475398</v>
      </c>
      <c r="Q150" s="622">
        <f t="shared" ca="1" si="29"/>
        <v>5.083863257177247</v>
      </c>
      <c r="R150">
        <f t="shared" ca="1" si="30"/>
        <v>101.67726514354493</v>
      </c>
      <c r="S150" s="622">
        <f t="shared" ca="1" si="31"/>
        <v>1035.2594269160936</v>
      </c>
      <c r="T150" s="622">
        <f t="shared" ca="1" si="32"/>
        <v>2.0443087588092324</v>
      </c>
      <c r="U150">
        <f t="shared" ca="1" si="33"/>
        <v>40.88617517618464</v>
      </c>
      <c r="V150" s="622">
        <f t="shared" ca="1" si="34"/>
        <v>0.0</v>
      </c>
      <c r="W150" s="622">
        <f t="shared" ca="1" si="35"/>
        <v>2717.423695504226</v>
      </c>
    </row>
    <row r="151" spans="11:23" x14ac:dyDescent="0.25">
      <c r="K151" s="622">
        <f>$L$56+90*$L$58</f>
        <v>53.599999999999994</v>
      </c>
      <c r="L151" s="622">
        <f t="shared" si="24"/>
        <v>3625.2134958753977</v>
      </c>
      <c r="M151" s="622">
        <f t="shared" si="25"/>
        <v>3.251865671641791</v>
      </c>
      <c r="N151" s="622">
        <f t="shared" ca="1" si="26"/>
        <v>274.03636363636366</v>
      </c>
      <c r="O151" s="622">
        <f t="shared" si="27"/>
        <v>0.16977611940298565</v>
      </c>
      <c r="P151" s="622">
        <f t="shared" ca="1" si="28"/>
        <v>85.97788656716449</v>
      </c>
      <c r="Q151" s="622">
        <f t="shared" ca="1" si="29"/>
        <v>5.048433181325605</v>
      </c>
      <c r="R151">
        <f t="shared" ca="1" si="30"/>
        <v>100.9686636265121</v>
      </c>
      <c r="S151" s="622">
        <f t="shared" ca="1" si="31"/>
        <v>1028.0445751063048</v>
      </c>
      <c r="T151" s="622">
        <f t="shared" ca="1" si="32"/>
        <v>2.044308758809233</v>
      </c>
      <c r="U151">
        <f t="shared" ca="1" si="33"/>
        <v>40.88617517618466</v>
      </c>
      <c r="V151" s="622">
        <f t="shared" ca="1" si="34"/>
        <v>0.0</v>
      </c>
      <c r="W151" s="622">
        <f t="shared" ca="1" si="35"/>
        <v>2785.227397838292</v>
      </c>
    </row>
    <row r="152" spans="11:23" x14ac:dyDescent="0.25">
      <c r="K152" s="622">
        <f>$L$56+91*$L$58</f>
        <v>54.19</v>
      </c>
      <c r="L152" s="622">
        <f t="shared" si="24"/>
        <v>3665.1178981620865</v>
      </c>
      <c r="M152" s="622">
        <f t="shared" si="25"/>
        <v>3.2545672633327185</v>
      </c>
      <c r="N152" s="622">
        <f t="shared" ca="1" si="26"/>
        <v>274.03636363636366</v>
      </c>
      <c r="O152" s="622">
        <f t="shared" si="27"/>
        <v>0.12982100018453624</v>
      </c>
      <c r="P152" s="622">
        <f t="shared" ca="1" si="28"/>
        <v>65.7438470566527</v>
      </c>
      <c r="Q152" s="622">
        <f t="shared" ca="1" si="29"/>
        <v>5.013774603711736</v>
      </c>
      <c r="R152">
        <f t="shared" ca="1" si="30"/>
        <v>100.27549207423473</v>
      </c>
      <c r="S152" s="622">
        <f t="shared" ca="1" si="31"/>
        <v>1020.9868283922079</v>
      </c>
      <c r="T152" s="622">
        <f t="shared" ca="1" si="32"/>
        <v>2.0443087588092324</v>
      </c>
      <c r="U152">
        <f t="shared" ca="1" si="33"/>
        <v>40.88617517618464</v>
      </c>
      <c r="V152" s="622">
        <f t="shared" ca="1" si="34"/>
        <v>0.0</v>
      </c>
      <c r="W152" s="622">
        <f t="shared" ca="1" si="35"/>
        <v>2852.4235863495896</v>
      </c>
    </row>
    <row r="153" spans="11:23" x14ac:dyDescent="0.25">
      <c r="K153" s="622">
        <f>$L$56+92*$L$58</f>
        <v>54.779999999999994</v>
      </c>
      <c r="L153" s="622">
        <f t="shared" si="24"/>
        <v>3705.0223004487743</v>
      </c>
      <c r="M153" s="622">
        <f t="shared" si="25"/>
        <v>3.257210660825119</v>
      </c>
      <c r="N153" s="622">
        <f t="shared" ca="1" si="26"/>
        <v>274.03636363636366</v>
      </c>
      <c r="O153" s="622">
        <f t="shared" si="27"/>
        <v>0.09072654253377202</v>
      </c>
      <c r="P153" s="622">
        <f t="shared" ca="1" si="28"/>
        <v>45.9456630887188</v>
      </c>
      <c r="Q153" s="622">
        <f t="shared" ca="1" si="29"/>
        <v>4.979862596407915</v>
      </c>
      <c r="R153">
        <f t="shared" ca="1" si="30"/>
        <v>99.5972519281583</v>
      </c>
      <c r="S153" s="622">
        <f t="shared" ca="1" si="31"/>
        <v>1014.081110541248</v>
      </c>
      <c r="T153" s="622">
        <f t="shared" ca="1" si="32"/>
        <v>2.0443087588092324</v>
      </c>
      <c r="U153">
        <f t="shared" ca="1" si="33"/>
        <v>40.88617517618464</v>
      </c>
      <c r="V153" s="622">
        <f t="shared" ca="1" si="34"/>
        <v>0.0</v>
      </c>
      <c r="W153" s="622">
        <f t="shared" ca="1" si="35"/>
        <v>2919.031890455171</v>
      </c>
    </row>
    <row r="154" spans="11:23" x14ac:dyDescent="0.25">
      <c r="K154" s="622">
        <f>$L$56+93*$L$58</f>
        <v>55.37</v>
      </c>
      <c r="L154" s="622">
        <f t="shared" si="24"/>
        <v>3744.9267027354626</v>
      </c>
      <c r="M154" s="622">
        <f t="shared" si="25"/>
        <v>3.2597977243994944</v>
      </c>
      <c r="N154" s="622">
        <f t="shared" ca="1" si="26"/>
        <v>274.03636363636366</v>
      </c>
      <c r="O154" s="622">
        <f t="shared" si="27"/>
        <v>0.05246523388116343</v>
      </c>
      <c r="P154" s="622">
        <f t="shared" ca="1" si="28"/>
        <v>26.56940176991168</v>
      </c>
      <c r="Q154" s="622">
        <f t="shared" ca="1" si="29"/>
        <v>4.9466732939734905</v>
      </c>
      <c r="R154">
        <f t="shared" ca="1" si="30"/>
        <v>98.93346587946981</v>
      </c>
      <c r="S154" s="622">
        <f t="shared" ca="1" si="31"/>
        <v>1007.3225616818743</v>
      </c>
      <c r="T154" s="622">
        <f t="shared" ca="1" si="32"/>
        <v>2.0443087588092324</v>
      </c>
      <c r="U154">
        <f t="shared" ca="1" si="33"/>
        <v>40.88617517618464</v>
      </c>
      <c r="V154" s="622">
        <f t="shared" ca="1" si="34"/>
        <v>0.0</v>
      </c>
      <c r="W154" s="622">
        <f t="shared" ca="1" si="35"/>
        <v>2985.07110292004</v>
      </c>
    </row>
    <row r="155" spans="11:23" x14ac:dyDescent="0.25">
      <c r="K155" s="622">
        <f>$L$56+94*$L$58</f>
        <v>55.959999999999994</v>
      </c>
      <c r="L155" s="622">
        <f t="shared" si="24"/>
        <v>3784.8311050221505</v>
      </c>
      <c r="M155" s="622">
        <f t="shared" si="25"/>
        <v>3.2623302358827737</v>
      </c>
      <c r="N155" s="622">
        <f t="shared" ca="1" si="26"/>
        <v>274.03636363636366</v>
      </c>
      <c r="O155" s="622">
        <f t="shared" si="27"/>
        <v>0.01501072194424646</v>
      </c>
      <c r="P155" s="622">
        <f t="shared" ca="1" si="28"/>
        <v>7.601717798427737</v>
      </c>
      <c r="Q155" s="622">
        <f t="shared" ca="1" si="29"/>
        <v>4.914183837444582</v>
      </c>
      <c r="R155">
        <f t="shared" ca="1" si="30"/>
        <v>98.28367674889162</v>
      </c>
      <c r="S155" s="622">
        <f t="shared" ca="1" si="31"/>
        <v>1000.7065268978055</v>
      </c>
      <c r="T155" s="622">
        <f t="shared" ca="1" si="32"/>
        <v>2.0443087588092324</v>
      </c>
      <c r="U155">
        <f t="shared" ca="1" si="33"/>
        <v>40.88617517618464</v>
      </c>
      <c r="V155" s="622">
        <f t="shared" ca="1" si="34"/>
        <v>0.0</v>
      </c>
      <c r="W155" s="622">
        <f t="shared" ca="1" si="35"/>
        <v>3050.559223962281</v>
      </c>
    </row>
    <row r="156" spans="11:23" x14ac:dyDescent="0.25">
      <c r="K156" s="622">
        <f>$L$56+95*$L$58</f>
        <v>56.55</v>
      </c>
      <c r="L156" s="622">
        <f t="shared" si="24"/>
        <v>3824.735507308839</v>
      </c>
      <c r="M156" s="622">
        <f t="shared" si="25"/>
        <v>3.264809902740937</v>
      </c>
      <c r="N156" s="622">
        <f t="shared" ca="1" si="26"/>
        <v>274.03636363636366</v>
      </c>
      <c r="O156" s="622">
        <f t="shared" si="27"/>
        <v>-0.021662245800176484</v>
      </c>
      <c r="P156" s="622">
        <f t="shared" ca="1" si="28"/>
        <v>-10.970177188328737</v>
      </c>
      <c r="Q156" s="622">
        <f t="shared" ca="1" si="29"/>
        <v>4.88237232182998</v>
      </c>
      <c r="R156">
        <f t="shared" ca="1" si="30"/>
        <v>97.6474464365996</v>
      </c>
      <c r="S156" s="622">
        <f t="shared" ca="1" si="31"/>
        <v>994.2285455362867</v>
      </c>
      <c r="T156" s="622">
        <f t="shared" ca="1" si="32"/>
        <v>2.0443087588092324</v>
      </c>
      <c r="U156">
        <f t="shared" ca="1" si="33"/>
        <v>40.88617517618464</v>
      </c>
      <c r="V156" s="622">
        <f t="shared" ca="1" si="34"/>
        <v>0.0</v>
      </c>
      <c r="W156" s="622">
        <f t="shared" ca="1" si="35"/>
        <v>3115.5135025972445</v>
      </c>
    </row>
    <row r="157" spans="11:23" x14ac:dyDescent="0.25">
      <c r="K157" s="622">
        <f>$L$56+96*$L$58</f>
        <v>57.14</v>
      </c>
      <c r="L157" s="622">
        <f>IF(($L$14*K157)&lt;=$L$50,$L$49*$L$18*($L$14*K157),$L$49*$L$18*$L$50+$L$48*$L$18*(($L$14*K157)-$L$50))</f>
        <v>3864.639909595527</v>
      </c>
      <c r="M157" s="622">
        <f t="shared" si="25"/>
        <v>3.267238361918096</v>
      </c>
      <c r="N157" s="622">
        <f ca="1">$L$25*(SIGN(M157)*MIN(ABS(M157)*$L$10/1000,$L$11))/10</f>
        <v>274.03636363636366</v>
      </c>
      <c r="O157" s="622">
        <f t="shared" si="27"/>
        <v>-0.057577878893944556</v>
      </c>
      <c r="P157" s="622">
        <f ca="1">$L$30*(SIGN(O157)*MIN(ABS(O157)*$L$10/1000,$L$11))/10</f>
        <v>-29.15854336716829</v>
      </c>
      <c r="Q157" s="622">
        <f t="shared" ca="1" si="29"/>
        <v>4.851217746859851</v>
      </c>
      <c r="R157">
        <f ca="1">SIGN(Q157)*IF(ABS(Q157)&lt;=$Z$12,$Z$9*ABS(Q157)/1000,IF(ABS(Q157)&lt;=$Z$13,$Z$10+($Z$11-$Z$10)*(ABS(Q157)-$Z$12)/($Z$13-$Z$12),$Z$11))/10</f>
        <v>97.02435493719703</v>
      </c>
      <c r="S157" s="622">
        <f ca="1">$L$34*(R157/$L$9)</f>
        <v>987.8843411787333</v>
      </c>
      <c r="T157" s="622">
        <f t="shared" ca="1" si="32"/>
        <v>2.0443087588092324</v>
      </c>
      <c r="U157">
        <f ca="1">SIGN(T157)*IF(ABS(T157)&lt;=$Z$12,$Z$9*ABS(T157)/1000,IF(ABS(T157)&lt;=$Z$13,$Z$10+($Z$11-$Z$10)*(ABS(T157)-$Z$12)/($Z$13-$Z$12),$Z$11))/10</f>
        <v>40.88617517618464</v>
      </c>
      <c r="V157" s="622">
        <f ca="1">$L$39*(U157/$L$9)</f>
        <v>0.0</v>
      </c>
      <c r="W157" s="622">
        <f ca="1">L157+N157-P157-S157-V157</f>
        <v>3179.950475420326</v>
      </c>
    </row>
    <row r="158" spans="11:23" x14ac:dyDescent="0.25">
      <c r="K158" s="622">
        <f>$L$56+97*$L$58</f>
        <v>57.73</v>
      </c>
      <c r="L158" s="622">
        <f>IF(($L$14*K158)&lt;=$L$50,$L$49*$L$18*($L$14*K158),$L$49*$L$18*$L$50+$L$48*$L$18*(($L$14*K158)-$L$50))</f>
        <v>3904.544311882215</v>
      </c>
      <c r="M158" s="622">
        <f t="shared" si="25"/>
        <v>3.2696171834401526</v>
      </c>
      <c r="N158" s="622">
        <f ca="1">$L$25*(SIGN(M158)*MIN(ABS(M158)*$L$10/1000,$L$11))/10</f>
        <v>274.03636363636366</v>
      </c>
      <c r="O158" s="622">
        <f t="shared" si="27"/>
        <v>-0.092759397193833</v>
      </c>
      <c r="P158" s="622">
        <f ca="1">$L$30*(SIGN(O158)*MIN(ABS(O158)*$L$10/1000,$L$11))/10</f>
        <v>-46.97513971938316</v>
      </c>
      <c r="Q158" s="622">
        <f t="shared" ca="1" si="29"/>
        <v>4.8206999707545215</v>
      </c>
      <c r="R158">
        <f ca="1">SIGN(Q158)*IF(ABS(Q158)&lt;=$Z$12,$Z$9*ABS(Q158)/1000,IF(ABS(Q158)&lt;=$Z$13,$Z$10+($Z$11-$Z$10)*(ABS(Q158)-$Z$12)/($Z$13-$Z$12),$Z$11))/10</f>
        <v>96.41399941509044</v>
      </c>
      <c r="S158" s="622">
        <f ca="1">$L$34*(R158/$L$9)</f>
        <v>981.6698122263753</v>
      </c>
      <c r="T158" s="622">
        <f t="shared" ca="1" si="32"/>
        <v>2.0443087588092324</v>
      </c>
      <c r="U158">
        <f ca="1">SIGN(T158)*IF(ABS(T158)&lt;=$Z$12,$Z$9*ABS(T158)/1000,IF(ABS(T158)&lt;=$Z$13,$Z$10+($Z$11-$Z$10)*(ABS(T158)-$Z$12)/($Z$13-$Z$12),$Z$11))/10</f>
        <v>40.88617517618464</v>
      </c>
      <c r="V158" s="622">
        <f ca="1">$L$39*(U158/$L$9)</f>
        <v>0.0</v>
      </c>
      <c r="W158" s="622">
        <f ca="1">L158+N158-P158-S158-V158</f>
        <v>3243.8860030115866</v>
      </c>
    </row>
    <row r="159" spans="11:23" x14ac:dyDescent="0.25">
      <c r="K159" s="622">
        <f>$L$56+98*$L$58</f>
        <v>58.32</v>
      </c>
      <c r="L159" s="622">
        <f>IF(($L$14*K159)&lt;=$L$50,$L$49*$L$18*($L$14*K159),$L$49*$L$18*$L$50+$L$48*$L$18*(($L$14*K159)-$L$50))</f>
        <v>3944.4487141689037</v>
      </c>
      <c r="M159" s="622">
        <f t="shared" si="25"/>
        <v>3.271947873799726</v>
      </c>
      <c r="N159" s="622">
        <f ca="1">$L$25*(SIGN(M159)*MIN(ABS(M159)*$L$10/1000,$L$11))/10</f>
        <v>274.03636363636366</v>
      </c>
      <c r="O159" s="622">
        <f t="shared" si="27"/>
        <v>-0.12722908093278448</v>
      </c>
      <c r="P159" s="622">
        <f ca="1">$L$30*(SIGN(O159)*MIN(ABS(O159)*$L$10/1000,$L$11))/10</f>
        <v>-64.43124938271596</v>
      </c>
      <c r="Q159" s="622">
        <f t="shared" ca="1" si="29"/>
        <v>4.79079966679947</v>
      </c>
      <c r="R159">
        <f ca="1">SIGN(Q159)*IF(ABS(Q159)&lt;=$Z$12,$Z$9*ABS(Q159)/1000,IF(ABS(Q159)&lt;=$Z$13,$Z$10+($Z$11-$Z$10)*(ABS(Q159)-$Z$12)/($Z$13-$Z$12),$Z$11))/10</f>
        <v>95.8159933359894</v>
      </c>
      <c r="S159" s="622">
        <f ca="1">$L$34*(R159/$L$9)</f>
        <v>975.5810230573466</v>
      </c>
      <c r="T159" s="622">
        <f t="shared" ca="1" si="32"/>
        <v>2.0443087588092324</v>
      </c>
      <c r="U159">
        <f ca="1">SIGN(T159)*IF(ABS(T159)&lt;=$Z$12,$Z$9*ABS(T159)/1000,IF(ABS(T159)&lt;=$Z$13,$Z$10+($Z$11-$Z$10)*(ABS(T159)-$Z$12)/($Z$13-$Z$12),$Z$11))/10</f>
        <v>40.88617517618464</v>
      </c>
      <c r="V159" s="622">
        <f ca="1">$L$39*(U159/$L$9)</f>
        <v>0.0</v>
      </c>
      <c r="W159" s="622">
        <f ca="1">L159+N159-P159-S159-V159</f>
        <v>3307.335304130637</v>
      </c>
    </row>
    <row r="160" spans="11:23" x14ac:dyDescent="0.25">
      <c r="K160" s="622">
        <f>$L$56+99*$L$58</f>
        <v>58.91</v>
      </c>
      <c r="L160" s="622">
        <f>IF(($L$14*K160)&lt;=$L$50,$L$49*$L$18*($L$14*K160),$L$49*$L$18*$L$50+$L$48*$L$18*(($L$14*K160)-$L$50))</f>
        <v>3984.3531164555916</v>
      </c>
      <c r="M160" s="622">
        <f t="shared" si="25"/>
        <v>3.2742318791376674</v>
      </c>
      <c r="N160" s="622">
        <f ca="1">$L$25*(SIGN(M160)*MIN(ABS(M160)*$L$10/1000,$L$11))/10</f>
        <v>274.03636363636366</v>
      </c>
      <c r="O160" s="622">
        <f t="shared" si="27"/>
        <v>-0.16100831777287353</v>
      </c>
      <c r="P160" s="622">
        <f ca="1">$L$30*(SIGN(O160)*MIN(ABS(O160)*$L$10/1000,$L$11))/10</f>
        <v>-81.5377034798844</v>
      </c>
      <c r="Q160" s="622">
        <f t="shared" ca="1" si="29"/>
        <v>4.7614982825298195</v>
      </c>
      <c r="R160">
        <f ca="1">SIGN(Q160)*IF(ABS(Q160)&lt;=$Z$12,$Z$9*ABS(Q160)/1000,IF(ABS(Q160)&lt;=$Z$13,$Z$10+($Z$11-$Z$10)*(ABS(Q160)-$Z$12)/($Z$13-$Z$12),$Z$11))/10</f>
        <v>95.22996565059638</v>
      </c>
      <c r="S160" s="622">
        <f ca="1">$L$34*(R160/$L$9)</f>
        <v>969.6141957151631</v>
      </c>
      <c r="T160" s="622">
        <f t="shared" ca="1" si="32"/>
        <v>2.044308758809232</v>
      </c>
      <c r="U160">
        <f ca="1">SIGN(T160)*IF(ABS(T160)&lt;=$Z$12,$Z$9*ABS(T160)/1000,IF(ABS(T160)&lt;=$Z$13,$Z$10+($Z$11-$Z$10)*(ABS(T160)-$Z$12)/($Z$13-$Z$12),$Z$11))/10</f>
        <v>40.886175176184636</v>
      </c>
      <c r="V160" s="622">
        <f ca="1">$L$39*(U160/$L$9)</f>
        <v>0.0</v>
      </c>
      <c r="W160" s="622">
        <f ca="1">L160+N160-P160-S160-V160</f>
        <v>3370.312987856677</v>
      </c>
    </row>
    <row r="161" spans="11:23" x14ac:dyDescent="0.25">
      <c r="K161" s="622">
        <f>$L$56+100*$L$58</f>
        <v>59.5</v>
      </c>
      <c r="L161" s="622">
        <f>IF(($L$14*K161)&lt;=$L$50,$L$49*$L$18*($L$14*K161),$L$49*$L$18*$L$50+$L$48*$L$18*(($L$14*K161)-$L$50))</f>
        <v>4024.2575187422794</v>
      </c>
      <c r="M161" s="622">
        <f t="shared" si="25"/>
        <v>3.2764705882352945</v>
      </c>
      <c r="N161" s="622">
        <f ca="1">$L$25*(SIGN(M161)*MIN(ABS(M161)*$L$10/1000,$L$11))/10</f>
        <v>274.03636363636366</v>
      </c>
      <c r="O161" s="622">
        <f t="shared" si="27"/>
        <v>-0.19411764705882337</v>
      </c>
      <c r="P161" s="622">
        <f ca="1">$L$30*(SIGN(O161)*MIN(ABS(O161)*$L$10/1000,$L$11))/10</f>
        <v>-98.30490352941169</v>
      </c>
      <c r="Q161" s="622">
        <f t="shared" ca="1" si="29"/>
        <v>4.7327780013431635</v>
      </c>
      <c r="R161">
        <f ca="1">SIGN(Q161)*IF(ABS(Q161)&lt;=$Z$12,$Z$9*ABS(Q161)/1000,IF(ABS(Q161)&lt;=$Z$13,$Z$10+($Z$11-$Z$10)*(ABS(Q161)-$Z$12)/($Z$13-$Z$12),$Z$11))/10</f>
        <v>94.65556002686327</v>
      </c>
      <c r="S161" s="622">
        <f ca="1">$L$34*(R161/$L$9)</f>
        <v>963.7657020916987</v>
      </c>
      <c r="T161" s="622">
        <f t="shared" ca="1" si="32"/>
        <v>2.0443087588092324</v>
      </c>
      <c r="U161">
        <f ca="1">SIGN(T161)*IF(ABS(T161)&lt;=$Z$12,$Z$9*ABS(T161)/1000,IF(ABS(T161)&lt;=$Z$13,$Z$10+($Z$11-$Z$10)*(ABS(T161)-$Z$12)/($Z$13-$Z$12),$Z$11))/10</f>
        <v>40.88617517618464</v>
      </c>
      <c r="V161" s="622">
        <f ca="1">$L$39*(U161/$L$9)</f>
        <v>0.0</v>
      </c>
      <c r="W161" s="622">
        <f ca="1">L161+N161-P161-S161-V161</f>
        <v>3432.8330838163565</v>
      </c>
    </row>
    <row r="163" spans="11:23" ht="15" customHeight="1" x14ac:dyDescent="0.25">
      <c r="K163" s="591" t="s">
        <v>1908</v>
      </c>
      <c r="L163" s="615">
        <f ca="1">COUNTIF(W61:W161,"&lt;0")</f>
        <v>56.0</v>
      </c>
      <c r="N163" s="849" t="s">
        <v>1909</v>
      </c>
      <c r="O163" s="849"/>
      <c r="P163" s="849"/>
      <c r="Q163" s="849"/>
      <c r="R163" s="849"/>
      <c r="S163" s="849"/>
      <c r="T163" s="849"/>
      <c r="U163" s="849"/>
      <c r="V163" s="849"/>
      <c r="W163" s="849"/>
    </row>
    <row r="164" spans="11:23" x14ac:dyDescent="0.25">
      <c r="K164" s="591" t="s">
        <v>1910</v>
      </c>
      <c r="L164" s="615">
        <f ca="1">INDEX(K61:K161,MAX(1,MIN(100,L163)))</f>
        <v>32.949999999999996</v>
      </c>
      <c r="N164" s="46" t="s">
        <v>1911</v>
      </c>
    </row>
    <row r="165" spans="11:23" x14ac:dyDescent="0.25">
      <c r="K165" s="591" t="s">
        <v>1912</v>
      </c>
      <c r="L165" s="615">
        <f ca="1">INDEX(K61:K161,MAX(1,MIN(100,L163))+1)</f>
        <v>33.54</v>
      </c>
      <c r="N165" s="46" t="s">
        <v>1913</v>
      </c>
    </row>
    <row r="166" spans="11:23" x14ac:dyDescent="0.25">
      <c r="K166" s="591" t="s">
        <v>1914</v>
      </c>
      <c r="L166" s="615">
        <f ca="1">INDEX(W61:W161,MAX(1,MIN(100,L163)))</f>
        <v>-27.848432428763772</v>
      </c>
      <c r="N166" s="46" t="s">
        <v>1915</v>
      </c>
    </row>
    <row r="167" spans="11:23" x14ac:dyDescent="0.25">
      <c r="K167" s="591" t="s">
        <v>1916</v>
      </c>
      <c r="L167" s="615">
        <f ca="1">INDEX(W61:W161,MAX(1,MIN(100,L163))+1)</f>
        <v>30.605440995884464</v>
      </c>
      <c r="N167" s="46" t="s">
        <v>1917</v>
      </c>
    </row>
    <row r="168" spans="11:23" ht="15" customHeight="1" x14ac:dyDescent="0.25">
      <c r="K168" s="591" t="s">
        <v>1918</v>
      </c>
      <c r="L168" s="623">
        <f ca="1">L164+(0-L166)*(L165-L164)/(L167-L166)</f>
        <v>33.231086165387325</v>
      </c>
      <c r="M168" s="591" t="s">
        <v>35</v>
      </c>
      <c r="N168" s="849" t="s">
        <v>1919</v>
      </c>
      <c r="O168" s="849"/>
      <c r="P168" s="849"/>
      <c r="Q168" s="849"/>
      <c r="R168" s="849"/>
      <c r="S168" s="849"/>
      <c r="T168" s="849"/>
      <c r="U168" s="849"/>
      <c r="V168" s="849"/>
      <c r="W168" s="849"/>
    </row>
    <row r="169" spans="11:23" ht="15" customHeight="1" x14ac:dyDescent="0.25">
      <c r="K169" s="591" t="s">
        <v>1920</v>
      </c>
      <c r="L169" s="615">
        <f ca="1">L168/L53</f>
        <v>0.681663305956663</v>
      </c>
      <c r="N169" s="849" t="s">
        <v>1921</v>
      </c>
      <c r="O169" s="849"/>
      <c r="P169" s="849"/>
      <c r="Q169" s="849"/>
      <c r="R169" s="849"/>
      <c r="S169" s="849"/>
      <c r="T169" s="849"/>
      <c r="U169" s="849"/>
      <c r="V169" s="849"/>
      <c r="W169" s="849"/>
    </row>
    <row r="171" spans="11:23" ht="15" customHeight="1" x14ac:dyDescent="0.25">
      <c r="K171" s="849" t="s">
        <v>1922</v>
      </c>
      <c r="L171" s="849"/>
      <c r="M171" s="849"/>
      <c r="N171" s="849"/>
      <c r="O171" s="849"/>
      <c r="P171" s="849"/>
      <c r="Q171" s="849"/>
      <c r="R171" s="849"/>
      <c r="S171" s="849"/>
      <c r="T171" s="849"/>
      <c r="U171" s="849"/>
      <c r="V171" s="849"/>
      <c r="W171" s="849"/>
    </row>
    <row r="172" spans="11:23" x14ac:dyDescent="0.25">
      <c r="K172" s="591" t="s">
        <v>1923</v>
      </c>
      <c r="L172" s="615">
        <f ca="1">IF(($L$14*L168)&lt;=$L$50,$L$49*$L$18*($L$14*L168),$L$49*$L$18*$L$50+$L$48*$L$18*(($L$14*L168)-$L$50))</f>
        <v>2247.5705606223946</v>
      </c>
      <c r="M172" s="591" t="s">
        <v>292</v>
      </c>
    </row>
    <row r="173" spans="11:23" x14ac:dyDescent="0.25">
      <c r="K173" s="591" t="s">
        <v>1924</v>
      </c>
      <c r="L173" s="615">
        <f ca="1">IF(($L$14*L168)&lt;=$L$50,($L$14*L168)/2,($L$49*$L$50*($L$50/2)+$L$48*(($L$14*L168)-$L$50)*($L$50+(($L$14*L168)-$L$50)/2))/($L$49*$L$50+$L$48*(($L$14*L168)-$L$50)))</f>
        <v>13.29243446615493</v>
      </c>
      <c r="M173" s="591" t="s">
        <v>35</v>
      </c>
    </row>
    <row r="174" spans="11:23" x14ac:dyDescent="0.25">
      <c r="K174" s="591" t="s">
        <v>1925</v>
      </c>
      <c r="L174" s="615">
        <f ca="1">$L$13*(L168-$L$51)/L168</f>
        <v>3.0997723356435776</v>
      </c>
      <c r="M174" s="591" t="s">
        <v>929</v>
      </c>
    </row>
    <row r="175" spans="11:23" x14ac:dyDescent="0.25">
      <c r="K175" s="591" t="s">
        <v>1926</v>
      </c>
      <c r="L175" s="615">
        <f ca="1">$L$25*(SIGN(L174)*MIN(ABS(L174)*$L$10/1000,$L$11))/10</f>
        <v>274.03636363636366</v>
      </c>
      <c r="M175" s="591" t="s">
        <v>292</v>
      </c>
    </row>
    <row r="176" spans="11:23" x14ac:dyDescent="0.25">
      <c r="K176" s="591" t="s">
        <v>1927</v>
      </c>
      <c r="L176" s="615">
        <f ca="1">$L$13*($L$52-L168)/L168</f>
        <v>2.419156509692357</v>
      </c>
      <c r="M176" s="591" t="s">
        <v>929</v>
      </c>
    </row>
    <row r="177" spans="11:23" x14ac:dyDescent="0.25">
      <c r="K177" s="591" t="s">
        <v>1928</v>
      </c>
      <c r="L177" s="615">
        <f ca="1">$L$30*(SIGN(L176)*MIN(ABS(L176)*$L$10/1000,$L$11))/10</f>
        <v>1096.1454545454546</v>
      </c>
      <c r="M177" s="591" t="s">
        <v>292</v>
      </c>
    </row>
    <row r="178" spans="11:23" x14ac:dyDescent="0.25">
      <c r="K178" s="591" t="s">
        <v>1929</v>
      </c>
      <c r="L178" s="615">
        <f ca="1">$L$36+$L$13*($L$53-L168)/L168</f>
        <v>6.999630583934268</v>
      </c>
      <c r="M178" s="591" t="s">
        <v>929</v>
      </c>
    </row>
    <row r="179" spans="11:23" x14ac:dyDescent="0.25">
      <c r="K179" s="591" t="s">
        <v>1930</v>
      </c>
      <c r="L179">
        <f ca="1">SIGN(L178)*IF(ABS(L178)&lt;=$Z$12,$Z$9*ABS(L178)/1000,IF(ABS(L178)&lt;=$Z$13,$Z$10+($Z$11-$Z$10)*(ABS(L178)-$Z$12)/($Z$13-$Z$12),$Z$11))/10</f>
        <v>139.99261167868536</v>
      </c>
      <c r="M179" s="591" t="s">
        <v>241</v>
      </c>
    </row>
    <row r="180" spans="11:23" x14ac:dyDescent="0.25">
      <c r="K180" s="591" t="s">
        <v>1931</v>
      </c>
      <c r="L180" s="615">
        <f ca="1">$L$34*(L179/$L$9)</f>
        <v>1425.379318910251</v>
      </c>
      <c r="M180" s="591" t="s">
        <v>292</v>
      </c>
    </row>
    <row r="181" spans="11:23" x14ac:dyDescent="0.25">
      <c r="K181" s="591" t="s">
        <v>1932</v>
      </c>
      <c r="L181" s="615">
        <f ca="1">$L$41+$L$13*($L$54-L168)/L168</f>
        <v>2.0443087588092324</v>
      </c>
      <c r="M181" s="591" t="s">
        <v>929</v>
      </c>
    </row>
    <row r="182" spans="11:23" ht="15" customHeight="1" x14ac:dyDescent="0.25">
      <c r="K182" s="591" t="s">
        <v>1933</v>
      </c>
      <c r="L182">
        <f ca="1">SIGN(L181)*IF(ABS(L181)&lt;=$Z$12,$Z$9*ABS(L181)/1000,IF(ABS(L181)&lt;=$Z$13,$Z$10+($Z$11-$Z$10)*(ABS(L181)-$Z$12)/($Z$13-$Z$12),$Z$11))/10</f>
        <v>40.88617517618464</v>
      </c>
      <c r="M182" s="591" t="s">
        <v>241</v>
      </c>
      <c r="N182" s="849" t="s">
        <v>1934</v>
      </c>
      <c r="O182" s="849"/>
      <c r="P182" s="849"/>
      <c r="Q182" s="849"/>
      <c r="R182" s="849"/>
      <c r="S182" s="849"/>
      <c r="T182" s="849"/>
      <c r="U182" s="849"/>
      <c r="V182" s="849"/>
      <c r="W182" s="849"/>
    </row>
    <row r="183" spans="11:23" x14ac:dyDescent="0.25">
      <c r="K183" s="591" t="s">
        <v>1935</v>
      </c>
      <c r="L183" s="615">
        <f ca="1">$L$39*(L182/$L$9)</f>
        <v>0.0</v>
      </c>
      <c r="M183" s="591" t="s">
        <v>292</v>
      </c>
    </row>
    <row r="184" spans="11:23" x14ac:dyDescent="0.25">
      <c r="K184" s="591" t="s">
        <v>1936</v>
      </c>
      <c r="L184" s="615">
        <f ca="1">L172+L175-L177-L180-L183</f>
        <v>0.08215080305262745</v>
      </c>
      <c r="M184" s="591" t="s">
        <v>292</v>
      </c>
    </row>
    <row r="186" spans="11:23" ht="54.75" customHeight="1" x14ac:dyDescent="0.25">
      <c r="K186" s="591" t="s">
        <v>1937</v>
      </c>
      <c r="L186" s="625">
        <f ca="1">(L177*L52+L180*L53+L183*L54-L172*L173-L175*L51)/100</f>
        <v>1001.7359377537884</v>
      </c>
      <c r="M186" s="591" t="s">
        <v>1729</v>
      </c>
      <c r="N186" s="849" t="s">
        <v>1938</v>
      </c>
      <c r="O186" s="849"/>
      <c r="P186" s="849"/>
      <c r="Q186" s="849"/>
      <c r="R186" s="849"/>
      <c r="S186" s="849"/>
      <c r="T186" s="849"/>
      <c r="U186" s="849"/>
      <c r="V186" s="849"/>
      <c r="W186" s="849"/>
    </row>
    <row r="188" spans="11:23" x14ac:dyDescent="0.25">
      <c r="K188" s="857" t="s">
        <v>1939</v>
      </c>
      <c r="L188" s="857"/>
      <c r="M188" s="857"/>
      <c r="N188" s="857"/>
      <c r="O188" s="857"/>
      <c r="P188" s="857"/>
      <c r="Q188" s="857"/>
      <c r="R188" s="857"/>
      <c r="S188" s="857"/>
      <c r="T188" s="857"/>
      <c r="U188" s="857"/>
      <c r="V188" s="857"/>
      <c r="W188" s="857"/>
    </row>
    <row r="190" spans="11:23" ht="15" customHeight="1" x14ac:dyDescent="0.25">
      <c r="K190" s="591" t="s">
        <v>1880</v>
      </c>
      <c r="L190" s="615">
        <f>Geometria!L27+Geometria!L42+Geometria!L45</f>
        <v>90.0</v>
      </c>
      <c r="M190" s="591" t="s">
        <v>35</v>
      </c>
      <c r="N190" s="849" t="s">
        <v>1881</v>
      </c>
      <c r="O190" s="849"/>
      <c r="P190" s="849"/>
      <c r="Q190" s="849"/>
      <c r="R190" s="849"/>
      <c r="S190" s="849"/>
      <c r="T190" s="849"/>
      <c r="U190" s="849"/>
      <c r="V190" s="849"/>
      <c r="W190" s="849"/>
    </row>
    <row r="191" spans="11:23" x14ac:dyDescent="0.25">
      <c r="K191" s="591" t="s">
        <v>1711</v>
      </c>
      <c r="L191" s="620">
        <f>Geometria!L26</f>
        <v>30.0</v>
      </c>
      <c r="M191" s="591" t="s">
        <v>35</v>
      </c>
    </row>
    <row r="192" spans="11:23" x14ac:dyDescent="0.25">
      <c r="K192" s="591" t="s">
        <v>1882</v>
      </c>
      <c r="L192" s="624">
        <f>Geometria!M43</f>
        <v>144.8495771481574</v>
      </c>
      <c r="M192" s="591" t="s">
        <v>35</v>
      </c>
    </row>
    <row r="193" spans="11:29" ht="15" customHeight="1" x14ac:dyDescent="0.25">
      <c r="K193" s="591" t="s">
        <v>1883</v>
      </c>
      <c r="L193" s="615">
        <f>Geometria!L42+Geometria!L45</f>
        <v>30.0</v>
      </c>
      <c r="M193" s="591" t="s">
        <v>35</v>
      </c>
      <c r="N193" s="849" t="s">
        <v>1884</v>
      </c>
      <c r="O193" s="849"/>
      <c r="P193" s="849"/>
      <c r="Q193" s="849"/>
      <c r="R193" s="849"/>
      <c r="S193" s="849"/>
      <c r="T193" s="849"/>
      <c r="U193" s="849"/>
      <c r="V193" s="849"/>
      <c r="W193" s="849"/>
    </row>
    <row r="194" spans="11:29" ht="27.75" customHeight="1" x14ac:dyDescent="0.25">
      <c r="K194" s="591" t="s">
        <v>1885</v>
      </c>
      <c r="L194" s="615">
        <f>L26+(Geometria!L42+Geometria!L45)</f>
        <v>33.8</v>
      </c>
      <c r="M194" s="591" t="s">
        <v>35</v>
      </c>
      <c r="N194" s="849" t="s">
        <v>1940</v>
      </c>
      <c r="O194" s="849"/>
      <c r="P194" s="849"/>
      <c r="Q194" s="849"/>
      <c r="R194" s="849"/>
      <c r="S194" s="849"/>
      <c r="T194" s="849"/>
      <c r="U194" s="849"/>
      <c r="V194" s="849"/>
      <c r="W194" s="849"/>
    </row>
    <row r="195" spans="11:29" ht="15" customHeight="1" x14ac:dyDescent="0.25">
      <c r="K195" s="591" t="s">
        <v>1887</v>
      </c>
      <c r="L195" s="615">
        <f>L190-L31</f>
        <v>86.2</v>
      </c>
      <c r="M195" s="591" t="s">
        <v>35</v>
      </c>
      <c r="N195" s="849" t="s">
        <v>1888</v>
      </c>
      <c r="O195" s="849"/>
      <c r="P195" s="849"/>
      <c r="Q195" s="849"/>
      <c r="R195" s="849"/>
      <c r="S195" s="849"/>
      <c r="T195" s="849"/>
      <c r="U195" s="849"/>
      <c r="V195" s="849"/>
      <c r="W195" s="849"/>
    </row>
    <row r="196" spans="11:29" ht="15" customHeight="1" x14ac:dyDescent="0.25">
      <c r="K196" s="591" t="s">
        <v>1889</v>
      </c>
      <c r="L196" s="615">
        <f>L190-L35</f>
        <v>78.75</v>
      </c>
      <c r="M196" s="591" t="s">
        <v>35</v>
      </c>
      <c r="N196" s="849" t="s">
        <v>1890</v>
      </c>
      <c r="O196" s="849"/>
      <c r="P196" s="849"/>
      <c r="Q196" s="849"/>
      <c r="R196" s="849"/>
      <c r="S196" s="849"/>
      <c r="T196" s="849"/>
      <c r="U196" s="849"/>
      <c r="V196" s="849"/>
      <c r="W196" s="849"/>
    </row>
    <row r="197" spans="11:29" ht="15" customHeight="1" x14ac:dyDescent="0.25">
      <c r="K197" s="591" t="s">
        <v>1891</v>
      </c>
      <c r="L197" s="615">
        <f>L40+(Geometria!L42+Geometria!L45)</f>
        <v>30.0</v>
      </c>
      <c r="M197" s="591" t="s">
        <v>35</v>
      </c>
      <c r="N197" s="849" t="s">
        <v>1941</v>
      </c>
      <c r="O197" s="849"/>
      <c r="P197" s="849"/>
      <c r="Q197" s="849"/>
      <c r="R197" s="849"/>
      <c r="S197" s="849"/>
      <c r="T197" s="849"/>
      <c r="U197" s="849"/>
      <c r="V197" s="849"/>
      <c r="W197" s="849"/>
    </row>
    <row r="198" spans="11:29" ht="345" x14ac:dyDescent="0.25">
      <c r="K198" s="591" t="s">
        <v>2222</v>
      </c>
      <c r="L198" s="615">
        <f>IF(Geometria!$M$18="1 - Sim",IF(Geometria!$L$83&lt;=50,0.85,0.85*(1-(Geometria!$L$83-50)/200))*IF(Geometria!$L$83&lt;=40,1,(40/Geometria!$L$83)^(1/3))*Geometria!$L$83/(10*Geometria!$R$78)/Geometria!$L$93-$L$18,0)</f>
        <v>-0.46665333163897005</v>
      </c>
      <c r="M198" s="591" t="s">
        <v>241</v>
      </c>
      <c r="N198" s="640" t="s">
        <v>2223</v>
      </c>
    </row>
    <row r="199" spans="11:29" x14ac:dyDescent="0.25">
      <c r="K199" s="591" t="s">
        <v>1893</v>
      </c>
      <c r="L199" s="615">
        <v>0.5</v>
      </c>
      <c r="M199" s="591" t="s">
        <v>35</v>
      </c>
    </row>
    <row r="200" spans="11:29" x14ac:dyDescent="0.25">
      <c r="K200" s="591" t="s">
        <v>1894</v>
      </c>
      <c r="L200" s="615">
        <f>L190-0.5</f>
        <v>89.5</v>
      </c>
      <c r="M200" s="591" t="s">
        <v>35</v>
      </c>
    </row>
    <row r="201" spans="11:29" ht="27.75" customHeight="1" x14ac:dyDescent="0.25">
      <c r="K201" s="591" t="s">
        <v>1895</v>
      </c>
      <c r="L201" s="615">
        <f>(L200-L199)/100</f>
        <v>0.89</v>
      </c>
      <c r="M201" s="591" t="s">
        <v>35</v>
      </c>
      <c r="N201" s="849" t="s">
        <v>1896</v>
      </c>
      <c r="O201" s="849"/>
      <c r="P201" s="849"/>
      <c r="Q201" s="849"/>
      <c r="R201" s="849"/>
      <c r="S201" s="849"/>
      <c r="T201" s="849"/>
      <c r="U201" s="849"/>
      <c r="V201" s="849"/>
      <c r="W201" s="849"/>
    </row>
    <row r="203" spans="11:29" x14ac:dyDescent="0.25">
      <c r="K203" s="621" t="s">
        <v>968</v>
      </c>
      <c r="L203" s="621" t="s">
        <v>1897</v>
      </c>
      <c r="M203" s="621" t="s">
        <v>1898</v>
      </c>
      <c r="N203" s="621" t="s">
        <v>1899</v>
      </c>
      <c r="O203" s="621" t="s">
        <v>1900</v>
      </c>
      <c r="P203" s="621" t="s">
        <v>1901</v>
      </c>
      <c r="Q203" s="621" t="s">
        <v>1902</v>
      </c>
      <c r="R203" s="621" t="s">
        <v>546</v>
      </c>
      <c r="S203" s="621" t="s">
        <v>1903</v>
      </c>
      <c r="T203" s="621" t="s">
        <v>1904</v>
      </c>
      <c r="U203" s="621" t="s">
        <v>1905</v>
      </c>
      <c r="V203" s="621" t="s">
        <v>1906</v>
      </c>
      <c r="W203" s="621" t="s">
        <v>1907</v>
      </c>
      <c r="AC203" t="s">
        <v>1942</v>
      </c>
    </row>
    <row r="204" spans="11:29" x14ac:dyDescent="0.25">
      <c r="K204" s="622">
        <f>$L$199+0*$L$201</f>
        <v>0.5</v>
      </c>
      <c r="L204" s="622">
        <f>IF(($L$14*K204)&lt;=(Geometria!$W$48-Geometria!$W$47),(2*ABS(Geometria!$V$48))*($L$14*K204),IF(($L$14*K204)&lt;=(Geometria!$W$48-Geometria!$W$44),(2*ABS(Geometria!$V$48))*(Geometria!$W$48-Geometria!$W$47)+(2*ABS(Geometria!$V$45))*(($L$14*K204)-(Geometria!$W$48-Geometria!$W$47)),IF(($L$14*K204)&lt;=(Geometria!$W$48-Geometria!$W$42),(2*ABS(Geometria!$V$48))*(Geometria!$W$48-Geometria!$W$47)+(2*ABS(Geometria!$V$45))*((Geometria!$W$48-Geometria!$W$44)-(Geometria!$W$48-Geometria!$W$47))+(2*ABS(Geometria!$V$42))*(($L$14*K204)-(Geometria!$W$48-Geometria!$W$44)),IF(($L$14*K204)&lt;=(Geometria!$W$48-Geometria!$W$41),(2*ABS(Geometria!$V$48))*(Geometria!$W$48-Geometria!$W$47)+(2*ABS(Geometria!$V$45))*((Geometria!$W$48-Geometria!$W$44)-(Geometria!$W$48-Geometria!$W$47))+(2*ABS(Geometria!$V$42))*((Geometria!$W$48-Geometria!$W$42)-(Geometria!$W$48-Geometria!$W$44))+((2*ABS(Geometria!$V$42))+((2*ABS(Geometria!$V$42))+((2*ABS(Geometria!$V$41))-(2*ABS(Geometria!$V$42)))*(($L$14*K204)-(Geometria!$W$48-Geometria!$W$42))/((Geometria!$W$48-Geometria!$W$41)-(Geometria!$W$48-Geometria!$W$42))))/2*(($L$14*K204)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204)-(Geometria!$W$48-Geometria!$W$41))))))*$L$18+$L$198*IF(($L$14*K204)&lt;=(Geometria!$W$48-Geometria!$W$47),2*ABS(Geometria!$V$48)*($L$14*K204),2*ABS(Geometria!$V$48)*(Geometria!$W$48-Geometria!$W$47)+2*ABS(Geometria!$V$45)*(MIN(($L$14*K204),(Geometria!$W$48-Geometria!$W$44))-(Geometria!$W$48-Geometria!$W$47)))</f>
        <v>136.2428571428572</v>
      </c>
      <c r="M204" s="622">
        <f t="shared" ref="M204:M235" si="36">$L$13*(K204-$L$194)/K204</f>
        <v>-233.09999999999997</v>
      </c>
      <c r="N204" s="622">
        <f t="shared" ref="N204:N235" ca="1" si="37">$L$25*(SIGN(M204)*MIN(ABS(M204)*$L$10/1000,$L$11))/10</f>
        <v>-274.03636363636366</v>
      </c>
      <c r="O204" s="622">
        <f t="shared" ref="O204:O235" si="38">$L$13*($L$195-K204)/K204</f>
        <v>599.9</v>
      </c>
      <c r="P204" s="622">
        <f t="shared" ref="P204:P235" ca="1" si="39">$L$30*(SIGN(O204)*MIN(ABS(O204)*$L$10/1000,$L$11))/10</f>
        <v>1096.1454545454546</v>
      </c>
      <c r="Q204" s="622">
        <f t="shared" ref="Q204:Q235" ca="1" si="40">$L$36+$L$13*($L$196-K204)/K204</f>
        <v>553.1151309425196</v>
      </c>
      <c r="R204">
        <f t="shared" ref="R204:R235" ca="1" si="41">SIGN(Q204)*IF(ABS(Q204)&lt;=$Z$12,$Z$9*ABS(Q204)/1000,IF(ABS(Q204)&lt;=$Z$13,$Z$10+($Z$11-$Z$10)*(ABS(Q204)-$Z$12)/($Z$13-$Z$12),$Z$11))/10</f>
        <v>172.7272727272727</v>
      </c>
      <c r="S204" s="622">
        <f t="shared" ref="S204:S235" ca="1" si="42">$L$34*(R204/$L$9)</f>
        <v>1758.6776859504128</v>
      </c>
      <c r="T204" s="622">
        <f t="shared" ref="T204:T235" ca="1" si="43">$L$41+$L$13*($L$197-K204)/K204</f>
        <v>212.04430875880922</v>
      </c>
      <c r="U204">
        <f t="shared" ref="U204:U235" ca="1" si="44">SIGN(T204)*IF(ABS(T204)&lt;=$Z$12,$Z$9*ABS(T204)/1000,IF(ABS(T204)&lt;=$Z$13,$Z$10+($Z$11-$Z$10)*(ABS(T204)-$Z$12)/($Z$13-$Z$12),$Z$11))/10</f>
        <v>172.7272727272727</v>
      </c>
      <c r="V204" s="622">
        <f t="shared" ref="V204:V235" ca="1" si="45">$L$39*(U204/$L$9)</f>
        <v>0.0</v>
      </c>
      <c r="W204" s="622">
        <f t="shared" ref="W204:W235" ca="1" si="46">L204+N204-P204-S204-V204</f>
        <v>-2992.616646989374</v>
      </c>
    </row>
    <row r="205" spans="11:29" x14ac:dyDescent="0.25">
      <c r="K205" s="622">
        <f>$L$199+1*$L$201</f>
        <v>1.3900000000000001</v>
      </c>
      <c r="L205" s="622">
        <f>IF(($L$14*K205)&lt;=(Geometria!$W$48-Geometria!$W$47),(2*ABS(Geometria!$V$48))*($L$14*K205),IF(($L$14*K205)&lt;=(Geometria!$W$48-Geometria!$W$44),(2*ABS(Geometria!$V$48))*(Geometria!$W$48-Geometria!$W$47)+(2*ABS(Geometria!$V$45))*(($L$14*K205)-(Geometria!$W$48-Geometria!$W$47)),IF(($L$14*K205)&lt;=(Geometria!$W$48-Geometria!$W$42),(2*ABS(Geometria!$V$48))*(Geometria!$W$48-Geometria!$W$47)+(2*ABS(Geometria!$V$45))*((Geometria!$W$48-Geometria!$W$44)-(Geometria!$W$48-Geometria!$W$47))+(2*ABS(Geometria!$V$42))*(($L$14*K205)-(Geometria!$W$48-Geometria!$W$44)),IF(($L$14*K205)&lt;=(Geometria!$W$48-Geometria!$W$41),(2*ABS(Geometria!$V$48))*(Geometria!$W$48-Geometria!$W$47)+(2*ABS(Geometria!$V$45))*((Geometria!$W$48-Geometria!$W$44)-(Geometria!$W$48-Geometria!$W$47))+(2*ABS(Geometria!$V$42))*((Geometria!$W$48-Geometria!$W$42)-(Geometria!$W$48-Geometria!$W$44))+((2*ABS(Geometria!$V$42))+((2*ABS(Geometria!$V$42))+((2*ABS(Geometria!$V$41))-(2*ABS(Geometria!$V$42)))*(($L$14*K205)-(Geometria!$W$48-Geometria!$W$42))/((Geometria!$W$48-Geometria!$W$41)-(Geometria!$W$48-Geometria!$W$42))))/2*(($L$14*K205)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205)-(Geometria!$W$48-Geometria!$W$41))))))*$L$18+$L$198*IF(($L$14*K205)&lt;=(Geometria!$W$48-Geometria!$W$47),2*ABS(Geometria!$V$48)*($L$14*K205),2*ABS(Geometria!$V$48)*(Geometria!$W$48-Geometria!$W$47)+2*ABS(Geometria!$V$45)*(MIN(($L$14*K205),(Geometria!$W$48-Geometria!$W$44))-(Geometria!$W$48-Geometria!$W$47)))</f>
        <v>378.7551428571429</v>
      </c>
      <c r="M205" s="622">
        <f t="shared" si="36"/>
        <v>-81.60791366906473</v>
      </c>
      <c r="N205" s="622">
        <f t="shared" ca="1" si="37"/>
        <v>-274.03636363636366</v>
      </c>
      <c r="O205" s="622">
        <f t="shared" si="38"/>
        <v>213.55035971223023</v>
      </c>
      <c r="P205" s="622">
        <f t="shared" ca="1" si="39"/>
        <v>1096.1454545454546</v>
      </c>
      <c r="Q205" s="622">
        <f t="shared" ca="1" si="40"/>
        <v>200.15649784899443</v>
      </c>
      <c r="R205">
        <f t="shared" ca="1" si="41"/>
        <v>172.7272727272727</v>
      </c>
      <c r="S205" s="622">
        <f t="shared" ca="1" si="42"/>
        <v>1758.6776859504128</v>
      </c>
      <c r="T205" s="622">
        <f t="shared" ca="1" si="43"/>
        <v>77.58387710413297</v>
      </c>
      <c r="U205">
        <f t="shared" ca="1" si="44"/>
        <v>172.7272727272727</v>
      </c>
      <c r="V205" s="622">
        <f t="shared" ca="1" si="45"/>
        <v>0.0</v>
      </c>
      <c r="W205" s="622">
        <f t="shared" ca="1" si="46"/>
        <v>-2750.104361275088</v>
      </c>
    </row>
    <row r="206" spans="11:29" x14ac:dyDescent="0.25">
      <c r="K206" s="622">
        <f>$L$199+2*$L$201</f>
        <v>2.2800000000000002</v>
      </c>
      <c r="L206" s="622">
        <f>IF(($L$14*K206)&lt;=(Geometria!$W$48-Geometria!$W$47),(2*ABS(Geometria!$V$48))*($L$14*K206),IF(($L$14*K206)&lt;=(Geometria!$W$48-Geometria!$W$44),(2*ABS(Geometria!$V$48))*(Geometria!$W$48-Geometria!$W$47)+(2*ABS(Geometria!$V$45))*(($L$14*K206)-(Geometria!$W$48-Geometria!$W$47)),IF(($L$14*K206)&lt;=(Geometria!$W$48-Geometria!$W$42),(2*ABS(Geometria!$V$48))*(Geometria!$W$48-Geometria!$W$47)+(2*ABS(Geometria!$V$45))*((Geometria!$W$48-Geometria!$W$44)-(Geometria!$W$48-Geometria!$W$47))+(2*ABS(Geometria!$V$42))*(($L$14*K206)-(Geometria!$W$48-Geometria!$W$44)),IF(($L$14*K206)&lt;=(Geometria!$W$48-Geometria!$W$41),(2*ABS(Geometria!$V$48))*(Geometria!$W$48-Geometria!$W$47)+(2*ABS(Geometria!$V$45))*((Geometria!$W$48-Geometria!$W$44)-(Geometria!$W$48-Geometria!$W$47))+(2*ABS(Geometria!$V$42))*((Geometria!$W$48-Geometria!$W$42)-(Geometria!$W$48-Geometria!$W$44))+((2*ABS(Geometria!$V$42))+((2*ABS(Geometria!$V$42))+((2*ABS(Geometria!$V$41))-(2*ABS(Geometria!$V$42)))*(($L$14*K206)-(Geometria!$W$48-Geometria!$W$42))/((Geometria!$W$48-Geometria!$W$41)-(Geometria!$W$48-Geometria!$W$42))))/2*(($L$14*K206)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206)-(Geometria!$W$48-Geometria!$W$41))))))*$L$18+$L$198*IF(($L$14*K206)&lt;=(Geometria!$W$48-Geometria!$W$47),2*ABS(Geometria!$V$48)*($L$14*K206),2*ABS(Geometria!$V$48)*(Geometria!$W$48-Geometria!$W$47)+2*ABS(Geometria!$V$45)*(MIN(($L$14*K206),(Geometria!$W$48-Geometria!$W$44))-(Geometria!$W$48-Geometria!$W$47)))</f>
        <v>621.2674285714288</v>
      </c>
      <c r="M206" s="622">
        <f t="shared" si="36"/>
        <v>-48.38596491228069</v>
      </c>
      <c r="N206" s="622">
        <f t="shared" ca="1" si="37"/>
        <v>-274.03636363636366</v>
      </c>
      <c r="O206" s="622">
        <f t="shared" si="38"/>
        <v>128.82456140350877</v>
      </c>
      <c r="P206" s="622">
        <f t="shared" ca="1" si="39"/>
        <v>1096.1454545454546</v>
      </c>
      <c r="Q206" s="622">
        <f t="shared" ca="1" si="40"/>
        <v>122.75328883725646</v>
      </c>
      <c r="R206">
        <f t="shared" ca="1" si="41"/>
        <v>172.7272727272727</v>
      </c>
      <c r="S206" s="622">
        <f t="shared" ca="1" si="42"/>
        <v>1758.6776859504128</v>
      </c>
      <c r="T206" s="622">
        <f t="shared" ca="1" si="43"/>
        <v>48.09694033775659</v>
      </c>
      <c r="U206">
        <f t="shared" ca="1" si="44"/>
        <v>172.7272727272727</v>
      </c>
      <c r="V206" s="622">
        <f t="shared" ca="1" si="45"/>
        <v>0.0</v>
      </c>
      <c r="W206" s="622">
        <f t="shared" ca="1" si="46"/>
        <v>-2507.592075560802</v>
      </c>
      <c r="AC206" t="s">
        <v>1943</v>
      </c>
    </row>
    <row r="207" spans="11:29" x14ac:dyDescent="0.25">
      <c r="K207" s="622">
        <f>$L$199+3*$L$201</f>
        <v>3.17</v>
      </c>
      <c r="L207" s="622">
        <f>IF(($L$14*K207)&lt;=(Geometria!$W$48-Geometria!$W$47),(2*ABS(Geometria!$V$48))*($L$14*K207),IF(($L$14*K207)&lt;=(Geometria!$W$48-Geometria!$W$44),(2*ABS(Geometria!$V$48))*(Geometria!$W$48-Geometria!$W$47)+(2*ABS(Geometria!$V$45))*(($L$14*K207)-(Geometria!$W$48-Geometria!$W$47)),IF(($L$14*K207)&lt;=(Geometria!$W$48-Geometria!$W$42),(2*ABS(Geometria!$V$48))*(Geometria!$W$48-Geometria!$W$47)+(2*ABS(Geometria!$V$45))*((Geometria!$W$48-Geometria!$W$44)-(Geometria!$W$48-Geometria!$W$47))+(2*ABS(Geometria!$V$42))*(($L$14*K207)-(Geometria!$W$48-Geometria!$W$44)),IF(($L$14*K207)&lt;=(Geometria!$W$48-Geometria!$W$41),(2*ABS(Geometria!$V$48))*(Geometria!$W$48-Geometria!$W$47)+(2*ABS(Geometria!$V$45))*((Geometria!$W$48-Geometria!$W$44)-(Geometria!$W$48-Geometria!$W$47))+(2*ABS(Geometria!$V$42))*((Geometria!$W$48-Geometria!$W$42)-(Geometria!$W$48-Geometria!$W$44))+((2*ABS(Geometria!$V$42))+((2*ABS(Geometria!$V$42))+((2*ABS(Geometria!$V$41))-(2*ABS(Geometria!$V$42)))*(($L$14*K207)-(Geometria!$W$48-Geometria!$W$42))/((Geometria!$W$48-Geometria!$W$41)-(Geometria!$W$48-Geometria!$W$42))))/2*(($L$14*K207)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207)-(Geometria!$W$48-Geometria!$W$41))))))*$L$18+$L$198*IF(($L$14*K207)&lt;=(Geometria!$W$48-Geometria!$W$47),2*ABS(Geometria!$V$48)*($L$14*K207),2*ABS(Geometria!$V$48)*(Geometria!$W$48-Geometria!$W$47)+2*ABS(Geometria!$V$45)*(MIN(($L$14*K207),(Geometria!$W$48-Geometria!$W$44))-(Geometria!$W$48-Geometria!$W$47)))</f>
        <v>863.7797142857144</v>
      </c>
      <c r="M207" s="622">
        <f t="shared" si="36"/>
        <v>-33.8186119873817</v>
      </c>
      <c r="N207" s="622">
        <f t="shared" ca="1" si="37"/>
        <v>-274.03636363636366</v>
      </c>
      <c r="O207" s="622">
        <f t="shared" si="38"/>
        <v>91.67350157728707</v>
      </c>
      <c r="P207" s="622">
        <f t="shared" ca="1" si="39"/>
        <v>1096.1454545454546</v>
      </c>
      <c r="Q207" s="622">
        <f t="shared" ca="1" si="40"/>
        <v>88.8130804693335</v>
      </c>
      <c r="R207">
        <f t="shared" ca="1" si="41"/>
        <v>172.7272727272727</v>
      </c>
      <c r="S207" s="622">
        <f t="shared" ca="1" si="42"/>
        <v>1758.6776859504128</v>
      </c>
      <c r="T207" s="622">
        <f t="shared" ca="1" si="43"/>
        <v>35.167337149976426</v>
      </c>
      <c r="U207">
        <f t="shared" ca="1" si="44"/>
        <v>172.7272727272727</v>
      </c>
      <c r="V207" s="622">
        <f t="shared" ca="1" si="45"/>
        <v>0.0</v>
      </c>
      <c r="W207" s="622">
        <f t="shared" ca="1" si="46"/>
        <v>-2265.0797898465166</v>
      </c>
    </row>
    <row r="208" spans="11:29" x14ac:dyDescent="0.25">
      <c r="K208" s="622">
        <f>$L$199+4*$L$201</f>
        <v>4.0600000000000005</v>
      </c>
      <c r="L208" s="622">
        <f>IF(($L$14*K208)&lt;=(Geometria!$W$48-Geometria!$W$47),(2*ABS(Geometria!$V$48))*($L$14*K208),IF(($L$14*K208)&lt;=(Geometria!$W$48-Geometria!$W$44),(2*ABS(Geometria!$V$48))*(Geometria!$W$48-Geometria!$W$47)+(2*ABS(Geometria!$V$45))*(($L$14*K208)-(Geometria!$W$48-Geometria!$W$47)),IF(($L$14*K208)&lt;=(Geometria!$W$48-Geometria!$W$42),(2*ABS(Geometria!$V$48))*(Geometria!$W$48-Geometria!$W$47)+(2*ABS(Geometria!$V$45))*((Geometria!$W$48-Geometria!$W$44)-(Geometria!$W$48-Geometria!$W$47))+(2*ABS(Geometria!$V$42))*(($L$14*K208)-(Geometria!$W$48-Geometria!$W$44)),IF(($L$14*K208)&lt;=(Geometria!$W$48-Geometria!$W$41),(2*ABS(Geometria!$V$48))*(Geometria!$W$48-Geometria!$W$47)+(2*ABS(Geometria!$V$45))*((Geometria!$W$48-Geometria!$W$44)-(Geometria!$W$48-Geometria!$W$47))+(2*ABS(Geometria!$V$42))*((Geometria!$W$48-Geometria!$W$42)-(Geometria!$W$48-Geometria!$W$44))+((2*ABS(Geometria!$V$42))+((2*ABS(Geometria!$V$42))+((2*ABS(Geometria!$V$41))-(2*ABS(Geometria!$V$42)))*(($L$14*K208)-(Geometria!$W$48-Geometria!$W$42))/((Geometria!$W$48-Geometria!$W$41)-(Geometria!$W$48-Geometria!$W$42))))/2*(($L$14*K208)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208)-(Geometria!$W$48-Geometria!$W$41))))))*$L$18+$L$198*IF(($L$14*K208)&lt;=(Geometria!$W$48-Geometria!$W$47),2*ABS(Geometria!$V$48)*($L$14*K208),2*ABS(Geometria!$V$48)*(Geometria!$W$48-Geometria!$W$47)+2*ABS(Geometria!$V$45)*(MIN(($L$14*K208),(Geometria!$W$48-Geometria!$W$44))-(Geometria!$W$48-Geometria!$W$47)))</f>
        <v>1106.2920000000004</v>
      </c>
      <c r="M208" s="622">
        <f t="shared" si="36"/>
        <v>-25.63793103448275</v>
      </c>
      <c r="N208" s="622">
        <f t="shared" ca="1" si="37"/>
        <v>-274.03636363636366</v>
      </c>
      <c r="O208" s="622">
        <f t="shared" si="38"/>
        <v>70.8103448275862</v>
      </c>
      <c r="P208" s="622">
        <f t="shared" ca="1" si="39"/>
        <v>1096.1454545454546</v>
      </c>
      <c r="Q208" s="622">
        <f t="shared" ca="1" si="40"/>
        <v>69.75306197700237</v>
      </c>
      <c r="R208">
        <f t="shared" ca="1" si="41"/>
        <v>172.7272727272727</v>
      </c>
      <c r="S208" s="622">
        <f t="shared" ca="1" si="42"/>
        <v>1758.6776859504128</v>
      </c>
      <c r="T208" s="622">
        <f t="shared" ca="1" si="43"/>
        <v>27.90637772432647</v>
      </c>
      <c r="U208">
        <f t="shared" ca="1" si="44"/>
        <v>172.7272727272727</v>
      </c>
      <c r="V208" s="622">
        <f t="shared" ca="1" si="45"/>
        <v>0.0</v>
      </c>
      <c r="W208" s="622">
        <f t="shared" ca="1" si="46"/>
        <v>-2022.5675041322306</v>
      </c>
    </row>
    <row r="209" spans="11:29" x14ac:dyDescent="0.25">
      <c r="K209" s="622">
        <f>$L$199+5*$L$201</f>
        <v>4.95</v>
      </c>
      <c r="L209" s="622">
        <f>IF(($L$14*K209)&lt;=(Geometria!$W$48-Geometria!$W$47),(2*ABS(Geometria!$V$48))*($L$14*K209),IF(($L$14*K209)&lt;=(Geometria!$W$48-Geometria!$W$44),(2*ABS(Geometria!$V$48))*(Geometria!$W$48-Geometria!$W$47)+(2*ABS(Geometria!$V$45))*(($L$14*K209)-(Geometria!$W$48-Geometria!$W$47)),IF(($L$14*K209)&lt;=(Geometria!$W$48-Geometria!$W$42),(2*ABS(Geometria!$V$48))*(Geometria!$W$48-Geometria!$W$47)+(2*ABS(Geometria!$V$45))*((Geometria!$W$48-Geometria!$W$44)-(Geometria!$W$48-Geometria!$W$47))+(2*ABS(Geometria!$V$42))*(($L$14*K209)-(Geometria!$W$48-Geometria!$W$44)),IF(($L$14*K209)&lt;=(Geometria!$W$48-Geometria!$W$41),(2*ABS(Geometria!$V$48))*(Geometria!$W$48-Geometria!$W$47)+(2*ABS(Geometria!$V$45))*((Geometria!$W$48-Geometria!$W$44)-(Geometria!$W$48-Geometria!$W$47))+(2*ABS(Geometria!$V$42))*((Geometria!$W$48-Geometria!$W$42)-(Geometria!$W$48-Geometria!$W$44))+((2*ABS(Geometria!$V$42))+((2*ABS(Geometria!$V$42))+((2*ABS(Geometria!$V$41))-(2*ABS(Geometria!$V$42)))*(($L$14*K209)-(Geometria!$W$48-Geometria!$W$42))/((Geometria!$W$48-Geometria!$W$41)-(Geometria!$W$48-Geometria!$W$42))))/2*(($L$14*K209)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209)-(Geometria!$W$48-Geometria!$W$41))))))*$L$18+$L$198*IF(($L$14*K209)&lt;=(Geometria!$W$48-Geometria!$W$47),2*ABS(Geometria!$V$48)*($L$14*K209),2*ABS(Geometria!$V$48)*(Geometria!$W$48-Geometria!$W$47)+2*ABS(Geometria!$V$45)*(MIN(($L$14*K209),(Geometria!$W$48-Geometria!$W$44))-(Geometria!$W$48-Geometria!$W$47)))</f>
        <v>1348.804285714286</v>
      </c>
      <c r="M209" s="622">
        <f t="shared" si="36"/>
        <v>-20.398989898989896</v>
      </c>
      <c r="N209" s="622">
        <f t="shared" ca="1" si="37"/>
        <v>-274.03636363636366</v>
      </c>
      <c r="O209" s="622">
        <f t="shared" si="38"/>
        <v>57.44949494949495</v>
      </c>
      <c r="P209" s="622">
        <f t="shared" ca="1" si="39"/>
        <v>1096.1454545454546</v>
      </c>
      <c r="Q209" s="622">
        <f t="shared" ca="1" si="40"/>
        <v>57.546949124337814</v>
      </c>
      <c r="R209">
        <f t="shared" ca="1" si="41"/>
        <v>172.7272727272727</v>
      </c>
      <c r="S209" s="622">
        <f t="shared" ca="1" si="42"/>
        <v>1758.6776859504128</v>
      </c>
      <c r="T209" s="622">
        <f t="shared" ca="1" si="43"/>
        <v>23.256429970930444</v>
      </c>
      <c r="U209">
        <f t="shared" ca="1" si="44"/>
        <v>172.7272727272727</v>
      </c>
      <c r="V209" s="622">
        <f t="shared" ca="1" si="45"/>
        <v>0.0</v>
      </c>
      <c r="W209" s="622">
        <f t="shared" ca="1" si="46"/>
        <v>-1780.055218417945</v>
      </c>
    </row>
    <row r="210" spans="11:29" x14ac:dyDescent="0.25">
      <c r="K210" s="622">
        <f>$L$199+6*$L$201</f>
        <v>5.84</v>
      </c>
      <c r="L210" s="622">
        <f>IF(($L$14*K210)&lt;=(Geometria!$W$48-Geometria!$W$47),(2*ABS(Geometria!$V$48))*($L$14*K210),IF(($L$14*K210)&lt;=(Geometria!$W$48-Geometria!$W$44),(2*ABS(Geometria!$V$48))*(Geometria!$W$48-Geometria!$W$47)+(2*ABS(Geometria!$V$45))*(($L$14*K210)-(Geometria!$W$48-Geometria!$W$47)),IF(($L$14*K210)&lt;=(Geometria!$W$48-Geometria!$W$42),(2*ABS(Geometria!$V$48))*(Geometria!$W$48-Geometria!$W$47)+(2*ABS(Geometria!$V$45))*((Geometria!$W$48-Geometria!$W$44)-(Geometria!$W$48-Geometria!$W$47))+(2*ABS(Geometria!$V$42))*(($L$14*K210)-(Geometria!$W$48-Geometria!$W$44)),IF(($L$14*K210)&lt;=(Geometria!$W$48-Geometria!$W$41),(2*ABS(Geometria!$V$48))*(Geometria!$W$48-Geometria!$W$47)+(2*ABS(Geometria!$V$45))*((Geometria!$W$48-Geometria!$W$44)-(Geometria!$W$48-Geometria!$W$47))+(2*ABS(Geometria!$V$42))*((Geometria!$W$48-Geometria!$W$42)-(Geometria!$W$48-Geometria!$W$44))+((2*ABS(Geometria!$V$42))+((2*ABS(Geometria!$V$42))+((2*ABS(Geometria!$V$41))-(2*ABS(Geometria!$V$42)))*(($L$14*K210)-(Geometria!$W$48-Geometria!$W$42))/((Geometria!$W$48-Geometria!$W$41)-(Geometria!$W$48-Geometria!$W$42))))/2*(($L$14*K210)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210)-(Geometria!$W$48-Geometria!$W$41))))))*$L$18+$L$198*IF(($L$14*K210)&lt;=(Geometria!$W$48-Geometria!$W$47),2*ABS(Geometria!$V$48)*($L$14*K210),2*ABS(Geometria!$V$48)*(Geometria!$W$48-Geometria!$W$47)+2*ABS(Geometria!$V$45)*(MIN(($L$14*K210),(Geometria!$W$48-Geometria!$W$44))-(Geometria!$W$48-Geometria!$W$47)))</f>
        <v>1591.3165714285715</v>
      </c>
      <c r="M210" s="622">
        <f t="shared" si="36"/>
        <v>-16.75684931506849</v>
      </c>
      <c r="N210" s="622">
        <f t="shared" ca="1" si="37"/>
        <v>-274.03636363636366</v>
      </c>
      <c r="O210" s="622">
        <f t="shared" si="38"/>
        <v>48.16095890410959</v>
      </c>
      <c r="P210" s="622">
        <f t="shared" ca="1" si="39"/>
        <v>1096.1454545454546</v>
      </c>
      <c r="Q210" s="622">
        <f t="shared" ca="1" si="40"/>
        <v>49.061192586355254</v>
      </c>
      <c r="R210">
        <f t="shared" ca="1" si="41"/>
        <v>172.7272727272727</v>
      </c>
      <c r="S210" s="622">
        <f t="shared" ca="1" si="42"/>
        <v>1758.6776859504128</v>
      </c>
      <c r="T210" s="622">
        <f t="shared" ca="1" si="43"/>
        <v>20.023760813603754</v>
      </c>
      <c r="U210">
        <f t="shared" ca="1" si="44"/>
        <v>172.7272727272727</v>
      </c>
      <c r="V210" s="622">
        <f t="shared" ca="1" si="45"/>
        <v>0.0</v>
      </c>
      <c r="W210" s="622">
        <f t="shared" ca="1" si="46"/>
        <v>-1537.5429327036595</v>
      </c>
      <c r="AC210" t="s">
        <v>1944</v>
      </c>
    </row>
    <row r="211" spans="11:29" x14ac:dyDescent="0.25">
      <c r="K211" s="622">
        <f>$L$199+7*$L$201</f>
        <v>6.73</v>
      </c>
      <c r="L211" s="622">
        <f>IF(($L$14*K211)&lt;=(Geometria!$W$48-Geometria!$W$47),(2*ABS(Geometria!$V$48))*($L$14*K211),IF(($L$14*K211)&lt;=(Geometria!$W$48-Geometria!$W$44),(2*ABS(Geometria!$V$48))*(Geometria!$W$48-Geometria!$W$47)+(2*ABS(Geometria!$V$45))*(($L$14*K211)-(Geometria!$W$48-Geometria!$W$47)),IF(($L$14*K211)&lt;=(Geometria!$W$48-Geometria!$W$42),(2*ABS(Geometria!$V$48))*(Geometria!$W$48-Geometria!$W$47)+(2*ABS(Geometria!$V$45))*((Geometria!$W$48-Geometria!$W$44)-(Geometria!$W$48-Geometria!$W$47))+(2*ABS(Geometria!$V$42))*(($L$14*K211)-(Geometria!$W$48-Geometria!$W$44)),IF(($L$14*K211)&lt;=(Geometria!$W$48-Geometria!$W$41),(2*ABS(Geometria!$V$48))*(Geometria!$W$48-Geometria!$W$47)+(2*ABS(Geometria!$V$45))*((Geometria!$W$48-Geometria!$W$44)-(Geometria!$W$48-Geometria!$W$47))+(2*ABS(Geometria!$V$42))*((Geometria!$W$48-Geometria!$W$42)-(Geometria!$W$48-Geometria!$W$44))+((2*ABS(Geometria!$V$42))+((2*ABS(Geometria!$V$42))+((2*ABS(Geometria!$V$41))-(2*ABS(Geometria!$V$42)))*(($L$14*K211)-(Geometria!$W$48-Geometria!$W$42))/((Geometria!$W$48-Geometria!$W$41)-(Geometria!$W$48-Geometria!$W$42))))/2*(($L$14*K211)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211)-(Geometria!$W$48-Geometria!$W$41))))))*$L$18+$L$198*IF(($L$14*K211)&lt;=(Geometria!$W$48-Geometria!$W$47),2*ABS(Geometria!$V$48)*($L$14*K211),2*ABS(Geometria!$V$48)*(Geometria!$W$48-Geometria!$W$47)+2*ABS(Geometria!$V$45)*(MIN(($L$14*K211),(Geometria!$W$48-Geometria!$W$44))-(Geometria!$W$48-Geometria!$W$47)))</f>
        <v>1724.0185714285717</v>
      </c>
      <c r="M211" s="622">
        <f t="shared" si="36"/>
        <v>-14.078008915304604</v>
      </c>
      <c r="N211" s="622">
        <f t="shared" ca="1" si="37"/>
        <v>-274.03636363636366</v>
      </c>
      <c r="O211" s="622">
        <f t="shared" si="38"/>
        <v>41.32912332838038</v>
      </c>
      <c r="P211" s="622">
        <f t="shared" ca="1" si="39"/>
        <v>1096.1454545454546</v>
      </c>
      <c r="Q211" s="622">
        <f t="shared" ca="1" si="40"/>
        <v>42.81981147743791</v>
      </c>
      <c r="R211">
        <f t="shared" ca="1" si="41"/>
        <v>172.7272727272727</v>
      </c>
      <c r="S211" s="622">
        <f t="shared" ca="1" si="42"/>
        <v>1758.6776859504128</v>
      </c>
      <c r="T211" s="622">
        <f t="shared" ca="1" si="43"/>
        <v>17.64609181973048</v>
      </c>
      <c r="U211">
        <f t="shared" ca="1" si="44"/>
        <v>172.7272727272727</v>
      </c>
      <c r="V211" s="622">
        <f t="shared" ca="1" si="45"/>
        <v>0.0</v>
      </c>
      <c r="W211" s="622">
        <f t="shared" ca="1" si="46"/>
        <v>-1404.8409327036593</v>
      </c>
    </row>
    <row r="212" spans="11:29" x14ac:dyDescent="0.25">
      <c r="K212" s="622">
        <f>$L$199+8*$L$201</f>
        <v>7.62</v>
      </c>
      <c r="L212" s="622">
        <f>IF(($L$14*K212)&lt;=(Geometria!$W$48-Geometria!$W$47),(2*ABS(Geometria!$V$48))*($L$14*K212),IF(($L$14*K212)&lt;=(Geometria!$W$48-Geometria!$W$44),(2*ABS(Geometria!$V$48))*(Geometria!$W$48-Geometria!$W$47)+(2*ABS(Geometria!$V$45))*(($L$14*K212)-(Geometria!$W$48-Geometria!$W$47)),IF(($L$14*K212)&lt;=(Geometria!$W$48-Geometria!$W$42),(2*ABS(Geometria!$V$48))*(Geometria!$W$48-Geometria!$W$47)+(2*ABS(Geometria!$V$45))*((Geometria!$W$48-Geometria!$W$44)-(Geometria!$W$48-Geometria!$W$47))+(2*ABS(Geometria!$V$42))*(($L$14*K212)-(Geometria!$W$48-Geometria!$W$44)),IF(($L$14*K212)&lt;=(Geometria!$W$48-Geometria!$W$41),(2*ABS(Geometria!$V$48))*(Geometria!$W$48-Geometria!$W$47)+(2*ABS(Geometria!$V$45))*((Geometria!$W$48-Geometria!$W$44)-(Geometria!$W$48-Geometria!$W$47))+(2*ABS(Geometria!$V$42))*((Geometria!$W$48-Geometria!$W$42)-(Geometria!$W$48-Geometria!$W$44))+((2*ABS(Geometria!$V$42))+((2*ABS(Geometria!$V$42))+((2*ABS(Geometria!$V$41))-(2*ABS(Geometria!$V$42)))*(($L$14*K212)-(Geometria!$W$48-Geometria!$W$42))/((Geometria!$W$48-Geometria!$W$41)-(Geometria!$W$48-Geometria!$W$42))))/2*(($L$14*K212)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212)-(Geometria!$W$48-Geometria!$W$41))))))*$L$18+$L$198*IF(($L$14*K212)&lt;=(Geometria!$W$48-Geometria!$W$47),2*ABS(Geometria!$V$48)*($L$14*K212),2*ABS(Geometria!$V$48)*(Geometria!$W$48-Geometria!$W$47)+2*ABS(Geometria!$V$45)*(MIN(($L$14*K212),(Geometria!$W$48-Geometria!$W$44))-(Geometria!$W$48-Geometria!$W$47)))</f>
        <v>1762.9242857142863</v>
      </c>
      <c r="M212" s="622">
        <f t="shared" si="36"/>
        <v>-12.024934383202098</v>
      </c>
      <c r="N212" s="622">
        <f t="shared" ca="1" si="37"/>
        <v>-274.03636363636366</v>
      </c>
      <c r="O212" s="622">
        <f t="shared" si="38"/>
        <v>36.093175853018366</v>
      </c>
      <c r="P212" s="622">
        <f t="shared" ca="1" si="39"/>
        <v>1096.1454545454546</v>
      </c>
      <c r="Q212" s="622">
        <f t="shared" ca="1" si="40"/>
        <v>38.036390785039316</v>
      </c>
      <c r="R212">
        <f t="shared" ca="1" si="41"/>
        <v>172.7272727272727</v>
      </c>
      <c r="S212" s="622">
        <f t="shared" ca="1" si="42"/>
        <v>1758.6776859504128</v>
      </c>
      <c r="T212" s="622">
        <f t="shared" ca="1" si="43"/>
        <v>15.823836317864352</v>
      </c>
      <c r="U212">
        <f t="shared" ca="1" si="44"/>
        <v>172.7272727272727</v>
      </c>
      <c r="V212" s="622">
        <f t="shared" ca="1" si="45"/>
        <v>0.0</v>
      </c>
      <c r="W212" s="622">
        <f t="shared" ca="1" si="46"/>
        <v>-1365.9352184179447</v>
      </c>
    </row>
    <row r="213" spans="11:29" x14ac:dyDescent="0.25">
      <c r="K213" s="622">
        <f>$L$199+9*$L$201</f>
        <v>8.51</v>
      </c>
      <c r="L213" s="622">
        <f>IF(($L$14*K213)&lt;=(Geometria!$W$48-Geometria!$W$47),(2*ABS(Geometria!$V$48))*($L$14*K213),IF(($L$14*K213)&lt;=(Geometria!$W$48-Geometria!$W$44),(2*ABS(Geometria!$V$48))*(Geometria!$W$48-Geometria!$W$47)+(2*ABS(Geometria!$V$45))*(($L$14*K213)-(Geometria!$W$48-Geometria!$W$47)),IF(($L$14*K213)&lt;=(Geometria!$W$48-Geometria!$W$42),(2*ABS(Geometria!$V$48))*(Geometria!$W$48-Geometria!$W$47)+(2*ABS(Geometria!$V$45))*((Geometria!$W$48-Geometria!$W$44)-(Geometria!$W$48-Geometria!$W$47))+(2*ABS(Geometria!$V$42))*(($L$14*K213)-(Geometria!$W$48-Geometria!$W$44)),IF(($L$14*K213)&lt;=(Geometria!$W$48-Geometria!$W$41),(2*ABS(Geometria!$V$48))*(Geometria!$W$48-Geometria!$W$47)+(2*ABS(Geometria!$V$45))*((Geometria!$W$48-Geometria!$W$44)-(Geometria!$W$48-Geometria!$W$47))+(2*ABS(Geometria!$V$42))*((Geometria!$W$48-Geometria!$W$42)-(Geometria!$W$48-Geometria!$W$44))+((2*ABS(Geometria!$V$42))+((2*ABS(Geometria!$V$42))+((2*ABS(Geometria!$V$41))-(2*ABS(Geometria!$V$42)))*(($L$14*K213)-(Geometria!$W$48-Geometria!$W$42))/((Geometria!$W$48-Geometria!$W$41)-(Geometria!$W$48-Geometria!$W$42))))/2*(($L$14*K213)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213)-(Geometria!$W$48-Geometria!$W$41))))))*$L$18+$L$198*IF(($L$14*K213)&lt;=(Geometria!$W$48-Geometria!$W$47),2*ABS(Geometria!$V$48)*($L$14*K213),2*ABS(Geometria!$V$48)*(Geometria!$W$48-Geometria!$W$47)+2*ABS(Geometria!$V$45)*(MIN(($L$14*K213),(Geometria!$W$48-Geometria!$W$44))-(Geometria!$W$48-Geometria!$W$47)))</f>
        <v>1801.8300000000004</v>
      </c>
      <c r="M213" s="622">
        <f t="shared" si="36"/>
        <v>-10.40129259694477</v>
      </c>
      <c r="N213" s="622">
        <f t="shared" ca="1" si="37"/>
        <v>-274.03636363636366</v>
      </c>
      <c r="O213" s="622">
        <f t="shared" si="38"/>
        <v>31.952408930669797</v>
      </c>
      <c r="P213" s="622">
        <f t="shared" ca="1" si="39"/>
        <v>1096.1454545454546</v>
      </c>
      <c r="Q213" s="622">
        <f t="shared" ca="1" si="40"/>
        <v>34.25349757001669</v>
      </c>
      <c r="R213">
        <f t="shared" ca="1" si="41"/>
        <v>172.7272727272727</v>
      </c>
      <c r="S213" s="622">
        <f t="shared" ca="1" si="42"/>
        <v>1758.6776859504128</v>
      </c>
      <c r="T213" s="622">
        <f t="shared" ca="1" si="43"/>
        <v>14.382734140712877</v>
      </c>
      <c r="U213">
        <f t="shared" ca="1" si="44"/>
        <v>172.7272727272727</v>
      </c>
      <c r="V213" s="622">
        <f t="shared" ca="1" si="45"/>
        <v>0.0</v>
      </c>
      <c r="W213" s="622">
        <f t="shared" ca="1" si="46"/>
        <v>-1327.0295041322306</v>
      </c>
    </row>
    <row r="214" spans="11:29" x14ac:dyDescent="0.25">
      <c r="K214" s="622">
        <f>$L$199+10*$L$201</f>
        <v>9.4</v>
      </c>
      <c r="L214" s="622">
        <f>IF(($L$14*K214)&lt;=(Geometria!$W$48-Geometria!$W$47),(2*ABS(Geometria!$V$48))*($L$14*K214),IF(($L$14*K214)&lt;=(Geometria!$W$48-Geometria!$W$44),(2*ABS(Geometria!$V$48))*(Geometria!$W$48-Geometria!$W$47)+(2*ABS(Geometria!$V$45))*(($L$14*K214)-(Geometria!$W$48-Geometria!$W$47)),IF(($L$14*K214)&lt;=(Geometria!$W$48-Geometria!$W$42),(2*ABS(Geometria!$V$48))*(Geometria!$W$48-Geometria!$W$47)+(2*ABS(Geometria!$V$45))*((Geometria!$W$48-Geometria!$W$44)-(Geometria!$W$48-Geometria!$W$47))+(2*ABS(Geometria!$V$42))*(($L$14*K214)-(Geometria!$W$48-Geometria!$W$44)),IF(($L$14*K214)&lt;=(Geometria!$W$48-Geometria!$W$41),(2*ABS(Geometria!$V$48))*(Geometria!$W$48-Geometria!$W$47)+(2*ABS(Geometria!$V$45))*((Geometria!$W$48-Geometria!$W$44)-(Geometria!$W$48-Geometria!$W$47))+(2*ABS(Geometria!$V$42))*((Geometria!$W$48-Geometria!$W$42)-(Geometria!$W$48-Geometria!$W$44))+((2*ABS(Geometria!$V$42))+((2*ABS(Geometria!$V$42))+((2*ABS(Geometria!$V$41))-(2*ABS(Geometria!$V$42)))*(($L$14*K214)-(Geometria!$W$48-Geometria!$W$42))/((Geometria!$W$48-Geometria!$W$41)-(Geometria!$W$48-Geometria!$W$42))))/2*(($L$14*K214)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214)-(Geometria!$W$48-Geometria!$W$41))))))*$L$18+$L$198*IF(($L$14*K214)&lt;=(Geometria!$W$48-Geometria!$W$47),2*ABS(Geometria!$V$48)*($L$14*K214),2*ABS(Geometria!$V$48)*(Geometria!$W$48-Geometria!$W$47)+2*ABS(Geometria!$V$45)*(MIN(($L$14*K214),(Geometria!$W$48-Geometria!$W$44))-(Geometria!$W$48-Geometria!$W$47)))</f>
        <v>1840.7357142857147</v>
      </c>
      <c r="M214" s="622">
        <f t="shared" si="36"/>
        <v>-9.085106382978722</v>
      </c>
      <c r="N214" s="622">
        <f t="shared" ca="1" si="37"/>
        <v>-274.03636363636366</v>
      </c>
      <c r="O214" s="622">
        <f t="shared" si="38"/>
        <v>28.595744680851062</v>
      </c>
      <c r="P214" s="622">
        <f t="shared" ca="1" si="39"/>
        <v>1096.1454545454546</v>
      </c>
      <c r="Q214" s="622">
        <f t="shared" ca="1" si="40"/>
        <v>31.186939453157926</v>
      </c>
      <c r="R214">
        <f t="shared" ca="1" si="41"/>
        <v>172.7272727272727</v>
      </c>
      <c r="S214" s="622">
        <f t="shared" ca="1" si="42"/>
        <v>1758.6776859504128</v>
      </c>
      <c r="T214" s="622">
        <f t="shared" ca="1" si="43"/>
        <v>13.21452152476668</v>
      </c>
      <c r="U214">
        <f t="shared" ca="1" si="44"/>
        <v>172.7272727272727</v>
      </c>
      <c r="V214" s="622">
        <f t="shared" ca="1" si="45"/>
        <v>0.0</v>
      </c>
      <c r="W214" s="622">
        <f t="shared" ca="1" si="46"/>
        <v>-1288.1237898465163</v>
      </c>
      <c r="AC214" t="s">
        <v>1945</v>
      </c>
    </row>
    <row r="215" spans="11:29" x14ac:dyDescent="0.25">
      <c r="K215" s="622">
        <f>$L$199+11*$L$201</f>
        <v>10.290000000000001</v>
      </c>
      <c r="L215" s="622">
        <f>IF(($L$14*K215)&lt;=(Geometria!$W$48-Geometria!$W$47),(2*ABS(Geometria!$V$48))*($L$14*K215),IF(($L$14*K215)&lt;=(Geometria!$W$48-Geometria!$W$44),(2*ABS(Geometria!$V$48))*(Geometria!$W$48-Geometria!$W$47)+(2*ABS(Geometria!$V$45))*(($L$14*K215)-(Geometria!$W$48-Geometria!$W$47)),IF(($L$14*K215)&lt;=(Geometria!$W$48-Geometria!$W$42),(2*ABS(Geometria!$V$48))*(Geometria!$W$48-Geometria!$W$47)+(2*ABS(Geometria!$V$45))*((Geometria!$W$48-Geometria!$W$44)-(Geometria!$W$48-Geometria!$W$47))+(2*ABS(Geometria!$V$42))*(($L$14*K215)-(Geometria!$W$48-Geometria!$W$44)),IF(($L$14*K215)&lt;=(Geometria!$W$48-Geometria!$W$41),(2*ABS(Geometria!$V$48))*(Geometria!$W$48-Geometria!$W$47)+(2*ABS(Geometria!$V$45))*((Geometria!$W$48-Geometria!$W$44)-(Geometria!$W$48-Geometria!$W$47))+(2*ABS(Geometria!$V$42))*((Geometria!$W$48-Geometria!$W$42)-(Geometria!$W$48-Geometria!$W$44))+((2*ABS(Geometria!$V$42))+((2*ABS(Geometria!$V$42))+((2*ABS(Geometria!$V$41))-(2*ABS(Geometria!$V$42)))*(($L$14*K215)-(Geometria!$W$48-Geometria!$W$42))/((Geometria!$W$48-Geometria!$W$41)-(Geometria!$W$48-Geometria!$W$42))))/2*(($L$14*K215)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215)-(Geometria!$W$48-Geometria!$W$41))))))*$L$18+$L$198*IF(($L$14*K215)&lt;=(Geometria!$W$48-Geometria!$W$47),2*ABS(Geometria!$V$48)*($L$14*K215),2*ABS(Geometria!$V$48)*(Geometria!$W$48-Geometria!$W$47)+2*ABS(Geometria!$V$45)*(MIN(($L$14*K215),(Geometria!$W$48-Geometria!$W$44))-(Geometria!$W$48-Geometria!$W$47)))</f>
        <v>1879.641428571429</v>
      </c>
      <c r="M215" s="622">
        <f t="shared" si="36"/>
        <v>-7.996598639455781</v>
      </c>
      <c r="N215" s="622">
        <f t="shared" ca="1" si="37"/>
        <v>-274.03636363636366</v>
      </c>
      <c r="O215" s="622">
        <f t="shared" si="38"/>
        <v>25.81972789115646</v>
      </c>
      <c r="P215" s="622">
        <f t="shared" ca="1" si="39"/>
        <v>1096.1454545454546</v>
      </c>
      <c r="Q215" s="622">
        <f t="shared" ca="1" si="40"/>
        <v>28.650845228233916</v>
      </c>
      <c r="R215">
        <f t="shared" ca="1" si="41"/>
        <v>172.7272727272727</v>
      </c>
      <c r="S215" s="622">
        <f t="shared" ca="1" si="42"/>
        <v>1758.6776859504128</v>
      </c>
      <c r="T215" s="622">
        <f t="shared" ca="1" si="43"/>
        <v>12.248390391462294</v>
      </c>
      <c r="U215">
        <f t="shared" ca="1" si="44"/>
        <v>172.7272727272727</v>
      </c>
      <c r="V215" s="622">
        <f t="shared" ca="1" si="45"/>
        <v>0.0</v>
      </c>
      <c r="W215" s="622">
        <f t="shared" ca="1" si="46"/>
        <v>-1249.218075560802</v>
      </c>
    </row>
    <row r="216" spans="11:29" x14ac:dyDescent="0.25">
      <c r="K216" s="622">
        <f>$L$199+12*$L$201</f>
        <v>11.18</v>
      </c>
      <c r="L216" s="622">
        <f>IF(($L$14*K216)&lt;=(Geometria!$W$48-Geometria!$W$47),(2*ABS(Geometria!$V$48))*($L$14*K216),IF(($L$14*K216)&lt;=(Geometria!$W$48-Geometria!$W$44),(2*ABS(Geometria!$V$48))*(Geometria!$W$48-Geometria!$W$47)+(2*ABS(Geometria!$V$45))*(($L$14*K216)-(Geometria!$W$48-Geometria!$W$47)),IF(($L$14*K216)&lt;=(Geometria!$W$48-Geometria!$W$42),(2*ABS(Geometria!$V$48))*(Geometria!$W$48-Geometria!$W$47)+(2*ABS(Geometria!$V$45))*((Geometria!$W$48-Geometria!$W$44)-(Geometria!$W$48-Geometria!$W$47))+(2*ABS(Geometria!$V$42))*(($L$14*K216)-(Geometria!$W$48-Geometria!$W$44)),IF(($L$14*K216)&lt;=(Geometria!$W$48-Geometria!$W$41),(2*ABS(Geometria!$V$48))*(Geometria!$W$48-Geometria!$W$47)+(2*ABS(Geometria!$V$45))*((Geometria!$W$48-Geometria!$W$44)-(Geometria!$W$48-Geometria!$W$47))+(2*ABS(Geometria!$V$42))*((Geometria!$W$48-Geometria!$W$42)-(Geometria!$W$48-Geometria!$W$44))+((2*ABS(Geometria!$V$42))+((2*ABS(Geometria!$V$42))+((2*ABS(Geometria!$V$41))-(2*ABS(Geometria!$V$42)))*(($L$14*K216)-(Geometria!$W$48-Geometria!$W$42))/((Geometria!$W$48-Geometria!$W$41)-(Geometria!$W$48-Geometria!$W$42))))/2*(($L$14*K216)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216)-(Geometria!$W$48-Geometria!$W$41))))))*$L$18+$L$198*IF(($L$14*K216)&lt;=(Geometria!$W$48-Geometria!$W$47),2*ABS(Geometria!$V$48)*($L$14*K216),2*ABS(Geometria!$V$48)*(Geometria!$W$48-Geometria!$W$47)+2*ABS(Geometria!$V$45)*(MIN(($L$14*K216),(Geometria!$W$48-Geometria!$W$44))-(Geometria!$W$48-Geometria!$W$47)))</f>
        <v>1918.5471428571432</v>
      </c>
      <c r="M216" s="622">
        <f t="shared" si="36"/>
        <v>-7.081395348837209</v>
      </c>
      <c r="N216" s="622">
        <f t="shared" ca="1" si="37"/>
        <v>-274.03636363636366</v>
      </c>
      <c r="O216" s="622">
        <f t="shared" si="38"/>
        <v>23.48568872987478</v>
      </c>
      <c r="P216" s="622">
        <f t="shared" ca="1" si="39"/>
        <v>1096.1454545454546</v>
      </c>
      <c r="Q216" s="622">
        <f t="shared" ca="1" si="40"/>
        <v>26.518529869174372</v>
      </c>
      <c r="R216">
        <f t="shared" ca="1" si="41"/>
        <v>172.7272727272727</v>
      </c>
      <c r="S216" s="622">
        <f t="shared" ca="1" si="42"/>
        <v>1758.6776859504128</v>
      </c>
      <c r="T216" s="622">
        <f t="shared" ca="1" si="43"/>
        <v>11.43607977848723</v>
      </c>
      <c r="U216">
        <f t="shared" ca="1" si="44"/>
        <v>172.7272727272727</v>
      </c>
      <c r="V216" s="622">
        <f t="shared" ca="1" si="45"/>
        <v>0.0</v>
      </c>
      <c r="W216" s="622">
        <f t="shared" ca="1" si="46"/>
        <v>-1210.3123612750878</v>
      </c>
    </row>
    <row r="217" spans="11:29" x14ac:dyDescent="0.25">
      <c r="K217" s="622">
        <f>$L$199+13*$L$201</f>
        <v>12.07</v>
      </c>
      <c r="L217" s="622">
        <f>IF(($L$14*K217)&lt;=(Geometria!$W$48-Geometria!$W$47),(2*ABS(Geometria!$V$48))*($L$14*K217),IF(($L$14*K217)&lt;=(Geometria!$W$48-Geometria!$W$44),(2*ABS(Geometria!$V$48))*(Geometria!$W$48-Geometria!$W$47)+(2*ABS(Geometria!$V$45))*(($L$14*K217)-(Geometria!$W$48-Geometria!$W$47)),IF(($L$14*K217)&lt;=(Geometria!$W$48-Geometria!$W$42),(2*ABS(Geometria!$V$48))*(Geometria!$W$48-Geometria!$W$47)+(2*ABS(Geometria!$V$45))*((Geometria!$W$48-Geometria!$W$44)-(Geometria!$W$48-Geometria!$W$47))+(2*ABS(Geometria!$V$42))*(($L$14*K217)-(Geometria!$W$48-Geometria!$W$44)),IF(($L$14*K217)&lt;=(Geometria!$W$48-Geometria!$W$41),(2*ABS(Geometria!$V$48))*(Geometria!$W$48-Geometria!$W$47)+(2*ABS(Geometria!$V$45))*((Geometria!$W$48-Geometria!$W$44)-(Geometria!$W$48-Geometria!$W$47))+(2*ABS(Geometria!$V$42))*((Geometria!$W$48-Geometria!$W$42)-(Geometria!$W$48-Geometria!$W$44))+((2*ABS(Geometria!$V$42))+((2*ABS(Geometria!$V$42))+((2*ABS(Geometria!$V$41))-(2*ABS(Geometria!$V$42)))*(($L$14*K217)-(Geometria!$W$48-Geometria!$W$42))/((Geometria!$W$48-Geometria!$W$41)-(Geometria!$W$48-Geometria!$W$42))))/2*(($L$14*K217)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217)-(Geometria!$W$48-Geometria!$W$41))))))*$L$18+$L$198*IF(($L$14*K217)&lt;=(Geometria!$W$48-Geometria!$W$47),2*ABS(Geometria!$V$48)*($L$14*K217),2*ABS(Geometria!$V$48)*(Geometria!$W$48-Geometria!$W$47)+2*ABS(Geometria!$V$45)*(MIN(($L$14*K217),(Geometria!$W$48-Geometria!$W$44))-(Geometria!$W$48-Geometria!$W$47)))</f>
        <v>1957.4528571428575</v>
      </c>
      <c r="M217" s="622">
        <f t="shared" si="36"/>
        <v>-6.3011599005799495</v>
      </c>
      <c r="N217" s="622">
        <f t="shared" ca="1" si="37"/>
        <v>-274.03636363636366</v>
      </c>
      <c r="O217" s="622">
        <f t="shared" si="38"/>
        <v>21.495857497928746</v>
      </c>
      <c r="P217" s="622">
        <f t="shared" ca="1" si="39"/>
        <v>1096.1454545454546</v>
      </c>
      <c r="Q217" s="622">
        <f t="shared" ca="1" si="40"/>
        <v>24.70067361029097</v>
      </c>
      <c r="R217">
        <f t="shared" ca="1" si="41"/>
        <v>172.7272727272727</v>
      </c>
      <c r="S217" s="622">
        <f t="shared" ca="1" si="42"/>
        <v>1758.6776859504128</v>
      </c>
      <c r="T217" s="622">
        <f t="shared" ca="1" si="43"/>
        <v>10.743563108436406</v>
      </c>
      <c r="U217">
        <f t="shared" ca="1" si="44"/>
        <v>172.7272727272727</v>
      </c>
      <c r="V217" s="622">
        <f t="shared" ca="1" si="45"/>
        <v>0.0</v>
      </c>
      <c r="W217" s="622">
        <f t="shared" ca="1" si="46"/>
        <v>-1171.4066469893735</v>
      </c>
    </row>
    <row r="218" spans="11:29" x14ac:dyDescent="0.25">
      <c r="K218" s="622">
        <f>$L$199+14*$L$201</f>
        <v>12.96</v>
      </c>
      <c r="L218" s="622">
        <f>IF(($L$14*K218)&lt;=(Geometria!$W$48-Geometria!$W$47),(2*ABS(Geometria!$V$48))*($L$14*K218),IF(($L$14*K218)&lt;=(Geometria!$W$48-Geometria!$W$44),(2*ABS(Geometria!$V$48))*(Geometria!$W$48-Geometria!$W$47)+(2*ABS(Geometria!$V$45))*(($L$14*K218)-(Geometria!$W$48-Geometria!$W$47)),IF(($L$14*K218)&lt;=(Geometria!$W$48-Geometria!$W$42),(2*ABS(Geometria!$V$48))*(Geometria!$W$48-Geometria!$W$47)+(2*ABS(Geometria!$V$45))*((Geometria!$W$48-Geometria!$W$44)-(Geometria!$W$48-Geometria!$W$47))+(2*ABS(Geometria!$V$42))*(($L$14*K218)-(Geometria!$W$48-Geometria!$W$44)),IF(($L$14*K218)&lt;=(Geometria!$W$48-Geometria!$W$41),(2*ABS(Geometria!$V$48))*(Geometria!$W$48-Geometria!$W$47)+(2*ABS(Geometria!$V$45))*((Geometria!$W$48-Geometria!$W$44)-(Geometria!$W$48-Geometria!$W$47))+(2*ABS(Geometria!$V$42))*((Geometria!$W$48-Geometria!$W$42)-(Geometria!$W$48-Geometria!$W$44))+((2*ABS(Geometria!$V$42))+((2*ABS(Geometria!$V$42))+((2*ABS(Geometria!$V$41))-(2*ABS(Geometria!$V$42)))*(($L$14*K218)-(Geometria!$W$48-Geometria!$W$42))/((Geometria!$W$48-Geometria!$W$41)-(Geometria!$W$48-Geometria!$W$42))))/2*(($L$14*K218)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218)-(Geometria!$W$48-Geometria!$W$41))))))*$L$18+$L$198*IF(($L$14*K218)&lt;=(Geometria!$W$48-Geometria!$W$47),2*ABS(Geometria!$V$48)*($L$14*K218),2*ABS(Geometria!$V$48)*(Geometria!$W$48-Geometria!$W$47)+2*ABS(Geometria!$V$45)*(MIN(($L$14*K218),(Geometria!$W$48-Geometria!$W$44))-(Geometria!$W$48-Geometria!$W$47)))</f>
        <v>1996.3585714285718</v>
      </c>
      <c r="M218" s="622">
        <f t="shared" si="36"/>
        <v>-5.628086419753084</v>
      </c>
      <c r="N218" s="622">
        <f t="shared" ca="1" si="37"/>
        <v>-274.03636363636366</v>
      </c>
      <c r="O218" s="622">
        <f t="shared" si="38"/>
        <v>19.779320987654323</v>
      </c>
      <c r="P218" s="622">
        <f t="shared" ca="1" si="39"/>
        <v>1096.1454545454546</v>
      </c>
      <c r="Q218" s="622">
        <f t="shared" ca="1" si="40"/>
        <v>23.13249205363074</v>
      </c>
      <c r="R218">
        <f t="shared" ca="1" si="41"/>
        <v>172.7272727272727</v>
      </c>
      <c r="S218" s="622">
        <f t="shared" ca="1" si="42"/>
        <v>1758.6776859504128</v>
      </c>
      <c r="T218" s="622">
        <f t="shared" ca="1" si="43"/>
        <v>10.146160610661084</v>
      </c>
      <c r="U218">
        <f t="shared" ca="1" si="44"/>
        <v>172.7272727272727</v>
      </c>
      <c r="V218" s="622">
        <f t="shared" ca="1" si="45"/>
        <v>0.0</v>
      </c>
      <c r="W218" s="622">
        <f t="shared" ca="1" si="46"/>
        <v>-1132.5009327036591</v>
      </c>
      <c r="AC218" t="s">
        <v>1946</v>
      </c>
    </row>
    <row r="219" spans="11:29" x14ac:dyDescent="0.25">
      <c r="K219" s="622">
        <f>$L$199+15*$L$201</f>
        <v>13.85</v>
      </c>
      <c r="L219" s="622">
        <f>IF(($L$14*K219)&lt;=(Geometria!$W$48-Geometria!$W$47),(2*ABS(Geometria!$V$48))*($L$14*K219),IF(($L$14*K219)&lt;=(Geometria!$W$48-Geometria!$W$44),(2*ABS(Geometria!$V$48))*(Geometria!$W$48-Geometria!$W$47)+(2*ABS(Geometria!$V$45))*(($L$14*K219)-(Geometria!$W$48-Geometria!$W$47)),IF(($L$14*K219)&lt;=(Geometria!$W$48-Geometria!$W$42),(2*ABS(Geometria!$V$48))*(Geometria!$W$48-Geometria!$W$47)+(2*ABS(Geometria!$V$45))*((Geometria!$W$48-Geometria!$W$44)-(Geometria!$W$48-Geometria!$W$47))+(2*ABS(Geometria!$V$42))*(($L$14*K219)-(Geometria!$W$48-Geometria!$W$44)),IF(($L$14*K219)&lt;=(Geometria!$W$48-Geometria!$W$41),(2*ABS(Geometria!$V$48))*(Geometria!$W$48-Geometria!$W$47)+(2*ABS(Geometria!$V$45))*((Geometria!$W$48-Geometria!$W$44)-(Geometria!$W$48-Geometria!$W$47))+(2*ABS(Geometria!$V$42))*((Geometria!$W$48-Geometria!$W$42)-(Geometria!$W$48-Geometria!$W$44))+((2*ABS(Geometria!$V$42))+((2*ABS(Geometria!$V$42))+((2*ABS(Geometria!$V$41))-(2*ABS(Geometria!$V$42)))*(($L$14*K219)-(Geometria!$W$48-Geometria!$W$42))/((Geometria!$W$48-Geometria!$W$41)-(Geometria!$W$48-Geometria!$W$42))))/2*(($L$14*K219)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219)-(Geometria!$W$48-Geometria!$W$41))))))*$L$18+$L$198*IF(($L$14*K219)&lt;=(Geometria!$W$48-Geometria!$W$47),2*ABS(Geometria!$V$48)*($L$14*K219),2*ABS(Geometria!$V$48)*(Geometria!$W$48-Geometria!$W$47)+2*ABS(Geometria!$V$45)*(MIN(($L$14*K219),(Geometria!$W$48-Geometria!$W$44))-(Geometria!$W$48-Geometria!$W$47)))</f>
        <v>2035.264285714286</v>
      </c>
      <c r="M219" s="622">
        <f t="shared" si="36"/>
        <v>-5.041516245487364</v>
      </c>
      <c r="N219" s="622">
        <f t="shared" ca="1" si="37"/>
        <v>-274.03636363636366</v>
      </c>
      <c r="O219" s="622">
        <f t="shared" si="38"/>
        <v>18.283393501805055</v>
      </c>
      <c r="P219" s="622">
        <f t="shared" ca="1" si="39"/>
        <v>1096.1454545454546</v>
      </c>
      <c r="Q219" s="622">
        <f t="shared" ca="1" si="40"/>
        <v>21.765852964180286</v>
      </c>
      <c r="R219">
        <f t="shared" ca="1" si="41"/>
        <v>172.7272727272727</v>
      </c>
      <c r="S219" s="622">
        <f t="shared" ca="1" si="42"/>
        <v>1758.6776859504128</v>
      </c>
      <c r="T219" s="622">
        <f t="shared" ca="1" si="43"/>
        <v>9.625536195632336</v>
      </c>
      <c r="U219">
        <f t="shared" ca="1" si="44"/>
        <v>169.8232677138092</v>
      </c>
      <c r="V219" s="622">
        <f t="shared" ca="1" si="45"/>
        <v>0.0</v>
      </c>
      <c r="W219" s="622">
        <f t="shared" ca="1" si="46"/>
        <v>-1093.595218417945</v>
      </c>
    </row>
    <row r="220" spans="11:29" x14ac:dyDescent="0.25">
      <c r="K220" s="622">
        <f>$L$199+16*$L$201</f>
        <v>14.74</v>
      </c>
      <c r="L220" s="622">
        <f>IF(($L$14*K220)&lt;=(Geometria!$W$48-Geometria!$W$47),(2*ABS(Geometria!$V$48))*($L$14*K220),IF(($L$14*K220)&lt;=(Geometria!$W$48-Geometria!$W$44),(2*ABS(Geometria!$V$48))*(Geometria!$W$48-Geometria!$W$47)+(2*ABS(Geometria!$V$45))*(($L$14*K220)-(Geometria!$W$48-Geometria!$W$47)),IF(($L$14*K220)&lt;=(Geometria!$W$48-Geometria!$W$42),(2*ABS(Geometria!$V$48))*(Geometria!$W$48-Geometria!$W$47)+(2*ABS(Geometria!$V$45))*((Geometria!$W$48-Geometria!$W$44)-(Geometria!$W$48-Geometria!$W$47))+(2*ABS(Geometria!$V$42))*(($L$14*K220)-(Geometria!$W$48-Geometria!$W$44)),IF(($L$14*K220)&lt;=(Geometria!$W$48-Geometria!$W$41),(2*ABS(Geometria!$V$48))*(Geometria!$W$48-Geometria!$W$47)+(2*ABS(Geometria!$V$45))*((Geometria!$W$48-Geometria!$W$44)-(Geometria!$W$48-Geometria!$W$47))+(2*ABS(Geometria!$V$42))*((Geometria!$W$48-Geometria!$W$42)-(Geometria!$W$48-Geometria!$W$44))+((2*ABS(Geometria!$V$42))+((2*ABS(Geometria!$V$42))+((2*ABS(Geometria!$V$41))-(2*ABS(Geometria!$V$42)))*(($L$14*K220)-(Geometria!$W$48-Geometria!$W$42))/((Geometria!$W$48-Geometria!$W$41)-(Geometria!$W$48-Geometria!$W$42))))/2*(($L$14*K220)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220)-(Geometria!$W$48-Geometria!$W$41))))))*$L$18+$L$198*IF(($L$14*K220)&lt;=(Geometria!$W$48-Geometria!$W$47),2*ABS(Geometria!$V$48)*($L$14*K220),2*ABS(Geometria!$V$48)*(Geometria!$W$48-Geometria!$W$47)+2*ABS(Geometria!$V$45)*(MIN(($L$14*K220),(Geometria!$W$48-Geometria!$W$44))-(Geometria!$W$48-Geometria!$W$47)))</f>
        <v>2074.1700000000005</v>
      </c>
      <c r="M220" s="622">
        <f t="shared" si="36"/>
        <v>-4.525780189959293</v>
      </c>
      <c r="N220" s="622">
        <f t="shared" ca="1" si="37"/>
        <v>-274.03636363636366</v>
      </c>
      <c r="O220" s="622">
        <f t="shared" si="38"/>
        <v>16.968113975576664</v>
      </c>
      <c r="P220" s="622">
        <f t="shared" ca="1" si="39"/>
        <v>1096.1454545454546</v>
      </c>
      <c r="Q220" s="622">
        <f t="shared" ca="1" si="40"/>
        <v>20.564248988652608</v>
      </c>
      <c r="R220">
        <f t="shared" ca="1" si="41"/>
        <v>172.7272727272727</v>
      </c>
      <c r="S220" s="622">
        <f t="shared" ca="1" si="42"/>
        <v>1758.6776859504128</v>
      </c>
      <c r="T220" s="622">
        <f t="shared" ca="1" si="43"/>
        <v>9.16778230019322</v>
      </c>
      <c r="U220">
        <f t="shared" ca="1" si="44"/>
        <v>166.27333954509768</v>
      </c>
      <c r="V220" s="622">
        <f t="shared" ca="1" si="45"/>
        <v>0.0</v>
      </c>
      <c r="W220" s="622">
        <f t="shared" ca="1" si="46"/>
        <v>-1054.6895041322305</v>
      </c>
    </row>
    <row r="221" spans="11:29" x14ac:dyDescent="0.25">
      <c r="K221" s="622">
        <f>$L$199+17*$L$201</f>
        <v>15.63</v>
      </c>
      <c r="L221" s="622">
        <f>IF(($L$14*K221)&lt;=(Geometria!$W$48-Geometria!$W$47),(2*ABS(Geometria!$V$48))*($L$14*K221),IF(($L$14*K221)&lt;=(Geometria!$W$48-Geometria!$W$44),(2*ABS(Geometria!$V$48))*(Geometria!$W$48-Geometria!$W$47)+(2*ABS(Geometria!$V$45))*(($L$14*K221)-(Geometria!$W$48-Geometria!$W$47)),IF(($L$14*K221)&lt;=(Geometria!$W$48-Geometria!$W$42),(2*ABS(Geometria!$V$48))*(Geometria!$W$48-Geometria!$W$47)+(2*ABS(Geometria!$V$45))*((Geometria!$W$48-Geometria!$W$44)-(Geometria!$W$48-Geometria!$W$47))+(2*ABS(Geometria!$V$42))*(($L$14*K221)-(Geometria!$W$48-Geometria!$W$44)),IF(($L$14*K221)&lt;=(Geometria!$W$48-Geometria!$W$41),(2*ABS(Geometria!$V$48))*(Geometria!$W$48-Geometria!$W$47)+(2*ABS(Geometria!$V$45))*((Geometria!$W$48-Geometria!$W$44)-(Geometria!$W$48-Geometria!$W$47))+(2*ABS(Geometria!$V$42))*((Geometria!$W$48-Geometria!$W$42)-(Geometria!$W$48-Geometria!$W$44))+((2*ABS(Geometria!$V$42))+((2*ABS(Geometria!$V$42))+((2*ABS(Geometria!$V$41))-(2*ABS(Geometria!$V$42)))*(($L$14*K221)-(Geometria!$W$48-Geometria!$W$42))/((Geometria!$W$48-Geometria!$W$41)-(Geometria!$W$48-Geometria!$W$42))))/2*(($L$14*K221)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221)-(Geometria!$W$48-Geometria!$W$41))))))*$L$18+$L$198*IF(($L$14*K221)&lt;=(Geometria!$W$48-Geometria!$W$47),2*ABS(Geometria!$V$48)*($L$14*K221),2*ABS(Geometria!$V$48)*(Geometria!$W$48-Geometria!$W$47)+2*ABS(Geometria!$V$45)*(MIN(($L$14*K221),(Geometria!$W$48-Geometria!$W$44))-(Geometria!$W$48-Geometria!$W$47)))</f>
        <v>2113.0757142857146</v>
      </c>
      <c r="M221" s="622">
        <f t="shared" si="36"/>
        <v>-4.068777991042865</v>
      </c>
      <c r="N221" s="622">
        <f t="shared" ca="1" si="37"/>
        <v>-274.03636363636366</v>
      </c>
      <c r="O221" s="622">
        <f t="shared" si="38"/>
        <v>15.802623160588613</v>
      </c>
      <c r="P221" s="622">
        <f t="shared" ca="1" si="39"/>
        <v>1096.1454545454546</v>
      </c>
      <c r="Q221" s="622">
        <f t="shared" ca="1" si="40"/>
        <v>19.49948794827779</v>
      </c>
      <c r="R221">
        <f t="shared" ca="1" si="41"/>
        <v>172.7272727272727</v>
      </c>
      <c r="S221" s="622">
        <f t="shared" ca="1" si="42"/>
        <v>1758.6776859504128</v>
      </c>
      <c r="T221" s="622">
        <f t="shared" ca="1" si="43"/>
        <v>8.762159046717102</v>
      </c>
      <c r="U221">
        <f t="shared" ca="1" si="44"/>
        <v>163.1276898242625</v>
      </c>
      <c r="V221" s="622">
        <f t="shared" ca="1" si="45"/>
        <v>0.0</v>
      </c>
      <c r="W221" s="622">
        <f t="shared" ca="1" si="46"/>
        <v>-1015.7837898465164</v>
      </c>
    </row>
    <row r="222" spans="11:29" x14ac:dyDescent="0.25">
      <c r="K222" s="622">
        <f>$L$199+18*$L$201</f>
        <v>16.52</v>
      </c>
      <c r="L222" s="622">
        <f>IF(($L$14*K222)&lt;=(Geometria!$W$48-Geometria!$W$47),(2*ABS(Geometria!$V$48))*($L$14*K222),IF(($L$14*K222)&lt;=(Geometria!$W$48-Geometria!$W$44),(2*ABS(Geometria!$V$48))*(Geometria!$W$48-Geometria!$W$47)+(2*ABS(Geometria!$V$45))*(($L$14*K222)-(Geometria!$W$48-Geometria!$W$47)),IF(($L$14*K222)&lt;=(Geometria!$W$48-Geometria!$W$42),(2*ABS(Geometria!$V$48))*(Geometria!$W$48-Geometria!$W$47)+(2*ABS(Geometria!$V$45))*((Geometria!$W$48-Geometria!$W$44)-(Geometria!$W$48-Geometria!$W$47))+(2*ABS(Geometria!$V$42))*(($L$14*K222)-(Geometria!$W$48-Geometria!$W$44)),IF(($L$14*K222)&lt;=(Geometria!$W$48-Geometria!$W$41),(2*ABS(Geometria!$V$48))*(Geometria!$W$48-Geometria!$W$47)+(2*ABS(Geometria!$V$45))*((Geometria!$W$48-Geometria!$W$44)-(Geometria!$W$48-Geometria!$W$47))+(2*ABS(Geometria!$V$42))*((Geometria!$W$48-Geometria!$W$42)-(Geometria!$W$48-Geometria!$W$44))+((2*ABS(Geometria!$V$42))+((2*ABS(Geometria!$V$42))+((2*ABS(Geometria!$V$41))-(2*ABS(Geometria!$V$42)))*(($L$14*K222)-(Geometria!$W$48-Geometria!$W$42))/((Geometria!$W$48-Geometria!$W$41)-(Geometria!$W$48-Geometria!$W$42))))/2*(($L$14*K222)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222)-(Geometria!$W$48-Geometria!$W$41))))))*$L$18+$L$198*IF(($L$14*K222)&lt;=(Geometria!$W$48-Geometria!$W$47),2*ABS(Geometria!$V$48)*($L$14*K222),2*ABS(Geometria!$V$48)*(Geometria!$W$48-Geometria!$W$47)+2*ABS(Geometria!$V$45)*(MIN(($L$14*K222),(Geometria!$W$48-Geometria!$W$44))-(Geometria!$W$48-Geometria!$W$47)))</f>
        <v>2151.9814285714288</v>
      </c>
      <c r="M222" s="622">
        <f t="shared" si="36"/>
        <v>-3.661016949152542</v>
      </c>
      <c r="N222" s="622">
        <f t="shared" ca="1" si="37"/>
        <v>-274.03636363636366</v>
      </c>
      <c r="O222" s="622">
        <f t="shared" si="38"/>
        <v>14.762711864406782</v>
      </c>
      <c r="P222" s="622">
        <f t="shared" ca="1" si="39"/>
        <v>1096.1454545454546</v>
      </c>
      <c r="Q222" s="622">
        <f t="shared" ca="1" si="40"/>
        <v>18.54945297641794</v>
      </c>
      <c r="R222">
        <f t="shared" ca="1" si="41"/>
        <v>172.7272727272727</v>
      </c>
      <c r="S222" s="622">
        <f t="shared" ca="1" si="42"/>
        <v>1758.6776859504128</v>
      </c>
      <c r="T222" s="622">
        <f t="shared" ca="1" si="43"/>
        <v>8.400240962199064</v>
      </c>
      <c r="U222">
        <f t="shared" ca="1" si="44"/>
        <v>160.3209781484083</v>
      </c>
      <c r="V222" s="622">
        <f t="shared" ca="1" si="45"/>
        <v>0.0</v>
      </c>
      <c r="W222" s="622">
        <f t="shared" ca="1" si="46"/>
        <v>-976.8780755608022</v>
      </c>
      <c r="AC222" t="s">
        <v>1947</v>
      </c>
    </row>
    <row r="223" spans="11:29" x14ac:dyDescent="0.25">
      <c r="K223" s="622">
        <f>$L$199+19*$L$201</f>
        <v>17.41</v>
      </c>
      <c r="L223" s="622">
        <f>IF(($L$14*K223)&lt;=(Geometria!$W$48-Geometria!$W$47),(2*ABS(Geometria!$V$48))*($L$14*K223),IF(($L$14*K223)&lt;=(Geometria!$W$48-Geometria!$W$44),(2*ABS(Geometria!$V$48))*(Geometria!$W$48-Geometria!$W$47)+(2*ABS(Geometria!$V$45))*(($L$14*K223)-(Geometria!$W$48-Geometria!$W$47)),IF(($L$14*K223)&lt;=(Geometria!$W$48-Geometria!$W$42),(2*ABS(Geometria!$V$48))*(Geometria!$W$48-Geometria!$W$47)+(2*ABS(Geometria!$V$45))*((Geometria!$W$48-Geometria!$W$44)-(Geometria!$W$48-Geometria!$W$47))+(2*ABS(Geometria!$V$42))*(($L$14*K223)-(Geometria!$W$48-Geometria!$W$44)),IF(($L$14*K223)&lt;=(Geometria!$W$48-Geometria!$W$41),(2*ABS(Geometria!$V$48))*(Geometria!$W$48-Geometria!$W$47)+(2*ABS(Geometria!$V$45))*((Geometria!$W$48-Geometria!$W$44)-(Geometria!$W$48-Geometria!$W$47))+(2*ABS(Geometria!$V$42))*((Geometria!$W$48-Geometria!$W$42)-(Geometria!$W$48-Geometria!$W$44))+((2*ABS(Geometria!$V$42))+((2*ABS(Geometria!$V$42))+((2*ABS(Geometria!$V$41))-(2*ABS(Geometria!$V$42)))*(($L$14*K223)-(Geometria!$W$48-Geometria!$W$42))/((Geometria!$W$48-Geometria!$W$41)-(Geometria!$W$48-Geometria!$W$42))))/2*(($L$14*K223)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223)-(Geometria!$W$48-Geometria!$W$41))))))*$L$18+$L$198*IF(($L$14*K223)&lt;=(Geometria!$W$48-Geometria!$W$47),2*ABS(Geometria!$V$48)*($L$14*K223),2*ABS(Geometria!$V$48)*(Geometria!$W$48-Geometria!$W$47)+2*ABS(Geometria!$V$45)*(MIN(($L$14*K223),(Geometria!$W$48-Geometria!$W$44))-(Geometria!$W$48-Geometria!$W$47)))</f>
        <v>2190.8871428571433</v>
      </c>
      <c r="M223" s="622">
        <f t="shared" si="36"/>
        <v>-3.294945433658816</v>
      </c>
      <c r="N223" s="622">
        <f t="shared" ca="1" si="37"/>
        <v>-274.03636363636366</v>
      </c>
      <c r="O223" s="622">
        <f t="shared" si="38"/>
        <v>13.82912119471568</v>
      </c>
      <c r="P223" s="622">
        <f t="shared" ca="1" si="39"/>
        <v>1096.1454545454546</v>
      </c>
      <c r="Q223" s="622">
        <f t="shared" ca="1" si="40"/>
        <v>17.6965496673904</v>
      </c>
      <c r="R223">
        <f t="shared" ca="1" si="41"/>
        <v>172.7272727272727</v>
      </c>
      <c r="S223" s="622">
        <f t="shared" ca="1" si="42"/>
        <v>1758.6776859504128</v>
      </c>
      <c r="T223" s="622">
        <f t="shared" ca="1" si="43"/>
        <v>8.075325415902856</v>
      </c>
      <c r="U223">
        <f t="shared" ca="1" si="44"/>
        <v>157.80122493223365</v>
      </c>
      <c r="V223" s="622">
        <f t="shared" ca="1" si="45"/>
        <v>0.0</v>
      </c>
      <c r="W223" s="622">
        <f t="shared" ca="1" si="46"/>
        <v>-937.9723612750877</v>
      </c>
    </row>
    <row r="224" spans="11:29" x14ac:dyDescent="0.25">
      <c r="K224" s="622">
        <f>$L$199+20*$L$201</f>
        <v>18.3</v>
      </c>
      <c r="L224" s="622">
        <f>IF(($L$14*K224)&lt;=(Geometria!$W$48-Geometria!$W$47),(2*ABS(Geometria!$V$48))*($L$14*K224),IF(($L$14*K224)&lt;=(Geometria!$W$48-Geometria!$W$44),(2*ABS(Geometria!$V$48))*(Geometria!$W$48-Geometria!$W$47)+(2*ABS(Geometria!$V$45))*(($L$14*K224)-(Geometria!$W$48-Geometria!$W$47)),IF(($L$14*K224)&lt;=(Geometria!$W$48-Geometria!$W$42),(2*ABS(Geometria!$V$48))*(Geometria!$W$48-Geometria!$W$47)+(2*ABS(Geometria!$V$45))*((Geometria!$W$48-Geometria!$W$44)-(Geometria!$W$48-Geometria!$W$47))+(2*ABS(Geometria!$V$42))*(($L$14*K224)-(Geometria!$W$48-Geometria!$W$44)),IF(($L$14*K224)&lt;=(Geometria!$W$48-Geometria!$W$41),(2*ABS(Geometria!$V$48))*(Geometria!$W$48-Geometria!$W$47)+(2*ABS(Geometria!$V$45))*((Geometria!$W$48-Geometria!$W$44)-(Geometria!$W$48-Geometria!$W$47))+(2*ABS(Geometria!$V$42))*((Geometria!$W$48-Geometria!$W$42)-(Geometria!$W$48-Geometria!$W$44))+((2*ABS(Geometria!$V$42))+((2*ABS(Geometria!$V$42))+((2*ABS(Geometria!$V$41))-(2*ABS(Geometria!$V$42)))*(($L$14*K224)-(Geometria!$W$48-Geometria!$W$42))/((Geometria!$W$48-Geometria!$W$41)-(Geometria!$W$48-Geometria!$W$42))))/2*(($L$14*K224)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224)-(Geometria!$W$48-Geometria!$W$41))))))*$L$18+$L$198*IF(($L$14*K224)&lt;=(Geometria!$W$48-Geometria!$W$47),2*ABS(Geometria!$V$48)*($L$14*K224),2*ABS(Geometria!$V$48)*(Geometria!$W$48-Geometria!$W$47)+2*ABS(Geometria!$V$45)*(MIN(($L$14*K224),(Geometria!$W$48-Geometria!$W$44))-(Geometria!$W$48-Geometria!$W$47)))</f>
        <v>2229.792857142858</v>
      </c>
      <c r="M224" s="622">
        <f t="shared" si="36"/>
        <v>-2.964480874316939</v>
      </c>
      <c r="N224" s="622">
        <f t="shared" ca="1" si="37"/>
        <v>-274.03636363636366</v>
      </c>
      <c r="O224" s="622">
        <f t="shared" si="38"/>
        <v>12.98633879781421</v>
      </c>
      <c r="P224" s="622">
        <f t="shared" ca="1" si="39"/>
        <v>1096.1454545454546</v>
      </c>
      <c r="Q224" s="622">
        <f t="shared" ca="1" si="40"/>
        <v>16.926606352355698</v>
      </c>
      <c r="R224">
        <f t="shared" ca="1" si="41"/>
        <v>172.7272727272727</v>
      </c>
      <c r="S224" s="622">
        <f t="shared" ca="1" si="42"/>
        <v>1758.6776859504128</v>
      </c>
      <c r="T224" s="622">
        <f t="shared" ca="1" si="43"/>
        <v>7.782013676842019</v>
      </c>
      <c r="U224">
        <f t="shared" ca="1" si="44"/>
        <v>155.52656246604755</v>
      </c>
      <c r="V224" s="622">
        <f t="shared" ca="1" si="45"/>
        <v>0.0</v>
      </c>
      <c r="W224" s="622">
        <f t="shared" ca="1" si="46"/>
        <v>-899.0666469893731</v>
      </c>
    </row>
    <row r="225" spans="11:23" x14ac:dyDescent="0.25">
      <c r="K225" s="622">
        <f>$L$199+21*$L$201</f>
        <v>19.19</v>
      </c>
      <c r="L225" s="622">
        <f>IF(($L$14*K225)&lt;=(Geometria!$W$48-Geometria!$W$47),(2*ABS(Geometria!$V$48))*($L$14*K225),IF(($L$14*K225)&lt;=(Geometria!$W$48-Geometria!$W$44),(2*ABS(Geometria!$V$48))*(Geometria!$W$48-Geometria!$W$47)+(2*ABS(Geometria!$V$45))*(($L$14*K225)-(Geometria!$W$48-Geometria!$W$47)),IF(($L$14*K225)&lt;=(Geometria!$W$48-Geometria!$W$42),(2*ABS(Geometria!$V$48))*(Geometria!$W$48-Geometria!$W$47)+(2*ABS(Geometria!$V$45))*((Geometria!$W$48-Geometria!$W$44)-(Geometria!$W$48-Geometria!$W$47))+(2*ABS(Geometria!$V$42))*(($L$14*K225)-(Geometria!$W$48-Geometria!$W$44)),IF(($L$14*K225)&lt;=(Geometria!$W$48-Geometria!$W$41),(2*ABS(Geometria!$V$48))*(Geometria!$W$48-Geometria!$W$47)+(2*ABS(Geometria!$V$45))*((Geometria!$W$48-Geometria!$W$44)-(Geometria!$W$48-Geometria!$W$47))+(2*ABS(Geometria!$V$42))*((Geometria!$W$48-Geometria!$W$42)-(Geometria!$W$48-Geometria!$W$44))+((2*ABS(Geometria!$V$42))+((2*ABS(Geometria!$V$42))+((2*ABS(Geometria!$V$41))-(2*ABS(Geometria!$V$42)))*(($L$14*K225)-(Geometria!$W$48-Geometria!$W$42))/((Geometria!$W$48-Geometria!$W$41)-(Geometria!$W$48-Geometria!$W$42))))/2*(($L$14*K225)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225)-(Geometria!$W$48-Geometria!$W$41))))))*$L$18+$L$198*IF(($L$14*K225)&lt;=(Geometria!$W$48-Geometria!$W$47),2*ABS(Geometria!$V$48)*($L$14*K225),2*ABS(Geometria!$V$48)*(Geometria!$W$48-Geometria!$W$47)+2*ABS(Geometria!$V$45)*(MIN(($L$14*K225),(Geometria!$W$48-Geometria!$W$44))-(Geometria!$W$48-Geometria!$W$47)))</f>
        <v>2268.698571428572</v>
      </c>
      <c r="M225" s="622">
        <f t="shared" si="36"/>
        <v>-2.6646690984887953</v>
      </c>
      <c r="N225" s="622">
        <f t="shared" ca="1" si="37"/>
        <v>-274.03636363636366</v>
      </c>
      <c r="O225" s="622">
        <f t="shared" si="38"/>
        <v>12.221730067743618</v>
      </c>
      <c r="P225" s="622">
        <f t="shared" ca="1" si="39"/>
        <v>1096.1454545454546</v>
      </c>
      <c r="Q225" s="622">
        <f t="shared" ca="1" si="40"/>
        <v>16.228080395359655</v>
      </c>
      <c r="R225">
        <f t="shared" ca="1" si="41"/>
        <v>172.7272727272727</v>
      </c>
      <c r="S225" s="622">
        <f t="shared" ca="1" si="42"/>
        <v>1758.6776859504128</v>
      </c>
      <c r="T225" s="622">
        <f t="shared" ca="1" si="43"/>
        <v>7.515908550367335</v>
      </c>
      <c r="U225">
        <f t="shared" ca="1" si="44"/>
        <v>150.3181710073467</v>
      </c>
      <c r="V225" s="622">
        <f t="shared" ca="1" si="45"/>
        <v>0.0</v>
      </c>
      <c r="W225" s="622">
        <f t="shared" ca="1" si="46"/>
        <v>-860.160932703659</v>
      </c>
    </row>
    <row r="226" spans="11:23" x14ac:dyDescent="0.25">
      <c r="K226" s="622">
        <f>$L$199+22*$L$201</f>
        <v>20.080000000000002</v>
      </c>
      <c r="L226" s="622">
        <f>IF(($L$14*K226)&lt;=(Geometria!$W$48-Geometria!$W$47),(2*ABS(Geometria!$V$48))*($L$14*K226),IF(($L$14*K226)&lt;=(Geometria!$W$48-Geometria!$W$44),(2*ABS(Geometria!$V$48))*(Geometria!$W$48-Geometria!$W$47)+(2*ABS(Geometria!$V$45))*(($L$14*K226)-(Geometria!$W$48-Geometria!$W$47)),IF(($L$14*K226)&lt;=(Geometria!$W$48-Geometria!$W$42),(2*ABS(Geometria!$V$48))*(Geometria!$W$48-Geometria!$W$47)+(2*ABS(Geometria!$V$45))*((Geometria!$W$48-Geometria!$W$44)-(Geometria!$W$48-Geometria!$W$47))+(2*ABS(Geometria!$V$42))*(($L$14*K226)-(Geometria!$W$48-Geometria!$W$44)),IF(($L$14*K226)&lt;=(Geometria!$W$48-Geometria!$W$41),(2*ABS(Geometria!$V$48))*(Geometria!$W$48-Geometria!$W$47)+(2*ABS(Geometria!$V$45))*((Geometria!$W$48-Geometria!$W$44)-(Geometria!$W$48-Geometria!$W$47))+(2*ABS(Geometria!$V$42))*((Geometria!$W$48-Geometria!$W$42)-(Geometria!$W$48-Geometria!$W$44))+((2*ABS(Geometria!$V$42))+((2*ABS(Geometria!$V$42))+((2*ABS(Geometria!$V$41))-(2*ABS(Geometria!$V$42)))*(($L$14*K226)-(Geometria!$W$48-Geometria!$W$42))/((Geometria!$W$48-Geometria!$W$41)-(Geometria!$W$48-Geometria!$W$42))))/2*(($L$14*K226)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226)-(Geometria!$W$48-Geometria!$W$41))))))*$L$18+$L$198*IF(($L$14*K226)&lt;=(Geometria!$W$48-Geometria!$W$47),2*ABS(Geometria!$V$48)*($L$14*K226),2*ABS(Geometria!$V$48)*(Geometria!$W$48-Geometria!$W$47)+2*ABS(Geometria!$V$45)*(MIN(($L$14*K226),(Geometria!$W$48-Geometria!$W$44))-(Geometria!$W$48-Geometria!$W$47)))</f>
        <v>2307.604285714286</v>
      </c>
      <c r="M226" s="622">
        <f t="shared" si="36"/>
        <v>-2.391434262948206</v>
      </c>
      <c r="N226" s="622">
        <f t="shared" ca="1" si="37"/>
        <v>-274.03636363636366</v>
      </c>
      <c r="O226" s="622">
        <f t="shared" si="38"/>
        <v>11.524900398406373</v>
      </c>
      <c r="P226" s="622">
        <f t="shared" ca="1" si="39"/>
        <v>1096.1454545454546</v>
      </c>
      <c r="Q226" s="622">
        <f t="shared" ca="1" si="40"/>
        <v>15.591475564033578</v>
      </c>
      <c r="R226">
        <f t="shared" ca="1" si="41"/>
        <v>172.7272727272727</v>
      </c>
      <c r="S226" s="622">
        <f t="shared" ca="1" si="42"/>
        <v>1758.6776859504128</v>
      </c>
      <c r="T226" s="622">
        <f t="shared" ca="1" si="43"/>
        <v>7.273392424147877</v>
      </c>
      <c r="U226">
        <f t="shared" ca="1" si="44"/>
        <v>145.46784848295755</v>
      </c>
      <c r="V226" s="622">
        <f t="shared" ca="1" si="45"/>
        <v>0.0</v>
      </c>
      <c r="W226" s="622">
        <f t="shared" ca="1" si="46"/>
        <v>-821.2552184179449</v>
      </c>
    </row>
    <row r="227" spans="11:23" x14ac:dyDescent="0.25">
      <c r="K227" s="622">
        <f>$L$199+23*$L$201</f>
        <v>20.97</v>
      </c>
      <c r="L227" s="622">
        <f>IF(($L$14*K227)&lt;=(Geometria!$W$48-Geometria!$W$47),(2*ABS(Geometria!$V$48))*($L$14*K227),IF(($L$14*K227)&lt;=(Geometria!$W$48-Geometria!$W$44),(2*ABS(Geometria!$V$48))*(Geometria!$W$48-Geometria!$W$47)+(2*ABS(Geometria!$V$45))*(($L$14*K227)-(Geometria!$W$48-Geometria!$W$47)),IF(($L$14*K227)&lt;=(Geometria!$W$48-Geometria!$W$42),(2*ABS(Geometria!$V$48))*(Geometria!$W$48-Geometria!$W$47)+(2*ABS(Geometria!$V$45))*((Geometria!$W$48-Geometria!$W$44)-(Geometria!$W$48-Geometria!$W$47))+(2*ABS(Geometria!$V$42))*(($L$14*K227)-(Geometria!$W$48-Geometria!$W$44)),IF(($L$14*K227)&lt;=(Geometria!$W$48-Geometria!$W$41),(2*ABS(Geometria!$V$48))*(Geometria!$W$48-Geometria!$W$47)+(2*ABS(Geometria!$V$45))*((Geometria!$W$48-Geometria!$W$44)-(Geometria!$W$48-Geometria!$W$47))+(2*ABS(Geometria!$V$42))*((Geometria!$W$48-Geometria!$W$42)-(Geometria!$W$48-Geometria!$W$44))+((2*ABS(Geometria!$V$42))+((2*ABS(Geometria!$V$42))+((2*ABS(Geometria!$V$41))-(2*ABS(Geometria!$V$42)))*(($L$14*K227)-(Geometria!$W$48-Geometria!$W$42))/((Geometria!$W$48-Geometria!$W$41)-(Geometria!$W$48-Geometria!$W$42))))/2*(($L$14*K227)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227)-(Geometria!$W$48-Geometria!$W$41))))))*$L$18+$L$198*IF(($L$14*K227)&lt;=(Geometria!$W$48-Geometria!$W$47),2*ABS(Geometria!$V$48)*($L$14*K227),2*ABS(Geometria!$V$48)*(Geometria!$W$48-Geometria!$W$47)+2*ABS(Geometria!$V$45)*(MIN(($L$14*K227),(Geometria!$W$48-Geometria!$W$44))-(Geometria!$W$48-Geometria!$W$47)))</f>
        <v>2346.5100000000007</v>
      </c>
      <c r="M227" s="622">
        <f t="shared" si="36"/>
        <v>-2.1413924654268</v>
      </c>
      <c r="N227" s="622">
        <f t="shared" ca="1" si="37"/>
        <v>-271.11056480686693</v>
      </c>
      <c r="O227" s="622">
        <f t="shared" si="38"/>
        <v>10.887219837863615</v>
      </c>
      <c r="P227" s="622">
        <f t="shared" ca="1" si="39"/>
        <v>1096.1454545454546</v>
      </c>
      <c r="Q227" s="622">
        <f t="shared" ca="1" si="40"/>
        <v>15.008907766553971</v>
      </c>
      <c r="R227">
        <f t="shared" ca="1" si="41"/>
        <v>172.7272727272727</v>
      </c>
      <c r="S227" s="622">
        <f t="shared" ca="1" si="42"/>
        <v>1758.6776859504128</v>
      </c>
      <c r="T227" s="622">
        <f t="shared" ca="1" si="43"/>
        <v>7.051461834631836</v>
      </c>
      <c r="U227">
        <f t="shared" ca="1" si="44"/>
        <v>141.02923669263672</v>
      </c>
      <c r="V227" s="622">
        <f t="shared" ca="1" si="45"/>
        <v>0.0</v>
      </c>
      <c r="W227" s="622">
        <f t="shared" ca="1" si="46"/>
        <v>-779.4237053027337</v>
      </c>
    </row>
    <row r="228" spans="11:23" x14ac:dyDescent="0.25">
      <c r="K228" s="622">
        <f>$L$199+24*$L$201</f>
        <v>21.86</v>
      </c>
      <c r="L228" s="622">
        <f>IF(($L$14*K228)&lt;=(Geometria!$W$48-Geometria!$W$47),(2*ABS(Geometria!$V$48))*($L$14*K228),IF(($L$14*K228)&lt;=(Geometria!$W$48-Geometria!$W$44),(2*ABS(Geometria!$V$48))*(Geometria!$W$48-Geometria!$W$47)+(2*ABS(Geometria!$V$45))*(($L$14*K228)-(Geometria!$W$48-Geometria!$W$47)),IF(($L$14*K228)&lt;=(Geometria!$W$48-Geometria!$W$42),(2*ABS(Geometria!$V$48))*(Geometria!$W$48-Geometria!$W$47)+(2*ABS(Geometria!$V$45))*((Geometria!$W$48-Geometria!$W$44)-(Geometria!$W$48-Geometria!$W$47))+(2*ABS(Geometria!$V$42))*(($L$14*K228)-(Geometria!$W$48-Geometria!$W$44)),IF(($L$14*K228)&lt;=(Geometria!$W$48-Geometria!$W$41),(2*ABS(Geometria!$V$48))*(Geometria!$W$48-Geometria!$W$47)+(2*ABS(Geometria!$V$45))*((Geometria!$W$48-Geometria!$W$44)-(Geometria!$W$48-Geometria!$W$47))+(2*ABS(Geometria!$V$42))*((Geometria!$W$48-Geometria!$W$42)-(Geometria!$W$48-Geometria!$W$44))+((2*ABS(Geometria!$V$42))+((2*ABS(Geometria!$V$42))+((2*ABS(Geometria!$V$41))-(2*ABS(Geometria!$V$42)))*(($L$14*K228)-(Geometria!$W$48-Geometria!$W$42))/((Geometria!$W$48-Geometria!$W$41)-(Geometria!$W$48-Geometria!$W$42))))/2*(($L$14*K228)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228)-(Geometria!$W$48-Geometria!$W$41))))))*$L$18+$L$198*IF(($L$14*K228)&lt;=(Geometria!$W$48-Geometria!$W$47),2*ABS(Geometria!$V$48)*($L$14*K228),2*ABS(Geometria!$V$48)*(Geometria!$W$48-Geometria!$W$47)+2*ABS(Geometria!$V$45)*(MIN(($L$14*K228),(Geometria!$W$48-Geometria!$W$44))-(Geometria!$W$48-Geometria!$W$47)))</f>
        <v>2385.415714285715</v>
      </c>
      <c r="M228" s="622">
        <f t="shared" si="36"/>
        <v>-1.9117108874656905</v>
      </c>
      <c r="N228" s="622">
        <f t="shared" ca="1" si="37"/>
        <v>-242.03177456541624</v>
      </c>
      <c r="O228" s="622">
        <f t="shared" si="38"/>
        <v>10.301463860933211</v>
      </c>
      <c r="P228" s="622">
        <f t="shared" ca="1" si="39"/>
        <v>1096.1454545454546</v>
      </c>
      <c r="Q228" s="622">
        <f t="shared" ca="1" si="40"/>
        <v>14.473776871156415</v>
      </c>
      <c r="R228">
        <f t="shared" ca="1" si="41"/>
        <v>172.7272727272727</v>
      </c>
      <c r="S228" s="622">
        <f t="shared" ca="1" si="42"/>
        <v>1758.6776859504128</v>
      </c>
      <c r="T228" s="622">
        <f t="shared" ca="1" si="43"/>
        <v>6.847602445908958</v>
      </c>
      <c r="U228">
        <f t="shared" ca="1" si="44"/>
        <v>136.95204891817917</v>
      </c>
      <c r="V228" s="622">
        <f t="shared" ca="1" si="45"/>
        <v>0.0</v>
      </c>
      <c r="W228" s="622">
        <f t="shared" ca="1" si="46"/>
        <v>-711.4392007755687</v>
      </c>
    </row>
    <row r="229" spans="11:23" x14ac:dyDescent="0.25">
      <c r="K229" s="622">
        <f>$L$199+25*$L$201</f>
        <v>22.75</v>
      </c>
      <c r="L229" s="622">
        <f>IF(($L$14*K229)&lt;=(Geometria!$W$48-Geometria!$W$47),(2*ABS(Geometria!$V$48))*($L$14*K229),IF(($L$14*K229)&lt;=(Geometria!$W$48-Geometria!$W$44),(2*ABS(Geometria!$V$48))*(Geometria!$W$48-Geometria!$W$47)+(2*ABS(Geometria!$V$45))*(($L$14*K229)-(Geometria!$W$48-Geometria!$W$47)),IF(($L$14*K229)&lt;=(Geometria!$W$48-Geometria!$W$42),(2*ABS(Geometria!$V$48))*(Geometria!$W$48-Geometria!$W$47)+(2*ABS(Geometria!$V$45))*((Geometria!$W$48-Geometria!$W$44)-(Geometria!$W$48-Geometria!$W$47))+(2*ABS(Geometria!$V$42))*(($L$14*K229)-(Geometria!$W$48-Geometria!$W$44)),IF(($L$14*K229)&lt;=(Geometria!$W$48-Geometria!$W$41),(2*ABS(Geometria!$V$48))*(Geometria!$W$48-Geometria!$W$47)+(2*ABS(Geometria!$V$45))*((Geometria!$W$48-Geometria!$W$44)-(Geometria!$W$48-Geometria!$W$47))+(2*ABS(Geometria!$V$42))*((Geometria!$W$48-Geometria!$W$42)-(Geometria!$W$48-Geometria!$W$44))+((2*ABS(Geometria!$V$42))+((2*ABS(Geometria!$V$42))+((2*ABS(Geometria!$V$41))-(2*ABS(Geometria!$V$42)))*(($L$14*K229)-(Geometria!$W$48-Geometria!$W$42))/((Geometria!$W$48-Geometria!$W$41)-(Geometria!$W$48-Geometria!$W$42))))/2*(($L$14*K229)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229)-(Geometria!$W$48-Geometria!$W$41))))))*$L$18+$L$198*IF(($L$14*K229)&lt;=(Geometria!$W$48-Geometria!$W$47),2*ABS(Geometria!$V$48)*($L$14*K229),2*ABS(Geometria!$V$48)*(Geometria!$W$48-Geometria!$W$47)+2*ABS(Geometria!$V$45)*(MIN(($L$14*K229),(Geometria!$W$48-Geometria!$W$44))-(Geometria!$W$48-Geometria!$W$47)))</f>
        <v>2424.321428571429</v>
      </c>
      <c r="M229" s="622">
        <f t="shared" si="36"/>
        <v>-1.6999999999999995</v>
      </c>
      <c r="N229" s="622">
        <f t="shared" ca="1" si="37"/>
        <v>-215.22815999999995</v>
      </c>
      <c r="O229" s="622">
        <f t="shared" si="38"/>
        <v>9.761538461538462</v>
      </c>
      <c r="P229" s="622">
        <f t="shared" ca="1" si="39"/>
        <v>1096.1454545454546</v>
      </c>
      <c r="Q229" s="622">
        <f t="shared" ca="1" si="40"/>
        <v>13.98051555790425</v>
      </c>
      <c r="R229">
        <f t="shared" ca="1" si="41"/>
        <v>172.7272727272727</v>
      </c>
      <c r="S229" s="622">
        <f t="shared" ca="1" si="42"/>
        <v>1758.6776859504128</v>
      </c>
      <c r="T229" s="622">
        <f t="shared" ca="1" si="43"/>
        <v>6.659693374193848</v>
      </c>
      <c r="U229">
        <f t="shared" ca="1" si="44"/>
        <v>133.19386748387697</v>
      </c>
      <c r="V229" s="622">
        <f t="shared" ca="1" si="45"/>
        <v>0.0</v>
      </c>
      <c r="W229" s="622">
        <f t="shared" ca="1" si="46"/>
        <v>-645.7298719244386</v>
      </c>
    </row>
    <row r="230" spans="11:23" x14ac:dyDescent="0.25">
      <c r="K230" s="622">
        <f>$L$199+26*$L$201</f>
        <v>23.64</v>
      </c>
      <c r="L230" s="622">
        <f>IF(($L$14*K230)&lt;=(Geometria!$W$48-Geometria!$W$47),(2*ABS(Geometria!$V$48))*($L$14*K230),IF(($L$14*K230)&lt;=(Geometria!$W$48-Geometria!$W$44),(2*ABS(Geometria!$V$48))*(Geometria!$W$48-Geometria!$W$47)+(2*ABS(Geometria!$V$45))*(($L$14*K230)-(Geometria!$W$48-Geometria!$W$47)),IF(($L$14*K230)&lt;=(Geometria!$W$48-Geometria!$W$42),(2*ABS(Geometria!$V$48))*(Geometria!$W$48-Geometria!$W$47)+(2*ABS(Geometria!$V$45))*((Geometria!$W$48-Geometria!$W$44)-(Geometria!$W$48-Geometria!$W$47))+(2*ABS(Geometria!$V$42))*(($L$14*K230)-(Geometria!$W$48-Geometria!$W$44)),IF(($L$14*K230)&lt;=(Geometria!$W$48-Geometria!$W$41),(2*ABS(Geometria!$V$48))*(Geometria!$W$48-Geometria!$W$47)+(2*ABS(Geometria!$V$45))*((Geometria!$W$48-Geometria!$W$44)-(Geometria!$W$48-Geometria!$W$47))+(2*ABS(Geometria!$V$42))*((Geometria!$W$48-Geometria!$W$42)-(Geometria!$W$48-Geometria!$W$44))+((2*ABS(Geometria!$V$42))+((2*ABS(Geometria!$V$42))+((2*ABS(Geometria!$V$41))-(2*ABS(Geometria!$V$42)))*(($L$14*K230)-(Geometria!$W$48-Geometria!$W$42))/((Geometria!$W$48-Geometria!$W$41)-(Geometria!$W$48-Geometria!$W$42))))/2*(($L$14*K230)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230)-(Geometria!$W$48-Geometria!$W$41))))))*$L$18+$L$198*IF(($L$14*K230)&lt;=(Geometria!$W$48-Geometria!$W$47),2*ABS(Geometria!$V$48)*($L$14*K230),2*ABS(Geometria!$V$48)*(Geometria!$W$48-Geometria!$W$47)+2*ABS(Geometria!$V$45)*(MIN(($L$14*K230),(Geometria!$W$48-Geometria!$W$44))-(Geometria!$W$48-Geometria!$W$47)))</f>
        <v>2463.227142857144</v>
      </c>
      <c r="M230" s="622">
        <f t="shared" si="36"/>
        <v>-1.5042301184433158</v>
      </c>
      <c r="N230" s="622">
        <f t="shared" ca="1" si="37"/>
        <v>-190.44275329949232</v>
      </c>
      <c r="O230" s="622">
        <f t="shared" si="38"/>
        <v>9.262267343485618</v>
      </c>
      <c r="P230" s="622">
        <f t="shared" ca="1" si="39"/>
        <v>1096.1454545454546</v>
      </c>
      <c r="Q230" s="622">
        <f t="shared" ca="1" si="40"/>
        <v>13.524394901910497</v>
      </c>
      <c r="R230">
        <f t="shared" ca="1" si="41"/>
        <v>172.7272727272727</v>
      </c>
      <c r="S230" s="622">
        <f t="shared" ca="1" si="42"/>
        <v>1758.6776859504128</v>
      </c>
      <c r="T230" s="622">
        <f t="shared" ca="1" si="43"/>
        <v>6.485933124291465</v>
      </c>
      <c r="U230">
        <f t="shared" ca="1" si="44"/>
        <v>129.7186624858293</v>
      </c>
      <c r="V230" s="622">
        <f t="shared" ca="1" si="45"/>
        <v>0.0</v>
      </c>
      <c r="W230" s="622">
        <f t="shared" ca="1" si="46"/>
        <v>-582.0387509382158</v>
      </c>
    </row>
    <row r="231" spans="11:23" x14ac:dyDescent="0.25">
      <c r="K231" s="622">
        <f>$L$199+27*$L$201</f>
        <v>24.53</v>
      </c>
      <c r="L231" s="622">
        <f>IF(($L$14*K231)&lt;=(Geometria!$W$48-Geometria!$W$47),(2*ABS(Geometria!$V$48))*($L$14*K231),IF(($L$14*K231)&lt;=(Geometria!$W$48-Geometria!$W$44),(2*ABS(Geometria!$V$48))*(Geometria!$W$48-Geometria!$W$47)+(2*ABS(Geometria!$V$45))*(($L$14*K231)-(Geometria!$W$48-Geometria!$W$47)),IF(($L$14*K231)&lt;=(Geometria!$W$48-Geometria!$W$42),(2*ABS(Geometria!$V$48))*(Geometria!$W$48-Geometria!$W$47)+(2*ABS(Geometria!$V$45))*((Geometria!$W$48-Geometria!$W$44)-(Geometria!$W$48-Geometria!$W$47))+(2*ABS(Geometria!$V$42))*(($L$14*K231)-(Geometria!$W$48-Geometria!$W$44)),IF(($L$14*K231)&lt;=(Geometria!$W$48-Geometria!$W$41),(2*ABS(Geometria!$V$48))*(Geometria!$W$48-Geometria!$W$47)+(2*ABS(Geometria!$V$45))*((Geometria!$W$48-Geometria!$W$44)-(Geometria!$W$48-Geometria!$W$47))+(2*ABS(Geometria!$V$42))*((Geometria!$W$48-Geometria!$W$42)-(Geometria!$W$48-Geometria!$W$44))+((2*ABS(Geometria!$V$42))+((2*ABS(Geometria!$V$42))+((2*ABS(Geometria!$V$41))-(2*ABS(Geometria!$V$42)))*(($L$14*K231)-(Geometria!$W$48-Geometria!$W$42))/((Geometria!$W$48-Geometria!$W$41)-(Geometria!$W$48-Geometria!$W$42))))/2*(($L$14*K231)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231)-(Geometria!$W$48-Geometria!$W$41))))))*$L$18+$L$198*IF(($L$14*K231)&lt;=(Geometria!$W$48-Geometria!$W$47),2*ABS(Geometria!$V$48)*($L$14*K231),2*ABS(Geometria!$V$48)*(Geometria!$W$48-Geometria!$W$47)+2*ABS(Geometria!$V$45)*(MIN(($L$14*K231),(Geometria!$W$48-Geometria!$W$44))-(Geometria!$W$48-Geometria!$W$47)))</f>
        <v>2502.1328571428576</v>
      </c>
      <c r="M231" s="622">
        <f t="shared" si="36"/>
        <v>-1.322666123114553</v>
      </c>
      <c r="N231" s="622">
        <f t="shared" ca="1" si="37"/>
        <v>-167.45587998369336</v>
      </c>
      <c r="O231" s="622">
        <f t="shared" si="38"/>
        <v>8.79922543823889</v>
      </c>
      <c r="P231" s="622">
        <f t="shared" ca="1" si="39"/>
        <v>1096.1454545454546</v>
      </c>
      <c r="Q231" s="622">
        <f t="shared" ca="1" si="40"/>
        <v>13.10137227965783</v>
      </c>
      <c r="R231">
        <f t="shared" ca="1" si="41"/>
        <v>172.7272727272727</v>
      </c>
      <c r="S231" s="622">
        <f t="shared" ca="1" si="42"/>
        <v>1758.6776859504128</v>
      </c>
      <c r="T231" s="622">
        <f t="shared" ca="1" si="43"/>
        <v>6.324781649147593</v>
      </c>
      <c r="U231">
        <f t="shared" ca="1" si="44"/>
        <v>126.49563298295186</v>
      </c>
      <c r="V231" s="622">
        <f t="shared" ca="1" si="45"/>
        <v>0.0</v>
      </c>
      <c r="W231" s="622">
        <f t="shared" ca="1" si="46"/>
        <v>-520.146163336703</v>
      </c>
    </row>
    <row r="232" spans="11:23" x14ac:dyDescent="0.25">
      <c r="K232" s="622">
        <f>$L$199+28*$L$201</f>
        <v>25.42</v>
      </c>
      <c r="L232" s="622">
        <f>IF(($L$14*K232)&lt;=(Geometria!$W$48-Geometria!$W$47),(2*ABS(Geometria!$V$48))*($L$14*K232),IF(($L$14*K232)&lt;=(Geometria!$W$48-Geometria!$W$44),(2*ABS(Geometria!$V$48))*(Geometria!$W$48-Geometria!$W$47)+(2*ABS(Geometria!$V$45))*(($L$14*K232)-(Geometria!$W$48-Geometria!$W$47)),IF(($L$14*K232)&lt;=(Geometria!$W$48-Geometria!$W$42),(2*ABS(Geometria!$V$48))*(Geometria!$W$48-Geometria!$W$47)+(2*ABS(Geometria!$V$45))*((Geometria!$W$48-Geometria!$W$44)-(Geometria!$W$48-Geometria!$W$47))+(2*ABS(Geometria!$V$42))*(($L$14*K232)-(Geometria!$W$48-Geometria!$W$44)),IF(($L$14*K232)&lt;=(Geometria!$W$48-Geometria!$W$41),(2*ABS(Geometria!$V$48))*(Geometria!$W$48-Geometria!$W$47)+(2*ABS(Geometria!$V$45))*((Geometria!$W$48-Geometria!$W$44)-(Geometria!$W$48-Geometria!$W$47))+(2*ABS(Geometria!$V$42))*((Geometria!$W$48-Geometria!$W$42)-(Geometria!$W$48-Geometria!$W$44))+((2*ABS(Geometria!$V$42))+((2*ABS(Geometria!$V$42))+((2*ABS(Geometria!$V$41))-(2*ABS(Geometria!$V$42)))*(($L$14*K232)-(Geometria!$W$48-Geometria!$W$42))/((Geometria!$W$48-Geometria!$W$41)-(Geometria!$W$48-Geometria!$W$42))))/2*(($L$14*K232)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232)-(Geometria!$W$48-Geometria!$W$41))))))*$L$18+$L$198*IF(($L$14*K232)&lt;=(Geometria!$W$48-Geometria!$W$47),2*ABS(Geometria!$V$48)*($L$14*K232),2*ABS(Geometria!$V$48)*(Geometria!$W$48-Geometria!$W$47)+2*ABS(Geometria!$V$45)*(MIN(($L$14*K232),(Geometria!$W$48-Geometria!$W$44))-(Geometria!$W$48-Geometria!$W$47)))</f>
        <v>2541.0385714285717</v>
      </c>
      <c r="M232" s="622">
        <f t="shared" si="36"/>
        <v>-1.153815892997639</v>
      </c>
      <c r="N232" s="622">
        <f t="shared" ca="1" si="37"/>
        <v>-146.07863036978748</v>
      </c>
      <c r="O232" s="622">
        <f t="shared" si="38"/>
        <v>8.368607395751377</v>
      </c>
      <c r="P232" s="622">
        <f t="shared" ca="1" si="39"/>
        <v>1096.1454545454546</v>
      </c>
      <c r="Q232" s="622">
        <f t="shared" ca="1" si="40"/>
        <v>12.707971225761177</v>
      </c>
      <c r="R232">
        <f t="shared" ca="1" si="41"/>
        <v>172.7272727272727</v>
      </c>
      <c r="S232" s="622">
        <f t="shared" ca="1" si="42"/>
        <v>1758.6776859504128</v>
      </c>
      <c r="T232" s="622">
        <f t="shared" ca="1" si="43"/>
        <v>6.174914580996486</v>
      </c>
      <c r="U232">
        <f t="shared" ca="1" si="44"/>
        <v>123.49829161992973</v>
      </c>
      <c r="V232" s="622">
        <f t="shared" ca="1" si="45"/>
        <v>0.0</v>
      </c>
      <c r="W232" s="622">
        <f t="shared" ca="1" si="46"/>
        <v>-459.86319943708304</v>
      </c>
    </row>
    <row r="233" spans="11:23" x14ac:dyDescent="0.25">
      <c r="K233" s="622">
        <f>$L$199+29*$L$201</f>
        <v>26.31</v>
      </c>
      <c r="L233" s="622">
        <f>IF(($L$14*K233)&lt;=(Geometria!$W$48-Geometria!$W$47),(2*ABS(Geometria!$V$48))*($L$14*K233),IF(($L$14*K233)&lt;=(Geometria!$W$48-Geometria!$W$44),(2*ABS(Geometria!$V$48))*(Geometria!$W$48-Geometria!$W$47)+(2*ABS(Geometria!$V$45))*(($L$14*K233)-(Geometria!$W$48-Geometria!$W$47)),IF(($L$14*K233)&lt;=(Geometria!$W$48-Geometria!$W$42),(2*ABS(Geometria!$V$48))*(Geometria!$W$48-Geometria!$W$47)+(2*ABS(Geometria!$V$45))*((Geometria!$W$48-Geometria!$W$44)-(Geometria!$W$48-Geometria!$W$47))+(2*ABS(Geometria!$V$42))*(($L$14*K233)-(Geometria!$W$48-Geometria!$W$44)),IF(($L$14*K233)&lt;=(Geometria!$W$48-Geometria!$W$41),(2*ABS(Geometria!$V$48))*(Geometria!$W$48-Geometria!$W$47)+(2*ABS(Geometria!$V$45))*((Geometria!$W$48-Geometria!$W$44)-(Geometria!$W$48-Geometria!$W$47))+(2*ABS(Geometria!$V$42))*((Geometria!$W$48-Geometria!$W$42)-(Geometria!$W$48-Geometria!$W$44))+((2*ABS(Geometria!$V$42))+((2*ABS(Geometria!$V$42))+((2*ABS(Geometria!$V$41))-(2*ABS(Geometria!$V$42)))*(($L$14*K233)-(Geometria!$W$48-Geometria!$W$42))/((Geometria!$W$48-Geometria!$W$41)-(Geometria!$W$48-Geometria!$W$42))))/2*(($L$14*K233)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233)-(Geometria!$W$48-Geometria!$W$41))))))*$L$18+$L$198*IF(($L$14*K233)&lt;=(Geometria!$W$48-Geometria!$W$47),2*ABS(Geometria!$V$48)*($L$14*K233),2*ABS(Geometria!$V$48)*(Geometria!$W$48-Geometria!$W$47)+2*ABS(Geometria!$V$45)*(MIN(($L$14*K233),(Geometria!$W$48-Geometria!$W$44))-(Geometria!$W$48-Geometria!$W$47)))</f>
        <v>2579.9442857142867</v>
      </c>
      <c r="M233" s="622">
        <f t="shared" si="36"/>
        <v>-0.9963892056252375</v>
      </c>
      <c r="N233" s="622">
        <f t="shared" ca="1" si="37"/>
        <v>-126.14765610034208</v>
      </c>
      <c r="O233" s="622">
        <f t="shared" si="38"/>
        <v>7.967122767008743</v>
      </c>
      <c r="P233" s="622">
        <f t="shared" ca="1" si="39"/>
        <v>1096.1454545454546</v>
      </c>
      <c r="Q233" s="622">
        <f t="shared" ca="1" si="40"/>
        <v>12.341185674560684</v>
      </c>
      <c r="R233">
        <f t="shared" ca="1" si="41"/>
        <v>172.7272727272727</v>
      </c>
      <c r="S233" s="622">
        <f t="shared" ca="1" si="42"/>
        <v>1758.6776859504128</v>
      </c>
      <c r="T233" s="622">
        <f t="shared" ca="1" si="43"/>
        <v>6.035186751967728</v>
      </c>
      <c r="U233">
        <f t="shared" ca="1" si="44"/>
        <v>120.70373503935457</v>
      </c>
      <c r="V233" s="622">
        <f t="shared" ca="1" si="45"/>
        <v>0.0</v>
      </c>
      <c r="W233" s="622">
        <f t="shared" ca="1" si="46"/>
        <v>-401.0265108819226</v>
      </c>
    </row>
    <row r="234" spans="11:23" x14ac:dyDescent="0.25">
      <c r="K234" s="622">
        <f>$L$199+30*$L$201</f>
        <v>27.2</v>
      </c>
      <c r="L234" s="622">
        <f>IF(($L$14*K234)&lt;=(Geometria!$W$48-Geometria!$W$47),(2*ABS(Geometria!$V$48))*($L$14*K234),IF(($L$14*K234)&lt;=(Geometria!$W$48-Geometria!$W$44),(2*ABS(Geometria!$V$48))*(Geometria!$W$48-Geometria!$W$47)+(2*ABS(Geometria!$V$45))*(($L$14*K234)-(Geometria!$W$48-Geometria!$W$47)),IF(($L$14*K234)&lt;=(Geometria!$W$48-Geometria!$W$42),(2*ABS(Geometria!$V$48))*(Geometria!$W$48-Geometria!$W$47)+(2*ABS(Geometria!$V$45))*((Geometria!$W$48-Geometria!$W$44)-(Geometria!$W$48-Geometria!$W$47))+(2*ABS(Geometria!$V$42))*(($L$14*K234)-(Geometria!$W$48-Geometria!$W$44)),IF(($L$14*K234)&lt;=(Geometria!$W$48-Geometria!$W$41),(2*ABS(Geometria!$V$48))*(Geometria!$W$48-Geometria!$W$47)+(2*ABS(Geometria!$V$45))*((Geometria!$W$48-Geometria!$W$44)-(Geometria!$W$48-Geometria!$W$47))+(2*ABS(Geometria!$V$42))*((Geometria!$W$48-Geometria!$W$42)-(Geometria!$W$48-Geometria!$W$44))+((2*ABS(Geometria!$V$42))+((2*ABS(Geometria!$V$42))+((2*ABS(Geometria!$V$41))-(2*ABS(Geometria!$V$42)))*(($L$14*K234)-(Geometria!$W$48-Geometria!$W$42))/((Geometria!$W$48-Geometria!$W$41)-(Geometria!$W$48-Geometria!$W$42))))/2*(($L$14*K234)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234)-(Geometria!$W$48-Geometria!$W$41))))))*$L$18+$L$198*IF(($L$14*K234)&lt;=(Geometria!$W$48-Geometria!$W$47),2*ABS(Geometria!$V$48)*($L$14*K234),2*ABS(Geometria!$V$48)*(Geometria!$W$48-Geometria!$W$47)+2*ABS(Geometria!$V$45)*(MIN(($L$14*K234),(Geometria!$W$48-Geometria!$W$44))-(Geometria!$W$48-Geometria!$W$47)))</f>
        <v>2618.850000000001</v>
      </c>
      <c r="M234" s="622">
        <f t="shared" si="36"/>
        <v>-0.8492647058823527</v>
      </c>
      <c r="N234" s="622">
        <f t="shared" ca="1" si="37"/>
        <v>-107.52098823529408</v>
      </c>
      <c r="O234" s="622">
        <f t="shared" si="38"/>
        <v>7.591911764705882</v>
      </c>
      <c r="P234" s="622">
        <f t="shared" ca="1" si="39"/>
        <v>1096.1454545454546</v>
      </c>
      <c r="Q234" s="622">
        <f t="shared" ca="1" si="40"/>
        <v>11.998403001343164</v>
      </c>
      <c r="R234">
        <f t="shared" ca="1" si="41"/>
        <v>172.7272727272727</v>
      </c>
      <c r="S234" s="622">
        <f t="shared" ca="1" si="42"/>
        <v>1758.6776859504128</v>
      </c>
      <c r="T234" s="622">
        <f t="shared" ca="1" si="43"/>
        <v>5.904602876456291</v>
      </c>
      <c r="U234">
        <f t="shared" ca="1" si="44"/>
        <v>118.09205752912582</v>
      </c>
      <c r="V234" s="622">
        <f t="shared" ca="1" si="45"/>
        <v>0.0</v>
      </c>
      <c r="W234" s="622">
        <f t="shared" ca="1" si="46"/>
        <v>-343.4941287311608</v>
      </c>
    </row>
    <row r="235" spans="11:23" x14ac:dyDescent="0.25">
      <c r="K235" s="622">
        <f>$L$199+31*$L$201</f>
        <v>28.09</v>
      </c>
      <c r="L235" s="622">
        <f>IF(($L$14*K235)&lt;=(Geometria!$W$48-Geometria!$W$47),(2*ABS(Geometria!$V$48))*($L$14*K235),IF(($L$14*K235)&lt;=(Geometria!$W$48-Geometria!$W$44),(2*ABS(Geometria!$V$48))*(Geometria!$W$48-Geometria!$W$47)+(2*ABS(Geometria!$V$45))*(($L$14*K235)-(Geometria!$W$48-Geometria!$W$47)),IF(($L$14*K235)&lt;=(Geometria!$W$48-Geometria!$W$42),(2*ABS(Geometria!$V$48))*(Geometria!$W$48-Geometria!$W$47)+(2*ABS(Geometria!$V$45))*((Geometria!$W$48-Geometria!$W$44)-(Geometria!$W$48-Geometria!$W$47))+(2*ABS(Geometria!$V$42))*(($L$14*K235)-(Geometria!$W$48-Geometria!$W$44)),IF(($L$14*K235)&lt;=(Geometria!$W$48-Geometria!$W$41),(2*ABS(Geometria!$V$48))*(Geometria!$W$48-Geometria!$W$47)+(2*ABS(Geometria!$V$45))*((Geometria!$W$48-Geometria!$W$44)-(Geometria!$W$48-Geometria!$W$47))+(2*ABS(Geometria!$V$42))*((Geometria!$W$48-Geometria!$W$42)-(Geometria!$W$48-Geometria!$W$44))+((2*ABS(Geometria!$V$42))+((2*ABS(Geometria!$V$42))+((2*ABS(Geometria!$V$41))-(2*ABS(Geometria!$V$42)))*(($L$14*K235)-(Geometria!$W$48-Geometria!$W$42))/((Geometria!$W$48-Geometria!$W$41)-(Geometria!$W$48-Geometria!$W$42))))/2*(($L$14*K235)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235)-(Geometria!$W$48-Geometria!$W$41))))))*$L$18+$L$198*IF(($L$14*K235)&lt;=(Geometria!$W$48-Geometria!$W$47),2*ABS(Geometria!$V$48)*($L$14*K235),2*ABS(Geometria!$V$48)*(Geometria!$W$48-Geometria!$W$47)+2*ABS(Geometria!$V$45)*(MIN(($L$14*K235),(Geometria!$W$48-Geometria!$W$44))-(Geometria!$W$48-Geometria!$W$47)))</f>
        <v>2657.755714285715</v>
      </c>
      <c r="M235" s="622">
        <f t="shared" si="36"/>
        <v>-0.7114631541473831</v>
      </c>
      <c r="N235" s="622">
        <f t="shared" ca="1" si="37"/>
        <v>-90.07465033819862</v>
      </c>
      <c r="O235" s="622">
        <f t="shared" si="38"/>
        <v>7.240477038091847</v>
      </c>
      <c r="P235" s="622">
        <f t="shared" ca="1" si="39"/>
        <v>1096.1454545454546</v>
      </c>
      <c r="Q235" s="622">
        <f t="shared" ca="1" si="40"/>
        <v>11.677341693676631</v>
      </c>
      <c r="R235">
        <f t="shared" ca="1" si="41"/>
        <v>172.7272727272727</v>
      </c>
      <c r="S235" s="622">
        <f t="shared" ca="1" si="42"/>
        <v>1758.6776859504128</v>
      </c>
      <c r="T235" s="622">
        <f t="shared" ca="1" si="43"/>
        <v>5.78229380686904</v>
      </c>
      <c r="U235">
        <f t="shared" ca="1" si="44"/>
        <v>115.64587613738081</v>
      </c>
      <c r="V235" s="622">
        <f t="shared" ca="1" si="45"/>
        <v>0.0</v>
      </c>
      <c r="W235" s="622">
        <f t="shared" ca="1" si="46"/>
        <v>-287.14207654835127</v>
      </c>
    </row>
    <row r="236" spans="11:23" x14ac:dyDescent="0.25">
      <c r="K236" s="622">
        <f>$L$199+32*$L$201</f>
        <v>28.98</v>
      </c>
      <c r="L236" s="622">
        <f>IF(($L$14*K236)&lt;=(Geometria!$W$48-Geometria!$W$47),(2*ABS(Geometria!$V$48))*($L$14*K236),IF(($L$14*K236)&lt;=(Geometria!$W$48-Geometria!$W$44),(2*ABS(Geometria!$V$48))*(Geometria!$W$48-Geometria!$W$47)+(2*ABS(Geometria!$V$45))*(($L$14*K236)-(Geometria!$W$48-Geometria!$W$47)),IF(($L$14*K236)&lt;=(Geometria!$W$48-Geometria!$W$42),(2*ABS(Geometria!$V$48))*(Geometria!$W$48-Geometria!$W$47)+(2*ABS(Geometria!$V$45))*((Geometria!$W$48-Geometria!$W$44)-(Geometria!$W$48-Geometria!$W$47))+(2*ABS(Geometria!$V$42))*(($L$14*K236)-(Geometria!$W$48-Geometria!$W$44)),IF(($L$14*K236)&lt;=(Geometria!$W$48-Geometria!$W$41),(2*ABS(Geometria!$V$48))*(Geometria!$W$48-Geometria!$W$47)+(2*ABS(Geometria!$V$45))*((Geometria!$W$48-Geometria!$W$44)-(Geometria!$W$48-Geometria!$W$47))+(2*ABS(Geometria!$V$42))*((Geometria!$W$48-Geometria!$W$42)-(Geometria!$W$48-Geometria!$W$44))+((2*ABS(Geometria!$V$42))+((2*ABS(Geometria!$V$42))+((2*ABS(Geometria!$V$41))-(2*ABS(Geometria!$V$42)))*(($L$14*K236)-(Geometria!$W$48-Geometria!$W$42))/((Geometria!$W$48-Geometria!$W$41)-(Geometria!$W$48-Geometria!$W$42))))/2*(($L$14*K236)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236)-(Geometria!$W$48-Geometria!$W$41))))))*$L$18+$L$198*IF(($L$14*K236)&lt;=(Geometria!$W$48-Geometria!$W$47),2*ABS(Geometria!$V$48)*($L$14*K236),2*ABS(Geometria!$V$48)*(Geometria!$W$48-Geometria!$W$47)+2*ABS(Geometria!$V$45)*(MIN(($L$14*K236),(Geometria!$W$48-Geometria!$W$44))-(Geometria!$W$48-Geometria!$W$47)))</f>
        <v>2696.661428571429</v>
      </c>
      <c r="M236" s="622">
        <f t="shared" ref="M236:M267" si="47">$L$13*(K236-$L$194)/K236</f>
        <v>-0.582125603864734</v>
      </c>
      <c r="N236" s="622">
        <f t="shared" ref="N236:N267" ca="1" si="48">$L$25*(SIGN(M236)*MIN(ABS(M236)*$L$10/1000,$L$11))/10</f>
        <v>-73.69989565217386</v>
      </c>
      <c r="O236" s="622">
        <f t="shared" ref="O236:O267" si="49">$L$13*($L$195-K236)/K236</f>
        <v>6.910628019323671</v>
      </c>
      <c r="P236" s="622">
        <f t="shared" ref="P236:P267" ca="1" si="50">$L$30*(SIGN(O236)*MIN(ABS(O236)*$L$10/1000,$L$11))/10</f>
        <v>1096.1454545454546</v>
      </c>
      <c r="Q236" s="622">
        <f t="shared" ref="Q236:Q267" ca="1" si="51">$L$36+$L$13*($L$196-K236)/K236</f>
        <v>11.376000507737025</v>
      </c>
      <c r="R236">
        <f t="shared" ref="R236:R267" ca="1" si="52">SIGN(Q236)*IF(ABS(Q236)&lt;=$Z$12,$Z$9*ABS(Q236)/1000,IF(ABS(Q236)&lt;=$Z$13,$Z$10+($Z$11-$Z$10)*(ABS(Q236)-$Z$12)/($Z$13-$Z$12),$Z$11))/10</f>
        <v>172.7272727272727</v>
      </c>
      <c r="S236" s="622">
        <f t="shared" ref="S236:S267" ca="1" si="53">$L$34*(R236/$L$9)</f>
        <v>1758.6776859504128</v>
      </c>
      <c r="T236" s="622">
        <f t="shared" ref="T236:T267" ca="1" si="54">$L$41+$L$13*($L$197-K236)/K236</f>
        <v>5.667497164606334</v>
      </c>
      <c r="U236">
        <f t="shared" ref="U236:U267" ca="1" si="55">SIGN(T236)*IF(ABS(T236)&lt;=$Z$12,$Z$9*ABS(T236)/1000,IF(ABS(T236)&lt;=$Z$13,$Z$10+($Z$11-$Z$10)*(ABS(T236)-$Z$12)/($Z$13-$Z$12),$Z$11))/10</f>
        <v>113.34994329212668</v>
      </c>
      <c r="V236" s="622">
        <f t="shared" ref="V236:V267" ca="1" si="56">$L$39*(U236/$L$9)</f>
        <v>0.0</v>
      </c>
      <c r="W236" s="622">
        <f t="shared" ref="W236:W267" ca="1" si="57">L236+N236-P236-S236-V236</f>
        <v>-231.8616075766122</v>
      </c>
    </row>
    <row r="237" spans="11:23" x14ac:dyDescent="0.25">
      <c r="K237" s="622">
        <f>$L$199+33*$L$201</f>
        <v>29.87</v>
      </c>
      <c r="L237" s="622">
        <f>IF(($L$14*K237)&lt;=(Geometria!$W$48-Geometria!$W$47),(2*ABS(Geometria!$V$48))*($L$14*K237),IF(($L$14*K237)&lt;=(Geometria!$W$48-Geometria!$W$44),(2*ABS(Geometria!$V$48))*(Geometria!$W$48-Geometria!$W$47)+(2*ABS(Geometria!$V$45))*(($L$14*K237)-(Geometria!$W$48-Geometria!$W$47)),IF(($L$14*K237)&lt;=(Geometria!$W$48-Geometria!$W$42),(2*ABS(Geometria!$V$48))*(Geometria!$W$48-Geometria!$W$47)+(2*ABS(Geometria!$V$45))*((Geometria!$W$48-Geometria!$W$44)-(Geometria!$W$48-Geometria!$W$47))+(2*ABS(Geometria!$V$42))*(($L$14*K237)-(Geometria!$W$48-Geometria!$W$44)),IF(($L$14*K237)&lt;=(Geometria!$W$48-Geometria!$W$41),(2*ABS(Geometria!$V$48))*(Geometria!$W$48-Geometria!$W$47)+(2*ABS(Geometria!$V$45))*((Geometria!$W$48-Geometria!$W$44)-(Geometria!$W$48-Geometria!$W$47))+(2*ABS(Geometria!$V$42))*((Geometria!$W$48-Geometria!$W$42)-(Geometria!$W$48-Geometria!$W$44))+((2*ABS(Geometria!$V$42))+((2*ABS(Geometria!$V$42))+((2*ABS(Geometria!$V$41))-(2*ABS(Geometria!$V$42)))*(($L$14*K237)-(Geometria!$W$48-Geometria!$W$42))/((Geometria!$W$48-Geometria!$W$41)-(Geometria!$W$48-Geometria!$W$42))))/2*(($L$14*K237)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237)-(Geometria!$W$48-Geometria!$W$41))))))*$L$18+$L$198*IF(($L$14*K237)&lt;=(Geometria!$W$48-Geometria!$W$47),2*ABS(Geometria!$V$48)*($L$14*K237),2*ABS(Geometria!$V$48)*(Geometria!$W$48-Geometria!$W$47)+2*ABS(Geometria!$V$45)*(MIN(($L$14*K237),(Geometria!$W$48-Geometria!$W$44))-(Geometria!$W$48-Geometria!$W$47)))</f>
        <v>2735.567142857143</v>
      </c>
      <c r="M237" s="622">
        <f t="shared" si="47"/>
        <v>-0.4604954804151318</v>
      </c>
      <c r="N237" s="622">
        <f t="shared" ca="1" si="48"/>
        <v>-58.30093819886169</v>
      </c>
      <c r="O237" s="622">
        <f t="shared" si="49"/>
        <v>6.600435219283562</v>
      </c>
      <c r="P237" s="622">
        <f t="shared" ca="1" si="50"/>
        <v>1096.1454545454546</v>
      </c>
      <c r="Q237" s="622">
        <f t="shared" ca="1" si="51"/>
        <v>11.092616714196902</v>
      </c>
      <c r="R237">
        <f t="shared" ca="1" si="52"/>
        <v>172.7272727272727</v>
      </c>
      <c r="S237" s="622">
        <f t="shared" ca="1" si="53"/>
        <v>1758.6776859504128</v>
      </c>
      <c r="T237" s="622">
        <f t="shared" ca="1" si="54"/>
        <v>5.559541433733906</v>
      </c>
      <c r="U237">
        <f t="shared" ca="1" si="55"/>
        <v>111.19082867467812</v>
      </c>
      <c r="V237" s="622">
        <f t="shared" ca="1" si="56"/>
        <v>0.0</v>
      </c>
      <c r="W237" s="622">
        <f t="shared" ca="1" si="57"/>
        <v>-177.55693583758602</v>
      </c>
    </row>
    <row r="238" spans="11:23" x14ac:dyDescent="0.25">
      <c r="K238" s="622">
        <f>$L$199+34*$L$201</f>
        <v>30.76</v>
      </c>
      <c r="L238" s="622">
        <f>IF(($L$14*K238)&lt;=(Geometria!$W$48-Geometria!$W$47),(2*ABS(Geometria!$V$48))*($L$14*K238),IF(($L$14*K238)&lt;=(Geometria!$W$48-Geometria!$W$44),(2*ABS(Geometria!$V$48))*(Geometria!$W$48-Geometria!$W$47)+(2*ABS(Geometria!$V$45))*(($L$14*K238)-(Geometria!$W$48-Geometria!$W$47)),IF(($L$14*K238)&lt;=(Geometria!$W$48-Geometria!$W$42),(2*ABS(Geometria!$V$48))*(Geometria!$W$48-Geometria!$W$47)+(2*ABS(Geometria!$V$45))*((Geometria!$W$48-Geometria!$W$44)-(Geometria!$W$48-Geometria!$W$47))+(2*ABS(Geometria!$V$42))*(($L$14*K238)-(Geometria!$W$48-Geometria!$W$44)),IF(($L$14*K238)&lt;=(Geometria!$W$48-Geometria!$W$41),(2*ABS(Geometria!$V$48))*(Geometria!$W$48-Geometria!$W$47)+(2*ABS(Geometria!$V$45))*((Geometria!$W$48-Geometria!$W$44)-(Geometria!$W$48-Geometria!$W$47))+(2*ABS(Geometria!$V$42))*((Geometria!$W$48-Geometria!$W$42)-(Geometria!$W$48-Geometria!$W$44))+((2*ABS(Geometria!$V$42))+((2*ABS(Geometria!$V$42))+((2*ABS(Geometria!$V$41))-(2*ABS(Geometria!$V$42)))*(($L$14*K238)-(Geometria!$W$48-Geometria!$W$42))/((Geometria!$W$48-Geometria!$W$41)-(Geometria!$W$48-Geometria!$W$42))))/2*(($L$14*K238)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238)-(Geometria!$W$48-Geometria!$W$41))))))*$L$18+$L$198*IF(($L$14*K238)&lt;=(Geometria!$W$48-Geometria!$W$47),2*ABS(Geometria!$V$48)*($L$14*K238),2*ABS(Geometria!$V$48)*(Geometria!$W$48-Geometria!$W$47)+2*ABS(Geometria!$V$45)*(MIN(($L$14*K238),(Geometria!$W$48-Geometria!$W$44))-(Geometria!$W$48-Geometria!$W$47)))</f>
        <v>2774.4728571428577</v>
      </c>
      <c r="M238" s="622">
        <f t="shared" si="47"/>
        <v>-0.34590377113133886</v>
      </c>
      <c r="N238" s="622">
        <f t="shared" ca="1" si="48"/>
        <v>-43.79307776332894</v>
      </c>
      <c r="O238" s="622">
        <f t="shared" si="49"/>
        <v>6.308192457737321</v>
      </c>
      <c r="P238" s="622">
        <f t="shared" ca="1" si="50"/>
        <v>1096.1454545454546</v>
      </c>
      <c r="Q238" s="622">
        <f t="shared" ca="1" si="51"/>
        <v>10.825631592714693</v>
      </c>
      <c r="R238">
        <f t="shared" ca="1" si="52"/>
        <v>172.7272727272727</v>
      </c>
      <c r="S238" s="622">
        <f t="shared" ca="1" si="53"/>
        <v>1758.6776859504128</v>
      </c>
      <c r="T238" s="622">
        <f t="shared" ca="1" si="54"/>
        <v>5.457832816026397</v>
      </c>
      <c r="U238">
        <f t="shared" ca="1" si="55"/>
        <v>109.15665632052794</v>
      </c>
      <c r="V238" s="622">
        <f t="shared" ca="1" si="56"/>
        <v>0.0</v>
      </c>
      <c r="W238" s="622">
        <f t="shared" ca="1" si="57"/>
        <v>-124.14336111633884</v>
      </c>
    </row>
    <row r="239" spans="11:23" x14ac:dyDescent="0.25">
      <c r="K239" s="622">
        <f>$L$199+35*$L$201</f>
        <v>31.650000000000002</v>
      </c>
      <c r="L239" s="622">
        <f>IF(($L$14*K239)&lt;=(Geometria!$W$48-Geometria!$W$47),(2*ABS(Geometria!$V$48))*($L$14*K239),IF(($L$14*K239)&lt;=(Geometria!$W$48-Geometria!$W$44),(2*ABS(Geometria!$V$48))*(Geometria!$W$48-Geometria!$W$47)+(2*ABS(Geometria!$V$45))*(($L$14*K239)-(Geometria!$W$48-Geometria!$W$47)),IF(($L$14*K239)&lt;=(Geometria!$W$48-Geometria!$W$42),(2*ABS(Geometria!$V$48))*(Geometria!$W$48-Geometria!$W$47)+(2*ABS(Geometria!$V$45))*((Geometria!$W$48-Geometria!$W$44)-(Geometria!$W$48-Geometria!$W$47))+(2*ABS(Geometria!$V$42))*(($L$14*K239)-(Geometria!$W$48-Geometria!$W$44)),IF(($L$14*K239)&lt;=(Geometria!$W$48-Geometria!$W$41),(2*ABS(Geometria!$V$48))*(Geometria!$W$48-Geometria!$W$47)+(2*ABS(Geometria!$V$45))*((Geometria!$W$48-Geometria!$W$44)-(Geometria!$W$48-Geometria!$W$47))+(2*ABS(Geometria!$V$42))*((Geometria!$W$48-Geometria!$W$42)-(Geometria!$W$48-Geometria!$W$44))+((2*ABS(Geometria!$V$42))+((2*ABS(Geometria!$V$42))+((2*ABS(Geometria!$V$41))-(2*ABS(Geometria!$V$42)))*(($L$14*K239)-(Geometria!$W$48-Geometria!$W$42))/((Geometria!$W$48-Geometria!$W$41)-(Geometria!$W$48-Geometria!$W$42))))/2*(($L$14*K239)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239)-(Geometria!$W$48-Geometria!$W$41))))))*$L$18+$L$198*IF(($L$14*K239)&lt;=(Geometria!$W$48-Geometria!$W$47),2*ABS(Geometria!$V$48)*($L$14*K239),2*ABS(Geometria!$V$48)*(Geometria!$W$48-Geometria!$W$47)+2*ABS(Geometria!$V$45)*(MIN(($L$14*K239),(Geometria!$W$48-Geometria!$W$44))-(Geometria!$W$48-Geometria!$W$47)))</f>
        <v>2813.3785714285723</v>
      </c>
      <c r="M239" s="622">
        <f t="shared" si="47"/>
        <v>-0.23775671406003102</v>
      </c>
      <c r="N239" s="622">
        <f t="shared" ca="1" si="48"/>
        <v>-30.101141232227416</v>
      </c>
      <c r="O239" s="622">
        <f t="shared" si="49"/>
        <v>6.0323854660347545</v>
      </c>
      <c r="P239" s="622">
        <f t="shared" ca="1" si="50"/>
        <v>1096.1454545454546</v>
      </c>
      <c r="Q239" s="622">
        <f t="shared" ca="1" si="51"/>
        <v>10.573661748206836</v>
      </c>
      <c r="R239">
        <f t="shared" ca="1" si="52"/>
        <v>172.7272727272727</v>
      </c>
      <c r="S239" s="622">
        <f t="shared" ca="1" si="53"/>
        <v>1758.6776859504128</v>
      </c>
      <c r="T239" s="622">
        <f t="shared" ca="1" si="54"/>
        <v>5.361844303832929</v>
      </c>
      <c r="U239">
        <f t="shared" ca="1" si="55"/>
        <v>107.23688607665858</v>
      </c>
      <c r="V239" s="622">
        <f t="shared" ca="1" si="56"/>
        <v>0.0</v>
      </c>
      <c r="W239" s="622">
        <f t="shared" ca="1" si="57"/>
        <v>-71.5457102995224</v>
      </c>
    </row>
    <row r="240" spans="11:23" x14ac:dyDescent="0.25">
      <c r="K240" s="622">
        <f>$L$199+36*$L$201</f>
        <v>32.54</v>
      </c>
      <c r="L240" s="622">
        <f>IF(($L$14*K240)&lt;=(Geometria!$W$48-Geometria!$W$47),(2*ABS(Geometria!$V$48))*($L$14*K240),IF(($L$14*K240)&lt;=(Geometria!$W$48-Geometria!$W$44),(2*ABS(Geometria!$V$48))*(Geometria!$W$48-Geometria!$W$47)+(2*ABS(Geometria!$V$45))*(($L$14*K240)-(Geometria!$W$48-Geometria!$W$47)),IF(($L$14*K240)&lt;=(Geometria!$W$48-Geometria!$W$42),(2*ABS(Geometria!$V$48))*(Geometria!$W$48-Geometria!$W$47)+(2*ABS(Geometria!$V$45))*((Geometria!$W$48-Geometria!$W$44)-(Geometria!$W$48-Geometria!$W$47))+(2*ABS(Geometria!$V$42))*(($L$14*K240)-(Geometria!$W$48-Geometria!$W$44)),IF(($L$14*K240)&lt;=(Geometria!$W$48-Geometria!$W$41),(2*ABS(Geometria!$V$48))*(Geometria!$W$48-Geometria!$W$47)+(2*ABS(Geometria!$V$45))*((Geometria!$W$48-Geometria!$W$44)-(Geometria!$W$48-Geometria!$W$47))+(2*ABS(Geometria!$V$42))*((Geometria!$W$48-Geometria!$W$42)-(Geometria!$W$48-Geometria!$W$44))+((2*ABS(Geometria!$V$42))+((2*ABS(Geometria!$V$42))+((2*ABS(Geometria!$V$41))-(2*ABS(Geometria!$V$42)))*(($L$14*K240)-(Geometria!$W$48-Geometria!$W$42))/((Geometria!$W$48-Geometria!$W$41)-(Geometria!$W$48-Geometria!$W$42))))/2*(($L$14*K240)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240)-(Geometria!$W$48-Geometria!$W$41))))))*$L$18+$L$198*IF(($L$14*K240)&lt;=(Geometria!$W$48-Geometria!$W$47),2*ABS(Geometria!$V$48)*($L$14*K240),2*ABS(Geometria!$V$48)*(Geometria!$W$48-Geometria!$W$47)+2*ABS(Geometria!$V$45)*(MIN(($L$14*K240),(Geometria!$W$48-Geometria!$W$44))-(Geometria!$W$48-Geometria!$W$47)))</f>
        <v>2852.284285714286</v>
      </c>
      <c r="M240" s="622">
        <f t="shared" si="47"/>
        <v>-0.13552550706822353</v>
      </c>
      <c r="N240" s="622">
        <f t="shared" ca="1" si="48"/>
        <v>-17.15817971727103</v>
      </c>
      <c r="O240" s="622">
        <f t="shared" si="49"/>
        <v>5.7716656422864165</v>
      </c>
      <c r="P240" s="622">
        <f t="shared" ca="1" si="50"/>
        <v>1096.1454545454546</v>
      </c>
      <c r="Q240" s="622">
        <f t="shared" ca="1" si="51"/>
        <v>10.335475134283618</v>
      </c>
      <c r="R240">
        <f t="shared" ca="1" si="52"/>
        <v>172.7272727272727</v>
      </c>
      <c r="S240" s="622">
        <f t="shared" ca="1" si="53"/>
        <v>1758.6776859504128</v>
      </c>
      <c r="T240" s="622">
        <f t="shared" ca="1" si="54"/>
        <v>5.271106546147893</v>
      </c>
      <c r="U240">
        <f t="shared" ca="1" si="55"/>
        <v>105.42213092295785</v>
      </c>
      <c r="V240" s="622">
        <f t="shared" ca="1" si="56"/>
        <v>0.0</v>
      </c>
      <c r="W240" s="622">
        <f t="shared" ca="1" si="57"/>
        <v>-19.697034498852645</v>
      </c>
    </row>
    <row r="241" spans="11:23" x14ac:dyDescent="0.25">
      <c r="K241" s="622">
        <f>$L$199+37*$L$201</f>
        <v>33.43</v>
      </c>
      <c r="L241" s="622">
        <f>IF(($L$14*K241)&lt;=(Geometria!$W$48-Geometria!$W$47),(2*ABS(Geometria!$V$48))*($L$14*K241),IF(($L$14*K241)&lt;=(Geometria!$W$48-Geometria!$W$44),(2*ABS(Geometria!$V$48))*(Geometria!$W$48-Geometria!$W$47)+(2*ABS(Geometria!$V$45))*(($L$14*K241)-(Geometria!$W$48-Geometria!$W$47)),IF(($L$14*K241)&lt;=(Geometria!$W$48-Geometria!$W$42),(2*ABS(Geometria!$V$48))*(Geometria!$W$48-Geometria!$W$47)+(2*ABS(Geometria!$V$45))*((Geometria!$W$48-Geometria!$W$44)-(Geometria!$W$48-Geometria!$W$47))+(2*ABS(Geometria!$V$42))*(($L$14*K241)-(Geometria!$W$48-Geometria!$W$44)),IF(($L$14*K241)&lt;=(Geometria!$W$48-Geometria!$W$41),(2*ABS(Geometria!$V$48))*(Geometria!$W$48-Geometria!$W$47)+(2*ABS(Geometria!$V$45))*((Geometria!$W$48-Geometria!$W$44)-(Geometria!$W$48-Geometria!$W$47))+(2*ABS(Geometria!$V$42))*((Geometria!$W$48-Geometria!$W$42)-(Geometria!$W$48-Geometria!$W$44))+((2*ABS(Geometria!$V$42))+((2*ABS(Geometria!$V$42))+((2*ABS(Geometria!$V$41))-(2*ABS(Geometria!$V$42)))*(($L$14*K241)-(Geometria!$W$48-Geometria!$W$42))/((Geometria!$W$48-Geometria!$W$41)-(Geometria!$W$48-Geometria!$W$42))))/2*(($L$14*K241)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241)-(Geometria!$W$48-Geometria!$W$41))))))*$L$18+$L$198*IF(($L$14*K241)&lt;=(Geometria!$W$48-Geometria!$W$47),2*ABS(Geometria!$V$48)*($L$14*K241),2*ABS(Geometria!$V$48)*(Geometria!$W$48-Geometria!$W$47)+2*ABS(Geometria!$V$45)*(MIN(($L$14*K241),(Geometria!$W$48-Geometria!$W$44))-(Geometria!$W$48-Geometria!$W$47)))</f>
        <v>2891.190000000001</v>
      </c>
      <c r="M241" s="622">
        <f t="shared" si="47"/>
        <v>-0.038737660783726924</v>
      </c>
      <c r="N241" s="622">
        <f t="shared" ca="1" si="48"/>
        <v>-4.9043737959915905</v>
      </c>
      <c r="O241" s="622">
        <f t="shared" si="49"/>
        <v>5.52482799880347</v>
      </c>
      <c r="P241" s="622">
        <f t="shared" ca="1" si="50"/>
        <v>1096.1454545454546</v>
      </c>
      <c r="Q241" s="622">
        <f t="shared" ca="1" si="51"/>
        <v>10.109970906623733</v>
      </c>
      <c r="R241">
        <f t="shared" ca="1" si="52"/>
        <v>172.7272727272727</v>
      </c>
      <c r="S241" s="622">
        <f t="shared" ca="1" si="53"/>
        <v>1758.6776859504128</v>
      </c>
      <c r="T241" s="622">
        <f t="shared" ca="1" si="54"/>
        <v>5.185200173706032</v>
      </c>
      <c r="U241">
        <f t="shared" ca="1" si="55"/>
        <v>103.70400347412063</v>
      </c>
      <c r="V241" s="622">
        <f t="shared" ca="1" si="56"/>
        <v>0.0</v>
      </c>
      <c r="W241" s="622">
        <f t="shared" ca="1" si="57"/>
        <v>31.46248570814214</v>
      </c>
    </row>
    <row r="242" spans="11:23" x14ac:dyDescent="0.25">
      <c r="K242" s="622">
        <f>$L$199+38*$L$201</f>
        <v>34.32</v>
      </c>
      <c r="L242" s="622">
        <f>IF(($L$14*K242)&lt;=(Geometria!$W$48-Geometria!$W$47),(2*ABS(Geometria!$V$48))*($L$14*K242),IF(($L$14*K242)&lt;=(Geometria!$W$48-Geometria!$W$44),(2*ABS(Geometria!$V$48))*(Geometria!$W$48-Geometria!$W$47)+(2*ABS(Geometria!$V$45))*(($L$14*K242)-(Geometria!$W$48-Geometria!$W$47)),IF(($L$14*K242)&lt;=(Geometria!$W$48-Geometria!$W$42),(2*ABS(Geometria!$V$48))*(Geometria!$W$48-Geometria!$W$47)+(2*ABS(Geometria!$V$45))*((Geometria!$W$48-Geometria!$W$44)-(Geometria!$W$48-Geometria!$W$47))+(2*ABS(Geometria!$V$42))*(($L$14*K242)-(Geometria!$W$48-Geometria!$W$44)),IF(($L$14*K242)&lt;=(Geometria!$W$48-Geometria!$W$41),(2*ABS(Geometria!$V$48))*(Geometria!$W$48-Geometria!$W$47)+(2*ABS(Geometria!$V$45))*((Geometria!$W$48-Geometria!$W$44)-(Geometria!$W$48-Geometria!$W$47))+(2*ABS(Geometria!$V$42))*((Geometria!$W$48-Geometria!$W$42)-(Geometria!$W$48-Geometria!$W$44))+((2*ABS(Geometria!$V$42))+((2*ABS(Geometria!$V$42))+((2*ABS(Geometria!$V$41))-(2*ABS(Geometria!$V$42)))*(($L$14*K242)-(Geometria!$W$48-Geometria!$W$42))/((Geometria!$W$48-Geometria!$W$41)-(Geometria!$W$48-Geometria!$W$42))))/2*(($L$14*K242)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242)-(Geometria!$W$48-Geometria!$W$41))))))*$L$18+$L$198*IF(($L$14*K242)&lt;=(Geometria!$W$48-Geometria!$W$47),2*ABS(Geometria!$V$48)*($L$14*K242),2*ABS(Geometria!$V$48)*(Geometria!$W$48-Geometria!$W$47)+2*ABS(Geometria!$V$45)*(MIN(($L$14*K242),(Geometria!$W$48-Geometria!$W$44))-(Geometria!$W$48-Geometria!$W$47)))</f>
        <v>2930.095714285715</v>
      </c>
      <c r="M242" s="622">
        <f t="shared" si="47"/>
        <v>0.05303030303030335</v>
      </c>
      <c r="N242" s="622">
        <f t="shared" ca="1" si="48"/>
        <v>6.713890909090951</v>
      </c>
      <c r="O242" s="622">
        <f t="shared" si="49"/>
        <v>5.290792540792541</v>
      </c>
      <c r="P242" s="622">
        <f t="shared" ca="1" si="50"/>
        <v>1096.1454545454546</v>
      </c>
      <c r="Q242" s="622">
        <f t="shared" ca="1" si="51"/>
        <v>9.896162411051103</v>
      </c>
      <c r="R242">
        <f t="shared" ca="1" si="52"/>
        <v>171.92200162930166</v>
      </c>
      <c r="S242" s="622">
        <f t="shared" ca="1" si="53"/>
        <v>1750.4785620437983</v>
      </c>
      <c r="T242" s="622">
        <f t="shared" ca="1" si="54"/>
        <v>5.1037493182497915</v>
      </c>
      <c r="U242">
        <f t="shared" ca="1" si="55"/>
        <v>102.07498636499582</v>
      </c>
      <c r="V242" s="622">
        <f t="shared" ca="1" si="56"/>
        <v>0.0</v>
      </c>
      <c r="W242" s="622">
        <f t="shared" ca="1" si="57"/>
        <v>90.185588605553</v>
      </c>
    </row>
    <row r="243" spans="11:23" x14ac:dyDescent="0.25">
      <c r="K243" s="622">
        <f>$L$199+39*$L$201</f>
        <v>35.21</v>
      </c>
      <c r="L243" s="622">
        <f>IF(($L$14*K243)&lt;=(Geometria!$W$48-Geometria!$W$47),(2*ABS(Geometria!$V$48))*($L$14*K243),IF(($L$14*K243)&lt;=(Geometria!$W$48-Geometria!$W$44),(2*ABS(Geometria!$V$48))*(Geometria!$W$48-Geometria!$W$47)+(2*ABS(Geometria!$V$45))*(($L$14*K243)-(Geometria!$W$48-Geometria!$W$47)),IF(($L$14*K243)&lt;=(Geometria!$W$48-Geometria!$W$42),(2*ABS(Geometria!$V$48))*(Geometria!$W$48-Geometria!$W$47)+(2*ABS(Geometria!$V$45))*((Geometria!$W$48-Geometria!$W$44)-(Geometria!$W$48-Geometria!$W$47))+(2*ABS(Geometria!$V$42))*(($L$14*K243)-(Geometria!$W$48-Geometria!$W$44)),IF(($L$14*K243)&lt;=(Geometria!$W$48-Geometria!$W$41),(2*ABS(Geometria!$V$48))*(Geometria!$W$48-Geometria!$W$47)+(2*ABS(Geometria!$V$45))*((Geometria!$W$48-Geometria!$W$44)-(Geometria!$W$48-Geometria!$W$47))+(2*ABS(Geometria!$V$42))*((Geometria!$W$48-Geometria!$W$42)-(Geometria!$W$48-Geometria!$W$44))+((2*ABS(Geometria!$V$42))+((2*ABS(Geometria!$V$42))+((2*ABS(Geometria!$V$41))-(2*ABS(Geometria!$V$42)))*(($L$14*K243)-(Geometria!$W$48-Geometria!$W$42))/((Geometria!$W$48-Geometria!$W$41)-(Geometria!$W$48-Geometria!$W$42))))/2*(($L$14*K243)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243)-(Geometria!$W$48-Geometria!$W$41))))))*$L$18+$L$198*IF(($L$14*K243)&lt;=(Geometria!$W$48-Geometria!$W$47),2*ABS(Geometria!$V$48)*($L$14*K243),2*ABS(Geometria!$V$48)*(Geometria!$W$48-Geometria!$W$47)+2*ABS(Geometria!$V$45)*(MIN(($L$14*K243),(Geometria!$W$48-Geometria!$W$44))-(Geometria!$W$48-Geometria!$W$47)))</f>
        <v>2969.0014285714287</v>
      </c>
      <c r="M243" s="622">
        <f t="shared" si="47"/>
        <v>0.1401590457256465</v>
      </c>
      <c r="N243" s="622">
        <f t="shared" ca="1" si="48"/>
        <v>17.74480795228633</v>
      </c>
      <c r="O243" s="622">
        <f t="shared" si="49"/>
        <v>5.068588469184891</v>
      </c>
      <c r="P243" s="622">
        <f t="shared" ca="1" si="50"/>
        <v>1096.1454545454546</v>
      </c>
      <c r="Q243" s="622">
        <f t="shared" ca="1" si="51"/>
        <v>9.693162751664763</v>
      </c>
      <c r="R243">
        <f t="shared" ca="1" si="52"/>
        <v>170.34771855650965</v>
      </c>
      <c r="S243" s="622">
        <f t="shared" ca="1" si="53"/>
        <v>1734.4494980299164</v>
      </c>
      <c r="T243" s="622">
        <f t="shared" ca="1" si="54"/>
        <v>5.026416114674044</v>
      </c>
      <c r="U243">
        <f t="shared" ca="1" si="55"/>
        <v>100.52832229348088</v>
      </c>
      <c r="V243" s="622">
        <f t="shared" ca="1" si="56"/>
        <v>0.0</v>
      </c>
      <c r="W243" s="622">
        <f t="shared" ca="1" si="57"/>
        <v>156.15128394834414</v>
      </c>
    </row>
    <row r="244" spans="11:23" x14ac:dyDescent="0.25">
      <c r="K244" s="622">
        <f>$L$199+40*$L$201</f>
        <v>36.1</v>
      </c>
      <c r="L244" s="622">
        <f>IF(($L$14*K244)&lt;=(Geometria!$W$48-Geometria!$W$47),(2*ABS(Geometria!$V$48))*($L$14*K244),IF(($L$14*K244)&lt;=(Geometria!$W$48-Geometria!$W$44),(2*ABS(Geometria!$V$48))*(Geometria!$W$48-Geometria!$W$47)+(2*ABS(Geometria!$V$45))*(($L$14*K244)-(Geometria!$W$48-Geometria!$W$47)),IF(($L$14*K244)&lt;=(Geometria!$W$48-Geometria!$W$42),(2*ABS(Geometria!$V$48))*(Geometria!$W$48-Geometria!$W$47)+(2*ABS(Geometria!$V$45))*((Geometria!$W$48-Geometria!$W$44)-(Geometria!$W$48-Geometria!$W$47))+(2*ABS(Geometria!$V$42))*(($L$14*K244)-(Geometria!$W$48-Geometria!$W$44)),IF(($L$14*K244)&lt;=(Geometria!$W$48-Geometria!$W$41),(2*ABS(Geometria!$V$48))*(Geometria!$W$48-Geometria!$W$47)+(2*ABS(Geometria!$V$45))*((Geometria!$W$48-Geometria!$W$44)-(Geometria!$W$48-Geometria!$W$47))+(2*ABS(Geometria!$V$42))*((Geometria!$W$48-Geometria!$W$42)-(Geometria!$W$48-Geometria!$W$44))+((2*ABS(Geometria!$V$42))+((2*ABS(Geometria!$V$42))+((2*ABS(Geometria!$V$41))-(2*ABS(Geometria!$V$42)))*(($L$14*K244)-(Geometria!$W$48-Geometria!$W$42))/((Geometria!$W$48-Geometria!$W$41)-(Geometria!$W$48-Geometria!$W$42))))/2*(($L$14*K244)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244)-(Geometria!$W$48-Geometria!$W$41))))))*$L$18+$L$198*IF(($L$14*K244)&lt;=(Geometria!$W$48-Geometria!$W$47),2*ABS(Geometria!$V$48)*($L$14*K244),2*ABS(Geometria!$V$48)*(Geometria!$W$48-Geometria!$W$47)+2*ABS(Geometria!$V$45)*(MIN(($L$14*K244),(Geometria!$W$48-Geometria!$W$44))-(Geometria!$W$48-Geometria!$W$47)))</f>
        <v>3007.9071428571438</v>
      </c>
      <c r="M244" s="622">
        <f t="shared" si="47"/>
        <v>0.22299168975069292</v>
      </c>
      <c r="N244" s="622">
        <f t="shared" ca="1" si="48"/>
        <v>28.231818282548527</v>
      </c>
      <c r="O244" s="622">
        <f t="shared" si="49"/>
        <v>4.857340720221607</v>
      </c>
      <c r="P244" s="622">
        <f t="shared" ca="1" si="50"/>
        <v>1096.1454545454546</v>
      </c>
      <c r="Q244" s="622">
        <f t="shared" ca="1" si="51"/>
        <v>9.500172493766172</v>
      </c>
      <c r="R244">
        <f t="shared" ca="1" si="52"/>
        <v>168.85105941362264</v>
      </c>
      <c r="S244" s="622">
        <f t="shared" ca="1" si="53"/>
        <v>1719.2107867568848</v>
      </c>
      <c r="T244" s="622">
        <f t="shared" ca="1" si="54"/>
        <v>4.952896016426961</v>
      </c>
      <c r="U244">
        <f t="shared" ca="1" si="55"/>
        <v>99.05792032853923</v>
      </c>
      <c r="V244" s="622">
        <f t="shared" ca="1" si="56"/>
        <v>0.0</v>
      </c>
      <c r="W244" s="622">
        <f t="shared" ca="1" si="57"/>
        <v>220.78271983735272</v>
      </c>
    </row>
    <row r="245" spans="11:23" x14ac:dyDescent="0.25">
      <c r="K245" s="622">
        <f>$L$199+41*$L$201</f>
        <v>36.99</v>
      </c>
      <c r="L245" s="622">
        <f>IF(($L$14*K245)&lt;=(Geometria!$W$48-Geometria!$W$47),(2*ABS(Geometria!$V$48))*($L$14*K245),IF(($L$14*K245)&lt;=(Geometria!$W$48-Geometria!$W$44),(2*ABS(Geometria!$V$48))*(Geometria!$W$48-Geometria!$W$47)+(2*ABS(Geometria!$V$45))*(($L$14*K245)-(Geometria!$W$48-Geometria!$W$47)),IF(($L$14*K245)&lt;=(Geometria!$W$48-Geometria!$W$42),(2*ABS(Geometria!$V$48))*(Geometria!$W$48-Geometria!$W$47)+(2*ABS(Geometria!$V$45))*((Geometria!$W$48-Geometria!$W$44)-(Geometria!$W$48-Geometria!$W$47))+(2*ABS(Geometria!$V$42))*(($L$14*K245)-(Geometria!$W$48-Geometria!$W$44)),IF(($L$14*K245)&lt;=(Geometria!$W$48-Geometria!$W$41),(2*ABS(Geometria!$V$48))*(Geometria!$W$48-Geometria!$W$47)+(2*ABS(Geometria!$V$45))*((Geometria!$W$48-Geometria!$W$44)-(Geometria!$W$48-Geometria!$W$47))+(2*ABS(Geometria!$V$42))*((Geometria!$W$48-Geometria!$W$42)-(Geometria!$W$48-Geometria!$W$44))+((2*ABS(Geometria!$V$42))+((2*ABS(Geometria!$V$42))+((2*ABS(Geometria!$V$41))-(2*ABS(Geometria!$V$42)))*(($L$14*K245)-(Geometria!$W$48-Geometria!$W$42))/((Geometria!$W$48-Geometria!$W$41)-(Geometria!$W$48-Geometria!$W$42))))/2*(($L$14*K245)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245)-(Geometria!$W$48-Geometria!$W$41))))))*$L$18+$L$198*IF(($L$14*K245)&lt;=(Geometria!$W$48-Geometria!$W$47),2*ABS(Geometria!$V$48)*($L$14*K245),2*ABS(Geometria!$V$48)*(Geometria!$W$48-Geometria!$W$47)+2*ABS(Geometria!$V$45)*(MIN(($L$14*K245),(Geometria!$W$48-Geometria!$W$44))-(Geometria!$W$48-Geometria!$W$47)))</f>
        <v>3046.812857142858</v>
      </c>
      <c r="M245" s="622">
        <f t="shared" si="47"/>
        <v>0.30183833468505045</v>
      </c>
      <c r="N245" s="622">
        <f t="shared" ca="1" si="48"/>
        <v>38.21418199513388</v>
      </c>
      <c r="O245" s="622">
        <f t="shared" si="49"/>
        <v>4.656258448229251</v>
      </c>
      <c r="P245" s="622">
        <f t="shared" ca="1" si="50"/>
        <v>1096.1454545454546</v>
      </c>
      <c r="Q245" s="622">
        <f t="shared" ca="1" si="51"/>
        <v>9.316469142033016</v>
      </c>
      <c r="R245">
        <f t="shared" ca="1" si="52"/>
        <v>167.426421175692</v>
      </c>
      <c r="S245" s="622">
        <f t="shared" ca="1" si="53"/>
        <v>1704.7053792434094</v>
      </c>
      <c r="T245" s="622">
        <f t="shared" ca="1" si="54"/>
        <v>4.882913787195283</v>
      </c>
      <c r="U245">
        <f t="shared" ca="1" si="55"/>
        <v>97.65827574390565</v>
      </c>
      <c r="V245" s="622">
        <f t="shared" ca="1" si="56"/>
        <v>0.0</v>
      </c>
      <c r="W245" s="622">
        <f t="shared" ca="1" si="57"/>
        <v>284.1762053491277</v>
      </c>
    </row>
    <row r="246" spans="11:23" x14ac:dyDescent="0.25">
      <c r="K246" s="622">
        <f>$L$199+42*$L$201</f>
        <v>37.88</v>
      </c>
      <c r="L246" s="622">
        <f>IF(($L$14*K246)&lt;=(Geometria!$W$48-Geometria!$W$47),(2*ABS(Geometria!$V$48))*($L$14*K246),IF(($L$14*K246)&lt;=(Geometria!$W$48-Geometria!$W$44),(2*ABS(Geometria!$V$48))*(Geometria!$W$48-Geometria!$W$47)+(2*ABS(Geometria!$V$45))*(($L$14*K246)-(Geometria!$W$48-Geometria!$W$47)),IF(($L$14*K246)&lt;=(Geometria!$W$48-Geometria!$W$42),(2*ABS(Geometria!$V$48))*(Geometria!$W$48-Geometria!$W$47)+(2*ABS(Geometria!$V$45))*((Geometria!$W$48-Geometria!$W$44)-(Geometria!$W$48-Geometria!$W$47))+(2*ABS(Geometria!$V$42))*(($L$14*K246)-(Geometria!$W$48-Geometria!$W$44)),IF(($L$14*K246)&lt;=(Geometria!$W$48-Geometria!$W$41),(2*ABS(Geometria!$V$48))*(Geometria!$W$48-Geometria!$W$47)+(2*ABS(Geometria!$V$45))*((Geometria!$W$48-Geometria!$W$44)-(Geometria!$W$48-Geometria!$W$47))+(2*ABS(Geometria!$V$42))*((Geometria!$W$48-Geometria!$W$42)-(Geometria!$W$48-Geometria!$W$44))+((2*ABS(Geometria!$V$42))+((2*ABS(Geometria!$V$42))+((2*ABS(Geometria!$V$41))-(2*ABS(Geometria!$V$42)))*(($L$14*K246)-(Geometria!$W$48-Geometria!$W$42))/((Geometria!$W$48-Geometria!$W$41)-(Geometria!$W$48-Geometria!$W$42))))/2*(($L$14*K246)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246)-(Geometria!$W$48-Geometria!$W$41))))))*$L$18+$L$198*IF(($L$14*K246)&lt;=(Geometria!$W$48-Geometria!$W$47),2*ABS(Geometria!$V$48)*($L$14*K246),2*ABS(Geometria!$V$48)*(Geometria!$W$48-Geometria!$W$47)+2*ABS(Geometria!$V$45)*(MIN(($L$14*K246),(Geometria!$W$48-Geometria!$W$44))-(Geometria!$W$48-Geometria!$W$47)))</f>
        <v>3094.8082833129765</v>
      </c>
      <c r="M246" s="622">
        <f t="shared" si="47"/>
        <v>0.37697993664202795</v>
      </c>
      <c r="N246" s="622">
        <f t="shared" ca="1" si="48"/>
        <v>47.72746948257662</v>
      </c>
      <c r="O246" s="622">
        <f t="shared" si="49"/>
        <v>4.464625131995776</v>
      </c>
      <c r="P246" s="622">
        <f t="shared" ca="1" si="50"/>
        <v>1096.1454545454546</v>
      </c>
      <c r="Q246" s="622">
        <f t="shared" ca="1" si="51"/>
        <v>9.141398101970532</v>
      </c>
      <c r="R246">
        <f t="shared" ca="1" si="52"/>
        <v>166.0687273956156</v>
      </c>
      <c r="S246" s="622">
        <f t="shared" ca="1" si="53"/>
        <v>1690.881588028086</v>
      </c>
      <c r="T246" s="622">
        <f t="shared" ca="1" si="54"/>
        <v>4.816220057647669</v>
      </c>
      <c r="U246">
        <f t="shared" ca="1" si="55"/>
        <v>96.32440115295339</v>
      </c>
      <c r="V246" s="622">
        <f t="shared" ca="1" si="56"/>
        <v>0.0</v>
      </c>
      <c r="W246" s="622">
        <f t="shared" ca="1" si="57"/>
        <v>355.50871022201227</v>
      </c>
    </row>
    <row r="247" spans="11:23" x14ac:dyDescent="0.25">
      <c r="K247" s="622">
        <f>$L$199+43*$L$201</f>
        <v>38.77</v>
      </c>
      <c r="L247" s="622">
        <f>IF(($L$14*K247)&lt;=(Geometria!$W$48-Geometria!$W$47),(2*ABS(Geometria!$V$48))*($L$14*K247),IF(($L$14*K247)&lt;=(Geometria!$W$48-Geometria!$W$44),(2*ABS(Geometria!$V$48))*(Geometria!$W$48-Geometria!$W$47)+(2*ABS(Geometria!$V$45))*(($L$14*K247)-(Geometria!$W$48-Geometria!$W$47)),IF(($L$14*K247)&lt;=(Geometria!$W$48-Geometria!$W$42),(2*ABS(Geometria!$V$48))*(Geometria!$W$48-Geometria!$W$47)+(2*ABS(Geometria!$V$45))*((Geometria!$W$48-Geometria!$W$44)-(Geometria!$W$48-Geometria!$W$47))+(2*ABS(Geometria!$V$42))*(($L$14*K247)-(Geometria!$W$48-Geometria!$W$44)),IF(($L$14*K247)&lt;=(Geometria!$W$48-Geometria!$W$41),(2*ABS(Geometria!$V$48))*(Geometria!$W$48-Geometria!$W$47)+(2*ABS(Geometria!$V$45))*((Geometria!$W$48-Geometria!$W$44)-(Geometria!$W$48-Geometria!$W$47))+(2*ABS(Geometria!$V$42))*((Geometria!$W$48-Geometria!$W$42)-(Geometria!$W$48-Geometria!$W$44))+((2*ABS(Geometria!$V$42))+((2*ABS(Geometria!$V$42))+((2*ABS(Geometria!$V$41))-(2*ABS(Geometria!$V$42)))*(($L$14*K247)-(Geometria!$W$48-Geometria!$W$42))/((Geometria!$W$48-Geometria!$W$41)-(Geometria!$W$48-Geometria!$W$42))))/2*(($L$14*K247)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247)-(Geometria!$W$48-Geometria!$W$41))))))*$L$18+$L$198*IF(($L$14*K247)&lt;=(Geometria!$W$48-Geometria!$W$47),2*ABS(Geometria!$V$48)*($L$14*K247),2*ABS(Geometria!$V$48)*(Geometria!$W$48-Geometria!$W$47)+2*ABS(Geometria!$V$45)*(MIN(($L$14*K247),(Geometria!$W$48-Geometria!$W$44))-(Geometria!$W$48-Geometria!$W$47)))</f>
        <v>3155.0030596437437</v>
      </c>
      <c r="M247" s="622">
        <f t="shared" si="47"/>
        <v>0.44867165334021203</v>
      </c>
      <c r="N247" s="622">
        <f t="shared" ca="1" si="48"/>
        <v>56.80398493680688</v>
      </c>
      <c r="O247" s="622">
        <f t="shared" si="49"/>
        <v>4.281790043848336</v>
      </c>
      <c r="P247" s="622">
        <f t="shared" ca="1" si="50"/>
        <v>1096.1454545454546</v>
      </c>
      <c r="Q247" s="622">
        <f t="shared" ca="1" si="51"/>
        <v>8.97436488629059</v>
      </c>
      <c r="R247">
        <f t="shared" ca="1" si="52"/>
        <v>164.773367763812</v>
      </c>
      <c r="S247" s="622">
        <f t="shared" ca="1" si="53"/>
        <v>1677.6924717769948</v>
      </c>
      <c r="T247" s="622">
        <f t="shared" ca="1" si="54"/>
        <v>4.752588356436263</v>
      </c>
      <c r="U247">
        <f t="shared" ca="1" si="55"/>
        <v>95.05176712872526</v>
      </c>
      <c r="V247" s="622">
        <f t="shared" ca="1" si="56"/>
        <v>0.0</v>
      </c>
      <c r="W247" s="622">
        <f t="shared" ca="1" si="57"/>
        <v>437.9691182581014</v>
      </c>
    </row>
    <row r="248" spans="11:23" x14ac:dyDescent="0.25">
      <c r="K248" s="622">
        <f>$L$199+44*$L$201</f>
        <v>39.660000000000004</v>
      </c>
      <c r="L248" s="622">
        <f>IF(($L$14*K248)&lt;=(Geometria!$W$48-Geometria!$W$47),(2*ABS(Geometria!$V$48))*($L$14*K248),IF(($L$14*K248)&lt;=(Geometria!$W$48-Geometria!$W$44),(2*ABS(Geometria!$V$48))*(Geometria!$W$48-Geometria!$W$47)+(2*ABS(Geometria!$V$45))*(($L$14*K248)-(Geometria!$W$48-Geometria!$W$47)),IF(($L$14*K248)&lt;=(Geometria!$W$48-Geometria!$W$42),(2*ABS(Geometria!$V$48))*(Geometria!$W$48-Geometria!$W$47)+(2*ABS(Geometria!$V$45))*((Geometria!$W$48-Geometria!$W$44)-(Geometria!$W$48-Geometria!$W$47))+(2*ABS(Geometria!$V$42))*(($L$14*K248)-(Geometria!$W$48-Geometria!$W$44)),IF(($L$14*K248)&lt;=(Geometria!$W$48-Geometria!$W$41),(2*ABS(Geometria!$V$48))*(Geometria!$W$48-Geometria!$W$47)+(2*ABS(Geometria!$V$45))*((Geometria!$W$48-Geometria!$W$44)-(Geometria!$W$48-Geometria!$W$47))+(2*ABS(Geometria!$V$42))*((Geometria!$W$48-Geometria!$W$42)-(Geometria!$W$48-Geometria!$W$44))+((2*ABS(Geometria!$V$42))+((2*ABS(Geometria!$V$42))+((2*ABS(Geometria!$V$41))-(2*ABS(Geometria!$V$42)))*(($L$14*K248)-(Geometria!$W$48-Geometria!$W$42))/((Geometria!$W$48-Geometria!$W$41)-(Geometria!$W$48-Geometria!$W$42))))/2*(($L$14*K248)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248)-(Geometria!$W$48-Geometria!$W$41))))))*$L$18+$L$198*IF(($L$14*K248)&lt;=(Geometria!$W$48-Geometria!$W$47),2*ABS(Geometria!$V$48)*($L$14*K248),2*ABS(Geometria!$V$48)*(Geometria!$W$48-Geometria!$W$47)+2*ABS(Geometria!$V$45)*(MIN(($L$14*K248),(Geometria!$W$48-Geometria!$W$44))-(Geometria!$W$48-Geometria!$W$47)))</f>
        <v>3215.1978359745103</v>
      </c>
      <c r="M248" s="622">
        <f t="shared" si="47"/>
        <v>0.5171457387796273</v>
      </c>
      <c r="N248" s="622">
        <f t="shared" ca="1" si="48"/>
        <v>65.47313282904696</v>
      </c>
      <c r="O248" s="622">
        <f t="shared" si="49"/>
        <v>4.107160867372667</v>
      </c>
      <c r="P248" s="622">
        <f t="shared" ca="1" si="50"/>
        <v>1096.1454545454546</v>
      </c>
      <c r="Q248" s="622">
        <f t="shared" ca="1" si="51"/>
        <v>8.814828370658818</v>
      </c>
      <c r="R248">
        <f t="shared" ca="1" si="52"/>
        <v>163.5361458058513</v>
      </c>
      <c r="S248" s="622">
        <f t="shared" ca="1" si="53"/>
        <v>1665.0953027504859</v>
      </c>
      <c r="T248" s="622">
        <f t="shared" ca="1" si="54"/>
        <v>4.691812540957493</v>
      </c>
      <c r="U248">
        <f t="shared" ca="1" si="55"/>
        <v>93.83625081914985</v>
      </c>
      <c r="V248" s="622">
        <f t="shared" ca="1" si="56"/>
        <v>0.0</v>
      </c>
      <c r="W248" s="622">
        <f t="shared" ca="1" si="57"/>
        <v>519.4302115076168</v>
      </c>
    </row>
    <row r="249" spans="11:23" x14ac:dyDescent="0.25">
      <c r="K249" s="622">
        <f>$L$199+45*$L$201</f>
        <v>40.55</v>
      </c>
      <c r="L249" s="622">
        <f>IF(($L$14*K249)&lt;=(Geometria!$W$48-Geometria!$W$47),(2*ABS(Geometria!$V$48))*($L$14*K249),IF(($L$14*K249)&lt;=(Geometria!$W$48-Geometria!$W$44),(2*ABS(Geometria!$V$48))*(Geometria!$W$48-Geometria!$W$47)+(2*ABS(Geometria!$V$45))*(($L$14*K249)-(Geometria!$W$48-Geometria!$W$47)),IF(($L$14*K249)&lt;=(Geometria!$W$48-Geometria!$W$42),(2*ABS(Geometria!$V$48))*(Geometria!$W$48-Geometria!$W$47)+(2*ABS(Geometria!$V$45))*((Geometria!$W$48-Geometria!$W$44)-(Geometria!$W$48-Geometria!$W$47))+(2*ABS(Geometria!$V$42))*(($L$14*K249)-(Geometria!$W$48-Geometria!$W$44)),IF(($L$14*K249)&lt;=(Geometria!$W$48-Geometria!$W$41),(2*ABS(Geometria!$V$48))*(Geometria!$W$48-Geometria!$W$47)+(2*ABS(Geometria!$V$45))*((Geometria!$W$48-Geometria!$W$44)-(Geometria!$W$48-Geometria!$W$47))+(2*ABS(Geometria!$V$42))*((Geometria!$W$48-Geometria!$W$42)-(Geometria!$W$48-Geometria!$W$44))+((2*ABS(Geometria!$V$42))+((2*ABS(Geometria!$V$42))+((2*ABS(Geometria!$V$41))-(2*ABS(Geometria!$V$42)))*(($L$14*K249)-(Geometria!$W$48-Geometria!$W$42))/((Geometria!$W$48-Geometria!$W$41)-(Geometria!$W$48-Geometria!$W$42))))/2*(($L$14*K249)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249)-(Geometria!$W$48-Geometria!$W$41))))))*$L$18+$L$198*IF(($L$14*K249)&lt;=(Geometria!$W$48-Geometria!$W$47),2*ABS(Geometria!$V$48)*($L$14*K249),2*ABS(Geometria!$V$48)*(Geometria!$W$48-Geometria!$W$47)+2*ABS(Geometria!$V$45)*(MIN(($L$14*K249),(Geometria!$W$48-Geometria!$W$44))-(Geometria!$W$48-Geometria!$W$47)))</f>
        <v>3275.392612305277</v>
      </c>
      <c r="M249" s="622">
        <f t="shared" si="47"/>
        <v>0.5826140567200987</v>
      </c>
      <c r="N249" s="622">
        <f t="shared" ca="1" si="48"/>
        <v>73.76173612823676</v>
      </c>
      <c r="O249" s="622">
        <f t="shared" si="49"/>
        <v>3.940197287299631</v>
      </c>
      <c r="P249" s="622">
        <f t="shared" ca="1" si="50"/>
        <v>1096.1454545454546</v>
      </c>
      <c r="Q249" s="622">
        <f t="shared" ca="1" si="51"/>
        <v>8.662294937587452</v>
      </c>
      <c r="R249">
        <f t="shared" ca="1" si="52"/>
        <v>162.35323346774683</v>
      </c>
      <c r="S249" s="622">
        <f t="shared" ca="1" si="53"/>
        <v>1653.0511043988765</v>
      </c>
      <c r="T249" s="622">
        <f t="shared" ca="1" si="54"/>
        <v>4.633704566454115</v>
      </c>
      <c r="U249">
        <f t="shared" ca="1" si="55"/>
        <v>92.6740913290823</v>
      </c>
      <c r="V249" s="622">
        <f t="shared" ca="1" si="56"/>
        <v>0.0</v>
      </c>
      <c r="W249" s="622">
        <f t="shared" ca="1" si="57"/>
        <v>599.9577894891825</v>
      </c>
    </row>
    <row r="250" spans="11:23" x14ac:dyDescent="0.25">
      <c r="K250" s="622">
        <f>$L$199+46*$L$201</f>
        <v>41.44</v>
      </c>
      <c r="L250" s="622">
        <f>IF(($L$14*K250)&lt;=(Geometria!$W$48-Geometria!$W$47),(2*ABS(Geometria!$V$48))*($L$14*K250),IF(($L$14*K250)&lt;=(Geometria!$W$48-Geometria!$W$44),(2*ABS(Geometria!$V$48))*(Geometria!$W$48-Geometria!$W$47)+(2*ABS(Geometria!$V$45))*(($L$14*K250)-(Geometria!$W$48-Geometria!$W$47)),IF(($L$14*K250)&lt;=(Geometria!$W$48-Geometria!$W$42),(2*ABS(Geometria!$V$48))*(Geometria!$W$48-Geometria!$W$47)+(2*ABS(Geometria!$V$45))*((Geometria!$W$48-Geometria!$W$44)-(Geometria!$W$48-Geometria!$W$47))+(2*ABS(Geometria!$V$42))*(($L$14*K250)-(Geometria!$W$48-Geometria!$W$44)),IF(($L$14*K250)&lt;=(Geometria!$W$48-Geometria!$W$41),(2*ABS(Geometria!$V$48))*(Geometria!$W$48-Geometria!$W$47)+(2*ABS(Geometria!$V$45))*((Geometria!$W$48-Geometria!$W$44)-(Geometria!$W$48-Geometria!$W$47))+(2*ABS(Geometria!$V$42))*((Geometria!$W$48-Geometria!$W$42)-(Geometria!$W$48-Geometria!$W$44))+((2*ABS(Geometria!$V$42))+((2*ABS(Geometria!$V$42))+((2*ABS(Geometria!$V$41))-(2*ABS(Geometria!$V$42)))*(($L$14*K250)-(Geometria!$W$48-Geometria!$W$42))/((Geometria!$W$48-Geometria!$W$41)-(Geometria!$W$48-Geometria!$W$42))))/2*(($L$14*K250)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250)-(Geometria!$W$48-Geometria!$W$41))))))*$L$18+$L$198*IF(($L$14*K250)&lt;=(Geometria!$W$48-Geometria!$W$47),2*ABS(Geometria!$V$48)*($L$14*K250),2*ABS(Geometria!$V$48)*(Geometria!$W$48-Geometria!$W$47)+2*ABS(Geometria!$V$45)*(MIN(($L$14*K250),(Geometria!$W$48-Geometria!$W$44))-(Geometria!$W$48-Geometria!$W$47)))</f>
        <v>3335.5873886360437</v>
      </c>
      <c r="M250" s="622">
        <f t="shared" si="47"/>
        <v>0.6452702702702704</v>
      </c>
      <c r="N250" s="622">
        <f t="shared" ca="1" si="48"/>
        <v>81.69431351351353</v>
      </c>
      <c r="O250" s="622">
        <f t="shared" si="49"/>
        <v>3.780405405405406</v>
      </c>
      <c r="P250" s="622">
        <f t="shared" ca="1" si="50"/>
        <v>1096.1454545454546</v>
      </c>
      <c r="Q250" s="622">
        <f t="shared" ca="1" si="51"/>
        <v>8.516313374952068</v>
      </c>
      <c r="R250">
        <f t="shared" ca="1" si="52"/>
        <v>161.2211315534316</v>
      </c>
      <c r="S250" s="622">
        <f t="shared" ca="1" si="53"/>
        <v>1641.5242485440306</v>
      </c>
      <c r="T250" s="622">
        <f t="shared" ca="1" si="54"/>
        <v>4.578092542593017</v>
      </c>
      <c r="U250">
        <f t="shared" ca="1" si="55"/>
        <v>91.56185085186033</v>
      </c>
      <c r="V250" s="622">
        <f t="shared" ca="1" si="56"/>
        <v>0.0</v>
      </c>
      <c r="W250" s="622">
        <f t="shared" ca="1" si="57"/>
        <v>679.6119990600716</v>
      </c>
    </row>
    <row r="251" spans="11:23" x14ac:dyDescent="0.25">
      <c r="K251" s="622">
        <f>$L$199+47*$L$201</f>
        <v>42.33</v>
      </c>
      <c r="L251" s="622">
        <f>IF(($L$14*K251)&lt;=(Geometria!$W$48-Geometria!$W$47),(2*ABS(Geometria!$V$48))*($L$14*K251),IF(($L$14*K251)&lt;=(Geometria!$W$48-Geometria!$W$44),(2*ABS(Geometria!$V$48))*(Geometria!$W$48-Geometria!$W$47)+(2*ABS(Geometria!$V$45))*(($L$14*K251)-(Geometria!$W$48-Geometria!$W$47)),IF(($L$14*K251)&lt;=(Geometria!$W$48-Geometria!$W$42),(2*ABS(Geometria!$V$48))*(Geometria!$W$48-Geometria!$W$47)+(2*ABS(Geometria!$V$45))*((Geometria!$W$48-Geometria!$W$44)-(Geometria!$W$48-Geometria!$W$47))+(2*ABS(Geometria!$V$42))*(($L$14*K251)-(Geometria!$W$48-Geometria!$W$44)),IF(($L$14*K251)&lt;=(Geometria!$W$48-Geometria!$W$41),(2*ABS(Geometria!$V$48))*(Geometria!$W$48-Geometria!$W$47)+(2*ABS(Geometria!$V$45))*((Geometria!$W$48-Geometria!$W$44)-(Geometria!$W$48-Geometria!$W$47))+(2*ABS(Geometria!$V$42))*((Geometria!$W$48-Geometria!$W$42)-(Geometria!$W$48-Geometria!$W$44))+((2*ABS(Geometria!$V$42))+((2*ABS(Geometria!$V$42))+((2*ABS(Geometria!$V$41))-(2*ABS(Geometria!$V$42)))*(($L$14*K251)-(Geometria!$W$48-Geometria!$W$42))/((Geometria!$W$48-Geometria!$W$41)-(Geometria!$W$48-Geometria!$W$42))))/2*(($L$14*K251)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251)-(Geometria!$W$48-Geometria!$W$41))))))*$L$18+$L$198*IF(($L$14*K251)&lt;=(Geometria!$W$48-Geometria!$W$47),2*ABS(Geometria!$V$48)*($L$14*K251),2*ABS(Geometria!$V$48)*(Geometria!$W$48-Geometria!$W$47)+2*ABS(Geometria!$V$45)*(MIN(($L$14*K251),(Geometria!$W$48-Geometria!$W$44))-(Geometria!$W$48-Geometria!$W$47)))</f>
        <v>3395.7821649668103</v>
      </c>
      <c r="M251" s="622">
        <f t="shared" si="47"/>
        <v>0.7052917552563195</v>
      </c>
      <c r="N251" s="622">
        <f t="shared" ca="1" si="48"/>
        <v>89.2933216158753</v>
      </c>
      <c r="O251" s="622">
        <f t="shared" si="49"/>
        <v>3.627332860855186</v>
      </c>
      <c r="P251" s="622">
        <f t="shared" ca="1" si="50"/>
        <v>1096.1454545454546</v>
      </c>
      <c r="Q251" s="622">
        <f t="shared" ca="1" si="51"/>
        <v>8.376470418068891</v>
      </c>
      <c r="R251">
        <f t="shared" ca="1" si="52"/>
        <v>160.1366351531131</v>
      </c>
      <c r="S251" s="622">
        <f t="shared" ca="1" si="53"/>
        <v>1630.4821033771514</v>
      </c>
      <c r="T251" s="622">
        <f t="shared" ca="1" si="54"/>
        <v>4.5248190352089495</v>
      </c>
      <c r="U251">
        <f t="shared" ca="1" si="55"/>
        <v>90.49638070417899</v>
      </c>
      <c r="V251" s="622">
        <f t="shared" ca="1" si="56"/>
        <v>0.0</v>
      </c>
      <c r="W251" s="622">
        <f t="shared" ca="1" si="57"/>
        <v>758.4479286600799</v>
      </c>
    </row>
    <row r="252" spans="11:23" x14ac:dyDescent="0.25">
      <c r="K252" s="622">
        <f>$L$199+48*$L$201</f>
        <v>43.22</v>
      </c>
      <c r="L252" s="622">
        <f>IF(($L$14*K252)&lt;=(Geometria!$W$48-Geometria!$W$47),(2*ABS(Geometria!$V$48))*($L$14*K252),IF(($L$14*K252)&lt;=(Geometria!$W$48-Geometria!$W$44),(2*ABS(Geometria!$V$48))*(Geometria!$W$48-Geometria!$W$47)+(2*ABS(Geometria!$V$45))*(($L$14*K252)-(Geometria!$W$48-Geometria!$W$47)),IF(($L$14*K252)&lt;=(Geometria!$W$48-Geometria!$W$42),(2*ABS(Geometria!$V$48))*(Geometria!$W$48-Geometria!$W$47)+(2*ABS(Geometria!$V$45))*((Geometria!$W$48-Geometria!$W$44)-(Geometria!$W$48-Geometria!$W$47))+(2*ABS(Geometria!$V$42))*(($L$14*K252)-(Geometria!$W$48-Geometria!$W$44)),IF(($L$14*K252)&lt;=(Geometria!$W$48-Geometria!$W$41),(2*ABS(Geometria!$V$48))*(Geometria!$W$48-Geometria!$W$47)+(2*ABS(Geometria!$V$45))*((Geometria!$W$48-Geometria!$W$44)-(Geometria!$W$48-Geometria!$W$47))+(2*ABS(Geometria!$V$42))*((Geometria!$W$48-Geometria!$W$42)-(Geometria!$W$48-Geometria!$W$44))+((2*ABS(Geometria!$V$42))+((2*ABS(Geometria!$V$42))+((2*ABS(Geometria!$V$41))-(2*ABS(Geometria!$V$42)))*(($L$14*K252)-(Geometria!$W$48-Geometria!$W$42))/((Geometria!$W$48-Geometria!$W$41)-(Geometria!$W$48-Geometria!$W$42))))/2*(($L$14*K252)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252)-(Geometria!$W$48-Geometria!$W$41))))))*$L$18+$L$198*IF(($L$14*K252)&lt;=(Geometria!$W$48-Geometria!$W$47),2*ABS(Geometria!$V$48)*($L$14*K252),2*ABS(Geometria!$V$48)*(Geometria!$W$48-Geometria!$W$47)+2*ABS(Geometria!$V$45)*(MIN(($L$14*K252),(Geometria!$W$48-Geometria!$W$44))-(Geometria!$W$48-Geometria!$W$47)))</f>
        <v>3455.9769412975775</v>
      </c>
      <c r="M252" s="622">
        <f t="shared" si="47"/>
        <v>0.7628412771864879</v>
      </c>
      <c r="N252" s="622">
        <f t="shared" ca="1" si="48"/>
        <v>96.57936732993986</v>
      </c>
      <c r="O252" s="622">
        <f t="shared" si="49"/>
        <v>3.4805645534474783</v>
      </c>
      <c r="P252" s="622">
        <f t="shared" ca="1" si="50"/>
        <v>1096.1454545454546</v>
      </c>
      <c r="Q252" s="622">
        <f t="shared" ca="1" si="51"/>
        <v>8.24238684256591</v>
      </c>
      <c r="R252">
        <f t="shared" ca="1" si="52"/>
        <v>159.09680334309</v>
      </c>
      <c r="S252" s="622">
        <f t="shared" ca="1" si="53"/>
        <v>1619.8947249478251</v>
      </c>
      <c r="T252" s="622">
        <f t="shared" ca="1" si="54"/>
        <v>4.47373957787448</v>
      </c>
      <c r="U252">
        <f t="shared" ca="1" si="55"/>
        <v>89.47479155748961</v>
      </c>
      <c r="V252" s="622">
        <f t="shared" ca="1" si="56"/>
        <v>0.0</v>
      </c>
      <c r="W252" s="622">
        <f t="shared" ca="1" si="57"/>
        <v>836.5161291342374</v>
      </c>
    </row>
    <row r="253" spans="11:23" x14ac:dyDescent="0.25">
      <c r="K253" s="622">
        <f>$L$199+49*$L$201</f>
        <v>44.11</v>
      </c>
      <c r="L253" s="622">
        <f>IF(($L$14*K253)&lt;=(Geometria!$W$48-Geometria!$W$47),(2*ABS(Geometria!$V$48))*($L$14*K253),IF(($L$14*K253)&lt;=(Geometria!$W$48-Geometria!$W$44),(2*ABS(Geometria!$V$48))*(Geometria!$W$48-Geometria!$W$47)+(2*ABS(Geometria!$V$45))*(($L$14*K253)-(Geometria!$W$48-Geometria!$W$47)),IF(($L$14*K253)&lt;=(Geometria!$W$48-Geometria!$W$42),(2*ABS(Geometria!$V$48))*(Geometria!$W$48-Geometria!$W$47)+(2*ABS(Geometria!$V$45))*((Geometria!$W$48-Geometria!$W$44)-(Geometria!$W$48-Geometria!$W$47))+(2*ABS(Geometria!$V$42))*(($L$14*K253)-(Geometria!$W$48-Geometria!$W$44)),IF(($L$14*K253)&lt;=(Geometria!$W$48-Geometria!$W$41),(2*ABS(Geometria!$V$48))*(Geometria!$W$48-Geometria!$W$47)+(2*ABS(Geometria!$V$45))*((Geometria!$W$48-Geometria!$W$44)-(Geometria!$W$48-Geometria!$W$47))+(2*ABS(Geometria!$V$42))*((Geometria!$W$48-Geometria!$W$42)-(Geometria!$W$48-Geometria!$W$44))+((2*ABS(Geometria!$V$42))+((2*ABS(Geometria!$V$42))+((2*ABS(Geometria!$V$41))-(2*ABS(Geometria!$V$42)))*(($L$14*K253)-(Geometria!$W$48-Geometria!$W$42))/((Geometria!$W$48-Geometria!$W$41)-(Geometria!$W$48-Geometria!$W$42))))/2*(($L$14*K253)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253)-(Geometria!$W$48-Geometria!$W$41))))))*$L$18+$L$198*IF(($L$14*K253)&lt;=(Geometria!$W$48-Geometria!$W$47),2*ABS(Geometria!$V$48)*($L$14*K253),2*ABS(Geometria!$V$48)*(Geometria!$W$48-Geometria!$W$47)+2*ABS(Geometria!$V$45)*(MIN(($L$14*K253),(Geometria!$W$48-Geometria!$W$44))-(Geometria!$W$48-Geometria!$W$47)))</f>
        <v>3516.171717628345</v>
      </c>
      <c r="M253" s="622">
        <f t="shared" si="47"/>
        <v>0.8180684652006349</v>
      </c>
      <c r="N253" s="622">
        <f t="shared" ca="1" si="48"/>
        <v>103.57139442303335</v>
      </c>
      <c r="O253" s="622">
        <f t="shared" si="49"/>
        <v>3.339718884606665</v>
      </c>
      <c r="P253" s="622">
        <f t="shared" ca="1" si="50"/>
        <v>1096.1454545454546</v>
      </c>
      <c r="Q253" s="622">
        <f t="shared" ca="1" si="51"/>
        <v>8.113714030254842</v>
      </c>
      <c r="R253">
        <f t="shared" ca="1" si="52"/>
        <v>158.09893255373885</v>
      </c>
      <c r="S253" s="622">
        <f t="shared" ca="1" si="53"/>
        <v>1609.7345860017044</v>
      </c>
      <c r="T253" s="622">
        <f t="shared" ca="1" si="54"/>
        <v>4.42472136366074</v>
      </c>
      <c r="U253">
        <f t="shared" ca="1" si="55"/>
        <v>88.4944272732148</v>
      </c>
      <c r="V253" s="622">
        <f t="shared" ca="1" si="56"/>
        <v>0.0</v>
      </c>
      <c r="W253" s="622">
        <f t="shared" ca="1" si="57"/>
        <v>913.8630715042195</v>
      </c>
    </row>
    <row r="254" spans="11:23" x14ac:dyDescent="0.25">
      <c r="K254" s="622">
        <f>$L$199+50*$L$201</f>
        <v>45.0</v>
      </c>
      <c r="L254" s="622">
        <f>IF(($L$14*K254)&lt;=(Geometria!$W$48-Geometria!$W$47),(2*ABS(Geometria!$V$48))*($L$14*K254),IF(($L$14*K254)&lt;=(Geometria!$W$48-Geometria!$W$44),(2*ABS(Geometria!$V$48))*(Geometria!$W$48-Geometria!$W$47)+(2*ABS(Geometria!$V$45))*(($L$14*K254)-(Geometria!$W$48-Geometria!$W$47)),IF(($L$14*K254)&lt;=(Geometria!$W$48-Geometria!$W$42),(2*ABS(Geometria!$V$48))*(Geometria!$W$48-Geometria!$W$47)+(2*ABS(Geometria!$V$45))*((Geometria!$W$48-Geometria!$W$44)-(Geometria!$W$48-Geometria!$W$47))+(2*ABS(Geometria!$V$42))*(($L$14*K254)-(Geometria!$W$48-Geometria!$W$44)),IF(($L$14*K254)&lt;=(Geometria!$W$48-Geometria!$W$41),(2*ABS(Geometria!$V$48))*(Geometria!$W$48-Geometria!$W$47)+(2*ABS(Geometria!$V$45))*((Geometria!$W$48-Geometria!$W$44)-(Geometria!$W$48-Geometria!$W$47))+(2*ABS(Geometria!$V$42))*((Geometria!$W$48-Geometria!$W$42)-(Geometria!$W$48-Geometria!$W$44))+((2*ABS(Geometria!$V$42))+((2*ABS(Geometria!$V$42))+((2*ABS(Geometria!$V$41))-(2*ABS(Geometria!$V$42)))*(($L$14*K254)-(Geometria!$W$48-Geometria!$W$42))/((Geometria!$W$48-Geometria!$W$41)-(Geometria!$W$48-Geometria!$W$42))))/2*(($L$14*K254)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254)-(Geometria!$W$48-Geometria!$W$41))))))*$L$18+$L$198*IF(($L$14*K254)&lt;=(Geometria!$W$48-Geometria!$W$47),2*ABS(Geometria!$V$48)*($L$14*K254),2*ABS(Geometria!$V$48)*(Geometria!$W$48-Geometria!$W$47)+2*ABS(Geometria!$V$45)*(MIN(($L$14*K254),(Geometria!$W$48-Geometria!$W$44))-(Geometria!$W$48-Geometria!$W$47)))</f>
        <v>3576.3664939591113</v>
      </c>
      <c r="M254" s="622">
        <f t="shared" si="47"/>
        <v>0.8711111111111113</v>
      </c>
      <c r="N254" s="622">
        <f t="shared" ca="1" si="48"/>
        <v>110.28684800000003</v>
      </c>
      <c r="O254" s="622">
        <f t="shared" si="49"/>
        <v>3.204444444444445</v>
      </c>
      <c r="P254" s="622">
        <f t="shared" ca="1" si="50"/>
        <v>1096.1454545454546</v>
      </c>
      <c r="Q254" s="622">
        <f t="shared" ca="1" si="51"/>
        <v>7.9901309425196345</v>
      </c>
      <c r="R254">
        <f t="shared" ca="1" si="52"/>
        <v>157.14053309783316</v>
      </c>
      <c r="S254" s="622">
        <f t="shared" ca="1" si="53"/>
        <v>1599.9763369961192</v>
      </c>
      <c r="T254" s="622">
        <f t="shared" ca="1" si="54"/>
        <v>4.377642092142565</v>
      </c>
      <c r="U254">
        <f t="shared" ca="1" si="55"/>
        <v>87.55284184285131</v>
      </c>
      <c r="V254" s="622">
        <f t="shared" ca="1" si="56"/>
        <v>0.0</v>
      </c>
      <c r="W254" s="622">
        <f t="shared" ca="1" si="57"/>
        <v>990.5315504175378</v>
      </c>
    </row>
    <row r="255" spans="11:23" x14ac:dyDescent="0.25">
      <c r="K255" s="622">
        <f>$L$199+51*$L$201</f>
        <v>45.89</v>
      </c>
      <c r="L255" s="622">
        <f>IF(($L$14*K255)&lt;=(Geometria!$W$48-Geometria!$W$47),(2*ABS(Geometria!$V$48))*($L$14*K255),IF(($L$14*K255)&lt;=(Geometria!$W$48-Geometria!$W$44),(2*ABS(Geometria!$V$48))*(Geometria!$W$48-Geometria!$W$47)+(2*ABS(Geometria!$V$45))*(($L$14*K255)-(Geometria!$W$48-Geometria!$W$47)),IF(($L$14*K255)&lt;=(Geometria!$W$48-Geometria!$W$42),(2*ABS(Geometria!$V$48))*(Geometria!$W$48-Geometria!$W$47)+(2*ABS(Geometria!$V$45))*((Geometria!$W$48-Geometria!$W$44)-(Geometria!$W$48-Geometria!$W$47))+(2*ABS(Geometria!$V$42))*(($L$14*K255)-(Geometria!$W$48-Geometria!$W$44)),IF(($L$14*K255)&lt;=(Geometria!$W$48-Geometria!$W$41),(2*ABS(Geometria!$V$48))*(Geometria!$W$48-Geometria!$W$47)+(2*ABS(Geometria!$V$45))*((Geometria!$W$48-Geometria!$W$44)-(Geometria!$W$48-Geometria!$W$47))+(2*ABS(Geometria!$V$42))*((Geometria!$W$48-Geometria!$W$42)-(Geometria!$W$48-Geometria!$W$44))+((2*ABS(Geometria!$V$42))+((2*ABS(Geometria!$V$42))+((2*ABS(Geometria!$V$41))-(2*ABS(Geometria!$V$42)))*(($L$14*K255)-(Geometria!$W$48-Geometria!$W$42))/((Geometria!$W$48-Geometria!$W$41)-(Geometria!$W$48-Geometria!$W$42))))/2*(($L$14*K255)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255)-(Geometria!$W$48-Geometria!$W$41))))))*$L$18+$L$198*IF(($L$14*K255)&lt;=(Geometria!$W$48-Geometria!$W$47),2*ABS(Geometria!$V$48)*($L$14*K255),2*ABS(Geometria!$V$48)*(Geometria!$W$48-Geometria!$W$47)+2*ABS(Geometria!$V$45)*(MIN(($L$14*K255),(Geometria!$W$48-Geometria!$W$44))-(Geometria!$W$48-Geometria!$W$47)))</f>
        <v>3636.5612702898784</v>
      </c>
      <c r="M255" s="622">
        <f t="shared" si="47"/>
        <v>0.9220963172804535</v>
      </c>
      <c r="N255" s="622">
        <f t="shared" ca="1" si="48"/>
        <v>116.74181983002839</v>
      </c>
      <c r="O255" s="622">
        <f t="shared" si="49"/>
        <v>3.0744170843320986</v>
      </c>
      <c r="P255" s="622">
        <f t="shared" ca="1" si="50"/>
        <v>1096.1454545454546</v>
      </c>
      <c r="Q255" s="622">
        <f t="shared" ca="1" si="51"/>
        <v>7.871341445897277</v>
      </c>
      <c r="R255">
        <f t="shared" ca="1" si="52"/>
        <v>156.21930843014957</v>
      </c>
      <c r="S255" s="622">
        <f t="shared" ca="1" si="53"/>
        <v>1590.596594925159</v>
      </c>
      <c r="T255" s="622">
        <f t="shared" ca="1" si="54"/>
        <v>4.332388950572144</v>
      </c>
      <c r="U255">
        <f t="shared" ca="1" si="55"/>
        <v>86.64777901144288</v>
      </c>
      <c r="V255" s="622">
        <f t="shared" ca="1" si="56"/>
        <v>0.0</v>
      </c>
      <c r="W255" s="622">
        <f t="shared" ca="1" si="57"/>
        <v>1066.5610406492929</v>
      </c>
    </row>
    <row r="256" spans="11:23" x14ac:dyDescent="0.25">
      <c r="K256" s="622">
        <f>$L$199+52*$L$201</f>
        <v>46.78</v>
      </c>
      <c r="L256" s="622">
        <f>IF(($L$14*K256)&lt;=(Geometria!$W$48-Geometria!$W$47),(2*ABS(Geometria!$V$48))*($L$14*K256),IF(($L$14*K256)&lt;=(Geometria!$W$48-Geometria!$W$44),(2*ABS(Geometria!$V$48))*(Geometria!$W$48-Geometria!$W$47)+(2*ABS(Geometria!$V$45))*(($L$14*K256)-(Geometria!$W$48-Geometria!$W$47)),IF(($L$14*K256)&lt;=(Geometria!$W$48-Geometria!$W$42),(2*ABS(Geometria!$V$48))*(Geometria!$W$48-Geometria!$W$47)+(2*ABS(Geometria!$V$45))*((Geometria!$W$48-Geometria!$W$44)-(Geometria!$W$48-Geometria!$W$47))+(2*ABS(Geometria!$V$42))*(($L$14*K256)-(Geometria!$W$48-Geometria!$W$44)),IF(($L$14*K256)&lt;=(Geometria!$W$48-Geometria!$W$41),(2*ABS(Geometria!$V$48))*(Geometria!$W$48-Geometria!$W$47)+(2*ABS(Geometria!$V$45))*((Geometria!$W$48-Geometria!$W$44)-(Geometria!$W$48-Geometria!$W$47))+(2*ABS(Geometria!$V$42))*((Geometria!$W$48-Geometria!$W$42)-(Geometria!$W$48-Geometria!$W$44))+((2*ABS(Geometria!$V$42))+((2*ABS(Geometria!$V$42))+((2*ABS(Geometria!$V$41))-(2*ABS(Geometria!$V$42)))*(($L$14*K256)-(Geometria!$W$48-Geometria!$W$42))/((Geometria!$W$48-Geometria!$W$41)-(Geometria!$W$48-Geometria!$W$42))))/2*(($L$14*K256)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256)-(Geometria!$W$48-Geometria!$W$41))))))*$L$18+$L$198*IF(($L$14*K256)&lt;=(Geometria!$W$48-Geometria!$W$47),2*ABS(Geometria!$V$48)*($L$14*K256),2*ABS(Geometria!$V$48)*(Geometria!$W$48-Geometria!$W$47)+2*ABS(Geometria!$V$45)*(MIN(($L$14*K256),(Geometria!$W$48-Geometria!$W$44))-(Geometria!$W$48-Geometria!$W$47)))</f>
        <v>3696.7560466206455</v>
      </c>
      <c r="M256" s="622">
        <f t="shared" si="47"/>
        <v>0.9711415134672939</v>
      </c>
      <c r="N256" s="622">
        <f t="shared" ca="1" si="48"/>
        <v>122.95117708422406</v>
      </c>
      <c r="O256" s="622">
        <f t="shared" si="49"/>
        <v>2.9493373236425824</v>
      </c>
      <c r="P256" s="622">
        <f t="shared" ca="1" si="50"/>
        <v>1096.1454545454546</v>
      </c>
      <c r="Q256" s="622">
        <f t="shared" ca="1" si="51"/>
        <v>7.757071942947167</v>
      </c>
      <c r="R256">
        <f t="shared" ca="1" si="52"/>
        <v>155.14143885894333</v>
      </c>
      <c r="S256" s="622">
        <f t="shared" ca="1" si="53"/>
        <v>1579.6219229274227</v>
      </c>
      <c r="T256" s="622">
        <f t="shared" ca="1" si="54"/>
        <v>4.288857711353055</v>
      </c>
      <c r="U256">
        <f t="shared" ca="1" si="55"/>
        <v>85.77715422706109</v>
      </c>
      <c r="V256" s="622">
        <f t="shared" ca="1" si="56"/>
        <v>0.0</v>
      </c>
      <c r="W256" s="622">
        <f t="shared" ca="1" si="57"/>
        <v>1143.9398462319925</v>
      </c>
    </row>
    <row r="257" spans="11:23" x14ac:dyDescent="0.25">
      <c r="K257" s="622">
        <f>$L$199+53*$L$201</f>
        <v>47.67</v>
      </c>
      <c r="L257" s="622">
        <f>IF(($L$14*K257)&lt;=(Geometria!$W$48-Geometria!$W$47),(2*ABS(Geometria!$V$48))*($L$14*K257),IF(($L$14*K257)&lt;=(Geometria!$W$48-Geometria!$W$44),(2*ABS(Geometria!$V$48))*(Geometria!$W$48-Geometria!$W$47)+(2*ABS(Geometria!$V$45))*(($L$14*K257)-(Geometria!$W$48-Geometria!$W$47)),IF(($L$14*K257)&lt;=(Geometria!$W$48-Geometria!$W$42),(2*ABS(Geometria!$V$48))*(Geometria!$W$48-Geometria!$W$47)+(2*ABS(Geometria!$V$45))*((Geometria!$W$48-Geometria!$W$44)-(Geometria!$W$48-Geometria!$W$47))+(2*ABS(Geometria!$V$42))*(($L$14*K257)-(Geometria!$W$48-Geometria!$W$44)),IF(($L$14*K257)&lt;=(Geometria!$W$48-Geometria!$W$41),(2*ABS(Geometria!$V$48))*(Geometria!$W$48-Geometria!$W$47)+(2*ABS(Geometria!$V$45))*((Geometria!$W$48-Geometria!$W$44)-(Geometria!$W$48-Geometria!$W$47))+(2*ABS(Geometria!$V$42))*((Geometria!$W$48-Geometria!$W$42)-(Geometria!$W$48-Geometria!$W$44))+((2*ABS(Geometria!$V$42))+((2*ABS(Geometria!$V$42))+((2*ABS(Geometria!$V$41))-(2*ABS(Geometria!$V$42)))*(($L$14*K257)-(Geometria!$W$48-Geometria!$W$42))/((Geometria!$W$48-Geometria!$W$41)-(Geometria!$W$48-Geometria!$W$42))))/2*(($L$14*K257)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257)-(Geometria!$W$48-Geometria!$W$41))))))*$L$18+$L$198*IF(($L$14*K257)&lt;=(Geometria!$W$48-Geometria!$W$47),2*ABS(Geometria!$V$48)*($L$14*K257),2*ABS(Geometria!$V$48)*(Geometria!$W$48-Geometria!$W$47)+2*ABS(Geometria!$V$45)*(MIN(($L$14*K257),(Geometria!$W$48-Geometria!$W$44))-(Geometria!$W$48-Geometria!$W$47)))</f>
        <v>3756.9508229514126</v>
      </c>
      <c r="M257" s="622">
        <f t="shared" si="47"/>
        <v>1.0183553597650516</v>
      </c>
      <c r="N257" s="622">
        <f t="shared" ca="1" si="48"/>
        <v>128.92867665198244</v>
      </c>
      <c r="O257" s="622">
        <f t="shared" si="49"/>
        <v>2.8289280469897213</v>
      </c>
      <c r="P257" s="622">
        <f t="shared" ca="1" si="50"/>
        <v>1096.1454545454546</v>
      </c>
      <c r="Q257" s="622">
        <f t="shared" ca="1" si="51"/>
        <v>7.647069268510824</v>
      </c>
      <c r="R257">
        <f t="shared" ca="1" si="52"/>
        <v>152.9413853702165</v>
      </c>
      <c r="S257" s="622">
        <f t="shared" ca="1" si="53"/>
        <v>1557.2213783149314</v>
      </c>
      <c r="T257" s="622">
        <f t="shared" ca="1" si="54"/>
        <v>4.2469519306154</v>
      </c>
      <c r="U257">
        <f t="shared" ca="1" si="55"/>
        <v>84.939038612308</v>
      </c>
      <c r="V257" s="622">
        <f t="shared" ca="1" si="56"/>
        <v>0.0</v>
      </c>
      <c r="W257" s="622">
        <f t="shared" ca="1" si="57"/>
        <v>1232.512666743009</v>
      </c>
    </row>
    <row r="258" spans="11:23" x14ac:dyDescent="0.25">
      <c r="K258" s="622">
        <f>$L$199+54*$L$201</f>
        <v>48.56</v>
      </c>
      <c r="L258" s="622">
        <f>IF(($L$14*K258)&lt;=(Geometria!$W$48-Geometria!$W$47),(2*ABS(Geometria!$V$48))*($L$14*K258),IF(($L$14*K258)&lt;=(Geometria!$W$48-Geometria!$W$44),(2*ABS(Geometria!$V$48))*(Geometria!$W$48-Geometria!$W$47)+(2*ABS(Geometria!$V$45))*(($L$14*K258)-(Geometria!$W$48-Geometria!$W$47)),IF(($L$14*K258)&lt;=(Geometria!$W$48-Geometria!$W$42),(2*ABS(Geometria!$V$48))*(Geometria!$W$48-Geometria!$W$47)+(2*ABS(Geometria!$V$45))*((Geometria!$W$48-Geometria!$W$44)-(Geometria!$W$48-Geometria!$W$47))+(2*ABS(Geometria!$V$42))*(($L$14*K258)-(Geometria!$W$48-Geometria!$W$44)),IF(($L$14*K258)&lt;=(Geometria!$W$48-Geometria!$W$41),(2*ABS(Geometria!$V$48))*(Geometria!$W$48-Geometria!$W$47)+(2*ABS(Geometria!$V$45))*((Geometria!$W$48-Geometria!$W$44)-(Geometria!$W$48-Geometria!$W$47))+(2*ABS(Geometria!$V$42))*((Geometria!$W$48-Geometria!$W$42)-(Geometria!$W$48-Geometria!$W$44))+((2*ABS(Geometria!$V$42))+((2*ABS(Geometria!$V$42))+((2*ABS(Geometria!$V$41))-(2*ABS(Geometria!$V$42)))*(($L$14*K258)-(Geometria!$W$48-Geometria!$W$42))/((Geometria!$W$48-Geometria!$W$41)-(Geometria!$W$48-Geometria!$W$42))))/2*(($L$14*K258)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258)-(Geometria!$W$48-Geometria!$W$41))))))*$L$18+$L$198*IF(($L$14*K258)&lt;=(Geometria!$W$48-Geometria!$W$47),2*ABS(Geometria!$V$48)*($L$14*K258),2*ABS(Geometria!$V$48)*(Geometria!$W$48-Geometria!$W$47)+2*ABS(Geometria!$V$45)*(MIN(($L$14*K258),(Geometria!$W$48-Geometria!$W$44))-(Geometria!$W$48-Geometria!$W$47)))</f>
        <v>3817.14559928218</v>
      </c>
      <c r="M258" s="622">
        <f t="shared" si="47"/>
        <v>1.0638385502471173</v>
      </c>
      <c r="N258" s="622">
        <f t="shared" ca="1" si="48"/>
        <v>134.68706688632625</v>
      </c>
      <c r="O258" s="622">
        <f t="shared" si="49"/>
        <v>2.7129324546952223</v>
      </c>
      <c r="P258" s="622">
        <f t="shared" ca="1" si="50"/>
        <v>1096.1454545454546</v>
      </c>
      <c r="Q258" s="622">
        <f t="shared" ca="1" si="51"/>
        <v>7.541098817313703</v>
      </c>
      <c r="R258">
        <f t="shared" ca="1" si="52"/>
        <v>150.82197634627406</v>
      </c>
      <c r="S258" s="622">
        <f t="shared" ca="1" si="53"/>
        <v>1535.6419409802447</v>
      </c>
      <c r="T258" s="622">
        <f t="shared" ca="1" si="54"/>
        <v>4.2065822349212585</v>
      </c>
      <c r="U258">
        <f t="shared" ca="1" si="55"/>
        <v>84.13164469842516</v>
      </c>
      <c r="V258" s="622">
        <f t="shared" ca="1" si="56"/>
        <v>0.0</v>
      </c>
      <c r="W258" s="622">
        <f t="shared" ca="1" si="57"/>
        <v>1320.0452706428068</v>
      </c>
    </row>
    <row r="259" spans="11:23" x14ac:dyDescent="0.25">
      <c r="K259" s="622">
        <f>$L$199+55*$L$201</f>
        <v>49.45</v>
      </c>
      <c r="L259" s="622">
        <f>IF(($L$14*K259)&lt;=(Geometria!$W$48-Geometria!$W$47),(2*ABS(Geometria!$V$48))*($L$14*K259),IF(($L$14*K259)&lt;=(Geometria!$W$48-Geometria!$W$44),(2*ABS(Geometria!$V$48))*(Geometria!$W$48-Geometria!$W$47)+(2*ABS(Geometria!$V$45))*(($L$14*K259)-(Geometria!$W$48-Geometria!$W$47)),IF(($L$14*K259)&lt;=(Geometria!$W$48-Geometria!$W$42),(2*ABS(Geometria!$V$48))*(Geometria!$W$48-Geometria!$W$47)+(2*ABS(Geometria!$V$45))*((Geometria!$W$48-Geometria!$W$44)-(Geometria!$W$48-Geometria!$W$47))+(2*ABS(Geometria!$V$42))*(($L$14*K259)-(Geometria!$W$48-Geometria!$W$44)),IF(($L$14*K259)&lt;=(Geometria!$W$48-Geometria!$W$41),(2*ABS(Geometria!$V$48))*(Geometria!$W$48-Geometria!$W$47)+(2*ABS(Geometria!$V$45))*((Geometria!$W$48-Geometria!$W$44)-(Geometria!$W$48-Geometria!$W$47))+(2*ABS(Geometria!$V$42))*((Geometria!$W$48-Geometria!$W$42)-(Geometria!$W$48-Geometria!$W$44))+((2*ABS(Geometria!$V$42))+((2*ABS(Geometria!$V$42))+((2*ABS(Geometria!$V$41))-(2*ABS(Geometria!$V$42)))*(($L$14*K259)-(Geometria!$W$48-Geometria!$W$42))/((Geometria!$W$48-Geometria!$W$41)-(Geometria!$W$48-Geometria!$W$42))))/2*(($L$14*K259)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259)-(Geometria!$W$48-Geometria!$W$41))))))*$L$18+$L$198*IF(($L$14*K259)&lt;=(Geometria!$W$48-Geometria!$W$47),2*ABS(Geometria!$V$48)*($L$14*K259),2*ABS(Geometria!$V$48)*(Geometria!$W$48-Geometria!$W$47)+2*ABS(Geometria!$V$45)*(MIN(($L$14*K259),(Geometria!$W$48-Geometria!$W$44))-(Geometria!$W$48-Geometria!$W$47)))</f>
        <v>3877.340375612945</v>
      </c>
      <c r="M259" s="622">
        <f t="shared" si="47"/>
        <v>1.1076845298281095</v>
      </c>
      <c r="N259" s="622">
        <f t="shared" ca="1" si="48"/>
        <v>140.23817836198185</v>
      </c>
      <c r="O259" s="622">
        <f t="shared" si="49"/>
        <v>2.601112234580384</v>
      </c>
      <c r="P259" s="622">
        <f t="shared" ca="1" si="50"/>
        <v>1096.1454545454546</v>
      </c>
      <c r="Q259" s="622">
        <f t="shared" ca="1" si="51"/>
        <v>7.438942873763315</v>
      </c>
      <c r="R259">
        <f t="shared" ca="1" si="52"/>
        <v>148.7788574752663</v>
      </c>
      <c r="S259" s="622">
        <f t="shared" ca="1" si="53"/>
        <v>1514.8392761118023</v>
      </c>
      <c r="T259" s="622">
        <f t="shared" ca="1" si="54"/>
        <v>4.167665684997301</v>
      </c>
      <c r="U259">
        <f t="shared" ca="1" si="55"/>
        <v>83.35331369994603</v>
      </c>
      <c r="V259" s="622">
        <f t="shared" ca="1" si="56"/>
        <v>0.0</v>
      </c>
      <c r="W259" s="622">
        <f t="shared" ca="1" si="57"/>
        <v>1406.59382331767</v>
      </c>
    </row>
    <row r="260" spans="11:23" x14ac:dyDescent="0.25">
      <c r="K260" s="622">
        <f>$L$199+56*$L$201</f>
        <v>50.34</v>
      </c>
      <c r="L260" s="622">
        <f>IF(($L$14*K260)&lt;=(Geometria!$W$48-Geometria!$W$47),(2*ABS(Geometria!$V$48))*($L$14*K260),IF(($L$14*K260)&lt;=(Geometria!$W$48-Geometria!$W$44),(2*ABS(Geometria!$V$48))*(Geometria!$W$48-Geometria!$W$47)+(2*ABS(Geometria!$V$45))*(($L$14*K260)-(Geometria!$W$48-Geometria!$W$47)),IF(($L$14*K260)&lt;=(Geometria!$W$48-Geometria!$W$42),(2*ABS(Geometria!$V$48))*(Geometria!$W$48-Geometria!$W$47)+(2*ABS(Geometria!$V$45))*((Geometria!$W$48-Geometria!$W$44)-(Geometria!$W$48-Geometria!$W$47))+(2*ABS(Geometria!$V$42))*(($L$14*K260)-(Geometria!$W$48-Geometria!$W$44)),IF(($L$14*K260)&lt;=(Geometria!$W$48-Geometria!$W$41),(2*ABS(Geometria!$V$48))*(Geometria!$W$48-Geometria!$W$47)+(2*ABS(Geometria!$V$45))*((Geometria!$W$48-Geometria!$W$44)-(Geometria!$W$48-Geometria!$W$47))+(2*ABS(Geometria!$V$42))*((Geometria!$W$48-Geometria!$W$42)-(Geometria!$W$48-Geometria!$W$44))+((2*ABS(Geometria!$V$42))+((2*ABS(Geometria!$V$42))+((2*ABS(Geometria!$V$41))-(2*ABS(Geometria!$V$42)))*(($L$14*K260)-(Geometria!$W$48-Geometria!$W$42))/((Geometria!$W$48-Geometria!$W$41)-(Geometria!$W$48-Geometria!$W$42))))/2*(($L$14*K260)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260)-(Geometria!$W$48-Geometria!$W$41))))))*$L$18+$L$198*IF(($L$14*K260)&lt;=(Geometria!$W$48-Geometria!$W$47),2*ABS(Geometria!$V$48)*($L$14*K260),2*ABS(Geometria!$V$48)*(Geometria!$W$48-Geometria!$W$47)+2*ABS(Geometria!$V$45)*(MIN(($L$14*K260),(Geometria!$W$48-Geometria!$W$44))-(Geometria!$W$48-Geometria!$W$47)))</f>
        <v>3937.535151943713</v>
      </c>
      <c r="M260" s="622">
        <f t="shared" si="47"/>
        <v>1.1499801350814465</v>
      </c>
      <c r="N260" s="622">
        <f t="shared" ca="1" si="48"/>
        <v>145.59300500595953</v>
      </c>
      <c r="O260" s="622">
        <f t="shared" si="49"/>
        <v>2.4932459276916963</v>
      </c>
      <c r="P260" s="622">
        <f t="shared" ca="1" si="50"/>
        <v>1096.1454545454546</v>
      </c>
      <c r="Q260" s="622">
        <f t="shared" ca="1" si="51"/>
        <v>7.340399118920111</v>
      </c>
      <c r="R260">
        <f t="shared" ca="1" si="52"/>
        <v>146.80798237840222</v>
      </c>
      <c r="S260" s="622">
        <f t="shared" ca="1" si="53"/>
        <v>1494.7721842164588</v>
      </c>
      <c r="T260" s="622">
        <f t="shared" ca="1" si="54"/>
        <v>4.130125206961795</v>
      </c>
      <c r="U260">
        <f t="shared" ca="1" si="55"/>
        <v>82.60250413923589</v>
      </c>
      <c r="V260" s="622">
        <f t="shared" ca="1" si="56"/>
        <v>0.0</v>
      </c>
      <c r="W260" s="622">
        <f t="shared" ca="1" si="57"/>
        <v>1492.2105181877591</v>
      </c>
    </row>
    <row r="261" spans="11:23" x14ac:dyDescent="0.25">
      <c r="K261" s="622">
        <f>$L$199+57*$L$201</f>
        <v>51.230000000000004</v>
      </c>
      <c r="L261" s="622">
        <f>IF(($L$14*K261)&lt;=(Geometria!$W$48-Geometria!$W$47),(2*ABS(Geometria!$V$48))*($L$14*K261),IF(($L$14*K261)&lt;=(Geometria!$W$48-Geometria!$W$44),(2*ABS(Geometria!$V$48))*(Geometria!$W$48-Geometria!$W$47)+(2*ABS(Geometria!$V$45))*(($L$14*K261)-(Geometria!$W$48-Geometria!$W$47)),IF(($L$14*K261)&lt;=(Geometria!$W$48-Geometria!$W$42),(2*ABS(Geometria!$V$48))*(Geometria!$W$48-Geometria!$W$47)+(2*ABS(Geometria!$V$45))*((Geometria!$W$48-Geometria!$W$44)-(Geometria!$W$48-Geometria!$W$47))+(2*ABS(Geometria!$V$42))*(($L$14*K261)-(Geometria!$W$48-Geometria!$W$44)),IF(($L$14*K261)&lt;=(Geometria!$W$48-Geometria!$W$41),(2*ABS(Geometria!$V$48))*(Geometria!$W$48-Geometria!$W$47)+(2*ABS(Geometria!$V$45))*((Geometria!$W$48-Geometria!$W$44)-(Geometria!$W$48-Geometria!$W$47))+(2*ABS(Geometria!$V$42))*((Geometria!$W$48-Geometria!$W$42)-(Geometria!$W$48-Geometria!$W$44))+((2*ABS(Geometria!$V$42))+((2*ABS(Geometria!$V$42))+((2*ABS(Geometria!$V$41))-(2*ABS(Geometria!$V$42)))*(($L$14*K261)-(Geometria!$W$48-Geometria!$W$42))/((Geometria!$W$48-Geometria!$W$41)-(Geometria!$W$48-Geometria!$W$42))))/2*(($L$14*K261)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261)-(Geometria!$W$48-Geometria!$W$41))))))*$L$18+$L$198*IF(($L$14*K261)&lt;=(Geometria!$W$48-Geometria!$W$47),2*ABS(Geometria!$V$48)*($L$14*K261),2*ABS(Geometria!$V$48)*(Geometria!$W$48-Geometria!$W$47)+2*ABS(Geometria!$V$45)*(MIN(($L$14*K261),(Geometria!$W$48-Geometria!$W$44))-(Geometria!$W$48-Geometria!$W$47)))</f>
        <v>3997.7299282744802</v>
      </c>
      <c r="M261" s="622">
        <f t="shared" si="47"/>
        <v>1.1908061682607851</v>
      </c>
      <c r="N261" s="622">
        <f t="shared" ca="1" si="48"/>
        <v>150.76177677142306</v>
      </c>
      <c r="O261" s="622">
        <f t="shared" si="49"/>
        <v>2.3891274643763416</v>
      </c>
      <c r="P261" s="622">
        <f t="shared" ca="1" si="50"/>
        <v>1096.1454545454546</v>
      </c>
      <c r="Q261" s="622">
        <f t="shared" ca="1" si="51"/>
        <v>7.245279293095469</v>
      </c>
      <c r="R261">
        <f t="shared" ca="1" si="52"/>
        <v>144.90558586190937</v>
      </c>
      <c r="S261" s="622">
        <f t="shared" ca="1" si="53"/>
        <v>1475.402328775804</v>
      </c>
      <c r="T261" s="622">
        <f t="shared" ca="1" si="54"/>
        <v>4.093889082838121</v>
      </c>
      <c r="U261">
        <f t="shared" ca="1" si="55"/>
        <v>81.87778165676242</v>
      </c>
      <c r="V261" s="622">
        <f t="shared" ca="1" si="56"/>
        <v>0.0</v>
      </c>
      <c r="W261" s="622">
        <f t="shared" ca="1" si="57"/>
        <v>1576.943921724645</v>
      </c>
    </row>
    <row r="262" spans="11:23" x14ac:dyDescent="0.25">
      <c r="K262" s="622">
        <f>$L$199+58*$L$201</f>
        <v>52.12</v>
      </c>
      <c r="L262" s="622">
        <f>IF(($L$14*K262)&lt;=(Geometria!$W$48-Geometria!$W$47),(2*ABS(Geometria!$V$48))*($L$14*K262),IF(($L$14*K262)&lt;=(Geometria!$W$48-Geometria!$W$44),(2*ABS(Geometria!$V$48))*(Geometria!$W$48-Geometria!$W$47)+(2*ABS(Geometria!$V$45))*(($L$14*K262)-(Geometria!$W$48-Geometria!$W$47)),IF(($L$14*K262)&lt;=(Geometria!$W$48-Geometria!$W$42),(2*ABS(Geometria!$V$48))*(Geometria!$W$48-Geometria!$W$47)+(2*ABS(Geometria!$V$45))*((Geometria!$W$48-Geometria!$W$44)-(Geometria!$W$48-Geometria!$W$47))+(2*ABS(Geometria!$V$42))*(($L$14*K262)-(Geometria!$W$48-Geometria!$W$44)),IF(($L$14*K262)&lt;=(Geometria!$W$48-Geometria!$W$41),(2*ABS(Geometria!$V$48))*(Geometria!$W$48-Geometria!$W$47)+(2*ABS(Geometria!$V$45))*((Geometria!$W$48-Geometria!$W$44)-(Geometria!$W$48-Geometria!$W$47))+(2*ABS(Geometria!$V$42))*((Geometria!$W$48-Geometria!$W$42)-(Geometria!$W$48-Geometria!$W$44))+((2*ABS(Geometria!$V$42))+((2*ABS(Geometria!$V$42))+((2*ABS(Geometria!$V$41))-(2*ABS(Geometria!$V$42)))*(($L$14*K262)-(Geometria!$W$48-Geometria!$W$42))/((Geometria!$W$48-Geometria!$W$41)-(Geometria!$W$48-Geometria!$W$42))))/2*(($L$14*K262)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262)-(Geometria!$W$48-Geometria!$W$41))))))*$L$18+$L$198*IF(($L$14*K262)&lt;=(Geometria!$W$48-Geometria!$W$47),2*ABS(Geometria!$V$48)*($L$14*K262),2*ABS(Geometria!$V$48)*(Geometria!$W$48-Geometria!$W$47)+2*ABS(Geometria!$V$45)*(MIN(($L$14*K262),(Geometria!$W$48-Geometria!$W$44))-(Geometria!$W$48-Geometria!$W$47)))</f>
        <v>4057.9247046052456</v>
      </c>
      <c r="M262" s="622">
        <f t="shared" si="47"/>
        <v>1.2302379125095935</v>
      </c>
      <c r="N262" s="622">
        <f t="shared" ca="1" si="48"/>
        <v>155.7540248656946</v>
      </c>
      <c r="O262" s="622">
        <f t="shared" si="49"/>
        <v>2.2885648503453573</v>
      </c>
      <c r="P262" s="622">
        <f t="shared" ca="1" si="50"/>
        <v>1096.1454545454546</v>
      </c>
      <c r="Q262" s="622">
        <f t="shared" ca="1" si="51"/>
        <v>7.153407995474355</v>
      </c>
      <c r="R262">
        <f t="shared" ca="1" si="52"/>
        <v>143.0681599094871</v>
      </c>
      <c r="S262" s="622">
        <f t="shared" ca="1" si="53"/>
        <v>1456.6939918056867</v>
      </c>
      <c r="T262" s="622">
        <f t="shared" ca="1" si="54"/>
        <v>4.058890493268174</v>
      </c>
      <c r="U262">
        <f t="shared" ca="1" si="55"/>
        <v>81.17780986536347</v>
      </c>
      <c r="V262" s="622">
        <f t="shared" ca="1" si="56"/>
        <v>0.0</v>
      </c>
      <c r="W262" s="622">
        <f t="shared" ca="1" si="57"/>
        <v>1660.8392831197991</v>
      </c>
    </row>
    <row r="263" spans="11:23" x14ac:dyDescent="0.25">
      <c r="K263" s="622">
        <f>$L$199+59*$L$201</f>
        <v>53.01</v>
      </c>
      <c r="L263" s="622">
        <f>IF(($L$14*K263)&lt;=(Geometria!$W$48-Geometria!$W$47),(2*ABS(Geometria!$V$48))*($L$14*K263),IF(($L$14*K263)&lt;=(Geometria!$W$48-Geometria!$W$44),(2*ABS(Geometria!$V$48))*(Geometria!$W$48-Geometria!$W$47)+(2*ABS(Geometria!$V$45))*(($L$14*K263)-(Geometria!$W$48-Geometria!$W$47)),IF(($L$14*K263)&lt;=(Geometria!$W$48-Geometria!$W$42),(2*ABS(Geometria!$V$48))*(Geometria!$W$48-Geometria!$W$47)+(2*ABS(Geometria!$V$45))*((Geometria!$W$48-Geometria!$W$44)-(Geometria!$W$48-Geometria!$W$47))+(2*ABS(Geometria!$V$42))*(($L$14*K263)-(Geometria!$W$48-Geometria!$W$44)),IF(($L$14*K263)&lt;=(Geometria!$W$48-Geometria!$W$41),(2*ABS(Geometria!$V$48))*(Geometria!$W$48-Geometria!$W$47)+(2*ABS(Geometria!$V$45))*((Geometria!$W$48-Geometria!$W$44)-(Geometria!$W$48-Geometria!$W$47))+(2*ABS(Geometria!$V$42))*((Geometria!$W$48-Geometria!$W$42)-(Geometria!$W$48-Geometria!$W$44))+((2*ABS(Geometria!$V$42))+((2*ABS(Geometria!$V$42))+((2*ABS(Geometria!$V$41))-(2*ABS(Geometria!$V$42)))*(($L$14*K263)-(Geometria!$W$48-Geometria!$W$42))/((Geometria!$W$48-Geometria!$W$41)-(Geometria!$W$48-Geometria!$W$42))))/2*(($L$14*K263)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263)-(Geometria!$W$48-Geometria!$W$41))))))*$L$18+$L$198*IF(($L$14*K263)&lt;=(Geometria!$W$48-Geometria!$W$47),2*ABS(Geometria!$V$48)*($L$14*K263),2*ABS(Geometria!$V$48)*(Geometria!$W$48-Geometria!$W$47)+2*ABS(Geometria!$V$45)*(MIN(($L$14*K263),(Geometria!$W$48-Geometria!$W$44))-(Geometria!$W$48-Geometria!$W$47)))</f>
        <v>4118.119480936013</v>
      </c>
      <c r="M263" s="622">
        <f t="shared" si="47"/>
        <v>1.2683455951707225</v>
      </c>
      <c r="N263" s="622">
        <f t="shared" ca="1" si="48"/>
        <v>160.57864040747032</v>
      </c>
      <c r="O263" s="622">
        <f t="shared" si="49"/>
        <v>2.191378985097152</v>
      </c>
      <c r="P263" s="622">
        <f t="shared" ca="1" si="50"/>
        <v>1096.1454545454546</v>
      </c>
      <c r="Q263" s="622">
        <f t="shared" ca="1" si="51"/>
        <v>7.0646216046588535</v>
      </c>
      <c r="R263">
        <f t="shared" ca="1" si="52"/>
        <v>141.29243209317707</v>
      </c>
      <c r="S263" s="622">
        <f t="shared" ca="1" si="53"/>
        <v>1438.6138540396207</v>
      </c>
      <c r="T263" s="622">
        <f t="shared" ca="1" si="54"/>
        <v>4.025067106290839</v>
      </c>
      <c r="U263">
        <f t="shared" ca="1" si="55"/>
        <v>80.50134212581678</v>
      </c>
      <c r="V263" s="622">
        <f t="shared" ca="1" si="56"/>
        <v>0.0</v>
      </c>
      <c r="W263" s="622">
        <f t="shared" ca="1" si="57"/>
        <v>1743.9388127584086</v>
      </c>
    </row>
    <row r="264" spans="11:23" x14ac:dyDescent="0.25">
      <c r="K264" s="622">
        <f>$L$199+60*$L$201</f>
        <v>53.9</v>
      </c>
      <c r="L264" s="622">
        <f>IF(($L$14*K264)&lt;=(Geometria!$W$48-Geometria!$W$47),(2*ABS(Geometria!$V$48))*($L$14*K264),IF(($L$14*K264)&lt;=(Geometria!$W$48-Geometria!$W$44),(2*ABS(Geometria!$V$48))*(Geometria!$W$48-Geometria!$W$47)+(2*ABS(Geometria!$V$45))*(($L$14*K264)-(Geometria!$W$48-Geometria!$W$47)),IF(($L$14*K264)&lt;=(Geometria!$W$48-Geometria!$W$42),(2*ABS(Geometria!$V$48))*(Geometria!$W$48-Geometria!$W$47)+(2*ABS(Geometria!$V$45))*((Geometria!$W$48-Geometria!$W$44)-(Geometria!$W$48-Geometria!$W$47))+(2*ABS(Geometria!$V$42))*(($L$14*K264)-(Geometria!$W$48-Geometria!$W$44)),IF(($L$14*K264)&lt;=(Geometria!$W$48-Geometria!$W$41),(2*ABS(Geometria!$V$48))*(Geometria!$W$48-Geometria!$W$47)+(2*ABS(Geometria!$V$45))*((Geometria!$W$48-Geometria!$W$44)-(Geometria!$W$48-Geometria!$W$47))+(2*ABS(Geometria!$V$42))*((Geometria!$W$48-Geometria!$W$42)-(Geometria!$W$48-Geometria!$W$44))+((2*ABS(Geometria!$V$42))+((2*ABS(Geometria!$V$42))+((2*ABS(Geometria!$V$41))-(2*ABS(Geometria!$V$42)))*(($L$14*K264)-(Geometria!$W$48-Geometria!$W$42))/((Geometria!$W$48-Geometria!$W$41)-(Geometria!$W$48-Geometria!$W$42))))/2*(($L$14*K264)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264)-(Geometria!$W$48-Geometria!$W$41))))))*$L$18+$L$198*IF(($L$14*K264)&lt;=(Geometria!$W$48-Geometria!$W$47),2*ABS(Geometria!$V$48)*($L$14*K264),2*ABS(Geometria!$V$48)*(Geometria!$W$48-Geometria!$W$47)+2*ABS(Geometria!$V$45)*(MIN(($L$14*K264),(Geometria!$W$48-Geometria!$W$44))-(Geometria!$W$48-Geometria!$W$47)))</f>
        <v>4178.31425726678</v>
      </c>
      <c r="M264" s="622">
        <f t="shared" si="47"/>
        <v>1.3051948051948055</v>
      </c>
      <c r="N264" s="622">
        <f t="shared" ca="1" si="48"/>
        <v>165.24392727272735</v>
      </c>
      <c r="O264" s="622">
        <f t="shared" si="49"/>
        <v>2.097402597402598</v>
      </c>
      <c r="P264" s="622">
        <f t="shared" ca="1" si="50"/>
        <v>1062.1649454545457</v>
      </c>
      <c r="Q264" s="622">
        <f t="shared" ca="1" si="51"/>
        <v>6.978767306155998</v>
      </c>
      <c r="R264">
        <f t="shared" ca="1" si="52"/>
        <v>139.57534612311994</v>
      </c>
      <c r="S264" s="622">
        <f t="shared" ca="1" si="53"/>
        <v>1421.1307968899482</v>
      </c>
      <c r="T264" s="622">
        <f t="shared" ca="1" si="54"/>
        <v>3.992360706861181</v>
      </c>
      <c r="U264">
        <f t="shared" ca="1" si="55"/>
        <v>79.84721413722362</v>
      </c>
      <c r="V264" s="622">
        <f t="shared" ca="1" si="56"/>
        <v>0.0</v>
      </c>
      <c r="W264" s="622">
        <f t="shared" ca="1" si="57"/>
        <v>1860.2624421950131</v>
      </c>
    </row>
    <row r="265" spans="11:23" x14ac:dyDescent="0.25">
      <c r="K265" s="622">
        <f>$L$199+61*$L$201</f>
        <v>54.79</v>
      </c>
      <c r="L265" s="622">
        <f>IF(($L$14*K265)&lt;=(Geometria!$W$48-Geometria!$W$47),(2*ABS(Geometria!$V$48))*($L$14*K265),IF(($L$14*K265)&lt;=(Geometria!$W$48-Geometria!$W$44),(2*ABS(Geometria!$V$48))*(Geometria!$W$48-Geometria!$W$47)+(2*ABS(Geometria!$V$45))*(($L$14*K265)-(Geometria!$W$48-Geometria!$W$47)),IF(($L$14*K265)&lt;=(Geometria!$W$48-Geometria!$W$42),(2*ABS(Geometria!$V$48))*(Geometria!$W$48-Geometria!$W$47)+(2*ABS(Geometria!$V$45))*((Geometria!$W$48-Geometria!$W$44)-(Geometria!$W$48-Geometria!$W$47))+(2*ABS(Geometria!$V$42))*(($L$14*K265)-(Geometria!$W$48-Geometria!$W$44)),IF(($L$14*K265)&lt;=(Geometria!$W$48-Geometria!$W$41),(2*ABS(Geometria!$V$48))*(Geometria!$W$48-Geometria!$W$47)+(2*ABS(Geometria!$V$45))*((Geometria!$W$48-Geometria!$W$44)-(Geometria!$W$48-Geometria!$W$47))+(2*ABS(Geometria!$V$42))*((Geometria!$W$48-Geometria!$W$42)-(Geometria!$W$48-Geometria!$W$44))+((2*ABS(Geometria!$V$42))+((2*ABS(Geometria!$V$42))+((2*ABS(Geometria!$V$41))-(2*ABS(Geometria!$V$42)))*(($L$14*K265)-(Geometria!$W$48-Geometria!$W$42))/((Geometria!$W$48-Geometria!$W$41)-(Geometria!$W$48-Geometria!$W$42))))/2*(($L$14*K265)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265)-(Geometria!$W$48-Geometria!$W$41))))))*$L$18+$L$198*IF(($L$14*K265)&lt;=(Geometria!$W$48-Geometria!$W$47),2*ABS(Geometria!$V$48)*($L$14*K265),2*ABS(Geometria!$V$48)*(Geometria!$W$48-Geometria!$W$47)+2*ABS(Geometria!$V$45)*(MIN(($L$14*K265),(Geometria!$W$48-Geometria!$W$44))-(Geometria!$W$48-Geometria!$W$47)))</f>
        <v>4238.509033597547</v>
      </c>
      <c r="M265" s="622">
        <f t="shared" si="47"/>
        <v>1.3408468698667642</v>
      </c>
      <c r="N265" s="622">
        <f t="shared" ca="1" si="48"/>
        <v>169.75764979010773</v>
      </c>
      <c r="O265" s="622">
        <f t="shared" si="49"/>
        <v>2.006479284540975</v>
      </c>
      <c r="P265" s="622">
        <f t="shared" ca="1" si="50"/>
        <v>1016.1196340938129</v>
      </c>
      <c r="Q265" s="622">
        <f t="shared" ca="1" si="51"/>
        <v>6.895702214649585</v>
      </c>
      <c r="R265">
        <f t="shared" ca="1" si="52"/>
        <v>137.91404429299172</v>
      </c>
      <c r="S265" s="622">
        <f t="shared" ca="1" si="53"/>
        <v>1404.215723710461</v>
      </c>
      <c r="T265" s="622">
        <f t="shared" ca="1" si="54"/>
        <v>3.960716862477785</v>
      </c>
      <c r="U265">
        <f t="shared" ca="1" si="55"/>
        <v>79.2143372495557</v>
      </c>
      <c r="V265" s="622">
        <f t="shared" ca="1" si="56"/>
        <v>0.0</v>
      </c>
      <c r="W265" s="622">
        <f t="shared" ca="1" si="57"/>
        <v>1987.9313255833815</v>
      </c>
    </row>
    <row r="266" spans="11:23" x14ac:dyDescent="0.25">
      <c r="K266" s="622">
        <f>$L$199+62*$L$201</f>
        <v>55.68</v>
      </c>
      <c r="L266" s="622">
        <f>IF(($L$14*K266)&lt;=(Geometria!$W$48-Geometria!$W$47),(2*ABS(Geometria!$V$48))*($L$14*K266),IF(($L$14*K266)&lt;=(Geometria!$W$48-Geometria!$W$44),(2*ABS(Geometria!$V$48))*(Geometria!$W$48-Geometria!$W$47)+(2*ABS(Geometria!$V$45))*(($L$14*K266)-(Geometria!$W$48-Geometria!$W$47)),IF(($L$14*K266)&lt;=(Geometria!$W$48-Geometria!$W$42),(2*ABS(Geometria!$V$48))*(Geometria!$W$48-Geometria!$W$47)+(2*ABS(Geometria!$V$45))*((Geometria!$W$48-Geometria!$W$44)-(Geometria!$W$48-Geometria!$W$47))+(2*ABS(Geometria!$V$42))*(($L$14*K266)-(Geometria!$W$48-Geometria!$W$44)),IF(($L$14*K266)&lt;=(Geometria!$W$48-Geometria!$W$41),(2*ABS(Geometria!$V$48))*(Geometria!$W$48-Geometria!$W$47)+(2*ABS(Geometria!$V$45))*((Geometria!$W$48-Geometria!$W$44)-(Geometria!$W$48-Geometria!$W$47))+(2*ABS(Geometria!$V$42))*((Geometria!$W$48-Geometria!$W$42)-(Geometria!$W$48-Geometria!$W$44))+((2*ABS(Geometria!$V$42))+((2*ABS(Geometria!$V$42))+((2*ABS(Geometria!$V$41))-(2*ABS(Geometria!$V$42)))*(($L$14*K266)-(Geometria!$W$48-Geometria!$W$42))/((Geometria!$W$48-Geometria!$W$41)-(Geometria!$W$48-Geometria!$W$42))))/2*(($L$14*K266)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266)-(Geometria!$W$48-Geometria!$W$41))))))*$L$18+$L$198*IF(($L$14*K266)&lt;=(Geometria!$W$48-Geometria!$W$47),2*ABS(Geometria!$V$48)*($L$14*K266),2*ABS(Geometria!$V$48)*(Geometria!$W$48-Geometria!$W$47)+2*ABS(Geometria!$V$45)*(MIN(($L$14*K266),(Geometria!$W$48-Geometria!$W$44))-(Geometria!$W$48-Geometria!$W$47)))</f>
        <v>4298.7038099283145</v>
      </c>
      <c r="M266" s="622">
        <f t="shared" si="47"/>
        <v>1.375359195402299</v>
      </c>
      <c r="N266" s="622">
        <f t="shared" ca="1" si="48"/>
        <v>174.127075862069</v>
      </c>
      <c r="O266" s="622">
        <f t="shared" si="49"/>
        <v>1.918462643678161</v>
      </c>
      <c r="P266" s="622">
        <f t="shared" ca="1" si="50"/>
        <v>971.5463172413795</v>
      </c>
      <c r="Q266" s="622">
        <f t="shared" ca="1" si="51"/>
        <v>6.815292580450669</v>
      </c>
      <c r="R266">
        <f t="shared" ca="1" si="52"/>
        <v>136.3058516090134</v>
      </c>
      <c r="S266" s="622">
        <f t="shared" ca="1" si="53"/>
        <v>1387.8413982008633</v>
      </c>
      <c r="T266" s="622">
        <f t="shared" ca="1" si="54"/>
        <v>3.9300846208781977</v>
      </c>
      <c r="U266">
        <f t="shared" ca="1" si="55"/>
        <v>78.60169241756395</v>
      </c>
      <c r="V266" s="622">
        <f t="shared" ca="1" si="56"/>
        <v>0.0</v>
      </c>
      <c r="W266" s="622">
        <f t="shared" ca="1" si="57"/>
        <v>2113.4431703481414</v>
      </c>
    </row>
    <row r="267" spans="11:23" x14ac:dyDescent="0.25">
      <c r="K267" s="622">
        <f>$L$199+63*$L$201</f>
        <v>56.57</v>
      </c>
      <c r="L267" s="622">
        <f>IF(($L$14*K267)&lt;=(Geometria!$W$48-Geometria!$W$47),(2*ABS(Geometria!$V$48))*($L$14*K267),IF(($L$14*K267)&lt;=(Geometria!$W$48-Geometria!$W$44),(2*ABS(Geometria!$V$48))*(Geometria!$W$48-Geometria!$W$47)+(2*ABS(Geometria!$V$45))*(($L$14*K267)-(Geometria!$W$48-Geometria!$W$47)),IF(($L$14*K267)&lt;=(Geometria!$W$48-Geometria!$W$42),(2*ABS(Geometria!$V$48))*(Geometria!$W$48-Geometria!$W$47)+(2*ABS(Geometria!$V$45))*((Geometria!$W$48-Geometria!$W$44)-(Geometria!$W$48-Geometria!$W$47))+(2*ABS(Geometria!$V$42))*(($L$14*K267)-(Geometria!$W$48-Geometria!$W$44)),IF(($L$14*K267)&lt;=(Geometria!$W$48-Geometria!$W$41),(2*ABS(Geometria!$V$48))*(Geometria!$W$48-Geometria!$W$47)+(2*ABS(Geometria!$V$45))*((Geometria!$W$48-Geometria!$W$44)-(Geometria!$W$48-Geometria!$W$47))+(2*ABS(Geometria!$V$42))*((Geometria!$W$48-Geometria!$W$42)-(Geometria!$W$48-Geometria!$W$44))+((2*ABS(Geometria!$V$42))+((2*ABS(Geometria!$V$42))+((2*ABS(Geometria!$V$41))-(2*ABS(Geometria!$V$42)))*(($L$14*K267)-(Geometria!$W$48-Geometria!$W$42))/((Geometria!$W$48-Geometria!$W$41)-(Geometria!$W$48-Geometria!$W$42))))/2*(($L$14*K267)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267)-(Geometria!$W$48-Geometria!$W$41))))))*$L$18+$L$198*IF(($L$14*K267)&lt;=(Geometria!$W$48-Geometria!$W$47),2*ABS(Geometria!$V$48)*($L$14*K267),2*ABS(Geometria!$V$48)*(Geometria!$W$48-Geometria!$W$47)+2*ABS(Geometria!$V$45)*(MIN(($L$14*K267),(Geometria!$W$48-Geometria!$W$44))-(Geometria!$W$48-Geometria!$W$47)))</f>
        <v>4358.898586259082</v>
      </c>
      <c r="M267" s="622">
        <f t="shared" si="47"/>
        <v>1.408785575393318</v>
      </c>
      <c r="N267" s="622">
        <f t="shared" ca="1" si="48"/>
        <v>178.35901601555594</v>
      </c>
      <c r="O267" s="622">
        <f t="shared" si="49"/>
        <v>1.8332154852395264</v>
      </c>
      <c r="P267" s="622">
        <f t="shared" ca="1" si="50"/>
        <v>928.3755194626128</v>
      </c>
      <c r="Q267" s="622">
        <f t="shared" ca="1" si="51"/>
        <v>6.737413070856208</v>
      </c>
      <c r="R267">
        <f t="shared" ca="1" si="52"/>
        <v>134.74826141712418</v>
      </c>
      <c r="S267" s="622">
        <f t="shared" ca="1" si="53"/>
        <v>1371.982298065264</v>
      </c>
      <c r="T267" s="622">
        <f t="shared" ca="1" si="54"/>
        <v>3.900416236270784</v>
      </c>
      <c r="U267">
        <f t="shared" ca="1" si="55"/>
        <v>78.00832472541569</v>
      </c>
      <c r="V267" s="622">
        <f t="shared" ca="1" si="56"/>
        <v>0.0</v>
      </c>
      <c r="W267" s="622">
        <f t="shared" ca="1" si="57"/>
        <v>2236.899784746761</v>
      </c>
    </row>
    <row r="268" spans="11:23" x14ac:dyDescent="0.25">
      <c r="K268" s="622">
        <f>$L$199+64*$L$201</f>
        <v>57.46</v>
      </c>
      <c r="L268" s="622">
        <f>IF(($L$14*K268)&lt;=(Geometria!$W$48-Geometria!$W$47),(2*ABS(Geometria!$V$48))*($L$14*K268),IF(($L$14*K268)&lt;=(Geometria!$W$48-Geometria!$W$44),(2*ABS(Geometria!$V$48))*(Geometria!$W$48-Geometria!$W$47)+(2*ABS(Geometria!$V$45))*(($L$14*K268)-(Geometria!$W$48-Geometria!$W$47)),IF(($L$14*K268)&lt;=(Geometria!$W$48-Geometria!$W$42),(2*ABS(Geometria!$V$48))*(Geometria!$W$48-Geometria!$W$47)+(2*ABS(Geometria!$V$45))*((Geometria!$W$48-Geometria!$W$44)-(Geometria!$W$48-Geometria!$W$47))+(2*ABS(Geometria!$V$42))*(($L$14*K268)-(Geometria!$W$48-Geometria!$W$44)),IF(($L$14*K268)&lt;=(Geometria!$W$48-Geometria!$W$41),(2*ABS(Geometria!$V$48))*(Geometria!$W$48-Geometria!$W$47)+(2*ABS(Geometria!$V$45))*((Geometria!$W$48-Geometria!$W$44)-(Geometria!$W$48-Geometria!$W$47))+(2*ABS(Geometria!$V$42))*((Geometria!$W$48-Geometria!$W$42)-(Geometria!$W$48-Geometria!$W$44))+((2*ABS(Geometria!$V$42))+((2*ABS(Geometria!$V$42))+((2*ABS(Geometria!$V$41))-(2*ABS(Geometria!$V$42)))*(($L$14*K268)-(Geometria!$W$48-Geometria!$W$42))/((Geometria!$W$48-Geometria!$W$41)-(Geometria!$W$48-Geometria!$W$42))))/2*(($L$14*K268)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268)-(Geometria!$W$48-Geometria!$W$41))))))*$L$18+$L$198*IF(($L$14*K268)&lt;=(Geometria!$W$48-Geometria!$W$47),2*ABS(Geometria!$V$48)*($L$14*K268),2*ABS(Geometria!$V$48)*(Geometria!$W$48-Geometria!$W$47)+2*ABS(Geometria!$V$45)*(MIN(($L$14*K268),(Geometria!$W$48-Geometria!$W$44))-(Geometria!$W$48-Geometria!$W$47)))</f>
        <v>4419.093362589849</v>
      </c>
      <c r="M268" s="622">
        <f t="shared" ref="M268:M304" si="58">$L$13*(K268-$L$194)/K268</f>
        <v>1.4411764705882355</v>
      </c>
      <c r="N268" s="622">
        <f t="shared" ref="N268:N299" ca="1" si="59">$L$25*(SIGN(M268)*MIN(ABS(M268)*$L$10/1000,$L$11))/10</f>
        <v>182.45985882352946</v>
      </c>
      <c r="O268" s="622">
        <f t="shared" ref="O268:O304" si="60">$L$13*($L$195-K268)/K268</f>
        <v>1.7506091193874</v>
      </c>
      <c r="P268" s="622">
        <f t="shared" ref="P268:P299" ca="1" si="61">$L$30*(SIGN(O268)*MIN(ABS(O268)*$L$10/1000,$L$11))/10</f>
        <v>886.5420697528718</v>
      </c>
      <c r="Q268" s="622">
        <f t="shared" ref="Q268:Q304" ca="1" si="62">$L$36+$L$13*($L$196-K268)/K268</f>
        <v>6.661946118294086</v>
      </c>
      <c r="R268">
        <f t="shared" ref="R268:R299" ca="1" si="63">SIGN(Q268)*IF(ABS(Q268)&lt;=$Z$12,$Z$9*ABS(Q268)/1000,IF(ABS(Q268)&lt;=$Z$13,$Z$10+($Z$11-$Z$10)*(ABS(Q268)-$Z$12)/($Z$13-$Z$12),$Z$11))/10</f>
        <v>133.2389223658817</v>
      </c>
      <c r="S268" s="622">
        <f t="shared" ref="S268:S299" ca="1" si="64">$L$34*(R268/$L$9)</f>
        <v>1356.6144822707954</v>
      </c>
      <c r="T268" s="622">
        <f t="shared" ref="T268:T304" ca="1" si="65">$L$41+$L$13*($L$197-K268)/K268</f>
        <v>3.8716669210090235</v>
      </c>
      <c r="U268">
        <f t="shared" ref="U268:U299" ca="1" si="66">SIGN(T268)*IF(ABS(T268)&lt;=$Z$12,$Z$9*ABS(T268)/1000,IF(ABS(T268)&lt;=$Z$13,$Z$10+($Z$11-$Z$10)*(ABS(T268)-$Z$12)/($Z$13-$Z$12),$Z$11))/10</f>
        <v>77.43333842018048</v>
      </c>
      <c r="V268" s="622">
        <f t="shared" ref="V268:V299" ca="1" si="67">$L$39*(U268/$L$9)</f>
        <v>0.0</v>
      </c>
      <c r="W268" s="622">
        <f t="shared" ref="W268:W299" ca="1" si="68">L268+N268-P268-S268-V268</f>
        <v>2358.396669389711</v>
      </c>
    </row>
    <row r="269" spans="11:23" x14ac:dyDescent="0.25">
      <c r="K269" s="622">
        <f>$L$199+65*$L$201</f>
        <v>58.35</v>
      </c>
      <c r="L269" s="622">
        <f>IF(($L$14*K269)&lt;=(Geometria!$W$48-Geometria!$W$47),(2*ABS(Geometria!$V$48))*($L$14*K269),IF(($L$14*K269)&lt;=(Geometria!$W$48-Geometria!$W$44),(2*ABS(Geometria!$V$48))*(Geometria!$W$48-Geometria!$W$47)+(2*ABS(Geometria!$V$45))*(($L$14*K269)-(Geometria!$W$48-Geometria!$W$47)),IF(($L$14*K269)&lt;=(Geometria!$W$48-Geometria!$W$42),(2*ABS(Geometria!$V$48))*(Geometria!$W$48-Geometria!$W$47)+(2*ABS(Geometria!$V$45))*((Geometria!$W$48-Geometria!$W$44)-(Geometria!$W$48-Geometria!$W$47))+(2*ABS(Geometria!$V$42))*(($L$14*K269)-(Geometria!$W$48-Geometria!$W$44)),IF(($L$14*K269)&lt;=(Geometria!$W$48-Geometria!$W$41),(2*ABS(Geometria!$V$48))*(Geometria!$W$48-Geometria!$W$47)+(2*ABS(Geometria!$V$45))*((Geometria!$W$48-Geometria!$W$44)-(Geometria!$W$48-Geometria!$W$47))+(2*ABS(Geometria!$V$42))*((Geometria!$W$48-Geometria!$W$42)-(Geometria!$W$48-Geometria!$W$44))+((2*ABS(Geometria!$V$42))+((2*ABS(Geometria!$V$42))+((2*ABS(Geometria!$V$41))-(2*ABS(Geometria!$V$42)))*(($L$14*K269)-(Geometria!$W$48-Geometria!$W$42))/((Geometria!$W$48-Geometria!$W$41)-(Geometria!$W$48-Geometria!$W$42))))/2*(($L$14*K269)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269)-(Geometria!$W$48-Geometria!$W$41))))))*$L$18+$L$198*IF(($L$14*K269)&lt;=(Geometria!$W$48-Geometria!$W$47),2*ABS(Geometria!$V$48)*($L$14*K269),2*ABS(Geometria!$V$48)*(Geometria!$W$48-Geometria!$W$47)+2*ABS(Geometria!$V$45)*(MIN(($L$14*K269),(Geometria!$W$48-Geometria!$W$44))-(Geometria!$W$48-Geometria!$W$47)))</f>
        <v>4479.288138920616</v>
      </c>
      <c r="M269" s="622">
        <f t="shared" si="58"/>
        <v>1.472579263067695</v>
      </c>
      <c r="N269" s="622">
        <f t="shared" ca="1" si="59"/>
        <v>186.43560308483296</v>
      </c>
      <c r="O269" s="622">
        <f t="shared" si="60"/>
        <v>1.6705227077977722</v>
      </c>
      <c r="P269" s="622">
        <f t="shared" ca="1" si="61"/>
        <v>845.9847732647817</v>
      </c>
      <c r="Q269" s="622">
        <f t="shared" ca="1" si="62"/>
        <v>6.588781328123748</v>
      </c>
      <c r="R269">
        <f t="shared" ca="1" si="63"/>
        <v>131.77562656247494</v>
      </c>
      <c r="S269" s="622">
        <f t="shared" ca="1" si="64"/>
        <v>1341.7154704542902</v>
      </c>
      <c r="T269" s="622">
        <f t="shared" ca="1" si="65"/>
        <v>3.843794619991751</v>
      </c>
      <c r="U269">
        <f t="shared" ca="1" si="66"/>
        <v>76.87589239983502</v>
      </c>
      <c r="V269" s="622">
        <f t="shared" ca="1" si="67"/>
        <v>0.0</v>
      </c>
      <c r="W269" s="622">
        <f t="shared" ca="1" si="68"/>
        <v>2478.0234982863767</v>
      </c>
    </row>
    <row r="270" spans="11:23" x14ac:dyDescent="0.25">
      <c r="K270" s="622">
        <f>$L$199+66*$L$201</f>
        <v>59.24</v>
      </c>
      <c r="L270" s="622">
        <f>IF(($L$14*K270)&lt;=(Geometria!$W$48-Geometria!$W$47),(2*ABS(Geometria!$V$48))*($L$14*K270),IF(($L$14*K270)&lt;=(Geometria!$W$48-Geometria!$W$44),(2*ABS(Geometria!$V$48))*(Geometria!$W$48-Geometria!$W$47)+(2*ABS(Geometria!$V$45))*(($L$14*K270)-(Geometria!$W$48-Geometria!$W$47)),IF(($L$14*K270)&lt;=(Geometria!$W$48-Geometria!$W$42),(2*ABS(Geometria!$V$48))*(Geometria!$W$48-Geometria!$W$47)+(2*ABS(Geometria!$V$45))*((Geometria!$W$48-Geometria!$W$44)-(Geometria!$W$48-Geometria!$W$47))+(2*ABS(Geometria!$V$42))*(($L$14*K270)-(Geometria!$W$48-Geometria!$W$44)),IF(($L$14*K270)&lt;=(Geometria!$W$48-Geometria!$W$41),(2*ABS(Geometria!$V$48))*(Geometria!$W$48-Geometria!$W$47)+(2*ABS(Geometria!$V$45))*((Geometria!$W$48-Geometria!$W$44)-(Geometria!$W$48-Geometria!$W$47))+(2*ABS(Geometria!$V$42))*((Geometria!$W$48-Geometria!$W$42)-(Geometria!$W$48-Geometria!$W$44))+((2*ABS(Geometria!$V$42))+((2*ABS(Geometria!$V$42))+((2*ABS(Geometria!$V$41))-(2*ABS(Geometria!$V$42)))*(($L$14*K270)-(Geometria!$W$48-Geometria!$W$42))/((Geometria!$W$48-Geometria!$W$41)-(Geometria!$W$48-Geometria!$W$42))))/2*(($L$14*K270)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270)-(Geometria!$W$48-Geometria!$W$41))))))*$L$18+$L$198*IF(($L$14*K270)&lt;=(Geometria!$W$48-Geometria!$W$47),2*ABS(Geometria!$V$48)*($L$14*K270),2*ABS(Geometria!$V$48)*(Geometria!$W$48-Geometria!$W$47)+2*ABS(Geometria!$V$45)*(MIN(($L$14*K270),(Geometria!$W$48-Geometria!$W$44))-(Geometria!$W$48-Geometria!$W$47)))</f>
        <v>4539.482915251381</v>
      </c>
      <c r="M270" s="622">
        <f t="shared" si="58"/>
        <v>1.5030384875084406</v>
      </c>
      <c r="N270" s="622">
        <f t="shared" ca="1" si="59"/>
        <v>190.29188710330865</v>
      </c>
      <c r="O270" s="622">
        <f t="shared" si="60"/>
        <v>1.5928426738690074</v>
      </c>
      <c r="P270" s="622">
        <f t="shared" ca="1" si="61"/>
        <v>806.6461126266038</v>
      </c>
      <c r="Q270" s="622">
        <f t="shared" ca="1" si="62"/>
        <v>6.517814939818757</v>
      </c>
      <c r="R270">
        <f t="shared" ca="1" si="63"/>
        <v>130.35629879637514</v>
      </c>
      <c r="S270" s="622">
        <f t="shared" ca="1" si="64"/>
        <v>1327.2641331994557</v>
      </c>
      <c r="T270" s="622">
        <f t="shared" ca="1" si="65"/>
        <v>3.816759805399374</v>
      </c>
      <c r="U270">
        <f t="shared" ca="1" si="66"/>
        <v>76.33519610798747</v>
      </c>
      <c r="V270" s="622">
        <f t="shared" ca="1" si="67"/>
        <v>0.0</v>
      </c>
      <c r="W270" s="622">
        <f t="shared" ca="1" si="68"/>
        <v>2595.8645565286306</v>
      </c>
    </row>
    <row r="271" spans="11:23" x14ac:dyDescent="0.25">
      <c r="K271" s="622">
        <f>$L$199+67*$L$201</f>
        <v>60.13</v>
      </c>
      <c r="L271" s="622">
        <f>IF(($L$14*K271)&lt;=(Geometria!$W$48-Geometria!$W$47),(2*ABS(Geometria!$V$48))*($L$14*K271),IF(($L$14*K271)&lt;=(Geometria!$W$48-Geometria!$W$44),(2*ABS(Geometria!$V$48))*(Geometria!$W$48-Geometria!$W$47)+(2*ABS(Geometria!$V$45))*(($L$14*K271)-(Geometria!$W$48-Geometria!$W$47)),IF(($L$14*K271)&lt;=(Geometria!$W$48-Geometria!$W$42),(2*ABS(Geometria!$V$48))*(Geometria!$W$48-Geometria!$W$47)+(2*ABS(Geometria!$V$45))*((Geometria!$W$48-Geometria!$W$44)-(Geometria!$W$48-Geometria!$W$47))+(2*ABS(Geometria!$V$42))*(($L$14*K271)-(Geometria!$W$48-Geometria!$W$44)),IF(($L$14*K271)&lt;=(Geometria!$W$48-Geometria!$W$41),(2*ABS(Geometria!$V$48))*(Geometria!$W$48-Geometria!$W$47)+(2*ABS(Geometria!$V$45))*((Geometria!$W$48-Geometria!$W$44)-(Geometria!$W$48-Geometria!$W$47))+(2*ABS(Geometria!$V$42))*((Geometria!$W$48-Geometria!$W$42)-(Geometria!$W$48-Geometria!$W$44))+((2*ABS(Geometria!$V$42))+((2*ABS(Geometria!$V$42))+((2*ABS(Geometria!$V$41))-(2*ABS(Geometria!$V$42)))*(($L$14*K271)-(Geometria!$W$48-Geometria!$W$42))/((Geometria!$W$48-Geometria!$W$41)-(Geometria!$W$48-Geometria!$W$42))))/2*(($L$14*K271)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271)-(Geometria!$W$48-Geometria!$W$41))))))*$L$18+$L$198*IF(($L$14*K271)&lt;=(Geometria!$W$48-Geometria!$W$47),2*ABS(Geometria!$V$48)*($L$14*K271),2*ABS(Geometria!$V$48)*(Geometria!$W$48-Geometria!$W$47)+2*ABS(Geometria!$V$45)*(MIN(($L$14*K271),(Geometria!$W$48-Geometria!$W$44))-(Geometria!$W$48-Geometria!$W$47)))</f>
        <v>4599.677691582148</v>
      </c>
      <c r="M271" s="622">
        <f t="shared" si="58"/>
        <v>1.5325960419091968</v>
      </c>
      <c r="N271" s="622">
        <f t="shared" ca="1" si="59"/>
        <v>194.03401536670555</v>
      </c>
      <c r="O271" s="622">
        <f t="shared" si="60"/>
        <v>1.5174621653084983</v>
      </c>
      <c r="P271" s="622">
        <f t="shared" ca="1" si="61"/>
        <v>768.4719757857977</v>
      </c>
      <c r="Q271" s="622">
        <f t="shared" ca="1" si="62"/>
        <v>6.448949336000426</v>
      </c>
      <c r="R271">
        <f t="shared" ca="1" si="63"/>
        <v>128.97898672000852</v>
      </c>
      <c r="S271" s="622">
        <f t="shared" ca="1" si="64"/>
        <v>1313.2405920582685</v>
      </c>
      <c r="T271" s="622">
        <f t="shared" ca="1" si="65"/>
        <v>3.7905252896590573</v>
      </c>
      <c r="U271">
        <f t="shared" ca="1" si="66"/>
        <v>75.81050579318114</v>
      </c>
      <c r="V271" s="622">
        <f t="shared" ca="1" si="67"/>
        <v>0.0</v>
      </c>
      <c r="W271" s="622">
        <f t="shared" ca="1" si="68"/>
        <v>2711.999139104788</v>
      </c>
    </row>
    <row r="272" spans="11:23" x14ac:dyDescent="0.25">
      <c r="K272" s="622">
        <f>$L$199+68*$L$201</f>
        <v>61.02</v>
      </c>
      <c r="L272" s="622">
        <f>IF(($L$14*K272)&lt;=(Geometria!$W$48-Geometria!$W$47),(2*ABS(Geometria!$V$48))*($L$14*K272),IF(($L$14*K272)&lt;=(Geometria!$W$48-Geometria!$W$44),(2*ABS(Geometria!$V$48))*(Geometria!$W$48-Geometria!$W$47)+(2*ABS(Geometria!$V$45))*(($L$14*K272)-(Geometria!$W$48-Geometria!$W$47)),IF(($L$14*K272)&lt;=(Geometria!$W$48-Geometria!$W$42),(2*ABS(Geometria!$V$48))*(Geometria!$W$48-Geometria!$W$47)+(2*ABS(Geometria!$V$45))*((Geometria!$W$48-Geometria!$W$44)-(Geometria!$W$48-Geometria!$W$47))+(2*ABS(Geometria!$V$42))*(($L$14*K272)-(Geometria!$W$48-Geometria!$W$44)),IF(($L$14*K272)&lt;=(Geometria!$W$48-Geometria!$W$41),(2*ABS(Geometria!$V$48))*(Geometria!$W$48-Geometria!$W$47)+(2*ABS(Geometria!$V$45))*((Geometria!$W$48-Geometria!$W$44)-(Geometria!$W$48-Geometria!$W$47))+(2*ABS(Geometria!$V$42))*((Geometria!$W$48-Geometria!$W$42)-(Geometria!$W$48-Geometria!$W$44))+((2*ABS(Geometria!$V$42))+((2*ABS(Geometria!$V$42))+((2*ABS(Geometria!$V$41))-(2*ABS(Geometria!$V$42)))*(($L$14*K272)-(Geometria!$W$48-Geometria!$W$42))/((Geometria!$W$48-Geometria!$W$41)-(Geometria!$W$48-Geometria!$W$42))))/2*(($L$14*K272)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272)-(Geometria!$W$48-Geometria!$W$41))))))*$L$18+$L$198*IF(($L$14*K272)&lt;=(Geometria!$W$48-Geometria!$W$47),2*ABS(Geometria!$V$48)*($L$14*K272),2*ABS(Geometria!$V$48)*(Geometria!$W$48-Geometria!$W$47)+2*ABS(Geometria!$V$45)*(MIN(($L$14*K272),(Geometria!$W$48-Geometria!$W$44))-(Geometria!$W$48-Geometria!$W$47)))</f>
        <v>4659.872467912915</v>
      </c>
      <c r="M272" s="622">
        <f t="shared" si="58"/>
        <v>1.561291379875451</v>
      </c>
      <c r="N272" s="622">
        <f t="shared" ca="1" si="59"/>
        <v>197.66698289085554</v>
      </c>
      <c r="O272" s="622">
        <f t="shared" si="60"/>
        <v>1.4442805637495901</v>
      </c>
      <c r="P272" s="622">
        <f t="shared" ca="1" si="61"/>
        <v>731.4114076696166</v>
      </c>
      <c r="Q272" s="622">
        <f t="shared" ca="1" si="62"/>
        <v>6.382092594437038</v>
      </c>
      <c r="R272">
        <f t="shared" ca="1" si="63"/>
        <v>127.64185188874076</v>
      </c>
      <c r="S272" s="622">
        <f t="shared" ca="1" si="64"/>
        <v>1299.626128321724</v>
      </c>
      <c r="T272" s="622">
        <f t="shared" ca="1" si="65"/>
        <v>3.765056054777767</v>
      </c>
      <c r="U272">
        <f t="shared" ca="1" si="66"/>
        <v>75.30112109555535</v>
      </c>
      <c r="V272" s="622">
        <f t="shared" ca="1" si="67"/>
        <v>0.0</v>
      </c>
      <c r="W272" s="622">
        <f t="shared" ca="1" si="68"/>
        <v>2826.5019148124297</v>
      </c>
    </row>
    <row r="273" spans="11:23" x14ac:dyDescent="0.25">
      <c r="K273" s="622">
        <f>$L$199+69*$L$201</f>
        <v>61.910000000000004</v>
      </c>
      <c r="L273" s="622">
        <f>IF(($L$14*K273)&lt;=(Geometria!$W$48-Geometria!$W$47),(2*ABS(Geometria!$V$48))*($L$14*K273),IF(($L$14*K273)&lt;=(Geometria!$W$48-Geometria!$W$44),(2*ABS(Geometria!$V$48))*(Geometria!$W$48-Geometria!$W$47)+(2*ABS(Geometria!$V$45))*(($L$14*K273)-(Geometria!$W$48-Geometria!$W$47)),IF(($L$14*K273)&lt;=(Geometria!$W$48-Geometria!$W$42),(2*ABS(Geometria!$V$48))*(Geometria!$W$48-Geometria!$W$47)+(2*ABS(Geometria!$V$45))*((Geometria!$W$48-Geometria!$W$44)-(Geometria!$W$48-Geometria!$W$47))+(2*ABS(Geometria!$V$42))*(($L$14*K273)-(Geometria!$W$48-Geometria!$W$44)),IF(($L$14*K273)&lt;=(Geometria!$W$48-Geometria!$W$41),(2*ABS(Geometria!$V$48))*(Geometria!$W$48-Geometria!$W$47)+(2*ABS(Geometria!$V$45))*((Geometria!$W$48-Geometria!$W$44)-(Geometria!$W$48-Geometria!$W$47))+(2*ABS(Geometria!$V$42))*((Geometria!$W$48-Geometria!$W$42)-(Geometria!$W$48-Geometria!$W$44))+((2*ABS(Geometria!$V$42))+((2*ABS(Geometria!$V$42))+((2*ABS(Geometria!$V$41))-(2*ABS(Geometria!$V$42)))*(($L$14*K273)-(Geometria!$W$48-Geometria!$W$42))/((Geometria!$W$48-Geometria!$W$41)-(Geometria!$W$48-Geometria!$W$42))))/2*(($L$14*K273)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273)-(Geometria!$W$48-Geometria!$W$41))))))*$L$18+$L$198*IF(($L$14*K273)&lt;=(Geometria!$W$48-Geometria!$W$47),2*ABS(Geometria!$V$48)*($L$14*K273),2*ABS(Geometria!$V$48)*(Geometria!$W$48-Geometria!$W$47)+2*ABS(Geometria!$V$45)*(MIN(($L$14*K273),(Geometria!$W$48-Geometria!$W$44))-(Geometria!$W$48-Geometria!$W$47)))</f>
        <v>4720.067244243683</v>
      </c>
      <c r="M273" s="622">
        <f t="shared" si="58"/>
        <v>1.5891616863188502</v>
      </c>
      <c r="N273" s="622">
        <f t="shared" ca="1" si="59"/>
        <v>201.1954974640608</v>
      </c>
      <c r="O273" s="622">
        <f t="shared" si="60"/>
        <v>1.373203036666128</v>
      </c>
      <c r="P273" s="622">
        <f t="shared" ca="1" si="61"/>
        <v>695.4163832660313</v>
      </c>
      <c r="Q273" s="622">
        <f t="shared" ca="1" si="62"/>
        <v>6.317158078685035</v>
      </c>
      <c r="R273">
        <f t="shared" ca="1" si="63"/>
        <v>126.3431615737007</v>
      </c>
      <c r="S273" s="622">
        <f t="shared" ca="1" si="64"/>
        <v>1286.403099659498</v>
      </c>
      <c r="T273" s="622">
        <f t="shared" ca="1" si="65"/>
        <v>3.7403190963960515</v>
      </c>
      <c r="U273">
        <f t="shared" ca="1" si="66"/>
        <v>74.80638192792102</v>
      </c>
      <c r="V273" s="622">
        <f t="shared" ca="1" si="67"/>
        <v>0.0</v>
      </c>
      <c r="W273" s="622">
        <f t="shared" ca="1" si="68"/>
        <v>2939.4432587822143</v>
      </c>
    </row>
    <row r="274" spans="11:23" x14ac:dyDescent="0.25">
      <c r="K274" s="622">
        <f>$L$199+70*$L$201</f>
        <v>62.800000000000004</v>
      </c>
      <c r="L274" s="622">
        <f>IF(($L$14*K274)&lt;=(Geometria!$W$48-Geometria!$W$47),(2*ABS(Geometria!$V$48))*($L$14*K274),IF(($L$14*K274)&lt;=(Geometria!$W$48-Geometria!$W$44),(2*ABS(Geometria!$V$48))*(Geometria!$W$48-Geometria!$W$47)+(2*ABS(Geometria!$V$45))*(($L$14*K274)-(Geometria!$W$48-Geometria!$W$47)),IF(($L$14*K274)&lt;=(Geometria!$W$48-Geometria!$W$42),(2*ABS(Geometria!$V$48))*(Geometria!$W$48-Geometria!$W$47)+(2*ABS(Geometria!$V$45))*((Geometria!$W$48-Geometria!$W$44)-(Geometria!$W$48-Geometria!$W$47))+(2*ABS(Geometria!$V$42))*(($L$14*K274)-(Geometria!$W$48-Geometria!$W$44)),IF(($L$14*K274)&lt;=(Geometria!$W$48-Geometria!$W$41),(2*ABS(Geometria!$V$48))*(Geometria!$W$48-Geometria!$W$47)+(2*ABS(Geometria!$V$45))*((Geometria!$W$48-Geometria!$W$44)-(Geometria!$W$48-Geometria!$W$47))+(2*ABS(Geometria!$V$42))*((Geometria!$W$48-Geometria!$W$42)-(Geometria!$W$48-Geometria!$W$44))+((2*ABS(Geometria!$V$42))+((2*ABS(Geometria!$V$42))+((2*ABS(Geometria!$V$41))-(2*ABS(Geometria!$V$42)))*(($L$14*K274)-(Geometria!$W$48-Geometria!$W$42))/((Geometria!$W$48-Geometria!$W$41)-(Geometria!$W$48-Geometria!$W$42))))/2*(($L$14*K274)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274)-(Geometria!$W$48-Geometria!$W$41))))))*$L$18+$L$198*IF(($L$14*K274)&lt;=(Geometria!$W$48-Geometria!$W$47),2*ABS(Geometria!$V$48)*($L$14*K274),2*ABS(Geometria!$V$48)*(Geometria!$W$48-Geometria!$W$47)+2*ABS(Geometria!$V$45)*(MIN(($L$14*K274),(Geometria!$W$48-Geometria!$W$44))-(Geometria!$W$48-Geometria!$W$47)))</f>
        <v>4780.26202057445</v>
      </c>
      <c r="M274" s="622">
        <f t="shared" si="58"/>
        <v>1.6162420382165608</v>
      </c>
      <c r="N274" s="622">
        <f t="shared" ca="1" si="59"/>
        <v>204.62400000000005</v>
      </c>
      <c r="O274" s="622">
        <f t="shared" si="60"/>
        <v>1.304140127388535</v>
      </c>
      <c r="P274" s="622">
        <f t="shared" ca="1" si="61"/>
        <v>660.4415999999999</v>
      </c>
      <c r="Q274" s="622">
        <f t="shared" ca="1" si="62"/>
        <v>6.254064063538743</v>
      </c>
      <c r="R274">
        <f t="shared" ca="1" si="63"/>
        <v>125.08128127077484</v>
      </c>
      <c r="S274" s="622">
        <f t="shared" ca="1" si="64"/>
        <v>1273.5548638478892</v>
      </c>
      <c r="T274" s="622">
        <f t="shared" ca="1" si="65"/>
        <v>3.7162832811022257</v>
      </c>
      <c r="U274">
        <f t="shared" ca="1" si="66"/>
        <v>74.32566562204451</v>
      </c>
      <c r="V274" s="622">
        <f t="shared" ca="1" si="67"/>
        <v>0.0</v>
      </c>
      <c r="W274" s="622">
        <f t="shared" ca="1" si="68"/>
        <v>3050.88955672656</v>
      </c>
    </row>
    <row r="275" spans="11:23" x14ac:dyDescent="0.25">
      <c r="K275" s="622">
        <f>$L$199+71*$L$201</f>
        <v>63.69</v>
      </c>
      <c r="L275" s="622">
        <f>IF(($L$14*K275)&lt;=(Geometria!$W$48-Geometria!$W$47),(2*ABS(Geometria!$V$48))*($L$14*K275),IF(($L$14*K275)&lt;=(Geometria!$W$48-Geometria!$W$44),(2*ABS(Geometria!$V$48))*(Geometria!$W$48-Geometria!$W$47)+(2*ABS(Geometria!$V$45))*(($L$14*K275)-(Geometria!$W$48-Geometria!$W$47)),IF(($L$14*K275)&lt;=(Geometria!$W$48-Geometria!$W$42),(2*ABS(Geometria!$V$48))*(Geometria!$W$48-Geometria!$W$47)+(2*ABS(Geometria!$V$45))*((Geometria!$W$48-Geometria!$W$44)-(Geometria!$W$48-Geometria!$W$47))+(2*ABS(Geometria!$V$42))*(($L$14*K275)-(Geometria!$W$48-Geometria!$W$44)),IF(($L$14*K275)&lt;=(Geometria!$W$48-Geometria!$W$41),(2*ABS(Geometria!$V$48))*(Geometria!$W$48-Geometria!$W$47)+(2*ABS(Geometria!$V$45))*((Geometria!$W$48-Geometria!$W$44)-(Geometria!$W$48-Geometria!$W$47))+(2*ABS(Geometria!$V$42))*((Geometria!$W$48-Geometria!$W$42)-(Geometria!$W$48-Geometria!$W$44))+((2*ABS(Geometria!$V$42))+((2*ABS(Geometria!$V$42))+((2*ABS(Geometria!$V$41))-(2*ABS(Geometria!$V$42)))*(($L$14*K275)-(Geometria!$W$48-Geometria!$W$42))/((Geometria!$W$48-Geometria!$W$41)-(Geometria!$W$48-Geometria!$W$42))))/2*(($L$14*K275)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275)-(Geometria!$W$48-Geometria!$W$41))))))*$L$18+$L$198*IF(($L$14*K275)&lt;=(Geometria!$W$48-Geometria!$W$47),2*ABS(Geometria!$V$48)*($L$14*K275),2*ABS(Geometria!$V$48)*(Geometria!$W$48-Geometria!$W$47)+2*ABS(Geometria!$V$45)*(MIN(($L$14*K275),(Geometria!$W$48-Geometria!$W$44))-(Geometria!$W$48-Geometria!$W$47)))</f>
        <v>4840.456796905215</v>
      </c>
      <c r="M275" s="622">
        <f t="shared" si="58"/>
        <v>1.642565551891977</v>
      </c>
      <c r="N275" s="622">
        <f t="shared" ca="1" si="59"/>
        <v>207.9566831841734</v>
      </c>
      <c r="O275" s="622">
        <f t="shared" si="60"/>
        <v>1.2370073794944265</v>
      </c>
      <c r="P275" s="622">
        <f t="shared" ca="1" si="61"/>
        <v>626.444287517664</v>
      </c>
      <c r="Q275" s="622">
        <f t="shared" ca="1" si="62"/>
        <v>6.192733391883742</v>
      </c>
      <c r="R275">
        <f t="shared" ca="1" si="63"/>
        <v>123.85466783767485</v>
      </c>
      <c r="S275" s="622">
        <f t="shared" ca="1" si="64"/>
        <v>1261.0657088926891</v>
      </c>
      <c r="T275" s="622">
        <f t="shared" ca="1" si="65"/>
        <v>3.6929192157098445</v>
      </c>
      <c r="U275">
        <f t="shared" ca="1" si="66"/>
        <v>73.8583843141969</v>
      </c>
      <c r="V275" s="622">
        <f t="shared" ca="1" si="67"/>
        <v>0.0</v>
      </c>
      <c r="W275" s="622">
        <f t="shared" ca="1" si="68"/>
        <v>3160.903483679035</v>
      </c>
    </row>
    <row r="276" spans="11:23" x14ac:dyDescent="0.25">
      <c r="K276" s="622">
        <f>$L$199+72*$L$201</f>
        <v>64.58</v>
      </c>
      <c r="L276" s="622">
        <f>IF(($L$14*K276)&lt;=(Geometria!$W$48-Geometria!$W$47),(2*ABS(Geometria!$V$48))*($L$14*K276),IF(($L$14*K276)&lt;=(Geometria!$W$48-Geometria!$W$44),(2*ABS(Geometria!$V$48))*(Geometria!$W$48-Geometria!$W$47)+(2*ABS(Geometria!$V$45))*(($L$14*K276)-(Geometria!$W$48-Geometria!$W$47)),IF(($L$14*K276)&lt;=(Geometria!$W$48-Geometria!$W$42),(2*ABS(Geometria!$V$48))*(Geometria!$W$48-Geometria!$W$47)+(2*ABS(Geometria!$V$45))*((Geometria!$W$48-Geometria!$W$44)-(Geometria!$W$48-Geometria!$W$47))+(2*ABS(Geometria!$V$42))*(($L$14*K276)-(Geometria!$W$48-Geometria!$W$44)),IF(($L$14*K276)&lt;=(Geometria!$W$48-Geometria!$W$41),(2*ABS(Geometria!$V$48))*(Geometria!$W$48-Geometria!$W$47)+(2*ABS(Geometria!$V$45))*((Geometria!$W$48-Geometria!$W$44)-(Geometria!$W$48-Geometria!$W$47))+(2*ABS(Geometria!$V$42))*((Geometria!$W$48-Geometria!$W$42)-(Geometria!$W$48-Geometria!$W$44))+((2*ABS(Geometria!$V$42))+((2*ABS(Geometria!$V$42))+((2*ABS(Geometria!$V$41))-(2*ABS(Geometria!$V$42)))*(($L$14*K276)-(Geometria!$W$48-Geometria!$W$42))/((Geometria!$W$48-Geometria!$W$41)-(Geometria!$W$48-Geometria!$W$42))))/2*(($L$14*K276)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276)-(Geometria!$W$48-Geometria!$W$41))))))*$L$18+$L$198*IF(($L$14*K276)&lt;=(Geometria!$W$48-Geometria!$W$47),2*ABS(Geometria!$V$48)*($L$14*K276),2*ABS(Geometria!$V$48)*(Geometria!$W$48-Geometria!$W$47)+2*ABS(Geometria!$V$45)*(MIN(($L$14*K276),(Geometria!$W$48-Geometria!$W$44))-(Geometria!$W$48-Geometria!$W$47)))</f>
        <v>4900.651573235982</v>
      </c>
      <c r="M276" s="622">
        <f t="shared" si="58"/>
        <v>1.6681635181170642</v>
      </c>
      <c r="N276" s="622">
        <f t="shared" ca="1" si="59"/>
        <v>211.19750857850732</v>
      </c>
      <c r="O276" s="622">
        <f t="shared" si="60"/>
        <v>1.1717249922576651</v>
      </c>
      <c r="P276" s="622">
        <f t="shared" ca="1" si="61"/>
        <v>593.384033199133</v>
      </c>
      <c r="Q276" s="622">
        <f t="shared" ca="1" si="62"/>
        <v>6.133093159924404</v>
      </c>
      <c r="R276">
        <f t="shared" ca="1" si="63"/>
        <v>122.66186319848809</v>
      </c>
      <c r="S276" s="622">
        <f t="shared" ca="1" si="64"/>
        <v>1248.9207889300606</v>
      </c>
      <c r="T276" s="622">
        <f t="shared" ca="1" si="65"/>
        <v>3.6701991273443824</v>
      </c>
      <c r="U276">
        <f t="shared" ca="1" si="66"/>
        <v>73.40398254688765</v>
      </c>
      <c r="V276" s="622">
        <f t="shared" ca="1" si="67"/>
        <v>0.0</v>
      </c>
      <c r="W276" s="622">
        <f t="shared" ca="1" si="68"/>
        <v>3269.5442596852954</v>
      </c>
    </row>
    <row r="277" spans="11:23" x14ac:dyDescent="0.25">
      <c r="K277" s="622">
        <f>$L$199+73*$L$201</f>
        <v>65.47</v>
      </c>
      <c r="L277" s="622">
        <f>IF(($L$14*K277)&lt;=(Geometria!$W$48-Geometria!$W$47),(2*ABS(Geometria!$V$48))*($L$14*K277),IF(($L$14*K277)&lt;=(Geometria!$W$48-Geometria!$W$44),(2*ABS(Geometria!$V$48))*(Geometria!$W$48-Geometria!$W$47)+(2*ABS(Geometria!$V$45))*(($L$14*K277)-(Geometria!$W$48-Geometria!$W$47)),IF(($L$14*K277)&lt;=(Geometria!$W$48-Geometria!$W$42),(2*ABS(Geometria!$V$48))*(Geometria!$W$48-Geometria!$W$47)+(2*ABS(Geometria!$V$45))*((Geometria!$W$48-Geometria!$W$44)-(Geometria!$W$48-Geometria!$W$47))+(2*ABS(Geometria!$V$42))*(($L$14*K277)-(Geometria!$W$48-Geometria!$W$44)),IF(($L$14*K277)&lt;=(Geometria!$W$48-Geometria!$W$41),(2*ABS(Geometria!$V$48))*(Geometria!$W$48-Geometria!$W$47)+(2*ABS(Geometria!$V$45))*((Geometria!$W$48-Geometria!$W$44)-(Geometria!$W$48-Geometria!$W$47))+(2*ABS(Geometria!$V$42))*((Geometria!$W$48-Geometria!$W$42)-(Geometria!$W$48-Geometria!$W$44))+((2*ABS(Geometria!$V$42))+((2*ABS(Geometria!$V$42))+((2*ABS(Geometria!$V$41))-(2*ABS(Geometria!$V$42)))*(($L$14*K277)-(Geometria!$W$48-Geometria!$W$42))/((Geometria!$W$48-Geometria!$W$41)-(Geometria!$W$48-Geometria!$W$42))))/2*(($L$14*K277)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277)-(Geometria!$W$48-Geometria!$W$41))))))*$L$18+$L$198*IF(($L$14*K277)&lt;=(Geometria!$W$48-Geometria!$W$47),2*ABS(Geometria!$V$48)*($L$14*K277),2*ABS(Geometria!$V$48)*(Geometria!$W$48-Geometria!$W$47)+2*ABS(Geometria!$V$45)*(MIN(($L$14*K277),(Geometria!$W$48-Geometria!$W$44))-(Geometria!$W$48-Geometria!$W$47)))</f>
        <v>4960.846349566749</v>
      </c>
      <c r="M277" s="622">
        <f t="shared" si="58"/>
        <v>1.693065526195204</v>
      </c>
      <c r="N277" s="622">
        <f t="shared" ca="1" si="59"/>
        <v>214.3502223308386</v>
      </c>
      <c r="O277" s="622">
        <f t="shared" si="60"/>
        <v>1.1082175042003972</v>
      </c>
      <c r="P277" s="622">
        <f t="shared" ca="1" si="61"/>
        <v>561.2226219031618</v>
      </c>
      <c r="Q277" s="622">
        <f t="shared" ca="1" si="62"/>
        <v>6.075074428085543</v>
      </c>
      <c r="R277">
        <f t="shared" ca="1" si="63"/>
        <v>121.50148856171086</v>
      </c>
      <c r="S277" s="622">
        <f t="shared" ca="1" si="64"/>
        <v>1237.1060653556012</v>
      </c>
      <c r="T277" s="622">
        <f t="shared" ca="1" si="65"/>
        <v>3.6480967533105306</v>
      </c>
      <c r="U277">
        <f t="shared" ca="1" si="66"/>
        <v>72.96193506621061</v>
      </c>
      <c r="V277" s="622">
        <f t="shared" ca="1" si="67"/>
        <v>0.0</v>
      </c>
      <c r="W277" s="622">
        <f t="shared" ca="1" si="68"/>
        <v>3376.8678846388248</v>
      </c>
    </row>
    <row r="278" spans="11:23" x14ac:dyDescent="0.25">
      <c r="K278" s="622">
        <f>$L$199+74*$L$201</f>
        <v>66.36</v>
      </c>
      <c r="L278" s="622">
        <f>IF(($L$14*K278)&lt;=(Geometria!$W$48-Geometria!$W$47),(2*ABS(Geometria!$V$48))*($L$14*K278),IF(($L$14*K278)&lt;=(Geometria!$W$48-Geometria!$W$44),(2*ABS(Geometria!$V$48))*(Geometria!$W$48-Geometria!$W$47)+(2*ABS(Geometria!$V$45))*(($L$14*K278)-(Geometria!$W$48-Geometria!$W$47)),IF(($L$14*K278)&lt;=(Geometria!$W$48-Geometria!$W$42),(2*ABS(Geometria!$V$48))*(Geometria!$W$48-Geometria!$W$47)+(2*ABS(Geometria!$V$45))*((Geometria!$W$48-Geometria!$W$44)-(Geometria!$W$48-Geometria!$W$47))+(2*ABS(Geometria!$V$42))*(($L$14*K278)-(Geometria!$W$48-Geometria!$W$44)),IF(($L$14*K278)&lt;=(Geometria!$W$48-Geometria!$W$41),(2*ABS(Geometria!$V$48))*(Geometria!$W$48-Geometria!$W$47)+(2*ABS(Geometria!$V$45))*((Geometria!$W$48-Geometria!$W$44)-(Geometria!$W$48-Geometria!$W$47))+(2*ABS(Geometria!$V$42))*((Geometria!$W$48-Geometria!$W$42)-(Geometria!$W$48-Geometria!$W$44))+((2*ABS(Geometria!$V$42))+((2*ABS(Geometria!$V$42))+((2*ABS(Geometria!$V$41))-(2*ABS(Geometria!$V$42)))*(($L$14*K278)-(Geometria!$W$48-Geometria!$W$42))/((Geometria!$W$48-Geometria!$W$41)-(Geometria!$W$48-Geometria!$W$42))))/2*(($L$14*K278)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278)-(Geometria!$W$48-Geometria!$W$41))))))*$L$18+$L$198*IF(($L$14*K278)&lt;=(Geometria!$W$48-Geometria!$W$47),2*ABS(Geometria!$V$48)*($L$14*K278),2*ABS(Geometria!$V$48)*(Geometria!$W$48-Geometria!$W$47)+2*ABS(Geometria!$V$45)*(MIN(($L$14*K278),(Geometria!$W$48-Geometria!$W$44))-(Geometria!$W$48-Geometria!$W$47)))</f>
        <v>5021.041125897516</v>
      </c>
      <c r="M278" s="622">
        <f t="shared" si="58"/>
        <v>1.7172995780590719</v>
      </c>
      <c r="N278" s="622">
        <f t="shared" ca="1" si="59"/>
        <v>217.41836962025323</v>
      </c>
      <c r="O278" s="622">
        <f t="shared" si="60"/>
        <v>1.0464135021097047</v>
      </c>
      <c r="P278" s="622">
        <f t="shared" ca="1" si="61"/>
        <v>529.923888607595</v>
      </c>
      <c r="Q278" s="622">
        <f t="shared" ca="1" si="62"/>
        <v>6.018611955177862</v>
      </c>
      <c r="R278">
        <f t="shared" ca="1" si="63"/>
        <v>120.37223910355723</v>
      </c>
      <c r="S278" s="622">
        <f t="shared" ca="1" si="64"/>
        <v>1225.6082526907644</v>
      </c>
      <c r="T278" s="622">
        <f t="shared" ca="1" si="65"/>
        <v>3.626587239821891</v>
      </c>
      <c r="U278">
        <f t="shared" ca="1" si="66"/>
        <v>72.53174479643782</v>
      </c>
      <c r="V278" s="622">
        <f t="shared" ca="1" si="67"/>
        <v>0.0</v>
      </c>
      <c r="W278" s="622">
        <f t="shared" ca="1" si="68"/>
        <v>3482.92735421941</v>
      </c>
    </row>
    <row r="279" spans="11:23" x14ac:dyDescent="0.25">
      <c r="K279" s="622">
        <f>$L$199+75*$L$201</f>
        <v>67.25</v>
      </c>
      <c r="L279" s="622">
        <f>IF(($L$14*K279)&lt;=(Geometria!$W$48-Geometria!$W$47),(2*ABS(Geometria!$V$48))*($L$14*K279),IF(($L$14*K279)&lt;=(Geometria!$W$48-Geometria!$W$44),(2*ABS(Geometria!$V$48))*(Geometria!$W$48-Geometria!$W$47)+(2*ABS(Geometria!$V$45))*(($L$14*K279)-(Geometria!$W$48-Geometria!$W$47)),IF(($L$14*K279)&lt;=(Geometria!$W$48-Geometria!$W$42),(2*ABS(Geometria!$V$48))*(Geometria!$W$48-Geometria!$W$47)+(2*ABS(Geometria!$V$45))*((Geometria!$W$48-Geometria!$W$44)-(Geometria!$W$48-Geometria!$W$47))+(2*ABS(Geometria!$V$42))*(($L$14*K279)-(Geometria!$W$48-Geometria!$W$44)),IF(($L$14*K279)&lt;=(Geometria!$W$48-Geometria!$W$41),(2*ABS(Geometria!$V$48))*(Geometria!$W$48-Geometria!$W$47)+(2*ABS(Geometria!$V$45))*((Geometria!$W$48-Geometria!$W$44)-(Geometria!$W$48-Geometria!$W$47))+(2*ABS(Geometria!$V$42))*((Geometria!$W$48-Geometria!$W$42)-(Geometria!$W$48-Geometria!$W$44))+((2*ABS(Geometria!$V$42))+((2*ABS(Geometria!$V$42))+((2*ABS(Geometria!$V$41))-(2*ABS(Geometria!$V$42)))*(($L$14*K279)-(Geometria!$W$48-Geometria!$W$42))/((Geometria!$W$48-Geometria!$W$41)-(Geometria!$W$48-Geometria!$W$42))))/2*(($L$14*K279)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279)-(Geometria!$W$48-Geometria!$W$41))))))*$L$18+$L$198*IF(($L$14*K279)&lt;=(Geometria!$W$48-Geometria!$W$47),2*ABS(Geometria!$V$48)*($L$14*K279),2*ABS(Geometria!$V$48)*(Geometria!$W$48-Geometria!$W$47)+2*ABS(Geometria!$V$45)*(MIN(($L$14*K279),(Geometria!$W$48-Geometria!$W$44))-(Geometria!$W$48-Geometria!$W$47)))</f>
        <v>5081.2359022282835</v>
      </c>
      <c r="M279" s="622">
        <f t="shared" si="58"/>
        <v>1.7408921933085504</v>
      </c>
      <c r="N279" s="622">
        <f t="shared" ca="1" si="59"/>
        <v>220.40530795539038</v>
      </c>
      <c r="O279" s="622">
        <f t="shared" si="60"/>
        <v>0.9862453531598515</v>
      </c>
      <c r="P279" s="622">
        <f t="shared" ca="1" si="61"/>
        <v>499.4535827509295</v>
      </c>
      <c r="Q279" s="622">
        <f t="shared" ca="1" si="62"/>
        <v>5.963643953672051</v>
      </c>
      <c r="R279">
        <f t="shared" ca="1" si="63"/>
        <v>119.27287907344103</v>
      </c>
      <c r="S279" s="622">
        <f t="shared" ca="1" si="64"/>
        <v>1214.4147687477632</v>
      </c>
      <c r="T279" s="622">
        <f t="shared" ca="1" si="65"/>
        <v>3.6056470487720578</v>
      </c>
      <c r="U279">
        <f t="shared" ca="1" si="66"/>
        <v>72.11294097544115</v>
      </c>
      <c r="V279" s="622">
        <f t="shared" ca="1" si="67"/>
        <v>0.0</v>
      </c>
      <c r="W279" s="622">
        <f t="shared" ca="1" si="68"/>
        <v>3587.7728586849807</v>
      </c>
    </row>
    <row r="280" spans="11:23" x14ac:dyDescent="0.25">
      <c r="K280" s="622">
        <f>$L$199+76*$L$201</f>
        <v>68.14</v>
      </c>
      <c r="L280" s="622">
        <f>IF(($L$14*K280)&lt;=(Geometria!$W$48-Geometria!$W$47),(2*ABS(Geometria!$V$48))*($L$14*K280),IF(($L$14*K280)&lt;=(Geometria!$W$48-Geometria!$W$44),(2*ABS(Geometria!$V$48))*(Geometria!$W$48-Geometria!$W$47)+(2*ABS(Geometria!$V$45))*(($L$14*K280)-(Geometria!$W$48-Geometria!$W$47)),IF(($L$14*K280)&lt;=(Geometria!$W$48-Geometria!$W$42),(2*ABS(Geometria!$V$48))*(Geometria!$W$48-Geometria!$W$47)+(2*ABS(Geometria!$V$45))*((Geometria!$W$48-Geometria!$W$44)-(Geometria!$W$48-Geometria!$W$47))+(2*ABS(Geometria!$V$42))*(($L$14*K280)-(Geometria!$W$48-Geometria!$W$44)),IF(($L$14*K280)&lt;=(Geometria!$W$48-Geometria!$W$41),(2*ABS(Geometria!$V$48))*(Geometria!$W$48-Geometria!$W$47)+(2*ABS(Geometria!$V$45))*((Geometria!$W$48-Geometria!$W$44)-(Geometria!$W$48-Geometria!$W$47))+(2*ABS(Geometria!$V$42))*((Geometria!$W$48-Geometria!$W$42)-(Geometria!$W$48-Geometria!$W$44))+((2*ABS(Geometria!$V$42))+((2*ABS(Geometria!$V$42))+((2*ABS(Geometria!$V$41))-(2*ABS(Geometria!$V$42)))*(($L$14*K280)-(Geometria!$W$48-Geometria!$W$42))/((Geometria!$W$48-Geometria!$W$41)-(Geometria!$W$48-Geometria!$W$42))))/2*(($L$14*K280)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280)-(Geometria!$W$48-Geometria!$W$41))))))*$L$18+$L$198*IF(($L$14*K280)&lt;=(Geometria!$W$48-Geometria!$W$47),2*ABS(Geometria!$V$48)*($L$14*K280),2*ABS(Geometria!$V$48)*(Geometria!$W$48-Geometria!$W$47)+2*ABS(Geometria!$V$45)*(MIN(($L$14*K280),(Geometria!$W$48-Geometria!$W$44))-(Geometria!$W$48-Geometria!$W$47)))</f>
        <v>5141.430678559049</v>
      </c>
      <c r="M280" s="622">
        <f t="shared" si="58"/>
        <v>1.7638685060170238</v>
      </c>
      <c r="N280" s="622">
        <f t="shared" ca="1" si="59"/>
        <v>223.31421943058413</v>
      </c>
      <c r="O280" s="622">
        <f t="shared" si="60"/>
        <v>0.9276489580275904</v>
      </c>
      <c r="P280" s="622">
        <f t="shared" ca="1" si="61"/>
        <v>469.7792432051659</v>
      </c>
      <c r="Q280" s="622">
        <f t="shared" ca="1" si="62"/>
        <v>5.910111864151569</v>
      </c>
      <c r="R280">
        <f t="shared" ca="1" si="63"/>
        <v>118.20223728303135</v>
      </c>
      <c r="S280" s="622">
        <f t="shared" ca="1" si="64"/>
        <v>1203.5136886999553</v>
      </c>
      <c r="T280" s="622">
        <f t="shared" ca="1" si="65"/>
        <v>3.585253871811874</v>
      </c>
      <c r="U280">
        <f t="shared" ca="1" si="66"/>
        <v>71.70507743623747</v>
      </c>
      <c r="V280" s="622">
        <f t="shared" ca="1" si="67"/>
        <v>0.0</v>
      </c>
      <c r="W280" s="622">
        <f t="shared" ca="1" si="68"/>
        <v>3691.4519660845117</v>
      </c>
    </row>
    <row r="281" spans="11:23" x14ac:dyDescent="0.25">
      <c r="K281" s="622">
        <f>$L$199+77*$L$201</f>
        <v>69.03</v>
      </c>
      <c r="L281" s="622">
        <f>IF(($L$14*K281)&lt;=(Geometria!$W$48-Geometria!$W$47),(2*ABS(Geometria!$V$48))*($L$14*K281),IF(($L$14*K281)&lt;=(Geometria!$W$48-Geometria!$W$44),(2*ABS(Geometria!$V$48))*(Geometria!$W$48-Geometria!$W$47)+(2*ABS(Geometria!$V$45))*(($L$14*K281)-(Geometria!$W$48-Geometria!$W$47)),IF(($L$14*K281)&lt;=(Geometria!$W$48-Geometria!$W$42),(2*ABS(Geometria!$V$48))*(Geometria!$W$48-Geometria!$W$47)+(2*ABS(Geometria!$V$45))*((Geometria!$W$48-Geometria!$W$44)-(Geometria!$W$48-Geometria!$W$47))+(2*ABS(Geometria!$V$42))*(($L$14*K281)-(Geometria!$W$48-Geometria!$W$44)),IF(($L$14*K281)&lt;=(Geometria!$W$48-Geometria!$W$41),(2*ABS(Geometria!$V$48))*(Geometria!$W$48-Geometria!$W$47)+(2*ABS(Geometria!$V$45))*((Geometria!$W$48-Geometria!$W$44)-(Geometria!$W$48-Geometria!$W$47))+(2*ABS(Geometria!$V$42))*((Geometria!$W$48-Geometria!$W$42)-(Geometria!$W$48-Geometria!$W$44))+((2*ABS(Geometria!$V$42))+((2*ABS(Geometria!$V$42))+((2*ABS(Geometria!$V$41))-(2*ABS(Geometria!$V$42)))*(($L$14*K281)-(Geometria!$W$48-Geometria!$W$42))/((Geometria!$W$48-Geometria!$W$41)-(Geometria!$W$48-Geometria!$W$42))))/2*(($L$14*K281)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281)-(Geometria!$W$48-Geometria!$W$41))))))*$L$18+$L$198*IF(($L$14*K281)&lt;=(Geometria!$W$48-Geometria!$W$47),2*ABS(Geometria!$V$48)*($L$14*K281),2*ABS(Geometria!$V$48)*(Geometria!$W$48-Geometria!$W$47)+2*ABS(Geometria!$V$45)*(MIN(($L$14*K281),(Geometria!$W$48-Geometria!$W$44))-(Geometria!$W$48-Geometria!$W$47)))</f>
        <v>5201.625454889818</v>
      </c>
      <c r="M281" s="622">
        <f t="shared" si="58"/>
        <v>1.7862523540489643</v>
      </c>
      <c r="N281" s="622">
        <f t="shared" ca="1" si="59"/>
        <v>226.14812203389835</v>
      </c>
      <c r="O281" s="622">
        <f t="shared" si="60"/>
        <v>0.870563523105896</v>
      </c>
      <c r="P281" s="622">
        <f t="shared" ca="1" si="61"/>
        <v>440.8700829204694</v>
      </c>
      <c r="Q281" s="622">
        <f t="shared" ca="1" si="62"/>
        <v>5.857960147213246</v>
      </c>
      <c r="R281">
        <f t="shared" ca="1" si="63"/>
        <v>117.15920294426493</v>
      </c>
      <c r="S281" s="622">
        <f t="shared" ca="1" si="64"/>
        <v>1192.8937027052427</v>
      </c>
      <c r="T281" s="622">
        <f t="shared" ca="1" si="65"/>
        <v>3.5653865510734652</v>
      </c>
      <c r="U281">
        <f t="shared" ca="1" si="66"/>
        <v>71.30773102146931</v>
      </c>
      <c r="V281" s="622">
        <f t="shared" ca="1" si="67"/>
        <v>0.0</v>
      </c>
      <c r="W281" s="622">
        <f t="shared" ca="1" si="68"/>
        <v>3794.0097912980045</v>
      </c>
    </row>
    <row r="282" spans="11:23" x14ac:dyDescent="0.25">
      <c r="K282" s="622">
        <f>$L$199+78*$L$201</f>
        <v>69.92</v>
      </c>
      <c r="L282" s="622">
        <f>IF(($L$14*K282)&lt;=(Geometria!$W$48-Geometria!$W$47),(2*ABS(Geometria!$V$48))*($L$14*K282),IF(($L$14*K282)&lt;=(Geometria!$W$48-Geometria!$W$44),(2*ABS(Geometria!$V$48))*(Geometria!$W$48-Geometria!$W$47)+(2*ABS(Geometria!$V$45))*(($L$14*K282)-(Geometria!$W$48-Geometria!$W$47)),IF(($L$14*K282)&lt;=(Geometria!$W$48-Geometria!$W$42),(2*ABS(Geometria!$V$48))*(Geometria!$W$48-Geometria!$W$47)+(2*ABS(Geometria!$V$45))*((Geometria!$W$48-Geometria!$W$44)-(Geometria!$W$48-Geometria!$W$47))+(2*ABS(Geometria!$V$42))*(($L$14*K282)-(Geometria!$W$48-Geometria!$W$44)),IF(($L$14*K282)&lt;=(Geometria!$W$48-Geometria!$W$41),(2*ABS(Geometria!$V$48))*(Geometria!$W$48-Geometria!$W$47)+(2*ABS(Geometria!$V$45))*((Geometria!$W$48-Geometria!$W$44)-(Geometria!$W$48-Geometria!$W$47))+(2*ABS(Geometria!$V$42))*((Geometria!$W$48-Geometria!$W$42)-(Geometria!$W$48-Geometria!$W$44))+((2*ABS(Geometria!$V$42))+((2*ABS(Geometria!$V$42))+((2*ABS(Geometria!$V$41))-(2*ABS(Geometria!$V$42)))*(($L$14*K282)-(Geometria!$W$48-Geometria!$W$42))/((Geometria!$W$48-Geometria!$W$41)-(Geometria!$W$48-Geometria!$W$42))))/2*(($L$14*K282)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282)-(Geometria!$W$48-Geometria!$W$41))))))*$L$18+$L$198*IF(($L$14*K282)&lt;=(Geometria!$W$48-Geometria!$W$47),2*ABS(Geometria!$V$48)*($L$14*K282),2*ABS(Geometria!$V$48)*(Geometria!$W$48-Geometria!$W$47)+2*ABS(Geometria!$V$45)*(MIN(($L$14*K282),(Geometria!$W$48-Geometria!$W$44))-(Geometria!$W$48-Geometria!$W$47)))</f>
        <v>5261.820231220585</v>
      </c>
      <c r="M282" s="622">
        <f t="shared" si="58"/>
        <v>1.8080663615560641</v>
      </c>
      <c r="N282" s="622">
        <f t="shared" ca="1" si="59"/>
        <v>228.9098800915332</v>
      </c>
      <c r="O282" s="622">
        <f t="shared" si="60"/>
        <v>0.8149313501144165</v>
      </c>
      <c r="P282" s="622">
        <f t="shared" ca="1" si="61"/>
        <v>412.69688237986276</v>
      </c>
      <c r="Q282" s="622">
        <f t="shared" ca="1" si="62"/>
        <v>5.807136091261053</v>
      </c>
      <c r="R282">
        <f t="shared" ca="1" si="63"/>
        <v>116.14272182522106</v>
      </c>
      <c r="S282" s="622">
        <f t="shared" ca="1" si="64"/>
        <v>1182.544076765887</v>
      </c>
      <c r="T282" s="622">
        <f t="shared" ca="1" si="65"/>
        <v>3.5460250059488203</v>
      </c>
      <c r="U282">
        <f t="shared" ca="1" si="66"/>
        <v>70.9205001189764</v>
      </c>
      <c r="V282" s="622">
        <f t="shared" ca="1" si="67"/>
        <v>0.0</v>
      </c>
      <c r="W282" s="622">
        <f t="shared" ca="1" si="68"/>
        <v>3895.489152166369</v>
      </c>
    </row>
    <row r="283" spans="11:23" x14ac:dyDescent="0.25">
      <c r="K283" s="622">
        <f>$L$199+79*$L$201</f>
        <v>70.81</v>
      </c>
      <c r="L283" s="622">
        <f>IF(($L$14*K283)&lt;=(Geometria!$W$48-Geometria!$W$47),(2*ABS(Geometria!$V$48))*($L$14*K283),IF(($L$14*K283)&lt;=(Geometria!$W$48-Geometria!$W$44),(2*ABS(Geometria!$V$48))*(Geometria!$W$48-Geometria!$W$47)+(2*ABS(Geometria!$V$45))*(($L$14*K283)-(Geometria!$W$48-Geometria!$W$47)),IF(($L$14*K283)&lt;=(Geometria!$W$48-Geometria!$W$42),(2*ABS(Geometria!$V$48))*(Geometria!$W$48-Geometria!$W$47)+(2*ABS(Geometria!$V$45))*((Geometria!$W$48-Geometria!$W$44)-(Geometria!$W$48-Geometria!$W$47))+(2*ABS(Geometria!$V$42))*(($L$14*K283)-(Geometria!$W$48-Geometria!$W$44)),IF(($L$14*K283)&lt;=(Geometria!$W$48-Geometria!$W$41),(2*ABS(Geometria!$V$48))*(Geometria!$W$48-Geometria!$W$47)+(2*ABS(Geometria!$V$45))*((Geometria!$W$48-Geometria!$W$44)-(Geometria!$W$48-Geometria!$W$47))+(2*ABS(Geometria!$V$42))*((Geometria!$W$48-Geometria!$W$42)-(Geometria!$W$48-Geometria!$W$44))+((2*ABS(Geometria!$V$42))+((2*ABS(Geometria!$V$42))+((2*ABS(Geometria!$V$41))-(2*ABS(Geometria!$V$42)))*(($L$14*K283)-(Geometria!$W$48-Geometria!$W$42))/((Geometria!$W$48-Geometria!$W$41)-(Geometria!$W$48-Geometria!$W$42))))/2*(($L$14*K283)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283)-(Geometria!$W$48-Geometria!$W$41))))))*$L$18+$L$198*IF(($L$14*K283)&lt;=(Geometria!$W$48-Geometria!$W$47),2*ABS(Geometria!$V$48)*($L$14*K283),2*ABS(Geometria!$V$48)*(Geometria!$W$48-Geometria!$W$47)+2*ABS(Geometria!$V$45)*(MIN(($L$14*K283),(Geometria!$W$48-Geometria!$W$44))-(Geometria!$W$48-Geometria!$W$47)))</f>
        <v>5322.015007551352</v>
      </c>
      <c r="M283" s="622">
        <f t="shared" si="58"/>
        <v>1.8293320152520833</v>
      </c>
      <c r="N283" s="622">
        <f t="shared" ca="1" si="59"/>
        <v>231.60221392458698</v>
      </c>
      <c r="O283" s="622">
        <f t="shared" si="60"/>
        <v>0.7606976415760486</v>
      </c>
      <c r="P283" s="622">
        <f t="shared" ca="1" si="61"/>
        <v>385.2318910888293</v>
      </c>
      <c r="Q283" s="622">
        <f t="shared" ca="1" si="62"/>
        <v>5.757589634794737</v>
      </c>
      <c r="R283">
        <f t="shared" ca="1" si="63"/>
        <v>115.15179269589476</v>
      </c>
      <c r="S283" s="622">
        <f t="shared" ca="1" si="64"/>
        <v>1172.454616540019</v>
      </c>
      <c r="T283" s="622">
        <f t="shared" ca="1" si="65"/>
        <v>3.5271501653902235</v>
      </c>
      <c r="U283">
        <f t="shared" ca="1" si="66"/>
        <v>70.54300330780447</v>
      </c>
      <c r="V283" s="622">
        <f t="shared" ca="1" si="67"/>
        <v>0.0</v>
      </c>
      <c r="W283" s="622">
        <f t="shared" ca="1" si="68"/>
        <v>3995.9307138470913</v>
      </c>
    </row>
    <row r="284" spans="11:23" x14ac:dyDescent="0.25">
      <c r="K284" s="622">
        <f>$L$199+80*$L$201</f>
        <v>71.7</v>
      </c>
      <c r="L284" s="622">
        <f>IF(($L$14*K284)&lt;=(Geometria!$W$48-Geometria!$W$47),(2*ABS(Geometria!$V$48))*($L$14*K284),IF(($L$14*K284)&lt;=(Geometria!$W$48-Geometria!$W$44),(2*ABS(Geometria!$V$48))*(Geometria!$W$48-Geometria!$W$47)+(2*ABS(Geometria!$V$45))*(($L$14*K284)-(Geometria!$W$48-Geometria!$W$47)),IF(($L$14*K284)&lt;=(Geometria!$W$48-Geometria!$W$42),(2*ABS(Geometria!$V$48))*(Geometria!$W$48-Geometria!$W$47)+(2*ABS(Geometria!$V$45))*((Geometria!$W$48-Geometria!$W$44)-(Geometria!$W$48-Geometria!$W$47))+(2*ABS(Geometria!$V$42))*(($L$14*K284)-(Geometria!$W$48-Geometria!$W$44)),IF(($L$14*K284)&lt;=(Geometria!$W$48-Geometria!$W$41),(2*ABS(Geometria!$V$48))*(Geometria!$W$48-Geometria!$W$47)+(2*ABS(Geometria!$V$45))*((Geometria!$W$48-Geometria!$W$44)-(Geometria!$W$48-Geometria!$W$47))+(2*ABS(Geometria!$V$42))*((Geometria!$W$48-Geometria!$W$42)-(Geometria!$W$48-Geometria!$W$44))+((2*ABS(Geometria!$V$42))+((2*ABS(Geometria!$V$42))+((2*ABS(Geometria!$V$41))-(2*ABS(Geometria!$V$42)))*(($L$14*K284)-(Geometria!$W$48-Geometria!$W$42))/((Geometria!$W$48-Geometria!$W$41)-(Geometria!$W$48-Geometria!$W$42))))/2*(($L$14*K284)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284)-(Geometria!$W$48-Geometria!$W$41))))))*$L$18+$L$198*IF(($L$14*K284)&lt;=(Geometria!$W$48-Geometria!$W$47),2*ABS(Geometria!$V$48)*($L$14*K284),2*ABS(Geometria!$V$48)*(Geometria!$W$48-Geometria!$W$47)+2*ABS(Geometria!$V$45)*(MIN(($L$14*K284),(Geometria!$W$48-Geometria!$W$44))-(Geometria!$W$48-Geometria!$W$47)))</f>
        <v>5382.209783882119</v>
      </c>
      <c r="M284" s="622">
        <f t="shared" si="58"/>
        <v>1.850069735006974</v>
      </c>
      <c r="N284" s="622">
        <f t="shared" ca="1" si="59"/>
        <v>234.22770878661095</v>
      </c>
      <c r="O284" s="622">
        <f t="shared" si="60"/>
        <v>0.707810320781032</v>
      </c>
      <c r="P284" s="622">
        <f t="shared" ca="1" si="61"/>
        <v>358.4487364016736</v>
      </c>
      <c r="Q284" s="622">
        <f t="shared" ca="1" si="62"/>
        <v>5.70927320193386</v>
      </c>
      <c r="R284">
        <f t="shared" ca="1" si="63"/>
        <v>114.18546403867722</v>
      </c>
      <c r="S284" s="622">
        <f t="shared" ca="1" si="64"/>
        <v>1162.6156338483497</v>
      </c>
      <c r="T284" s="622">
        <f t="shared" ca="1" si="65"/>
        <v>3.508743905252747</v>
      </c>
      <c r="U284">
        <f t="shared" ca="1" si="66"/>
        <v>70.17487810505494</v>
      </c>
      <c r="V284" s="622">
        <f t="shared" ca="1" si="67"/>
        <v>0.0</v>
      </c>
      <c r="W284" s="622">
        <f t="shared" ca="1" si="68"/>
        <v>4095.3731224187077</v>
      </c>
    </row>
    <row r="285" spans="11:23" x14ac:dyDescent="0.25">
      <c r="K285" s="622">
        <f>$L$199+81*$L$201</f>
        <v>72.59</v>
      </c>
      <c r="L285" s="622">
        <f>IF(($L$14*K285)&lt;=(Geometria!$W$48-Geometria!$W$47),(2*ABS(Geometria!$V$48))*($L$14*K285),IF(($L$14*K285)&lt;=(Geometria!$W$48-Geometria!$W$44),(2*ABS(Geometria!$V$48))*(Geometria!$W$48-Geometria!$W$47)+(2*ABS(Geometria!$V$45))*(($L$14*K285)-(Geometria!$W$48-Geometria!$W$47)),IF(($L$14*K285)&lt;=(Geometria!$W$48-Geometria!$W$42),(2*ABS(Geometria!$V$48))*(Geometria!$W$48-Geometria!$W$47)+(2*ABS(Geometria!$V$45))*((Geometria!$W$48-Geometria!$W$44)-(Geometria!$W$48-Geometria!$W$47))+(2*ABS(Geometria!$V$42))*(($L$14*K285)-(Geometria!$W$48-Geometria!$W$44)),IF(($L$14*K285)&lt;=(Geometria!$W$48-Geometria!$W$41),(2*ABS(Geometria!$V$48))*(Geometria!$W$48-Geometria!$W$47)+(2*ABS(Geometria!$V$45))*((Geometria!$W$48-Geometria!$W$44)-(Geometria!$W$48-Geometria!$W$47))+(2*ABS(Geometria!$V$42))*((Geometria!$W$48-Geometria!$W$42)-(Geometria!$W$48-Geometria!$W$44))+((2*ABS(Geometria!$V$42))+((2*ABS(Geometria!$V$42))+((2*ABS(Geometria!$V$41))-(2*ABS(Geometria!$V$42)))*(($L$14*K285)-(Geometria!$W$48-Geometria!$W$42))/((Geometria!$W$48-Geometria!$W$41)-(Geometria!$W$48-Geometria!$W$42))))/2*(($L$14*K285)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285)-(Geometria!$W$48-Geometria!$W$41))))))*$L$18+$L$198*IF(($L$14*K285)&lt;=(Geometria!$W$48-Geometria!$W$47),2*ABS(Geometria!$V$48)*($L$14*K285),2*ABS(Geometria!$V$48)*(Geometria!$W$48-Geometria!$W$47)+2*ABS(Geometria!$V$45)*(MIN(($L$14*K285),(Geometria!$W$48-Geometria!$W$44))-(Geometria!$W$48-Geometria!$W$47)))</f>
        <v>5442.4045602128845</v>
      </c>
      <c r="M285" s="622">
        <f t="shared" si="58"/>
        <v>1.8702989392478304</v>
      </c>
      <c r="N285" s="622">
        <f t="shared" ca="1" si="59"/>
        <v>236.78882314368374</v>
      </c>
      <c r="O285" s="622">
        <f t="shared" si="60"/>
        <v>0.6562198649951784</v>
      </c>
      <c r="P285" s="622">
        <f t="shared" ca="1" si="61"/>
        <v>332.3223390549663</v>
      </c>
      <c r="Q285" s="622">
        <f t="shared" ca="1" si="62"/>
        <v>5.662141550041332</v>
      </c>
      <c r="R285">
        <f t="shared" ca="1" si="63"/>
        <v>113.24283100082661</v>
      </c>
      <c r="S285" s="622">
        <f t="shared" ca="1" si="64"/>
        <v>1153.01791564478</v>
      </c>
      <c r="T285" s="622">
        <f t="shared" ca="1" si="65"/>
        <v>3.4907889902460694</v>
      </c>
      <c r="U285">
        <f t="shared" ca="1" si="66"/>
        <v>69.81577980492139</v>
      </c>
      <c r="V285" s="622">
        <f t="shared" ca="1" si="67"/>
        <v>0.0</v>
      </c>
      <c r="W285" s="622">
        <f t="shared" ca="1" si="68"/>
        <v>4193.853128656821</v>
      </c>
    </row>
    <row r="286" spans="11:23" x14ac:dyDescent="0.25">
      <c r="K286" s="622">
        <f>$L$199+82*$L$201</f>
        <v>73.48</v>
      </c>
      <c r="L286" s="622">
        <f>IF(($L$14*K286)&lt;=(Geometria!$W$48-Geometria!$W$47),(2*ABS(Geometria!$V$48))*($L$14*K286),IF(($L$14*K286)&lt;=(Geometria!$W$48-Geometria!$W$44),(2*ABS(Geometria!$V$48))*(Geometria!$W$48-Geometria!$W$47)+(2*ABS(Geometria!$V$45))*(($L$14*K286)-(Geometria!$W$48-Geometria!$W$47)),IF(($L$14*K286)&lt;=(Geometria!$W$48-Geometria!$W$42),(2*ABS(Geometria!$V$48))*(Geometria!$W$48-Geometria!$W$47)+(2*ABS(Geometria!$V$45))*((Geometria!$W$48-Geometria!$W$44)-(Geometria!$W$48-Geometria!$W$47))+(2*ABS(Geometria!$V$42))*(($L$14*K286)-(Geometria!$W$48-Geometria!$W$44)),IF(($L$14*K286)&lt;=(Geometria!$W$48-Geometria!$W$41),(2*ABS(Geometria!$V$48))*(Geometria!$W$48-Geometria!$W$47)+(2*ABS(Geometria!$V$45))*((Geometria!$W$48-Geometria!$W$44)-(Geometria!$W$48-Geometria!$W$47))+(2*ABS(Geometria!$V$42))*((Geometria!$W$48-Geometria!$W$42)-(Geometria!$W$48-Geometria!$W$44))+((2*ABS(Geometria!$V$42))+((2*ABS(Geometria!$V$42))+((2*ABS(Geometria!$V$41))-(2*ABS(Geometria!$V$42)))*(($L$14*K286)-(Geometria!$W$48-Geometria!$W$42))/((Geometria!$W$48-Geometria!$W$41)-(Geometria!$W$48-Geometria!$W$42))))/2*(($L$14*K286)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286)-(Geometria!$W$48-Geometria!$W$41))))))*$L$18+$L$198*IF(($L$14*K286)&lt;=(Geometria!$W$48-Geometria!$W$47),2*ABS(Geometria!$V$48)*($L$14*K286),2*ABS(Geometria!$V$48)*(Geometria!$W$48-Geometria!$W$47)+2*ABS(Geometria!$V$45)*(MIN(($L$14*K286),(Geometria!$W$48-Geometria!$W$44))-(Geometria!$W$48-Geometria!$W$47)))</f>
        <v>5502.599336543652</v>
      </c>
      <c r="M286" s="622">
        <f t="shared" si="58"/>
        <v>1.8900381056069682</v>
      </c>
      <c r="N286" s="622">
        <f t="shared" ca="1" si="59"/>
        <v>239.2878963527491</v>
      </c>
      <c r="O286" s="622">
        <f t="shared" si="60"/>
        <v>0.6058791507893303</v>
      </c>
      <c r="P286" s="622">
        <f t="shared" ca="1" si="61"/>
        <v>306.828834839412</v>
      </c>
      <c r="Q286" s="622">
        <f t="shared" ca="1" si="62"/>
        <v>5.6161516284205595</v>
      </c>
      <c r="R286">
        <f t="shared" ca="1" si="63"/>
        <v>112.3230325684112</v>
      </c>
      <c r="S286" s="622">
        <f t="shared" ca="1" si="64"/>
        <v>1143.6526952420047</v>
      </c>
      <c r="T286" s="622">
        <f t="shared" ca="1" si="65"/>
        <v>3.473269020104823</v>
      </c>
      <c r="U286">
        <f t="shared" ca="1" si="66"/>
        <v>69.46538040209646</v>
      </c>
      <c r="V286" s="622">
        <f t="shared" ca="1" si="67"/>
        <v>0.0</v>
      </c>
      <c r="W286" s="622">
        <f t="shared" ca="1" si="68"/>
        <v>4291.405702814985</v>
      </c>
    </row>
    <row r="287" spans="11:23" x14ac:dyDescent="0.25">
      <c r="K287" s="622">
        <f>$L$199+83*$L$201</f>
        <v>74.37</v>
      </c>
      <c r="L287" s="622">
        <f>IF(($L$14*K287)&lt;=(Geometria!$W$48-Geometria!$W$47),(2*ABS(Geometria!$V$48))*($L$14*K287),IF(($L$14*K287)&lt;=(Geometria!$W$48-Geometria!$W$44),(2*ABS(Geometria!$V$48))*(Geometria!$W$48-Geometria!$W$47)+(2*ABS(Geometria!$V$45))*(($L$14*K287)-(Geometria!$W$48-Geometria!$W$47)),IF(($L$14*K287)&lt;=(Geometria!$W$48-Geometria!$W$42),(2*ABS(Geometria!$V$48))*(Geometria!$W$48-Geometria!$W$47)+(2*ABS(Geometria!$V$45))*((Geometria!$W$48-Geometria!$W$44)-(Geometria!$W$48-Geometria!$W$47))+(2*ABS(Geometria!$V$42))*(($L$14*K287)-(Geometria!$W$48-Geometria!$W$44)),IF(($L$14*K287)&lt;=(Geometria!$W$48-Geometria!$W$41),(2*ABS(Geometria!$V$48))*(Geometria!$W$48-Geometria!$W$47)+(2*ABS(Geometria!$V$45))*((Geometria!$W$48-Geometria!$W$44)-(Geometria!$W$48-Geometria!$W$47))+(2*ABS(Geometria!$V$42))*((Geometria!$W$48-Geometria!$W$42)-(Geometria!$W$48-Geometria!$W$44))+((2*ABS(Geometria!$V$42))+((2*ABS(Geometria!$V$42))+((2*ABS(Geometria!$V$41))-(2*ABS(Geometria!$V$42)))*(($L$14*K287)-(Geometria!$W$48-Geometria!$W$42))/((Geometria!$W$48-Geometria!$W$41)-(Geometria!$W$48-Geometria!$W$42))))/2*(($L$14*K287)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287)-(Geometria!$W$48-Geometria!$W$41))))))*$L$18+$L$198*IF(($L$14*K287)&lt;=(Geometria!$W$48-Geometria!$W$47),2*ABS(Geometria!$V$48)*($L$14*K287),2*ABS(Geometria!$V$48)*(Geometria!$W$48-Geometria!$W$47)+2*ABS(Geometria!$V$45)*(MIN(($L$14*K287),(Geometria!$W$48-Geometria!$W$44))-(Geometria!$W$48-Geometria!$W$47)))</f>
        <v>5562.794112874419</v>
      </c>
      <c r="M287" s="622">
        <f t="shared" si="58"/>
        <v>1.9093048272152753</v>
      </c>
      <c r="N287" s="622">
        <f t="shared" ca="1" si="59"/>
        <v>241.7271557886245</v>
      </c>
      <c r="O287" s="622">
        <f t="shared" si="60"/>
        <v>0.5567433104746536</v>
      </c>
      <c r="P287" s="622">
        <f t="shared" ca="1" si="61"/>
        <v>281.94550189592576</v>
      </c>
      <c r="Q287" s="622">
        <f t="shared" ca="1" si="62"/>
        <v>5.571262447158602</v>
      </c>
      <c r="R287">
        <f t="shared" ca="1" si="63"/>
        <v>111.42524894317202</v>
      </c>
      <c r="S287" s="622">
        <f t="shared" ca="1" si="64"/>
        <v>1134.5116256032059</v>
      </c>
      <c r="T287" s="622">
        <f t="shared" ca="1" si="65"/>
        <v>3.456168379624077</v>
      </c>
      <c r="U287">
        <f t="shared" ca="1" si="66"/>
        <v>69.12336759248153</v>
      </c>
      <c r="V287" s="622">
        <f t="shared" ca="1" si="67"/>
        <v>0.0</v>
      </c>
      <c r="W287" s="622">
        <f t="shared" ca="1" si="68"/>
        <v>4388.064141163911</v>
      </c>
    </row>
    <row r="288" spans="11:23" x14ac:dyDescent="0.25">
      <c r="K288" s="622">
        <f>$L$199+84*$L$201</f>
        <v>75.26</v>
      </c>
      <c r="L288" s="622">
        <f>IF(($L$14*K288)&lt;=(Geometria!$W$48-Geometria!$W$47),(2*ABS(Geometria!$V$48))*($L$14*K288),IF(($L$14*K288)&lt;=(Geometria!$W$48-Geometria!$W$44),(2*ABS(Geometria!$V$48))*(Geometria!$W$48-Geometria!$W$47)+(2*ABS(Geometria!$V$45))*(($L$14*K288)-(Geometria!$W$48-Geometria!$W$47)),IF(($L$14*K288)&lt;=(Geometria!$W$48-Geometria!$W$42),(2*ABS(Geometria!$V$48))*(Geometria!$W$48-Geometria!$W$47)+(2*ABS(Geometria!$V$45))*((Geometria!$W$48-Geometria!$W$44)-(Geometria!$W$48-Geometria!$W$47))+(2*ABS(Geometria!$V$42))*(($L$14*K288)-(Geometria!$W$48-Geometria!$W$44)),IF(($L$14*K288)&lt;=(Geometria!$W$48-Geometria!$W$41),(2*ABS(Geometria!$V$48))*(Geometria!$W$48-Geometria!$W$47)+(2*ABS(Geometria!$V$45))*((Geometria!$W$48-Geometria!$W$44)-(Geometria!$W$48-Geometria!$W$47))+(2*ABS(Geometria!$V$42))*((Geometria!$W$48-Geometria!$W$42)-(Geometria!$W$48-Geometria!$W$44))+((2*ABS(Geometria!$V$42))+((2*ABS(Geometria!$V$42))+((2*ABS(Geometria!$V$41))-(2*ABS(Geometria!$V$42)))*(($L$14*K288)-(Geometria!$W$48-Geometria!$W$42))/((Geometria!$W$48-Geometria!$W$41)-(Geometria!$W$48-Geometria!$W$42))))/2*(($L$14*K288)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288)-(Geometria!$W$48-Geometria!$W$41))))))*$L$18+$L$198*IF(($L$14*K288)&lt;=(Geometria!$W$48-Geometria!$W$47),2*ABS(Geometria!$V$48)*($L$14*K288),2*ABS(Geometria!$V$48)*(Geometria!$W$48-Geometria!$W$47)+2*ABS(Geometria!$V$45)*(MIN(($L$14*K288),(Geometria!$W$48-Geometria!$W$44))-(Geometria!$W$48-Geometria!$W$47)))</f>
        <v>5622.988889205186</v>
      </c>
      <c r="M288" s="622">
        <f t="shared" si="58"/>
        <v>1.9281158650013288</v>
      </c>
      <c r="N288" s="622">
        <f t="shared" ca="1" si="59"/>
        <v>244.10872346532022</v>
      </c>
      <c r="O288" s="622">
        <f t="shared" si="60"/>
        <v>0.5087695987244218</v>
      </c>
      <c r="P288" s="622">
        <f t="shared" ca="1" si="61"/>
        <v>257.6506931703428</v>
      </c>
      <c r="Q288" s="622">
        <f t="shared" ca="1" si="62"/>
        <v>5.527434955275414</v>
      </c>
      <c r="R288">
        <f t="shared" ca="1" si="63"/>
        <v>110.54869910550829</v>
      </c>
      <c r="S288" s="622">
        <f t="shared" ca="1" si="64"/>
        <v>1125.5867545288115</v>
      </c>
      <c r="T288" s="622">
        <f t="shared" ca="1" si="65"/>
        <v>3.4394721922400056</v>
      </c>
      <c r="U288">
        <f t="shared" ca="1" si="66"/>
        <v>68.78944384480012</v>
      </c>
      <c r="V288" s="622">
        <f t="shared" ca="1" si="67"/>
        <v>0.0</v>
      </c>
      <c r="W288" s="622">
        <f t="shared" ca="1" si="68"/>
        <v>4483.860164971353</v>
      </c>
    </row>
    <row r="289" spans="11:23" x14ac:dyDescent="0.25">
      <c r="K289" s="622">
        <f>$L$199+85*$L$201</f>
        <v>76.15</v>
      </c>
      <c r="L289" s="622">
        <f>IF(($L$14*K289)&lt;=(Geometria!$W$48-Geometria!$W$47),(2*ABS(Geometria!$V$48))*($L$14*K289),IF(($L$14*K289)&lt;=(Geometria!$W$48-Geometria!$W$44),(2*ABS(Geometria!$V$48))*(Geometria!$W$48-Geometria!$W$47)+(2*ABS(Geometria!$V$45))*(($L$14*K289)-(Geometria!$W$48-Geometria!$W$47)),IF(($L$14*K289)&lt;=(Geometria!$W$48-Geometria!$W$42),(2*ABS(Geometria!$V$48))*(Geometria!$W$48-Geometria!$W$47)+(2*ABS(Geometria!$V$45))*((Geometria!$W$48-Geometria!$W$44)-(Geometria!$W$48-Geometria!$W$47))+(2*ABS(Geometria!$V$42))*(($L$14*K289)-(Geometria!$W$48-Geometria!$W$44)),IF(($L$14*K289)&lt;=(Geometria!$W$48-Geometria!$W$41),(2*ABS(Geometria!$V$48))*(Geometria!$W$48-Geometria!$W$47)+(2*ABS(Geometria!$V$45))*((Geometria!$W$48-Geometria!$W$44)-(Geometria!$W$48-Geometria!$W$47))+(2*ABS(Geometria!$V$42))*((Geometria!$W$48-Geometria!$W$42)-(Geometria!$W$48-Geometria!$W$44))+((2*ABS(Geometria!$V$42))+((2*ABS(Geometria!$V$42))+((2*ABS(Geometria!$V$41))-(2*ABS(Geometria!$V$42)))*(($L$14*K289)-(Geometria!$W$48-Geometria!$W$42))/((Geometria!$W$48-Geometria!$W$41)-(Geometria!$W$48-Geometria!$W$42))))/2*(($L$14*K289)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289)-(Geometria!$W$48-Geometria!$W$41))))))*$L$18+$L$198*IF(($L$14*K289)&lt;=(Geometria!$W$48-Geometria!$W$47),2*ABS(Geometria!$V$48)*($L$14*K289),2*ABS(Geometria!$V$48)*(Geometria!$W$48-Geometria!$W$47)+2*ABS(Geometria!$V$45)*(MIN(($L$14*K289),(Geometria!$W$48-Geometria!$W$44))-(Geometria!$W$48-Geometria!$W$47)))</f>
        <v>5683.183665535953</v>
      </c>
      <c r="M289" s="622">
        <f t="shared" si="58"/>
        <v>1.9464871963230468</v>
      </c>
      <c r="N289" s="622">
        <f t="shared" ca="1" si="59"/>
        <v>246.4346221930401</v>
      </c>
      <c r="O289" s="622">
        <f t="shared" si="60"/>
        <v>0.46191726854891646</v>
      </c>
      <c r="P289" s="622">
        <f t="shared" ca="1" si="61"/>
        <v>233.92377360472747</v>
      </c>
      <c r="Q289" s="622">
        <f t="shared" ca="1" si="62"/>
        <v>5.484631927417862</v>
      </c>
      <c r="R289">
        <f t="shared" ca="1" si="63"/>
        <v>109.69263854835722</v>
      </c>
      <c r="S289" s="622">
        <f t="shared" ca="1" si="64"/>
        <v>1116.8705015832734</v>
      </c>
      <c r="T289" s="622">
        <f t="shared" ca="1" si="65"/>
        <v>3.4231662768656994</v>
      </c>
      <c r="U289">
        <f t="shared" ca="1" si="66"/>
        <v>68.46332553731398</v>
      </c>
      <c r="V289" s="622">
        <f t="shared" ca="1" si="67"/>
        <v>0.0</v>
      </c>
      <c r="W289" s="622">
        <f t="shared" ca="1" si="68"/>
        <v>4578.824012540992</v>
      </c>
    </row>
    <row r="290" spans="11:23" x14ac:dyDescent="0.25">
      <c r="K290" s="622">
        <f>$L$199+86*$L$201</f>
        <v>77.04</v>
      </c>
      <c r="L290" s="622">
        <f>IF(($L$14*K290)&lt;=(Geometria!$W$48-Geometria!$W$47),(2*ABS(Geometria!$V$48))*($L$14*K290),IF(($L$14*K290)&lt;=(Geometria!$W$48-Geometria!$W$44),(2*ABS(Geometria!$V$48))*(Geometria!$W$48-Geometria!$W$47)+(2*ABS(Geometria!$V$45))*(($L$14*K290)-(Geometria!$W$48-Geometria!$W$47)),IF(($L$14*K290)&lt;=(Geometria!$W$48-Geometria!$W$42),(2*ABS(Geometria!$V$48))*(Geometria!$W$48-Geometria!$W$47)+(2*ABS(Geometria!$V$45))*((Geometria!$W$48-Geometria!$W$44)-(Geometria!$W$48-Geometria!$W$47))+(2*ABS(Geometria!$V$42))*(($L$14*K290)-(Geometria!$W$48-Geometria!$W$44)),IF(($L$14*K290)&lt;=(Geometria!$W$48-Geometria!$W$41),(2*ABS(Geometria!$V$48))*(Geometria!$W$48-Geometria!$W$47)+(2*ABS(Geometria!$V$45))*((Geometria!$W$48-Geometria!$W$44)-(Geometria!$W$48-Geometria!$W$47))+(2*ABS(Geometria!$V$42))*((Geometria!$W$48-Geometria!$W$42)-(Geometria!$W$48-Geometria!$W$44))+((2*ABS(Geometria!$V$42))+((2*ABS(Geometria!$V$42))+((2*ABS(Geometria!$V$41))-(2*ABS(Geometria!$V$42)))*(($L$14*K290)-(Geometria!$W$48-Geometria!$W$42))/((Geometria!$W$48-Geometria!$W$41)-(Geometria!$W$48-Geometria!$W$42))))/2*(($L$14*K290)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290)-(Geometria!$W$48-Geometria!$W$41))))))*$L$18+$L$198*IF(($L$14*K290)&lt;=(Geometria!$W$48-Geometria!$W$47),2*ABS(Geometria!$V$48)*($L$14*K290),2*ABS(Geometria!$V$48)*(Geometria!$W$48-Geometria!$W$47)+2*ABS(Geometria!$V$45)*(MIN(($L$14*K290),(Geometria!$W$48-Geometria!$W$44))-(Geometria!$W$48-Geometria!$W$47)))</f>
        <v>5743.37844186672</v>
      </c>
      <c r="M290" s="622">
        <f t="shared" si="58"/>
        <v>1.964434060228453</v>
      </c>
      <c r="N290" s="622">
        <f t="shared" ca="1" si="59"/>
        <v>248.70678130841128</v>
      </c>
      <c r="O290" s="622">
        <f t="shared" si="60"/>
        <v>0.41614745586708185</v>
      </c>
      <c r="P290" s="622">
        <f t="shared" ca="1" si="61"/>
        <v>210.74506168224292</v>
      </c>
      <c r="Q290" s="622">
        <f t="shared" ca="1" si="62"/>
        <v>5.442817858407484</v>
      </c>
      <c r="R290">
        <f t="shared" ca="1" si="63"/>
        <v>108.8563571681497</v>
      </c>
      <c r="S290" s="622">
        <f t="shared" ca="1" si="64"/>
        <v>1108.3556366211606</v>
      </c>
      <c r="T290" s="622">
        <f t="shared" ca="1" si="65"/>
        <v>3.4072371077188897</v>
      </c>
      <c r="U290">
        <f t="shared" ca="1" si="66"/>
        <v>68.14474215437778</v>
      </c>
      <c r="V290" s="622">
        <f t="shared" ca="1" si="67"/>
        <v>0.0</v>
      </c>
      <c r="W290" s="622">
        <f t="shared" ca="1" si="68"/>
        <v>4672.984524871728</v>
      </c>
    </row>
    <row r="291" spans="11:23" x14ac:dyDescent="0.25">
      <c r="K291" s="622">
        <f>$L$199+87*$L$201</f>
        <v>77.93</v>
      </c>
      <c r="L291" s="622">
        <f>IF(($L$14*K291)&lt;=(Geometria!$W$48-Geometria!$W$47),(2*ABS(Geometria!$V$48))*($L$14*K291),IF(($L$14*K291)&lt;=(Geometria!$W$48-Geometria!$W$44),(2*ABS(Geometria!$V$48))*(Geometria!$W$48-Geometria!$W$47)+(2*ABS(Geometria!$V$45))*(($L$14*K291)-(Geometria!$W$48-Geometria!$W$47)),IF(($L$14*K291)&lt;=(Geometria!$W$48-Geometria!$W$42),(2*ABS(Geometria!$V$48))*(Geometria!$W$48-Geometria!$W$47)+(2*ABS(Geometria!$V$45))*((Geometria!$W$48-Geometria!$W$44)-(Geometria!$W$48-Geometria!$W$47))+(2*ABS(Geometria!$V$42))*(($L$14*K291)-(Geometria!$W$48-Geometria!$W$44)),IF(($L$14*K291)&lt;=(Geometria!$W$48-Geometria!$W$41),(2*ABS(Geometria!$V$48))*(Geometria!$W$48-Geometria!$W$47)+(2*ABS(Geometria!$V$45))*((Geometria!$W$48-Geometria!$W$44)-(Geometria!$W$48-Geometria!$W$47))+(2*ABS(Geometria!$V$42))*((Geometria!$W$48-Geometria!$W$42)-(Geometria!$W$48-Geometria!$W$44))+((2*ABS(Geometria!$V$42))+((2*ABS(Geometria!$V$42))+((2*ABS(Geometria!$V$41))-(2*ABS(Geometria!$V$42)))*(($L$14*K291)-(Geometria!$W$48-Geometria!$W$42))/((Geometria!$W$48-Geometria!$W$41)-(Geometria!$W$48-Geometria!$W$42))))/2*(($L$14*K291)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291)-(Geometria!$W$48-Geometria!$W$41))))))*$L$18+$L$198*IF(($L$14*K291)&lt;=(Geometria!$W$48-Geometria!$W$47),2*ABS(Geometria!$V$48)*($L$14*K291),2*ABS(Geometria!$V$48)*(Geometria!$W$48-Geometria!$W$47)+2*ABS(Geometria!$V$45)*(MIN(($L$14*K291),(Geometria!$W$48-Geometria!$W$44))-(Geometria!$W$48-Geometria!$W$47)))</f>
        <v>5803.573218197487</v>
      </c>
      <c r="M291" s="622">
        <f t="shared" si="58"/>
        <v>1.9819709996150394</v>
      </c>
      <c r="N291" s="622">
        <f t="shared" ca="1" si="59"/>
        <v>250.92704201206215</v>
      </c>
      <c r="O291" s="622">
        <f t="shared" si="60"/>
        <v>0.37142307198768104</v>
      </c>
      <c r="P291" s="622">
        <f t="shared" ca="1" si="61"/>
        <v>188.09577497754384</v>
      </c>
      <c r="Q291" s="622">
        <f t="shared" ca="1" si="62"/>
        <v>5.401958865014181</v>
      </c>
      <c r="R291">
        <f t="shared" ca="1" si="63"/>
        <v>108.03917730028361</v>
      </c>
      <c r="S291" s="622">
        <f t="shared" ca="1" si="64"/>
        <v>1100.0352597847057</v>
      </c>
      <c r="T291" s="622">
        <f t="shared" ca="1" si="65"/>
        <v>3.3916717769023927</v>
      </c>
      <c r="U291">
        <f t="shared" ca="1" si="66"/>
        <v>67.83343553804785</v>
      </c>
      <c r="V291" s="622">
        <f t="shared" ca="1" si="67"/>
        <v>0.0</v>
      </c>
      <c r="W291" s="622">
        <f t="shared" ca="1" si="68"/>
        <v>4766.3692254473</v>
      </c>
    </row>
    <row r="292" spans="11:23" x14ac:dyDescent="0.25">
      <c r="K292" s="622">
        <f>$L$199+88*$L$201</f>
        <v>78.82000000000001</v>
      </c>
      <c r="L292" s="622">
        <f>IF(($L$14*K292)&lt;=(Geometria!$W$48-Geometria!$W$47),(2*ABS(Geometria!$V$48))*($L$14*K292),IF(($L$14*K292)&lt;=(Geometria!$W$48-Geometria!$W$44),(2*ABS(Geometria!$V$48))*(Geometria!$W$48-Geometria!$W$47)+(2*ABS(Geometria!$V$45))*(($L$14*K292)-(Geometria!$W$48-Geometria!$W$47)),IF(($L$14*K292)&lt;=(Geometria!$W$48-Geometria!$W$42),(2*ABS(Geometria!$V$48))*(Geometria!$W$48-Geometria!$W$47)+(2*ABS(Geometria!$V$45))*((Geometria!$W$48-Geometria!$W$44)-(Geometria!$W$48-Geometria!$W$47))+(2*ABS(Geometria!$V$42))*(($L$14*K292)-(Geometria!$W$48-Geometria!$W$44)),IF(($L$14*K292)&lt;=(Geometria!$W$48-Geometria!$W$41),(2*ABS(Geometria!$V$48))*(Geometria!$W$48-Geometria!$W$47)+(2*ABS(Geometria!$V$45))*((Geometria!$W$48-Geometria!$W$44)-(Geometria!$W$48-Geometria!$W$47))+(2*ABS(Geometria!$V$42))*((Geometria!$W$48-Geometria!$W$42)-(Geometria!$W$48-Geometria!$W$44))+((2*ABS(Geometria!$V$42))+((2*ABS(Geometria!$V$42))+((2*ABS(Geometria!$V$41))-(2*ABS(Geometria!$V$42)))*(($L$14*K292)-(Geometria!$W$48-Geometria!$W$42))/((Geometria!$W$48-Geometria!$W$41)-(Geometria!$W$48-Geometria!$W$42))))/2*(($L$14*K292)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292)-(Geometria!$W$48-Geometria!$W$41))))))*$L$18+$L$198*IF(($L$14*K292)&lt;=(Geometria!$W$48-Geometria!$W$47),2*ABS(Geometria!$V$48)*($L$14*K292),2*ABS(Geometria!$V$48)*(Geometria!$W$48-Geometria!$W$47)+2*ABS(Geometria!$V$45)*(MIN(($L$14*K292),(Geometria!$W$48-Geometria!$W$44))-(Geometria!$W$48-Geometria!$W$47)))</f>
        <v>5863.767994528254</v>
      </c>
      <c r="M292" s="622">
        <f t="shared" si="58"/>
        <v>1.9991119005328601</v>
      </c>
      <c r="N292" s="622">
        <f t="shared" ca="1" si="59"/>
        <v>253.09716234458264</v>
      </c>
      <c r="O292" s="622">
        <f t="shared" si="60"/>
        <v>0.32770870337477775</v>
      </c>
      <c r="P292" s="622">
        <f t="shared" ca="1" si="61"/>
        <v>165.9579793960923</v>
      </c>
      <c r="Q292" s="622">
        <f t="shared" ca="1" si="62"/>
        <v>5.362022594384643</v>
      </c>
      <c r="R292">
        <f t="shared" ca="1" si="63"/>
        <v>107.24045188769287</v>
      </c>
      <c r="S292" s="622">
        <f t="shared" ca="1" si="64"/>
        <v>1091.902782856509</v>
      </c>
      <c r="T292" s="622">
        <f t="shared" ca="1" si="65"/>
        <v>3.3764579595197115</v>
      </c>
      <c r="U292">
        <f t="shared" ca="1" si="66"/>
        <v>67.52915919039422</v>
      </c>
      <c r="V292" s="622">
        <f t="shared" ca="1" si="67"/>
        <v>0.0</v>
      </c>
      <c r="W292" s="622">
        <f t="shared" ca="1" si="68"/>
        <v>4859.004394620237</v>
      </c>
    </row>
    <row r="293" spans="11:23" x14ac:dyDescent="0.25">
      <c r="K293" s="622">
        <f>$L$199+89*$L$201</f>
        <v>79.71000000000001</v>
      </c>
      <c r="L293" s="622">
        <f>IF(($L$14*K293)&lt;=(Geometria!$W$48-Geometria!$W$47),(2*ABS(Geometria!$V$48))*($L$14*K293),IF(($L$14*K293)&lt;=(Geometria!$W$48-Geometria!$W$44),(2*ABS(Geometria!$V$48))*(Geometria!$W$48-Geometria!$W$47)+(2*ABS(Geometria!$V$45))*(($L$14*K293)-(Geometria!$W$48-Geometria!$W$47)),IF(($L$14*K293)&lt;=(Geometria!$W$48-Geometria!$W$42),(2*ABS(Geometria!$V$48))*(Geometria!$W$48-Geometria!$W$47)+(2*ABS(Geometria!$V$45))*((Geometria!$W$48-Geometria!$W$44)-(Geometria!$W$48-Geometria!$W$47))+(2*ABS(Geometria!$V$42))*(($L$14*K293)-(Geometria!$W$48-Geometria!$W$44)),IF(($L$14*K293)&lt;=(Geometria!$W$48-Geometria!$W$41),(2*ABS(Geometria!$V$48))*(Geometria!$W$48-Geometria!$W$47)+(2*ABS(Geometria!$V$45))*((Geometria!$W$48-Geometria!$W$44)-(Geometria!$W$48-Geometria!$W$47))+(2*ABS(Geometria!$V$42))*((Geometria!$W$48-Geometria!$W$42)-(Geometria!$W$48-Geometria!$W$44))+((2*ABS(Geometria!$V$42))+((2*ABS(Geometria!$V$42))+((2*ABS(Geometria!$V$41))-(2*ABS(Geometria!$V$42)))*(($L$14*K293)-(Geometria!$W$48-Geometria!$W$42))/((Geometria!$W$48-Geometria!$W$41)-(Geometria!$W$48-Geometria!$W$42))))/2*(($L$14*K293)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293)-(Geometria!$W$48-Geometria!$W$41))))))*$L$18+$L$198*IF(($L$14*K293)&lt;=(Geometria!$W$48-Geometria!$W$47),2*ABS(Geometria!$V$48)*($L$14*K293),2*ABS(Geometria!$V$48)*(Geometria!$W$48-Geometria!$W$47)+2*ABS(Geometria!$V$45)*(MIN(($L$14*K293),(Geometria!$W$48-Geometria!$W$44))-(Geometria!$W$48-Geometria!$W$47)))</f>
        <v>5923.96277085902</v>
      </c>
      <c r="M293" s="622">
        <f t="shared" si="58"/>
        <v>2.0158700288545983</v>
      </c>
      <c r="N293" s="622">
        <f t="shared" ca="1" si="59"/>
        <v>255.21882182913063</v>
      </c>
      <c r="O293" s="622">
        <f t="shared" si="60"/>
        <v>0.2849705181282145</v>
      </c>
      <c r="P293" s="622">
        <f t="shared" ca="1" si="61"/>
        <v>144.31454181407588</v>
      </c>
      <c r="Q293" s="622">
        <f t="shared" ca="1" si="62"/>
        <v>5.322978138605445</v>
      </c>
      <c r="R293">
        <f t="shared" ca="1" si="63"/>
        <v>106.45956277210891</v>
      </c>
      <c r="S293" s="622">
        <f t="shared" ca="1" si="64"/>
        <v>1083.9519118614724</v>
      </c>
      <c r="T293" s="622">
        <f t="shared" ca="1" si="65"/>
        <v>3.3615838811276366</v>
      </c>
      <c r="U293">
        <f t="shared" ca="1" si="66"/>
        <v>67.23167762255272</v>
      </c>
      <c r="V293" s="622">
        <f t="shared" ca="1" si="67"/>
        <v>0.0</v>
      </c>
      <c r="W293" s="622">
        <f t="shared" ca="1" si="68"/>
        <v>4950.915139012602</v>
      </c>
    </row>
    <row r="294" spans="11:23" x14ac:dyDescent="0.25">
      <c r="K294" s="622">
        <f>$L$199+90*$L$201</f>
        <v>80.6</v>
      </c>
      <c r="L294" s="622">
        <f>IF(($L$14*K294)&lt;=(Geometria!$W$48-Geometria!$W$47),(2*ABS(Geometria!$V$48))*($L$14*K294),IF(($L$14*K294)&lt;=(Geometria!$W$48-Geometria!$W$44),(2*ABS(Geometria!$V$48))*(Geometria!$W$48-Geometria!$W$47)+(2*ABS(Geometria!$V$45))*(($L$14*K294)-(Geometria!$W$48-Geometria!$W$47)),IF(($L$14*K294)&lt;=(Geometria!$W$48-Geometria!$W$42),(2*ABS(Geometria!$V$48))*(Geometria!$W$48-Geometria!$W$47)+(2*ABS(Geometria!$V$45))*((Geometria!$W$48-Geometria!$W$44)-(Geometria!$W$48-Geometria!$W$47))+(2*ABS(Geometria!$V$42))*(($L$14*K294)-(Geometria!$W$48-Geometria!$W$44)),IF(($L$14*K294)&lt;=(Geometria!$W$48-Geometria!$W$41),(2*ABS(Geometria!$V$48))*(Geometria!$W$48-Geometria!$W$47)+(2*ABS(Geometria!$V$45))*((Geometria!$W$48-Geometria!$W$44)-(Geometria!$W$48-Geometria!$W$47))+(2*ABS(Geometria!$V$42))*((Geometria!$W$48-Geometria!$W$42)-(Geometria!$W$48-Geometria!$W$44))+((2*ABS(Geometria!$V$42))+((2*ABS(Geometria!$V$42))+((2*ABS(Geometria!$V$41))-(2*ABS(Geometria!$V$42)))*(($L$14*K294)-(Geometria!$W$48-Geometria!$W$42))/((Geometria!$W$48-Geometria!$W$41)-(Geometria!$W$48-Geometria!$W$42))))/2*(($L$14*K294)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294)-(Geometria!$W$48-Geometria!$W$41))))))*$L$18+$L$198*IF(($L$14*K294)&lt;=(Geometria!$W$48-Geometria!$W$47),2*ABS(Geometria!$V$48)*($L$14*K294),2*ABS(Geometria!$V$48)*(Geometria!$W$48-Geometria!$W$47)+2*ABS(Geometria!$V$45)*(MIN(($L$14*K294),(Geometria!$W$48-Geometria!$W$44))-(Geometria!$W$48-Geometria!$W$47)))</f>
        <v>5984.157547189785</v>
      </c>
      <c r="M294" s="622">
        <f t="shared" si="58"/>
        <v>2.032258064516129</v>
      </c>
      <c r="N294" s="622">
        <f t="shared" ca="1" si="59"/>
        <v>257.2936258064516</v>
      </c>
      <c r="O294" s="622">
        <f t="shared" si="60"/>
        <v>0.24317617866005</v>
      </c>
      <c r="P294" s="622">
        <f t="shared" ca="1" si="61"/>
        <v>123.1490858560796</v>
      </c>
      <c r="Q294" s="622">
        <f t="shared" ca="1" si="62"/>
        <v>5.284795954926583</v>
      </c>
      <c r="R294">
        <f t="shared" ca="1" si="63"/>
        <v>105.69591909853166</v>
      </c>
      <c r="S294" s="622">
        <f t="shared" ca="1" si="64"/>
        <v>1076.1766308214133</v>
      </c>
      <c r="T294" s="622">
        <f t="shared" ca="1" si="65"/>
        <v>3.347038287345213</v>
      </c>
      <c r="U294">
        <f t="shared" ca="1" si="66"/>
        <v>66.94076574690425</v>
      </c>
      <c r="V294" s="622">
        <f t="shared" ca="1" si="67"/>
        <v>0.0</v>
      </c>
      <c r="W294" s="622">
        <f t="shared" ca="1" si="68"/>
        <v>5042.125456318745</v>
      </c>
    </row>
    <row r="295" spans="11:23" x14ac:dyDescent="0.25">
      <c r="K295" s="622">
        <f>$L$199+91*$L$201</f>
        <v>81.49</v>
      </c>
      <c r="L295" s="622">
        <f>IF(($L$14*K295)&lt;=(Geometria!$W$48-Geometria!$W$47),(2*ABS(Geometria!$V$48))*($L$14*K295),IF(($L$14*K295)&lt;=(Geometria!$W$48-Geometria!$W$44),(2*ABS(Geometria!$V$48))*(Geometria!$W$48-Geometria!$W$47)+(2*ABS(Geometria!$V$45))*(($L$14*K295)-(Geometria!$W$48-Geometria!$W$47)),IF(($L$14*K295)&lt;=(Geometria!$W$48-Geometria!$W$42),(2*ABS(Geometria!$V$48))*(Geometria!$W$48-Geometria!$W$47)+(2*ABS(Geometria!$V$45))*((Geometria!$W$48-Geometria!$W$44)-(Geometria!$W$48-Geometria!$W$47))+(2*ABS(Geometria!$V$42))*(($L$14*K295)-(Geometria!$W$48-Geometria!$W$44)),IF(($L$14*K295)&lt;=(Geometria!$W$48-Geometria!$W$41),(2*ABS(Geometria!$V$48))*(Geometria!$W$48-Geometria!$W$47)+(2*ABS(Geometria!$V$45))*((Geometria!$W$48-Geometria!$W$44)-(Geometria!$W$48-Geometria!$W$47))+(2*ABS(Geometria!$V$42))*((Geometria!$W$48-Geometria!$W$42)-(Geometria!$W$48-Geometria!$W$44))+((2*ABS(Geometria!$V$42))+((2*ABS(Geometria!$V$42))+((2*ABS(Geometria!$V$41))-(2*ABS(Geometria!$V$42)))*(($L$14*K295)-(Geometria!$W$48-Geometria!$W$42))/((Geometria!$W$48-Geometria!$W$41)-(Geometria!$W$48-Geometria!$W$42))))/2*(($L$14*K295)-(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295)-(Geometria!$W$48-Geometria!$W$41))))))*$L$18+$L$198*IF(($L$14*K295)&lt;=(Geometria!$W$48-Geometria!$W$47),2*ABS(Geometria!$V$48)*($L$14*K295),2*ABS(Geometria!$V$48)*(Geometria!$W$48-Geometria!$W$47)+2*ABS(Geometria!$V$45)*(MIN(($L$14*K295),(Geometria!$W$48-Geometria!$W$44))-(Geometria!$W$48-Geometria!$W$47)))</f>
        <v>6044.352323520552</v>
      </c>
      <c r="M295" s="622">
        <f t="shared" si="58"/>
        <v>2.0482881335133145</v>
      </c>
      <c r="N295" s="622">
        <f t="shared" ca="1" si="59"/>
        <v>259.3231094858265</v>
      </c>
      <c r="O295" s="622">
        <f t="shared" si="60"/>
        <v>0.20229476009326333</v>
      </c>
      <c r="P295" s="622">
        <f t="shared" ca="1" si="61"/>
        <v>102.44595057062233</v>
      </c>
      <c r="Q295" s="622">
        <f t="shared" ca="1" si="62"/>
        <v>5.247447791212726</v>
      </c>
      <c r="R295">
        <f t="shared" ca="1" si="63"/>
        <v>104.94895582425451</v>
      </c>
      <c r="S295" s="622">
        <f t="shared" ca="1" si="64"/>
        <v>1068.5711865742276</v>
      </c>
      <c r="T295" s="622">
        <f t="shared" ca="1" si="65"/>
        <v>3.3328104154542197</v>
      </c>
      <c r="U295">
        <f t="shared" ca="1" si="66"/>
        <v>66.6562083090844</v>
      </c>
      <c r="V295" s="622">
        <f t="shared" ca="1" si="67"/>
        <v>0.0</v>
      </c>
      <c r="W295" s="622">
        <f t="shared" ca="1" si="68"/>
        <v>5132.658295861528</v>
      </c>
    </row>
    <row r="296" spans="11:23" x14ac:dyDescent="0.25">
      <c r="K296" s="622">
        <f>$L$199+92*$L$201</f>
        <v>82.38</v>
      </c>
      <c r="L296" s="622">
        <f>IF(($L$14*K296)&lt;=(Geometria!$W$48-Geometria!$W$47),(2*ABS(Geometria!$V$48))*($L$14*K296),IF(($L$14*K296)&lt;=(Geometria!$W$48-Geometria!$W$44),(2*ABS(Geometria!$V$48))*(Geometria!$W$48-Geometria!$W$47)+(2*ABS(Geometria!$V$45))*(($L$14*K296)-(Geometria!$W$48-Geometria!$W$47)),IF(($L$14*K296)&lt;=(Geometria!$W$48-Geometria!$W$42),(2*ABS(Geometria!$V$48))*(Geometria!$W$48-Geometria!$W$47)+(2*ABS(Geometria!$V$45))*((Geometria!$W$48-Geometria!$W$44)-(Geometria!$W$48-Geometria!$W$47))+(2*ABS(Geometria!$V$42))*(($L$14*K296)-(Geometria!$W$48-Geometria!$W$44)),IF(($L$14*K296)&lt;=(Geometria!$W$48-Geometria!$W$41),(2*ABS(Geometria!$V$48))*(Geometria!$W$48-Geometria!$W$47)+(2*ABS(Geometria!$V$45))*((Geometria!$W$48-Geometria!$W$44)-(Geometria!$W$48-Geometria!$W$47))+(2*ABS(Geometria!$V$42))*((Geometria!$W$48-Geometria!$W$42)-(Geometria!$W$48-Geometria!$W$44))+((2*ABS(Geometria!$V$42))+((2*ABS(Geometria!$V$42))+((2*ABS(Geometria!$V$41))-(2*ABS(Geometria!$V$42)))*(($L$14*K296)-(Geometria!$W$48-Geometria!$W$42))/((Geometria!$W$48-Geometria!$W$41)-(Geometria!$W$48-Geometria!$W$42))))/2*(($L$14*K296)-(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296)-(Geometria!$W$48-Geometria!$W$41))))))*$L$18+$L$198*IF(($L$14*K296)&lt;=(Geometria!$W$48-Geometria!$W$47),2*ABS(Geometria!$V$48)*($L$14*K296),2*ABS(Geometria!$V$48)*(Geometria!$W$48-Geometria!$W$47)+2*ABS(Geometria!$V$45)*(MIN(($L$14*K296),(Geometria!$W$48-Geometria!$W$44))-(Geometria!$W$48-Geometria!$W$47)))</f>
        <v>6104.547099851321</v>
      </c>
      <c r="M296" s="622">
        <f t="shared" si="58"/>
        <v>2.063971837824715</v>
      </c>
      <c r="N296" s="622">
        <f t="shared" ca="1" si="59"/>
        <v>261.3087417334305</v>
      </c>
      <c r="O296" s="622">
        <f t="shared" si="60"/>
        <v>0.16229667394998817</v>
      </c>
      <c r="P296" s="622">
        <f t="shared" ca="1" si="61"/>
        <v>82.19015178441387</v>
      </c>
      <c r="Q296" s="622">
        <f t="shared" ca="1" si="62"/>
        <v>5.210906616226845</v>
      </c>
      <c r="R296">
        <f t="shared" ca="1" si="63"/>
        <v>104.2181323245369</v>
      </c>
      <c r="S296" s="622">
        <f t="shared" ca="1" si="64"/>
        <v>1061.1300745771027</v>
      </c>
      <c r="T296" s="622">
        <f t="shared" ca="1" si="65"/>
        <v>3.318889967840551</v>
      </c>
      <c r="U296">
        <f t="shared" ca="1" si="66"/>
        <v>66.37779935681102</v>
      </c>
      <c r="V296" s="622">
        <f t="shared" ca="1" si="67"/>
        <v>0.0</v>
      </c>
      <c r="W296" s="622">
        <f t="shared" ca="1" si="68"/>
        <v>5222.535615223236</v>
      </c>
    </row>
    <row r="297" spans="11:23" x14ac:dyDescent="0.25">
      <c r="K297" s="622">
        <f>$L$199+93*$L$201</f>
        <v>83.27</v>
      </c>
      <c r="L297" s="622">
        <f>IF(($L$14*K297)&lt;=(Geometria!$W$48-Geometria!$W$47),(2*ABS(Geometria!$V$48))*($L$14*K297),IF(($L$14*K297)&lt;=(Geometria!$W$48-Geometria!$W$44),(2*ABS(Geometria!$V$48))*(Geometria!$W$48-Geometria!$W$47)+(2*ABS(Geometria!$V$45))*(($L$14*K297)-(Geometria!$W$48-Geometria!$W$47)),IF(($L$14*K297)&lt;=(Geometria!$W$48-Geometria!$W$42),(2*ABS(Geometria!$V$48))*(Geometria!$W$48-Geometria!$W$47)+(2*ABS(Geometria!$V$45))*((Geometria!$W$48-Geometria!$W$44)-(Geometria!$W$48-Geometria!$W$47))+(2*ABS(Geometria!$V$42))*(($L$14*K297)-(Geometria!$W$48-Geometria!$W$44)),IF(($L$14*K297)&lt;=(Geometria!$W$48-Geometria!$W$41),(2*ABS(Geometria!$V$48))*(Geometria!$W$48-Geometria!$W$47)+(2*ABS(Geometria!$V$45))*((Geometria!$W$48-Geometria!$W$44)-(Geometria!$W$48-Geometria!$W$47))+(2*ABS(Geometria!$V$42))*((Geometria!$W$48-Geometria!$W$42)-(Geometria!$W$48-Geometria!$W$44))+((2*ABS(Geometria!$V$42))+((2*ABS(Geometria!$V$42))+((2*ABS(Geometria!$V$41))-(2*ABS(Geometria!$V$42)))*(($L$14*K297)-(Geometria!$W$48-Geometria!$W$42))/((Geometria!$W$48-Geometria!$W$41)-(Geometria!$W$48-Geometria!$W$42))))/2*(($L$14*K297)-(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297)-(Geometria!$W$48-Geometria!$W$41))))))*$L$18+$L$198*IF(($L$14*K297)&lt;=(Geometria!$W$48-Geometria!$W$47),2*ABS(Geometria!$V$48)*($L$14*K297),2*ABS(Geometria!$V$48)*(Geometria!$W$48-Geometria!$W$47)+2*ABS(Geometria!$V$45)*(MIN(($L$14*K297),(Geometria!$W$48-Geometria!$W$44))-(Geometria!$W$48-Geometria!$W$47)))</f>
        <v>6164.741876182086</v>
      </c>
      <c r="M297" s="622">
        <f t="shared" si="58"/>
        <v>2.0793202834153957</v>
      </c>
      <c r="N297" s="622">
        <f t="shared" ca="1" si="59"/>
        <v>263.2519286177495</v>
      </c>
      <c r="O297" s="622">
        <f t="shared" si="60"/>
        <v>0.12315359673351776</v>
      </c>
      <c r="P297" s="622">
        <f t="shared" ca="1" si="61"/>
        <v>62.36734593491068</v>
      </c>
      <c r="Q297" s="622">
        <f t="shared" ca="1" si="62"/>
        <v>5.175146554384652</v>
      </c>
      <c r="R297">
        <f t="shared" ca="1" si="63"/>
        <v>103.50293108769304</v>
      </c>
      <c r="S297" s="622">
        <f t="shared" ca="1" si="64"/>
        <v>1053.8480256201472</v>
      </c>
      <c r="T297" s="622">
        <f t="shared" ca="1" si="65"/>
        <v>3.3052670871387626</v>
      </c>
      <c r="U297">
        <f t="shared" ca="1" si="66"/>
        <v>66.10534174277525</v>
      </c>
      <c r="V297" s="622">
        <f t="shared" ca="1" si="67"/>
        <v>0.0</v>
      </c>
      <c r="W297" s="622">
        <f t="shared" ca="1" si="68"/>
        <v>5311.778433244777</v>
      </c>
    </row>
    <row r="298" spans="11:23" x14ac:dyDescent="0.25">
      <c r="K298" s="622">
        <f>$L$199+94*$L$201</f>
        <v>84.16</v>
      </c>
      <c r="L298" s="622">
        <f>IF(($L$14*K298)&lt;=(Geometria!$W$48-Geometria!$W$47),(2*ABS(Geometria!$V$48))*($L$14*K298),IF(($L$14*K298)&lt;=(Geometria!$W$48-Geometria!$W$44),(2*ABS(Geometria!$V$48))*(Geometria!$W$48-Geometria!$W$47)+(2*ABS(Geometria!$V$45))*(($L$14*K298)-(Geometria!$W$48-Geometria!$W$47)),IF(($L$14*K298)&lt;=(Geometria!$W$48-Geometria!$W$42),(2*ABS(Geometria!$V$48))*(Geometria!$W$48-Geometria!$W$47)+(2*ABS(Geometria!$V$45))*((Geometria!$W$48-Geometria!$W$44)-(Geometria!$W$48-Geometria!$W$47))+(2*ABS(Geometria!$V$42))*(($L$14*K298)-(Geometria!$W$48-Geometria!$W$44)),IF(($L$14*K298)&lt;=(Geometria!$W$48-Geometria!$W$41),(2*ABS(Geometria!$V$48))*(Geometria!$W$48-Geometria!$W$47)+(2*ABS(Geometria!$V$45))*((Geometria!$W$48-Geometria!$W$44)-(Geometria!$W$48-Geometria!$W$47))+(2*ABS(Geometria!$V$42))*((Geometria!$W$48-Geometria!$W$42)-(Geometria!$W$48-Geometria!$W$44))+((2*ABS(Geometria!$V$42))+((2*ABS(Geometria!$V$42))+((2*ABS(Geometria!$V$41))-(2*ABS(Geometria!$V$42)))*(($L$14*K298)-(Geometria!$W$48-Geometria!$W$42))/((Geometria!$W$48-Geometria!$W$41)-(Geometria!$W$48-Geometria!$W$42))))/2*(($L$14*K298)-(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298)-(Geometria!$W$48-Geometria!$W$41))))))*$L$18+$L$198*IF(($L$14*K298)&lt;=(Geometria!$W$48-Geometria!$W$47),2*ABS(Geometria!$V$48)*($L$14*K298),2*ABS(Geometria!$V$48)*(Geometria!$W$48-Geometria!$W$47)+2*ABS(Geometria!$V$45)*(MIN(($L$14*K298),(Geometria!$W$48-Geometria!$W$44))-(Geometria!$W$48-Geometria!$W$47)))</f>
        <v>6224.936652512855</v>
      </c>
      <c r="M298" s="622">
        <f t="shared" si="58"/>
        <v>2.094344106463878</v>
      </c>
      <c r="N298" s="622">
        <f t="shared" ca="1" si="59"/>
        <v>265.15401673003805</v>
      </c>
      <c r="O298" s="622">
        <f t="shared" si="60"/>
        <v>0.08483840304182536</v>
      </c>
      <c r="P298" s="622">
        <f t="shared" ca="1" si="61"/>
        <v>42.96379619771877</v>
      </c>
      <c r="Q298" s="622">
        <f t="shared" ca="1" si="62"/>
        <v>5.140142824648912</v>
      </c>
      <c r="R298">
        <f t="shared" ca="1" si="63"/>
        <v>102.80285649297824</v>
      </c>
      <c r="S298" s="622">
        <f t="shared" ca="1" si="64"/>
        <v>1046.719993383051</v>
      </c>
      <c r="T298" s="622">
        <f t="shared" ca="1" si="65"/>
        <v>3.291932332953719</v>
      </c>
      <c r="U298">
        <f t="shared" ca="1" si="66"/>
        <v>65.83864665907439</v>
      </c>
      <c r="V298" s="622">
        <f t="shared" ca="1" si="67"/>
        <v>0.0</v>
      </c>
      <c r="W298" s="622">
        <f t="shared" ca="1" si="68"/>
        <v>5400.406879662124</v>
      </c>
    </row>
    <row r="299" spans="11:23" x14ac:dyDescent="0.25">
      <c r="K299" s="622">
        <f>$L$199+95*$L$201</f>
        <v>85.05</v>
      </c>
      <c r="L299" s="622">
        <f>IF(($L$14*K299)&lt;=(Geometria!$W$48-Geometria!$W$47),(2*ABS(Geometria!$V$48))*($L$14*K299),IF(($L$14*K299)&lt;=(Geometria!$W$48-Geometria!$W$44),(2*ABS(Geometria!$V$48))*(Geometria!$W$48-Geometria!$W$47)+(2*ABS(Geometria!$V$45))*(($L$14*K299)-(Geometria!$W$48-Geometria!$W$47)),IF(($L$14*K299)&lt;=(Geometria!$W$48-Geometria!$W$42),(2*ABS(Geometria!$V$48))*(Geometria!$W$48-Geometria!$W$47)+(2*ABS(Geometria!$V$45))*((Geometria!$W$48-Geometria!$W$44)-(Geometria!$W$48-Geometria!$W$47))+(2*ABS(Geometria!$V$42))*(($L$14*K299)-(Geometria!$W$48-Geometria!$W$44)),IF(($L$14*K299)&lt;=(Geometria!$W$48-Geometria!$W$41),(2*ABS(Geometria!$V$48))*(Geometria!$W$48-Geometria!$W$47)+(2*ABS(Geometria!$V$45))*((Geometria!$W$48-Geometria!$W$44)-(Geometria!$W$48-Geometria!$W$47))+(2*ABS(Geometria!$V$42))*((Geometria!$W$48-Geometria!$W$42)-(Geometria!$W$48-Geometria!$W$44))+((2*ABS(Geometria!$V$42))+((2*ABS(Geometria!$V$42))+((2*ABS(Geometria!$V$41))-(2*ABS(Geometria!$V$42)))*(($L$14*K299)-(Geometria!$W$48-Geometria!$W$42))/((Geometria!$W$48-Geometria!$W$41)-(Geometria!$W$48-Geometria!$W$42))))/2*(($L$14*K299)-(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299)-(Geometria!$W$48-Geometria!$W$41))))))*$L$18+$L$198*IF(($L$14*K299)&lt;=(Geometria!$W$48-Geometria!$W$47),2*ABS(Geometria!$V$48)*($L$14*K299),2*ABS(Geometria!$V$48)*(Geometria!$W$48-Geometria!$W$47)+2*ABS(Geometria!$V$45)*(MIN(($L$14*K299),(Geometria!$W$48-Geometria!$W$44))-(Geometria!$W$48-Geometria!$W$47)))</f>
        <v>6285.131428843621</v>
      </c>
      <c r="M299" s="622">
        <f t="shared" si="58"/>
        <v>2.1090534979423867</v>
      </c>
      <c r="N299" s="622">
        <f t="shared" ca="1" si="59"/>
        <v>267.0162962962963</v>
      </c>
      <c r="O299" s="622">
        <f t="shared" si="60"/>
        <v>0.04732510288065867</v>
      </c>
      <c r="P299" s="622">
        <f t="shared" ca="1" si="61"/>
        <v>23.966340740740865</v>
      </c>
      <c r="Q299" s="622">
        <f t="shared" ca="1" si="62"/>
        <v>5.105871683260375</v>
      </c>
      <c r="R299">
        <f t="shared" ca="1" si="63"/>
        <v>102.11743366520749</v>
      </c>
      <c r="S299" s="622">
        <f t="shared" ca="1" si="64"/>
        <v>1039.7411427730215</v>
      </c>
      <c r="T299" s="622">
        <f t="shared" ca="1" si="65"/>
        <v>3.2788766600438004</v>
      </c>
      <c r="U299">
        <f t="shared" ca="1" si="66"/>
        <v>65.577533200876</v>
      </c>
      <c r="V299" s="622">
        <f t="shared" ca="1" si="67"/>
        <v>0.0</v>
      </c>
      <c r="W299" s="622">
        <f t="shared" ca="1" si="68"/>
        <v>5488.440241626155</v>
      </c>
    </row>
    <row r="300" spans="11:23" x14ac:dyDescent="0.25">
      <c r="K300" s="622">
        <f>$L$199+96*$L$201</f>
        <v>85.94</v>
      </c>
      <c r="L300" s="622">
        <f>IF(($L$14*K300)&lt;=(Geometria!$W$48-Geometria!$W$47),(2*ABS(Geometria!$V$48))*($L$14*K300),IF(($L$14*K300)&lt;=(Geometria!$W$48-Geometria!$W$44),(2*ABS(Geometria!$V$48))*(Geometria!$W$48-Geometria!$W$47)+(2*ABS(Geometria!$V$45))*(($L$14*K300)-(Geometria!$W$48-Geometria!$W$47)),IF(($L$14*K300)&lt;=(Geometria!$W$48-Geometria!$W$42),(2*ABS(Geometria!$V$48))*(Geometria!$W$48-Geometria!$W$47)+(2*ABS(Geometria!$V$45))*((Geometria!$W$48-Geometria!$W$44)-(Geometria!$W$48-Geometria!$W$47))+(2*ABS(Geometria!$V$42))*(($L$14*K300)-(Geometria!$W$48-Geometria!$W$44)),IF(($L$14*K300)&lt;=(Geometria!$W$48-Geometria!$W$41),(2*ABS(Geometria!$V$48))*(Geometria!$W$48-Geometria!$W$47)+(2*ABS(Geometria!$V$45))*((Geometria!$W$48-Geometria!$W$44)-(Geometria!$W$48-Geometria!$W$47))+(2*ABS(Geometria!$V$42))*((Geometria!$W$48-Geometria!$W$42)-(Geometria!$W$48-Geometria!$W$44))+((2*ABS(Geometria!$V$42))+((2*ABS(Geometria!$V$42))+((2*ABS(Geometria!$V$41))-(2*ABS(Geometria!$V$42)))*(($L$14*K300)-(Geometria!$W$48-Geometria!$W$42))/((Geometria!$W$48-Geometria!$W$41)-(Geometria!$W$48-Geometria!$W$42))))/2*(($L$14*K300)-(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300)-(Geometria!$W$48-Geometria!$W$41))))))*$L$18+$L$198*IF(($L$14*K300)&lt;=(Geometria!$W$48-Geometria!$W$47),2*ABS(Geometria!$V$48)*($L$14*K300),2*ABS(Geometria!$V$48)*(Geometria!$W$48-Geometria!$W$47)+2*ABS(Geometria!$V$45)*(MIN(($L$14*K300),(Geometria!$W$48-Geometria!$W$44))-(Geometria!$W$48-Geometria!$W$47)))</f>
        <v>6345.326205174386</v>
      </c>
      <c r="M300" s="622">
        <f t="shared" si="58"/>
        <v>2.12345822666977</v>
      </c>
      <c r="N300" s="622">
        <f ca="1">$L$25*(SIGN(M300)*MIN(ABS(M300)*$L$10/1000,$L$11))/10</f>
        <v>268.8400040958809</v>
      </c>
      <c r="O300" s="622">
        <f t="shared" si="60"/>
        <v>0.010588782871771212</v>
      </c>
      <c r="P300" s="622">
        <f ca="1">$L$30*(SIGN(O300)*MIN(ABS(O300)*$L$10/1000,$L$11))/10</f>
        <v>5.36236295089608</v>
      </c>
      <c r="Q300" s="622">
        <f t="shared" ca="1" si="62"/>
        <v>5.072310370027198</v>
      </c>
      <c r="R300">
        <f ca="1">SIGN(Q300)*IF(ABS(Q300)&lt;=$Z$12,$Z$9*ABS(Q300)/1000,IF(ABS(Q300)&lt;=$Z$13,$Z$10+($Z$11-$Z$10)*(ABS(Q300)-$Z$12)/($Z$13-$Z$12),$Z$11))/10</f>
        <v>101.44620740054395</v>
      </c>
      <c r="S300" s="622">
        <f ca="1">$L$34*(R300/$L$9)</f>
        <v>1032.9068389873564</v>
      </c>
      <c r="T300" s="622">
        <f t="shared" ca="1" si="65"/>
        <v>3.2660913978597326</v>
      </c>
      <c r="U300">
        <f ca="1">SIGN(T300)*IF(ABS(T300)&lt;=$Z$12,$Z$9*ABS(T300)/1000,IF(ABS(T300)&lt;=$Z$13,$Z$10+($Z$11-$Z$10)*(ABS(T300)-$Z$12)/($Z$13-$Z$12),$Z$11))/10</f>
        <v>65.32182795719464</v>
      </c>
      <c r="V300" s="622">
        <f ca="1">$L$39*(U300/$L$9)</f>
        <v>0.0</v>
      </c>
      <c r="W300" s="622">
        <f ca="1">L300+N300-P300-S300-V300</f>
        <v>5575.897007332014</v>
      </c>
    </row>
    <row r="301" spans="11:23" x14ac:dyDescent="0.25">
      <c r="K301" s="622">
        <f>$L$199+97*$L$201</f>
        <v>86.83</v>
      </c>
      <c r="L301" s="622">
        <f>IF(($L$14*K301)&lt;=(Geometria!$W$48-Geometria!$W$47),(2*ABS(Geometria!$V$48))*($L$14*K301),IF(($L$14*K301)&lt;=(Geometria!$W$48-Geometria!$W$44),(2*ABS(Geometria!$V$48))*(Geometria!$W$48-Geometria!$W$47)+(2*ABS(Geometria!$V$45))*(($L$14*K301)-(Geometria!$W$48-Geometria!$W$47)),IF(($L$14*K301)&lt;=(Geometria!$W$48-Geometria!$W$42),(2*ABS(Geometria!$V$48))*(Geometria!$W$48-Geometria!$W$47)+(2*ABS(Geometria!$V$45))*((Geometria!$W$48-Geometria!$W$44)-(Geometria!$W$48-Geometria!$W$47))+(2*ABS(Geometria!$V$42))*(($L$14*K301)-(Geometria!$W$48-Geometria!$W$44)),IF(($L$14*K301)&lt;=(Geometria!$W$48-Geometria!$W$41),(2*ABS(Geometria!$V$48))*(Geometria!$W$48-Geometria!$W$47)+(2*ABS(Geometria!$V$45))*((Geometria!$W$48-Geometria!$W$44)-(Geometria!$W$48-Geometria!$W$47))+(2*ABS(Geometria!$V$42))*((Geometria!$W$48-Geometria!$W$42)-(Geometria!$W$48-Geometria!$W$44))+((2*ABS(Geometria!$V$42))+((2*ABS(Geometria!$V$42))+((2*ABS(Geometria!$V$41))-(2*ABS(Geometria!$V$42)))*(($L$14*K301)-(Geometria!$W$48-Geometria!$W$42))/((Geometria!$W$48-Geometria!$W$41)-(Geometria!$W$48-Geometria!$W$42))))/2*(($L$14*K301)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301)-(Geometria!$W$48-Geometria!$W$41))))))*$L$18+$L$198*IF(($L$14*K301)&lt;=(Geometria!$W$48-Geometria!$W$47),2*ABS(Geometria!$V$48)*($L$14*K301),2*ABS(Geometria!$V$48)*(Geometria!$W$48-Geometria!$W$47)+2*ABS(Geometria!$V$45)*(MIN(($L$14*K301),(Geometria!$W$48-Geometria!$W$44))-(Geometria!$W$48-Geometria!$W$47)))</f>
        <v>6405.520981505153</v>
      </c>
      <c r="M301" s="622">
        <f t="shared" si="58"/>
        <v>2.1375676609466776</v>
      </c>
      <c r="N301" s="622">
        <f ca="1">$L$25*(SIGN(M301)*MIN(ABS(M301)*$L$10/1000,$L$11))/10</f>
        <v>270.6263262006219</v>
      </c>
      <c r="O301" s="622">
        <f t="shared" si="60"/>
        <v>-0.025394448923183047</v>
      </c>
      <c r="P301" s="622">
        <f ca="1">$L$30*(SIGN(O301)*MIN(ABS(O301)*$L$10/1000,$L$11))/10</f>
        <v>-12.86023650811922</v>
      </c>
      <c r="Q301" s="622">
        <f t="shared" ca="1" si="62"/>
        <v>5.039437057917539</v>
      </c>
      <c r="R301">
        <f ca="1">SIGN(Q301)*IF(ABS(Q301)&lt;=$Z$12,$Z$9*ABS(Q301)/1000,IF(ABS(Q301)&lt;=$Z$13,$Z$10+($Z$11-$Z$10)*(ABS(Q301)-$Z$12)/($Z$13-$Z$12),$Z$11))/10</f>
        <v>100.78874115835077</v>
      </c>
      <c r="S301" s="622">
        <f ca="1">$L$34*(R301/$L$9)</f>
        <v>1026.2126372486623</v>
      </c>
      <c r="T301" s="622">
        <f t="shared" ca="1" si="65"/>
        <v>3.253568231341767</v>
      </c>
      <c r="U301">
        <f ca="1">SIGN(T301)*IF(ABS(T301)&lt;=$Z$12,$Z$9*ABS(T301)/1000,IF(ABS(T301)&lt;=$Z$13,$Z$10+($Z$11-$Z$10)*(ABS(T301)-$Z$12)/($Z$13-$Z$12),$Z$11))/10</f>
        <v>65.07136462683535</v>
      </c>
      <c r="V301" s="622">
        <f ca="1">$L$39*(U301/$L$9)</f>
        <v>0.0</v>
      </c>
      <c r="W301" s="622">
        <f ca="1">L301+N301-P301-S301-V301</f>
        <v>5662.794906965233</v>
      </c>
    </row>
    <row r="302" spans="11:23" x14ac:dyDescent="0.25">
      <c r="K302" s="622">
        <f>$L$199+98*$L$201</f>
        <v>87.72</v>
      </c>
      <c r="L302" s="622">
        <f>IF(($L$14*K302)&lt;=(Geometria!$W$48-Geometria!$W$47),(2*ABS(Geometria!$V$48))*($L$14*K302),IF(($L$14*K302)&lt;=(Geometria!$W$48-Geometria!$W$44),(2*ABS(Geometria!$V$48))*(Geometria!$W$48-Geometria!$W$47)+(2*ABS(Geometria!$V$45))*(($L$14*K302)-(Geometria!$W$48-Geometria!$W$47)),IF(($L$14*K302)&lt;=(Geometria!$W$48-Geometria!$W$42),(2*ABS(Geometria!$V$48))*(Geometria!$W$48-Geometria!$W$47)+(2*ABS(Geometria!$V$45))*((Geometria!$W$48-Geometria!$W$44)-(Geometria!$W$48-Geometria!$W$47))+(2*ABS(Geometria!$V$42))*(($L$14*K302)-(Geometria!$W$48-Geometria!$W$44)),IF(($L$14*K302)&lt;=(Geometria!$W$48-Geometria!$W$41),(2*ABS(Geometria!$V$48))*(Geometria!$W$48-Geometria!$W$47)+(2*ABS(Geometria!$V$45))*((Geometria!$W$48-Geometria!$W$44)-(Geometria!$W$48-Geometria!$W$47))+(2*ABS(Geometria!$V$42))*((Geometria!$W$48-Geometria!$W$42)-(Geometria!$W$48-Geometria!$W$44))+((2*ABS(Geometria!$V$42))+((2*ABS(Geometria!$V$42))+((2*ABS(Geometria!$V$41))-(2*ABS(Geometria!$V$42)))*(($L$14*K302)-(Geometria!$W$48-Geometria!$W$42))/((Geometria!$W$48-Geometria!$W$41)-(Geometria!$W$48-Geometria!$W$42))))/2*(($L$14*K302)-(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302)-(Geometria!$W$48-Geometria!$W$41))))))*$L$18+$L$198*IF(($L$14*K302)&lt;=(Geometria!$W$48-Geometria!$W$47),2*ABS(Geometria!$V$48)*($L$14*K302),2*ABS(Geometria!$V$48)*(Geometria!$W$48-Geometria!$W$47)+2*ABS(Geometria!$V$45)*(MIN(($L$14*K302),(Geometria!$W$48-Geometria!$W$44))-(Geometria!$W$48-Geometria!$W$47)))</f>
        <v>6465.715757835922</v>
      </c>
      <c r="M302" s="622">
        <f t="shared" si="58"/>
        <v>2.151390788873689</v>
      </c>
      <c r="N302" s="622">
        <f ca="1">$L$25*(SIGN(M302)*MIN(ABS(M302)*$L$10/1000,$L$11))/10</f>
        <v>272.37640054719566</v>
      </c>
      <c r="O302" s="622">
        <f t="shared" si="60"/>
        <v>-0.06064751481988128</v>
      </c>
      <c r="P302" s="622">
        <f ca="1">$L$30*(SIGN(O302)*MIN(ABS(O302)*$L$10/1000,$L$11))/10</f>
        <v>-30.71306593707242</v>
      </c>
      <c r="Q302" s="622">
        <f t="shared" ca="1" si="62"/>
        <v>5.007230805720729</v>
      </c>
      <c r="R302">
        <f ca="1">SIGN(Q302)*IF(ABS(Q302)&lt;=$Z$12,$Z$9*ABS(Q302)/1000,IF(ABS(Q302)&lt;=$Z$13,$Z$10+($Z$11-$Z$10)*(ABS(Q302)-$Z$12)/($Z$13-$Z$12),$Z$11))/10</f>
        <v>100.14461611441457</v>
      </c>
      <c r="S302" s="622">
        <f ca="1">$L$34*(R302/$L$9)</f>
        <v>1019.6542731649482</v>
      </c>
      <c r="T302" s="622">
        <f t="shared" ca="1" si="65"/>
        <v>3.24129918288584</v>
      </c>
      <c r="U302">
        <f ca="1">SIGN(T302)*IF(ABS(T302)&lt;=$Z$12,$Z$9*ABS(T302)/1000,IF(ABS(T302)&lt;=$Z$13,$Z$10+($Z$11-$Z$10)*(ABS(T302)-$Z$12)/($Z$13-$Z$12),$Z$11))/10</f>
        <v>64.8259836577168</v>
      </c>
      <c r="V302" s="622">
        <f ca="1">$L$39*(U302/$L$9)</f>
        <v>0.0</v>
      </c>
      <c r="W302" s="622">
        <f ca="1">L302+N302-P302-S302-V302</f>
        <v>5749.150951155242</v>
      </c>
    </row>
    <row r="303" spans="11:23" x14ac:dyDescent="0.25">
      <c r="K303" s="622">
        <f>$L$199+99*$L$201</f>
        <v>88.61</v>
      </c>
      <c r="L303" s="622">
        <f>IF(($L$14*K303)&lt;=(Geometria!$W$48-Geometria!$W$47),(2*ABS(Geometria!$V$48))*($L$14*K303),IF(($L$14*K303)&lt;=(Geometria!$W$48-Geometria!$W$44),(2*ABS(Geometria!$V$48))*(Geometria!$W$48-Geometria!$W$47)+(2*ABS(Geometria!$V$45))*(($L$14*K303)-(Geometria!$W$48-Geometria!$W$47)),IF(($L$14*K303)&lt;=(Geometria!$W$48-Geometria!$W$42),(2*ABS(Geometria!$V$48))*(Geometria!$W$48-Geometria!$W$47)+(2*ABS(Geometria!$V$45))*((Geometria!$W$48-Geometria!$W$44)-(Geometria!$W$48-Geometria!$W$47))+(2*ABS(Geometria!$V$42))*(($L$14*K303)-(Geometria!$W$48-Geometria!$W$44)),IF(($L$14*K303)&lt;=(Geometria!$W$48-Geometria!$W$41),(2*ABS(Geometria!$V$48))*(Geometria!$W$48-Geometria!$W$47)+(2*ABS(Geometria!$V$45))*((Geometria!$W$48-Geometria!$W$44)-(Geometria!$W$48-Geometria!$W$47))+(2*ABS(Geometria!$V$42))*((Geometria!$W$48-Geometria!$W$42)-(Geometria!$W$48-Geometria!$W$44))+((2*ABS(Geometria!$V$42))+((2*ABS(Geometria!$V$42))+((2*ABS(Geometria!$V$41))-(2*ABS(Geometria!$V$42)))*(($L$14*K303)-(Geometria!$W$48-Geometria!$W$42))/((Geometria!$W$48-Geometria!$W$41)-(Geometria!$W$48-Geometria!$W$42))))/2*(($L$14*K303)-(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303)-(Geometria!$W$48-Geometria!$W$41))))))*$L$18+$L$198*IF(($L$14*K303)&lt;=(Geometria!$W$48-Geometria!$W$47),2*ABS(Geometria!$V$48)*($L$14*K303),2*ABS(Geometria!$V$48)*(Geometria!$W$48-Geometria!$W$47)+2*ABS(Geometria!$V$45)*(MIN(($L$14*K303),(Geometria!$W$48-Geometria!$W$44))-(Geometria!$W$48-Geometria!$W$47)))</f>
        <v>6525.910534166689</v>
      </c>
      <c r="M303" s="622">
        <f t="shared" si="58"/>
        <v>2.1649362374449836</v>
      </c>
      <c r="N303" s="622">
        <f ca="1">$L$25*(SIGN(M303)*MIN(ABS(M303)*$L$10/1000,$L$11))/10</f>
        <v>274.03636363636366</v>
      </c>
      <c r="O303" s="622">
        <f t="shared" si="60"/>
        <v>-0.0951924162058457</v>
      </c>
      <c r="P303" s="622">
        <f ca="1">$L$30*(SIGN(O303)*MIN(ABS(O303)*$L$10/1000,$L$11))/10</f>
        <v>-48.20726726103142</v>
      </c>
      <c r="Q303" s="622">
        <f t="shared" ca="1" si="62"/>
        <v>4.975671513561277</v>
      </c>
      <c r="R303">
        <f ca="1">SIGN(Q303)*IF(ABS(Q303)&lt;=$Z$12,$Z$9*ABS(Q303)/1000,IF(ABS(Q303)&lt;=$Z$13,$Z$10+($Z$11-$Z$10)*(ABS(Q303)-$Z$12)/($Z$13-$Z$12),$Z$11))/10</f>
        <v>99.51343027122553</v>
      </c>
      <c r="S303" s="622">
        <f ca="1">$L$34*(R303/$L$9)</f>
        <v>1013.2276536706597</v>
      </c>
      <c r="T303" s="622">
        <f t="shared" ca="1" si="65"/>
        <v>3.229276595396525</v>
      </c>
      <c r="U303">
        <f ca="1">SIGN(T303)*IF(ABS(T303)&lt;=$Z$12,$Z$9*ABS(T303)/1000,IF(ABS(T303)&lt;=$Z$13,$Z$10+($Z$11-$Z$10)*(ABS(T303)-$Z$12)/($Z$13-$Z$12),$Z$11))/10</f>
        <v>64.5855319079305</v>
      </c>
      <c r="V303" s="622">
        <f ca="1">$L$39*(U303/$L$9)</f>
        <v>0.0</v>
      </c>
      <c r="W303" s="622">
        <f ca="1">L303+N303-P303-S303-V303</f>
        <v>5834.926511393424</v>
      </c>
    </row>
    <row r="304" spans="11:23" x14ac:dyDescent="0.25">
      <c r="K304" s="622">
        <f>$L$199+100*$L$201</f>
        <v>89.5</v>
      </c>
      <c r="L304" s="622">
        <f>IF(($L$14*K304)&lt;=(Geometria!$W$48-Geometria!$W$47),(2*ABS(Geometria!$V$48))*($L$14*K304),IF(($L$14*K304)&lt;=(Geometria!$W$48-Geometria!$W$44),(2*ABS(Geometria!$V$48))*(Geometria!$W$48-Geometria!$W$47)+(2*ABS(Geometria!$V$45))*(($L$14*K304)-(Geometria!$W$48-Geometria!$W$47)),IF(($L$14*K304)&lt;=(Geometria!$W$48-Geometria!$W$42),(2*ABS(Geometria!$V$48))*(Geometria!$W$48-Geometria!$W$47)+(2*ABS(Geometria!$V$45))*((Geometria!$W$48-Geometria!$W$44)-(Geometria!$W$48-Geometria!$W$47))+(2*ABS(Geometria!$V$42))*(($L$14*K304)-(Geometria!$W$48-Geometria!$W$44)),IF(($L$14*K304)&lt;=(Geometria!$W$48-Geometria!$W$41),(2*ABS(Geometria!$V$48))*(Geometria!$W$48-Geometria!$W$47)+(2*ABS(Geometria!$V$45))*((Geometria!$W$48-Geometria!$W$44)-(Geometria!$W$48-Geometria!$W$47))+(2*ABS(Geometria!$V$42))*((Geometria!$W$48-Geometria!$W$42)-(Geometria!$W$48-Geometria!$W$44))+((2*ABS(Geometria!$V$42))+((2*ABS(Geometria!$V$42))+((2*ABS(Geometria!$V$41))-(2*ABS(Geometria!$V$42)))*(($L$14*K304)-(Geometria!$W$48-Geometria!$W$42))/((Geometria!$W$48-Geometria!$W$41)-(Geometria!$W$48-Geometria!$W$42))))/2*(($L$14*K304)-(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K304)-(Geometria!$W$48-Geometria!$W$41))))))*$L$18+$L$198*IF(($L$14*K304)&lt;=(Geometria!$W$48-Geometria!$W$47),2*ABS(Geometria!$V$48)*($L$14*K304),2*ABS(Geometria!$V$48)*(Geometria!$W$48-Geometria!$W$47)+2*ABS(Geometria!$V$45)*(MIN(($L$14*K304),(Geometria!$W$48-Geometria!$W$44))-(Geometria!$W$48-Geometria!$W$47)))</f>
        <v>6586.105310497456</v>
      </c>
      <c r="M304" s="622">
        <f t="shared" si="58"/>
        <v>2.1782122905027936</v>
      </c>
      <c r="N304" s="622">
        <f ca="1">$L$25*(SIGN(M304)*MIN(ABS(M304)*$L$10/1000,$L$11))/10</f>
        <v>274.03636363636366</v>
      </c>
      <c r="O304" s="622">
        <f t="shared" si="60"/>
        <v>-0.12905027932960883</v>
      </c>
      <c r="P304" s="622">
        <f ca="1">$L$30*(SIGN(O304)*MIN(ABS(O304)*$L$10/1000,$L$11))/10</f>
        <v>-65.35353921787706</v>
      </c>
      <c r="Q304" s="622">
        <f t="shared" ca="1" si="62"/>
        <v>4.944739881067121</v>
      </c>
      <c r="R304">
        <f ca="1">SIGN(Q304)*IF(ABS(Q304)&lt;=$Z$12,$Z$9*ABS(Q304)/1000,IF(ABS(Q304)&lt;=$Z$13,$Z$10+($Z$11-$Z$10)*(ABS(Q304)-$Z$12)/($Z$13-$Z$12),$Z$11))/10</f>
        <v>98.8947976213424</v>
      </c>
      <c r="S304" s="622">
        <f ca="1">$L$34*(R304/$L$9)</f>
        <v>1006.9288485082134</v>
      </c>
      <c r="T304" s="622">
        <f t="shared" ca="1" si="65"/>
        <v>3.217493116351132</v>
      </c>
      <c r="U304">
        <f ca="1">SIGN(T304)*IF(ABS(T304)&lt;=$Z$12,$Z$9*ABS(T304)/1000,IF(ABS(T304)&lt;=$Z$13,$Z$10+($Z$11-$Z$10)*(ABS(T304)-$Z$12)/($Z$13-$Z$12),$Z$11))/10</f>
        <v>64.34986232702263</v>
      </c>
      <c r="V304" s="622">
        <f ca="1">$L$39*(U304/$L$9)</f>
        <v>0.0</v>
      </c>
      <c r="W304" s="622">
        <f ca="1">L304+N304-P304-S304-V304</f>
        <v>5918.566364843484</v>
      </c>
    </row>
    <row r="306" spans="11:23" ht="15" customHeight="1" x14ac:dyDescent="0.25">
      <c r="K306" s="591" t="s">
        <v>1908</v>
      </c>
      <c r="L306" s="615">
        <f ca="1">COUNTIF(W204:W304,"&lt;0")</f>
        <v>37.0</v>
      </c>
      <c r="N306" s="849" t="s">
        <v>1909</v>
      </c>
      <c r="O306" s="849"/>
      <c r="P306" s="849"/>
      <c r="Q306" s="849"/>
      <c r="R306" s="849"/>
      <c r="S306" s="849"/>
      <c r="T306" s="849"/>
      <c r="U306" s="849"/>
      <c r="V306" s="849"/>
      <c r="W306" s="849"/>
    </row>
    <row r="307" spans="11:23" x14ac:dyDescent="0.25">
      <c r="K307" s="591" t="s">
        <v>1910</v>
      </c>
      <c r="L307" s="615">
        <f ca="1">INDEX(K204:K304,MAX(1,MIN(100,L306)))</f>
        <v>32.54</v>
      </c>
      <c r="N307" s="46" t="s">
        <v>1911</v>
      </c>
    </row>
    <row r="308" spans="11:23" x14ac:dyDescent="0.25">
      <c r="K308" s="591" t="s">
        <v>1912</v>
      </c>
      <c r="L308" s="615">
        <f ca="1">INDEX(K204:K304,MAX(1,MIN(100,L306))+1)</f>
        <v>33.43</v>
      </c>
      <c r="N308" s="46" t="s">
        <v>1913</v>
      </c>
    </row>
    <row r="309" spans="11:23" x14ac:dyDescent="0.25">
      <c r="K309" s="591" t="s">
        <v>1914</v>
      </c>
      <c r="L309" s="615">
        <f ca="1">INDEX(W204:W304,MAX(1,MIN(100,L306)))</f>
        <v>-19.697034498852645</v>
      </c>
      <c r="N309" s="46" t="s">
        <v>1915</v>
      </c>
    </row>
    <row r="310" spans="11:23" x14ac:dyDescent="0.25">
      <c r="K310" s="591" t="s">
        <v>1916</v>
      </c>
      <c r="L310" s="615">
        <f ca="1">INDEX(W204:W304,MAX(1,MIN(100,L306))+1)</f>
        <v>31.46248570814214</v>
      </c>
      <c r="N310" s="46" t="s">
        <v>1917</v>
      </c>
    </row>
    <row r="311" spans="11:23" ht="15" customHeight="1" x14ac:dyDescent="0.25">
      <c r="K311" s="591" t="s">
        <v>1918</v>
      </c>
      <c r="L311" s="623">
        <f ca="1">L307+(0-L309)*(L308-L307)/(L310-L309)</f>
        <v>32.882660772287345</v>
      </c>
      <c r="M311" s="591" t="s">
        <v>35</v>
      </c>
      <c r="N311" s="849" t="s">
        <v>1919</v>
      </c>
      <c r="O311" s="849"/>
      <c r="P311" s="849"/>
      <c r="Q311" s="849"/>
      <c r="R311" s="849"/>
      <c r="S311" s="849"/>
      <c r="T311" s="849"/>
      <c r="U311" s="849"/>
      <c r="V311" s="849"/>
      <c r="W311" s="849"/>
    </row>
    <row r="312" spans="11:23" ht="15" customHeight="1" x14ac:dyDescent="0.25">
      <c r="K312" s="591" t="s">
        <v>1920</v>
      </c>
      <c r="L312" s="615">
        <f ca="1">L311/L196</f>
        <v>0.4175575971084107</v>
      </c>
      <c r="N312" s="849" t="s">
        <v>1921</v>
      </c>
      <c r="O312" s="849"/>
      <c r="P312" s="849"/>
      <c r="Q312" s="849"/>
      <c r="R312" s="849"/>
      <c r="S312" s="849"/>
      <c r="T312" s="849"/>
      <c r="U312" s="849"/>
      <c r="V312" s="849"/>
      <c r="W312" s="849"/>
    </row>
    <row r="314" spans="11:23" ht="15" customHeight="1" x14ac:dyDescent="0.25">
      <c r="K314" s="849" t="s">
        <v>1922</v>
      </c>
      <c r="L314" s="849"/>
      <c r="M314" s="849"/>
      <c r="N314" s="849"/>
      <c r="O314" s="849"/>
      <c r="P314" s="849"/>
      <c r="Q314" s="849"/>
      <c r="R314" s="849"/>
      <c r="S314" s="849"/>
      <c r="T314" s="849"/>
      <c r="U314" s="849"/>
      <c r="V314" s="849"/>
      <c r="W314" s="849"/>
    </row>
    <row r="315" spans="11:23" x14ac:dyDescent="0.25">
      <c r="K315" s="591" t="s">
        <v>1923</v>
      </c>
      <c r="L315" s="615">
        <f ca="1">IF(($L$14*L311)&lt;=(Geometria!$W$48-Geometria!$W$47),(2*ABS(Geometria!$V$48))*($L$14*L311),IF(($L$14*L311)&lt;=(Geometria!$W$48-Geometria!$W$44),(2*ABS(Geometria!$V$48))*(Geometria!$W$48-Geometria!$W$47)+(2*ABS(Geometria!$V$45))*(($L$14*L311)-(Geometria!$W$48-Geometria!$W$47)),IF(($L$14*L311)&lt;=(Geometria!$W$48-Geometria!$W$42),(2*ABS(Geometria!$V$48))*(Geometria!$W$48-Geometria!$W$47)+(2*ABS(Geometria!$V$45))*((Geometria!$W$48-Geometria!$W$44)-(Geometria!$W$48-Geometria!$W$47))+(2*ABS(Geometria!$V$42))*(($L$14*L311)-(Geometria!$W$48-Geometria!$W$44)),IF(($L$14*L311)&lt;=(Geometria!$W$48-Geometria!$W$41),(2*ABS(Geometria!$V$48))*(Geometria!$W$48-Geometria!$W$47)+(2*ABS(Geometria!$V$45))*((Geometria!$W$48-Geometria!$W$44)-(Geometria!$W$48-Geometria!$W$47))+(2*ABS(Geometria!$V$42))*((Geometria!$W$48-Geometria!$W$42)-(Geometria!$W$48-Geometria!$W$44))+((2*ABS(Geometria!$V$42))+((2*ABS(Geometria!$V$42))+((2*ABS(Geometria!$V$41))-(2*ABS(Geometria!$V$42)))*(($L$14*L311)-(Geometria!$W$48-Geometria!$W$42))/((Geometria!$W$48-Geometria!$W$41)-(Geometria!$W$48-Geometria!$W$42))))/2*(($L$14*L311)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L311)-(Geometria!$W$48-Geometria!$W$41))))))*$L$18+$L$198*IF(($L$14*L311)&lt;=(Geometria!$W$48-Geometria!$W$47),2*ABS(Geometria!$V$48)*($L$14*L311),2*ABS(Geometria!$V$48)*(Geometria!$W$48-Geometria!$W$47)+2*ABS(Geometria!$V$45)*(MIN(($L$14*L311),(Geometria!$W$48-Geometria!$W$44))-(Geometria!$W$48-Geometria!$W$47)))</f>
        <v>2867.2634566171328</v>
      </c>
      <c r="M315" s="591" t="s">
        <v>292</v>
      </c>
    </row>
    <row r="316" spans="11:23" x14ac:dyDescent="0.25">
      <c r="K316" s="591" t="s">
        <v>1924</v>
      </c>
      <c r="L316" s="615">
        <f ca="1">IF(Geometria!$M$18="1 - Sim",(((IF(($L$14*L311)&lt;=(Geometria!$W$48-Geometria!$W$47),((2*ABS(Geometria!$V$48))*($L$14*L311))*(($L$14*L311)/2),IF(($L$14*L311)&lt;=(Geometria!$W$48-Geometria!$W$44),((2*ABS(Geometria!$V$48))*(Geometria!$W$48-Geometria!$W$47))*((Geometria!$W$48-Geometria!$W$47)/2)+((2*ABS(Geometria!$V$45))*(($L$14*L311)-(Geometria!$W$48-Geometria!$W$47)))*(((Geometria!$W$48-Geometria!$W$47)+($L$14*L311))/2),IF(($L$14*L311)&lt;=(Geometria!$W$48-Geometria!$W$42),((2*ABS(Geometria!$V$48))*(Geometria!$W$48-Geometria!$W$47))*((Geometria!$W$48-Geometria!$W$47)/2)+((2*ABS(Geometria!$V$45))*((Geometria!$W$48-Geometria!$W$44)-(Geometria!$W$48-Geometria!$W$47)))*(((Geometria!$W$48-Geometria!$W$47)+(Geometria!$W$48-Geometria!$W$44))/2)+((2*ABS(Geometria!$V$42))*(($L$14*L311)-(Geometria!$W$48-Geometria!$W$44)))*(((Geometria!$W$48-Geometria!$W$44)+($L$14*L311))/2),IF(($L$14*L311)&lt;=(Geometria!$W$48-Geometria!$W$41),((2*ABS(Geometria!$V$48))*(Geometria!$W$48-Geometria!$W$47))*((Geometria!$W$48-Geometria!$W$47)/2)+((2*ABS(Geometria!$V$45))*((Geometria!$W$48-Geometria!$W$44)-(Geometria!$W$48-Geometria!$W$47)))*(((Geometria!$W$48-Geometria!$W$47)+(Geometria!$W$48-Geometria!$W$44))/2)+((2*ABS(Geometria!$V$42))*((Geometria!$W$48-Geometria!$W$42)-(Geometria!$W$48-Geometria!$W$44)))*(((Geometria!$W$48-Geometria!$W$44)+(Geometria!$W$48-Geometria!$W$42))/2)+(((2*ABS(Geometria!$V$42))+((2*ABS(Geometria!$V$42))+((2*ABS(Geometria!$V$41))-(2*ABS(Geometria!$V$42)))*(($L$14*L311)-(Geometria!$W$48-Geometria!$W$42))/((Geometria!$W$48-Geometria!$W$41)-(Geometria!$W$48-Geometria!$W$42))))/2*(($L$14*L311)-(Geometria!$W$48-Geometria!$W$42)))*((Geometria!$W$48-Geometria!$W$42)+IF(($L$14*L311)=(Geometria!$W$48-Geometria!$W$42),0,((($L$14*L311)-(Geometria!$W$48-Geometria!$W$42))/3)*((2*((2*ABS(Geometria!$V$42))+((2*ABS(Geometria!$V$41))-(2*ABS(Geometria!$V$42)))*(($L$14*L311)-(Geometria!$W$48-Geometria!$W$42))/((Geometria!$W$48-Geometria!$W$41)-(Geometria!$W$48-Geometria!$W$42)))+(2*ABS(Geometria!$V$42)))/((2*ABS(Geometria!$V$42))+((2*ABS(Geometria!$V$42))+((2*ABS(Geometria!$V$41))-(2*ABS(Geometria!$V$42)))*(($L$14*L311)-(Geometria!$W$48-Geometria!$W$42))/((Geometria!$W$48-Geometria!$W$41)-(Geometria!$W$48-Geometria!$W$42))))))),((2*ABS(Geometria!$V$48))*(Geometria!$W$48-Geometria!$W$47))*((Geometria!$W$48-Geometria!$W$47)/2)+((2*ABS(Geometria!$V$45))*((Geometria!$W$48-Geometria!$W$44)-(Geometria!$W$48-Geometria!$W$47)))*(((Geometria!$W$48-Geometria!$W$47)+(Geometria!$W$48-Geometria!$W$44))/2)+((2*ABS(Geometria!$V$42))*((Geometria!$W$48-Geometria!$W$42)-(Geometria!$W$48-Geometria!$W$44)))*(((Geometria!$W$48-Geometria!$W$44)+(Geometria!$W$48-Geometria!$W$42))/2)+(((2*ABS(Geometria!$V$42))+(2*ABS(Geometria!$V$41)))/2*((Geometria!$W$48-Geometria!$W$41)-(Geometria!$W$48-Geometria!$W$42)))*((Geometria!$W$48-Geometria!$W$42)+(((Geometria!$W$48-Geometria!$W$41)-(Geometria!$W$48-Geometria!$W$42))/3)*((2*(2*ABS(Geometria!$V$41))+(2*ABS(Geometria!$V$42)))/((2*ABS(Geometria!$V$42))+(2*ABS(Geometria!$V$41)))))+((2*ABS(Geometria!$V$41))*(($L$14*L311)-(Geometria!$W$48-Geometria!$W$41)))*(((Geometria!$W$48-Geometria!$W$41)+($L$14*L311))/2))))))/(IF(($L$14*L311)&lt;=(Geometria!$W$48-Geometria!$W$47),(2*ABS(Geometria!$V$48))*($L$14*L311),IF(($L$14*L311)&lt;=(Geometria!$W$48-Geometria!$W$44),(2*ABS(Geometria!$V$48))*(Geometria!$W$48-Geometria!$W$47)+(2*ABS(Geometria!$V$45))*(($L$14*L311)-(Geometria!$W$48-Geometria!$W$47)),IF(($L$14*L311)&lt;=(Geometria!$W$48-Geometria!$W$42),(2*ABS(Geometria!$V$48))*(Geometria!$W$48-Geometria!$W$47)+(2*ABS(Geometria!$V$45))*((Geometria!$W$48-Geometria!$W$44)-(Geometria!$W$48-Geometria!$W$47))+(2*ABS(Geometria!$V$42))*(($L$14*L311)-(Geometria!$W$48-Geometria!$W$44)),IF(($L$14*L311)&lt;=(Geometria!$W$48-Geometria!$W$41),(2*ABS(Geometria!$V$48))*(Geometria!$W$48-Geometria!$W$47)+(2*ABS(Geometria!$V$45))*((Geometria!$W$48-Geometria!$W$44)-(Geometria!$W$48-Geometria!$W$47))+(2*ABS(Geometria!$V$42))*((Geometria!$W$48-Geometria!$W$42)-(Geometria!$W$48-Geometria!$W$44))+((2*ABS(Geometria!$V$42))+((2*ABS(Geometria!$V$42))+((2*ABS(Geometria!$V$41))-(2*ABS(Geometria!$V$42)))*(($L$14*L311)-(Geometria!$W$48-Geometria!$W$42))/((Geometria!$W$48-Geometria!$W$41)-(Geometria!$W$48-Geometria!$W$42))))/2*(($L$14*L311)-(Geometria!$W$48-Geometria!$W$42)),(2*ABS(Geometria!$V$48))*(Geometria!$W$48-Geometria!$W$47)+(2*ABS(Geometria!$V$45))*((Geometria!$W$48-Geometria!$W$44)-(Geometria!$W$48-Geometria!$W$47))+(2*ABS(Geometria!$V$42))*((Geometria!$W$48-Geometria!$W$42)-(Geometria!$W$48-Geometria!$W$44))+((2*ABS(Geometria!$V$42))+(2*ABS(Geometria!$V$41)))/2*((Geometria!$W$48-Geometria!$W$41)-(Geometria!$W$48-Geometria!$W$42))+(2*ABS(Geometria!$V$41))*(($L$14*L311)-(Geometria!$W$48-Geometria!$W$41))))))))*(L315-$L$198*IF(($L$14*L311)&lt;=(Geometria!$W$48-Geometria!$W$47),2*ABS(Geometria!$V$48)*($L$14*L311),2*ABS(Geometria!$V$48)*(Geometria!$W$48-Geometria!$W$47)+2*ABS(Geometria!$V$45)*(MIN(($L$14*L311),(Geometria!$W$48-Geometria!$W$44))-(Geometria!$W$48-Geometria!$W$47))))+$L$198*IF(($L$14*L311)&lt;=(Geometria!$W$48-Geometria!$W$47),2*ABS(Geometria!$V$48)*($L$14*L311)^2/2,2*ABS(Geometria!$V$48)*(Geometria!$W$48-Geometria!$W$47)^2/2+2*ABS(Geometria!$V$45)*(MIN(($L$14*L311),(Geometria!$W$48-Geometria!$W$44))-(Geometria!$W$48-Geometria!$W$47))*((Geometria!$W$48-Geometria!$W$47)+MIN(($L$14*L311),(Geometria!$W$48-Geometria!$W$44)))/2))/L315,0)</f>
        <v>7.840688986834449</v>
      </c>
      <c r="M316" s="591" t="s">
        <v>35</v>
      </c>
    </row>
    <row r="317" spans="11:23" x14ac:dyDescent="0.25">
      <c r="K317" s="591" t="s">
        <v>1925</v>
      </c>
      <c r="L317" s="615">
        <f ca="1">$L$13*(L311-$L$194)/L311</f>
        <v>-0.09764073896660357</v>
      </c>
      <c r="M317" s="591" t="s">
        <v>929</v>
      </c>
    </row>
    <row r="318" spans="11:23" x14ac:dyDescent="0.25">
      <c r="K318" s="591" t="s">
        <v>1926</v>
      </c>
      <c r="L318" s="615">
        <f ca="1">$L$25*(SIGN(L317)*MIN(ABS(L317)*$L$10/1000,$L$11))/10</f>
        <v>-12.361786228719051</v>
      </c>
      <c r="M318" s="591" t="s">
        <v>292</v>
      </c>
    </row>
    <row r="319" spans="11:23" x14ac:dyDescent="0.25">
      <c r="K319" s="591" t="s">
        <v>1927</v>
      </c>
      <c r="L319" s="615">
        <f ca="1">$L$13*($L$195-L311)/L311</f>
        <v>5.675048275116014</v>
      </c>
      <c r="M319" s="591" t="s">
        <v>929</v>
      </c>
    </row>
    <row r="320" spans="11:23" x14ac:dyDescent="0.25">
      <c r="K320" s="591" t="s">
        <v>1928</v>
      </c>
      <c r="L320" s="615">
        <f ca="1">$L$30*(SIGN(L319)*MIN(ABS(L319)*$L$10/1000,$L$11))/10</f>
        <v>1096.1454545454546</v>
      </c>
      <c r="M320" s="591" t="s">
        <v>292</v>
      </c>
    </row>
    <row r="321" spans="11:23" x14ac:dyDescent="0.25">
      <c r="K321" s="591" t="s">
        <v>1929</v>
      </c>
      <c r="L321" s="615">
        <f ca="1">$L$36+$L$13*($L$196-L311)/L311</f>
        <v>10.247208108011353</v>
      </c>
      <c r="M321" s="591" t="s">
        <v>929</v>
      </c>
    </row>
    <row r="322" spans="11:23" x14ac:dyDescent="0.25">
      <c r="K322" s="591" t="s">
        <v>1930</v>
      </c>
      <c r="L322">
        <f ca="1">SIGN(L321)*IF(ABS(L321)&lt;=$Z$12,$Z$9*ABS(L321)/1000,IF(ABS(L321)&lt;=$Z$13,$Z$10+($Z$11-$Z$10)*(ABS(L321)-$Z$12)/($Z$13-$Z$12),$Z$11))/10</f>
        <v>172.7272727272727</v>
      </c>
      <c r="M322" s="591" t="s">
        <v>241</v>
      </c>
    </row>
    <row r="323" spans="11:23" x14ac:dyDescent="0.25">
      <c r="K323" s="591" t="s">
        <v>1931</v>
      </c>
      <c r="L323" s="615">
        <f ca="1">$L$34*(L322/$L$9)</f>
        <v>1758.6776859504128</v>
      </c>
      <c r="M323" s="591" t="s">
        <v>292</v>
      </c>
    </row>
    <row r="324" spans="11:23" x14ac:dyDescent="0.25">
      <c r="K324" s="591" t="s">
        <v>1932</v>
      </c>
      <c r="L324" s="615">
        <f ca="1">$L$41+$L$13*($L$197-L311)/L311</f>
        <v>5.237481012329886</v>
      </c>
      <c r="M324" s="591" t="s">
        <v>929</v>
      </c>
    </row>
    <row r="325" spans="11:23" ht="15" customHeight="1" x14ac:dyDescent="0.25">
      <c r="K325" s="591" t="s">
        <v>1933</v>
      </c>
      <c r="L325">
        <f ca="1">SIGN(L324)*IF(ABS(L324)&lt;=$Z$12,$Z$9*ABS(L324)/1000,IF(ABS(L324)&lt;=$Z$13,$Z$10+($Z$11-$Z$10)*(ABS(L324)-$Z$12)/($Z$13-$Z$12),$Z$11))/10</f>
        <v>104.74962024659774</v>
      </c>
      <c r="M325" s="591" t="s">
        <v>241</v>
      </c>
      <c r="N325" s="849" t="s">
        <v>1934</v>
      </c>
      <c r="O325" s="849"/>
      <c r="P325" s="849"/>
      <c r="Q325" s="849"/>
      <c r="R325" s="849"/>
      <c r="S325" s="849"/>
      <c r="T325" s="849"/>
      <c r="U325" s="849"/>
      <c r="V325" s="849"/>
      <c r="W325" s="849"/>
    </row>
    <row r="326" spans="11:23" x14ac:dyDescent="0.25">
      <c r="K326" s="591" t="s">
        <v>1935</v>
      </c>
      <c r="L326" s="615">
        <f ca="1">$L$39*(L325/$L$9)</f>
        <v>0.0</v>
      </c>
      <c r="M326" s="591" t="s">
        <v>292</v>
      </c>
    </row>
    <row r="327" spans="11:23" x14ac:dyDescent="0.25">
      <c r="K327" s="591" t="s">
        <v>1936</v>
      </c>
      <c r="L327" s="615">
        <f ca="1">L315+L318-L320-L323-L326</f>
        <v>0.0785298925461575</v>
      </c>
      <c r="M327" s="591" t="s">
        <v>292</v>
      </c>
    </row>
    <row r="329" spans="11:23" ht="54.75" customHeight="1" x14ac:dyDescent="0.25">
      <c r="K329" s="591" t="s">
        <v>1937</v>
      </c>
      <c r="L329" s="625">
        <f ca="1">IF(Geometria!$M$18="1 - Sim",(L320*L195+L323*L196+L326*L197-L315*L316-L318*L194)/100,0)</f>
        <v>2109.201133182931</v>
      </c>
      <c r="M329" s="591" t="s">
        <v>1729</v>
      </c>
      <c r="N329" s="849" t="s">
        <v>1938</v>
      </c>
      <c r="O329" s="849"/>
      <c r="P329" s="849"/>
      <c r="Q329" s="849"/>
      <c r="R329" s="849"/>
      <c r="S329" s="849"/>
      <c r="T329" s="849"/>
      <c r="U329" s="849"/>
      <c r="V329" s="849"/>
      <c r="W329" s="849"/>
    </row>
    <row r="331" spans="11:23" x14ac:dyDescent="0.25">
      <c r="K331" s="857" t="s">
        <v>1948</v>
      </c>
      <c r="L331" s="857"/>
      <c r="M331" s="857"/>
      <c r="N331" s="857"/>
      <c r="O331" s="857"/>
      <c r="P331" s="857"/>
      <c r="Q331" s="857"/>
      <c r="R331" s="857"/>
      <c r="S331" s="857"/>
      <c r="T331" s="857"/>
      <c r="U331" s="857"/>
      <c r="V331" s="857"/>
      <c r="W331" s="857"/>
    </row>
    <row r="333" spans="11:23" ht="54.75" customHeight="1" x14ac:dyDescent="0.25">
      <c r="K333" s="849" t="s">
        <v>1949</v>
      </c>
      <c r="L333" s="849"/>
      <c r="M333" s="849"/>
      <c r="N333" s="849"/>
      <c r="O333" s="849"/>
      <c r="P333" s="849"/>
      <c r="Q333" s="849"/>
      <c r="R333" s="849"/>
      <c r="S333" s="849"/>
      <c r="T333" s="849"/>
      <c r="U333" s="849"/>
      <c r="V333" s="849"/>
      <c r="W333" s="849"/>
    </row>
    <row r="336" spans="11:23" ht="15" customHeight="1" x14ac:dyDescent="0.25">
      <c r="K336" s="591" t="s">
        <v>1880</v>
      </c>
      <c r="L336" s="620">
        <f>Geometria!L70</f>
        <v>75.0</v>
      </c>
      <c r="M336" s="591" t="s">
        <v>35</v>
      </c>
      <c r="N336" s="849" t="s">
        <v>1881</v>
      </c>
      <c r="O336" s="849"/>
      <c r="P336" s="849"/>
      <c r="Q336" s="849"/>
      <c r="R336" s="849"/>
      <c r="S336" s="849"/>
      <c r="T336" s="849"/>
      <c r="U336" s="849"/>
      <c r="V336" s="849"/>
      <c r="W336" s="849"/>
    </row>
    <row r="337" spans="11:23" x14ac:dyDescent="0.25">
      <c r="K337" s="591" t="s">
        <v>1711</v>
      </c>
      <c r="L337" s="615">
        <f>Geometria!L61</f>
        <v>12.0</v>
      </c>
      <c r="M337" s="591" t="s">
        <v>35</v>
      </c>
    </row>
    <row r="338" spans="11:23" x14ac:dyDescent="0.25">
      <c r="K338" s="591" t="s">
        <v>1882</v>
      </c>
      <c r="L338" s="615">
        <f>Geometria!L60</f>
        <v>30.0</v>
      </c>
      <c r="M338" s="591" t="s">
        <v>35</v>
      </c>
    </row>
    <row r="339" spans="11:23" ht="15" customHeight="1" x14ac:dyDescent="0.25">
      <c r="K339" s="591" t="s">
        <v>1883</v>
      </c>
      <c r="L339" s="615">
        <f>Geometria!L63+Geometria!L64</f>
        <v>25.0</v>
      </c>
      <c r="M339" s="591" t="s">
        <v>35</v>
      </c>
      <c r="N339" s="849" t="s">
        <v>1884</v>
      </c>
      <c r="O339" s="849"/>
      <c r="P339" s="849"/>
      <c r="Q339" s="849"/>
      <c r="R339" s="849"/>
      <c r="S339" s="849"/>
      <c r="T339" s="849"/>
      <c r="U339" s="849"/>
      <c r="V339" s="849"/>
      <c r="W339" s="849"/>
    </row>
    <row r="340" spans="11:23" ht="15" customHeight="1" x14ac:dyDescent="0.25">
      <c r="K340" s="591" t="s">
        <v>1885</v>
      </c>
      <c r="L340" s="615">
        <f>L26</f>
        <v>3.8</v>
      </c>
      <c r="M340" s="591" t="s">
        <v>35</v>
      </c>
      <c r="N340" s="849" t="s">
        <v>1886</v>
      </c>
      <c r="O340" s="849"/>
      <c r="P340" s="849"/>
      <c r="Q340" s="849"/>
      <c r="R340" s="849"/>
      <c r="S340" s="849"/>
      <c r="T340" s="849"/>
      <c r="U340" s="849"/>
      <c r="V340" s="849"/>
      <c r="W340" s="849"/>
    </row>
    <row r="341" spans="11:23" ht="15" customHeight="1" x14ac:dyDescent="0.25">
      <c r="K341" s="591" t="s">
        <v>1887</v>
      </c>
      <c r="L341" s="615">
        <f>L336-L31</f>
        <v>71.2</v>
      </c>
      <c r="M341" s="591" t="s">
        <v>35</v>
      </c>
      <c r="N341" s="849" t="s">
        <v>1888</v>
      </c>
      <c r="O341" s="849"/>
      <c r="P341" s="849"/>
      <c r="Q341" s="849"/>
      <c r="R341" s="849"/>
      <c r="S341" s="849"/>
      <c r="T341" s="849"/>
      <c r="U341" s="849"/>
      <c r="V341" s="849"/>
      <c r="W341" s="849"/>
    </row>
    <row r="342" spans="11:23" ht="15" customHeight="1" x14ac:dyDescent="0.25">
      <c r="K342" s="591" t="s">
        <v>1889</v>
      </c>
      <c r="L342" s="615">
        <f>L336-L35</f>
        <v>63.75</v>
      </c>
      <c r="M342" s="591" t="s">
        <v>35</v>
      </c>
      <c r="N342" s="849" t="s">
        <v>1890</v>
      </c>
      <c r="O342" s="849"/>
      <c r="P342" s="849"/>
      <c r="Q342" s="849"/>
      <c r="R342" s="849"/>
      <c r="S342" s="849"/>
      <c r="T342" s="849"/>
      <c r="U342" s="849"/>
      <c r="V342" s="849"/>
      <c r="W342" s="849"/>
    </row>
    <row r="343" spans="11:23" ht="15" customHeight="1" x14ac:dyDescent="0.25">
      <c r="K343" s="591" t="s">
        <v>1891</v>
      </c>
      <c r="L343" s="615">
        <f>L40</f>
        <v>0.0</v>
      </c>
      <c r="M343" s="591" t="s">
        <v>35</v>
      </c>
      <c r="N343" s="849" t="s">
        <v>1892</v>
      </c>
      <c r="O343" s="849"/>
      <c r="P343" s="849"/>
      <c r="Q343" s="849"/>
      <c r="R343" s="849"/>
      <c r="S343" s="849"/>
      <c r="T343" s="849"/>
      <c r="U343" s="849"/>
      <c r="V343" s="849"/>
      <c r="W343" s="849"/>
    </row>
    <row r="345" spans="11:23" x14ac:dyDescent="0.25">
      <c r="K345" s="591" t="s">
        <v>1893</v>
      </c>
      <c r="L345" s="615">
        <v>0.5</v>
      </c>
      <c r="M345" s="591" t="s">
        <v>35</v>
      </c>
    </row>
    <row r="346" spans="11:23" x14ac:dyDescent="0.25">
      <c r="K346" s="591" t="s">
        <v>1894</v>
      </c>
      <c r="L346" s="615">
        <f>L336-0.5</f>
        <v>74.5</v>
      </c>
      <c r="M346" s="591" t="s">
        <v>35</v>
      </c>
    </row>
    <row r="347" spans="11:23" ht="27.75" customHeight="1" x14ac:dyDescent="0.25">
      <c r="K347" s="591" t="s">
        <v>1895</v>
      </c>
      <c r="L347" s="615">
        <f>(L346-L345)/100</f>
        <v>0.74</v>
      </c>
      <c r="M347" s="591" t="s">
        <v>35</v>
      </c>
      <c r="N347" s="849" t="s">
        <v>1896</v>
      </c>
      <c r="O347" s="849"/>
      <c r="P347" s="849"/>
      <c r="Q347" s="849"/>
      <c r="R347" s="849"/>
      <c r="S347" s="849"/>
      <c r="T347" s="849"/>
      <c r="U347" s="849"/>
      <c r="V347" s="849"/>
      <c r="W347" s="849"/>
    </row>
    <row r="349" spans="11:23" x14ac:dyDescent="0.25">
      <c r="K349" s="621" t="s">
        <v>968</v>
      </c>
      <c r="L349" s="621" t="s">
        <v>1897</v>
      </c>
      <c r="M349" s="621" t="s">
        <v>1898</v>
      </c>
      <c r="N349" s="621" t="s">
        <v>1899</v>
      </c>
      <c r="O349" s="621" t="s">
        <v>1900</v>
      </c>
      <c r="P349" s="621" t="s">
        <v>1901</v>
      </c>
      <c r="Q349" s="621" t="s">
        <v>1902</v>
      </c>
      <c r="R349" s="621" t="s">
        <v>546</v>
      </c>
      <c r="S349" s="621" t="s">
        <v>1903</v>
      </c>
      <c r="T349" s="621" t="s">
        <v>1904</v>
      </c>
      <c r="U349" s="621" t="s">
        <v>1905</v>
      </c>
      <c r="V349" s="621" t="s">
        <v>1906</v>
      </c>
      <c r="W349" s="621" t="s">
        <v>1907</v>
      </c>
    </row>
    <row r="350" spans="11:23" x14ac:dyDescent="0.25">
      <c r="K350" s="622">
        <f>$L$345+0*$L$347</f>
        <v>0.5</v>
      </c>
      <c r="L350" s="622">
        <f t="shared" ref="L350:L381" si="69">IF(($L$14*K350)&lt;=$L$339,$L$338*$L$18*($L$14*K350),$L$338*$L$18*$L$339+$L$337*$L$18*(($L$14*K350)-$L$339))</f>
        <v>33.817290073464534</v>
      </c>
      <c r="M350" s="622">
        <f t="shared" ref="M350:M381" si="70">$L$13*(K350-$L$340)/K350</f>
        <v>-23.099999999999998</v>
      </c>
      <c r="N350" s="622">
        <f t="shared" ref="N350:N381" ca="1" si="71">$L$25*(SIGN(M350)*MIN(ABS(M350)*$L$10/1000,$L$11))/10</f>
        <v>-274.03636363636366</v>
      </c>
      <c r="O350" s="622">
        <f t="shared" ref="O350:O381" si="72">$L$13*($L$341-K350)/K350</f>
        <v>494.90000000000003</v>
      </c>
      <c r="P350" s="622">
        <f t="shared" ref="P350:P381" ca="1" si="73">$L$30*(SIGN(O350)*MIN(ABS(O350)*$L$10/1000,$L$11))/10</f>
        <v>1096.1454545454546</v>
      </c>
      <c r="Q350" s="622">
        <f t="shared" ref="Q350:Q381" ca="1" si="74">$L$36+$L$13*($L$342-K350)/K350</f>
        <v>448.1151309425196</v>
      </c>
      <c r="R350">
        <f t="shared" ref="R350:R381" ca="1" si="75">SIGN(Q350)*IF(ABS(Q350)&lt;=$Z$12,$Z$9*ABS(Q350)/1000,IF(ABS(Q350)&lt;=$Z$13,$Z$10+($Z$11-$Z$10)*(ABS(Q350)-$Z$12)/($Z$13-$Z$12),$Z$11))/10</f>
        <v>172.7272727272727</v>
      </c>
      <c r="S350" s="622">
        <f t="shared" ref="S350:S381" ca="1" si="76">$L$34*(R350/$L$9)</f>
        <v>1758.6776859504128</v>
      </c>
      <c r="T350" s="622">
        <f t="shared" ref="T350:T381" ca="1" si="77">$L$41+$L$13*($L$343-K350)/K350</f>
        <v>2.0443087588092324</v>
      </c>
      <c r="U350">
        <f t="shared" ref="U350:U381" ca="1" si="78">SIGN(T350)*IF(ABS(T350)&lt;=$Z$12,$Z$9*ABS(T350)/1000,IF(ABS(T350)&lt;=$Z$13,$Z$10+($Z$11-$Z$10)*(ABS(T350)-$Z$12)/($Z$13-$Z$12),$Z$11))/10</f>
        <v>40.88617517618464</v>
      </c>
      <c r="V350" s="622">
        <f t="shared" ref="V350:V381" ca="1" si="79">$L$39*(U350/$L$9)</f>
        <v>0.0</v>
      </c>
      <c r="W350" s="622">
        <f t="shared" ref="W350:W381" ca="1" si="80">L350+N350-P350-S350-V350</f>
        <v>-3095.0422140587666</v>
      </c>
    </row>
    <row r="351" spans="11:23" x14ac:dyDescent="0.25">
      <c r="K351" s="622">
        <f>$L$345+1*$L$347</f>
        <v>1.24</v>
      </c>
      <c r="L351" s="622">
        <f t="shared" si="69"/>
        <v>83.86687938219204</v>
      </c>
      <c r="M351" s="622">
        <f t="shared" si="70"/>
        <v>-7.225806451612902</v>
      </c>
      <c r="N351" s="622">
        <f t="shared" ca="1" si="71"/>
        <v>-274.03636363636366</v>
      </c>
      <c r="O351" s="622">
        <f t="shared" si="72"/>
        <v>197.46774193548387</v>
      </c>
      <c r="P351" s="622">
        <f t="shared" ca="1" si="73"/>
        <v>1096.1454545454546</v>
      </c>
      <c r="Q351" s="622">
        <f t="shared" ca="1" si="74"/>
        <v>181.8046470715519</v>
      </c>
      <c r="R351">
        <f t="shared" ca="1" si="75"/>
        <v>172.7272727272727</v>
      </c>
      <c r="S351" s="622">
        <f t="shared" ca="1" si="76"/>
        <v>1758.6776859504128</v>
      </c>
      <c r="T351" s="622">
        <f t="shared" ca="1" si="77"/>
        <v>2.0443087588092324</v>
      </c>
      <c r="U351">
        <f t="shared" ca="1" si="78"/>
        <v>40.88617517618464</v>
      </c>
      <c r="V351" s="622">
        <f t="shared" ca="1" si="79"/>
        <v>0.0</v>
      </c>
      <c r="W351" s="622">
        <f t="shared" ca="1" si="80"/>
        <v>-3044.992624750039</v>
      </c>
    </row>
    <row r="352" spans="11:23" x14ac:dyDescent="0.25">
      <c r="K352" s="622">
        <f>$L$345+2*$L$347</f>
        <v>1.98</v>
      </c>
      <c r="L352" s="622">
        <f t="shared" si="69"/>
        <v>133.91646869091957</v>
      </c>
      <c r="M352" s="622">
        <f t="shared" si="70"/>
        <v>-3.2171717171717167</v>
      </c>
      <c r="N352" s="622">
        <f t="shared" ca="1" si="71"/>
        <v>-274.03636363636366</v>
      </c>
      <c r="O352" s="622">
        <f t="shared" si="72"/>
        <v>122.35858585858585</v>
      </c>
      <c r="P352" s="622">
        <f t="shared" ca="1" si="73"/>
        <v>1096.1454545454546</v>
      </c>
      <c r="Q352" s="622">
        <f t="shared" ca="1" si="74"/>
        <v>114.55452488191358</v>
      </c>
      <c r="R352">
        <f t="shared" ca="1" si="75"/>
        <v>172.7272727272727</v>
      </c>
      <c r="S352" s="622">
        <f t="shared" ca="1" si="76"/>
        <v>1758.6776859504128</v>
      </c>
      <c r="T352" s="622">
        <f t="shared" ca="1" si="77"/>
        <v>2.0443087588092324</v>
      </c>
      <c r="U352">
        <f t="shared" ca="1" si="78"/>
        <v>40.88617517618464</v>
      </c>
      <c r="V352" s="622">
        <f t="shared" ca="1" si="79"/>
        <v>0.0</v>
      </c>
      <c r="W352" s="622">
        <f t="shared" ca="1" si="80"/>
        <v>-2994.9430354413116</v>
      </c>
    </row>
    <row r="353" spans="11:23" x14ac:dyDescent="0.25">
      <c r="K353" s="622">
        <f>$L$345+3*$L$347</f>
        <v>2.7199999999999998</v>
      </c>
      <c r="L353" s="622">
        <f t="shared" si="69"/>
        <v>183.96605799964703</v>
      </c>
      <c r="M353" s="622">
        <f t="shared" si="70"/>
        <v>-1.3897058823529413</v>
      </c>
      <c r="N353" s="622">
        <f t="shared" ca="1" si="71"/>
        <v>-175.94343529411768</v>
      </c>
      <c r="O353" s="622">
        <f t="shared" si="72"/>
        <v>88.11764705882354</v>
      </c>
      <c r="P353" s="622">
        <f t="shared" ca="1" si="73"/>
        <v>1096.1454545454546</v>
      </c>
      <c r="Q353" s="622">
        <f t="shared" ca="1" si="74"/>
        <v>83.89638094251964</v>
      </c>
      <c r="R353">
        <f t="shared" ca="1" si="75"/>
        <v>172.7272727272727</v>
      </c>
      <c r="S353" s="622">
        <f t="shared" ca="1" si="76"/>
        <v>1758.6776859504128</v>
      </c>
      <c r="T353" s="622">
        <f t="shared" ca="1" si="77"/>
        <v>2.0443087588092324</v>
      </c>
      <c r="U353">
        <f t="shared" ca="1" si="78"/>
        <v>40.88617517618464</v>
      </c>
      <c r="V353" s="622">
        <f t="shared" ca="1" si="79"/>
        <v>0.0</v>
      </c>
      <c r="W353" s="622">
        <f t="shared" ca="1" si="80"/>
        <v>-2846.800517790338</v>
      </c>
    </row>
    <row r="354" spans="11:23" x14ac:dyDescent="0.25">
      <c r="K354" s="622">
        <f>$L$345+4*$L$347</f>
        <v>3.46</v>
      </c>
      <c r="L354" s="622">
        <f t="shared" si="69"/>
        <v>234.01564730837458</v>
      </c>
      <c r="M354" s="622">
        <f t="shared" si="70"/>
        <v>-0.34393063583815014</v>
      </c>
      <c r="N354" s="622">
        <f t="shared" ca="1" si="71"/>
        <v>-43.54326936416184</v>
      </c>
      <c r="O354" s="622">
        <f t="shared" si="72"/>
        <v>68.52312138728324</v>
      </c>
      <c r="P354" s="622">
        <f t="shared" ca="1" si="73"/>
        <v>1096.1454545454546</v>
      </c>
      <c r="Q354" s="622">
        <f t="shared" ca="1" si="74"/>
        <v>66.35212516217281</v>
      </c>
      <c r="R354">
        <f t="shared" ca="1" si="75"/>
        <v>172.7272727272727</v>
      </c>
      <c r="S354" s="622">
        <f t="shared" ca="1" si="76"/>
        <v>1758.6776859504128</v>
      </c>
      <c r="T354" s="622">
        <f t="shared" ca="1" si="77"/>
        <v>2.0443087588092324</v>
      </c>
      <c r="U354">
        <f t="shared" ca="1" si="78"/>
        <v>40.88617517618464</v>
      </c>
      <c r="V354" s="622">
        <f t="shared" ca="1" si="79"/>
        <v>0.0</v>
      </c>
      <c r="W354" s="622">
        <f t="shared" ca="1" si="80"/>
        <v>-2664.3507625516545</v>
      </c>
    </row>
    <row r="355" spans="11:23" x14ac:dyDescent="0.25">
      <c r="K355" s="622">
        <f>$L$345+5*$L$347</f>
        <v>4.2</v>
      </c>
      <c r="L355" s="622">
        <f t="shared" si="69"/>
        <v>284.06523661710213</v>
      </c>
      <c r="M355" s="622">
        <f t="shared" si="70"/>
        <v>0.3333333333333336</v>
      </c>
      <c r="N355" s="622">
        <f t="shared" ca="1" si="71"/>
        <v>42.201600000000035</v>
      </c>
      <c r="O355" s="622">
        <f t="shared" si="72"/>
        <v>55.83333333333333</v>
      </c>
      <c r="P355" s="622">
        <f t="shared" ca="1" si="73"/>
        <v>1096.1454545454546</v>
      </c>
      <c r="Q355" s="622">
        <f t="shared" ca="1" si="74"/>
        <v>54.99013094251963</v>
      </c>
      <c r="R355">
        <f t="shared" ca="1" si="75"/>
        <v>172.7272727272727</v>
      </c>
      <c r="S355" s="622">
        <f t="shared" ca="1" si="76"/>
        <v>1758.6776859504128</v>
      </c>
      <c r="T355" s="622">
        <f t="shared" ca="1" si="77"/>
        <v>2.0443087588092324</v>
      </c>
      <c r="U355">
        <f t="shared" ca="1" si="78"/>
        <v>40.88617517618464</v>
      </c>
      <c r="V355" s="622">
        <f t="shared" ca="1" si="79"/>
        <v>0.0</v>
      </c>
      <c r="W355" s="622">
        <f t="shared" ca="1" si="80"/>
        <v>-2528.556303878765</v>
      </c>
    </row>
    <row r="356" spans="11:23" x14ac:dyDescent="0.25">
      <c r="K356" s="622">
        <f>$L$345+6*$L$347</f>
        <v>4.9399999999999995</v>
      </c>
      <c r="L356" s="622">
        <f t="shared" si="69"/>
        <v>334.11482592582956</v>
      </c>
      <c r="M356" s="622">
        <f t="shared" si="70"/>
        <v>0.8076923076923076</v>
      </c>
      <c r="N356" s="622">
        <f t="shared" ca="1" si="71"/>
        <v>102.25772307692306</v>
      </c>
      <c r="O356" s="622">
        <f t="shared" si="72"/>
        <v>46.94534412955466</v>
      </c>
      <c r="P356" s="622">
        <f t="shared" ca="1" si="73"/>
        <v>1096.1454545454546</v>
      </c>
      <c r="Q356" s="622">
        <f t="shared" ca="1" si="74"/>
        <v>47.03213499110264</v>
      </c>
      <c r="R356">
        <f t="shared" ca="1" si="75"/>
        <v>172.7272727272727</v>
      </c>
      <c r="S356" s="622">
        <f t="shared" ca="1" si="76"/>
        <v>1758.6776859504128</v>
      </c>
      <c r="T356" s="622">
        <f t="shared" ca="1" si="77"/>
        <v>2.0443087588092324</v>
      </c>
      <c r="U356">
        <f t="shared" ca="1" si="78"/>
        <v>40.88617517618464</v>
      </c>
      <c r="V356" s="622">
        <f t="shared" ca="1" si="79"/>
        <v>0.0</v>
      </c>
      <c r="W356" s="622">
        <f t="shared" ca="1" si="80"/>
        <v>-2418.4505914931146</v>
      </c>
    </row>
    <row r="357" spans="11:23" x14ac:dyDescent="0.25">
      <c r="K357" s="622">
        <f>$L$345+7*$L$347</f>
        <v>5.68</v>
      </c>
      <c r="L357" s="622">
        <f t="shared" si="69"/>
        <v>384.16441523455705</v>
      </c>
      <c r="M357" s="622">
        <f t="shared" si="70"/>
        <v>1.1584507042253522</v>
      </c>
      <c r="N357" s="622">
        <f t="shared" ca="1" si="71"/>
        <v>146.66541971830992</v>
      </c>
      <c r="O357" s="622">
        <f t="shared" si="72"/>
        <v>40.37323943661973</v>
      </c>
      <c r="P357" s="622">
        <f t="shared" ca="1" si="73"/>
        <v>1096.1454545454546</v>
      </c>
      <c r="Q357" s="622">
        <f t="shared" ca="1" si="74"/>
        <v>41.14770136505485</v>
      </c>
      <c r="R357">
        <f t="shared" ca="1" si="75"/>
        <v>172.7272727272727</v>
      </c>
      <c r="S357" s="622">
        <f t="shared" ca="1" si="76"/>
        <v>1758.6776859504128</v>
      </c>
      <c r="T357" s="622">
        <f t="shared" ca="1" si="77"/>
        <v>2.0443087588092324</v>
      </c>
      <c r="U357">
        <f t="shared" ca="1" si="78"/>
        <v>40.88617517618464</v>
      </c>
      <c r="V357" s="622">
        <f t="shared" ca="1" si="79"/>
        <v>0.0</v>
      </c>
      <c r="W357" s="622">
        <f t="shared" ca="1" si="80"/>
        <v>-2323.993305543</v>
      </c>
    </row>
    <row r="358" spans="11:23" x14ac:dyDescent="0.25">
      <c r="K358" s="622">
        <f>$L$345+8*$L$347</f>
        <v>6.42</v>
      </c>
      <c r="L358" s="622">
        <f t="shared" si="69"/>
        <v>434.2140045432846</v>
      </c>
      <c r="M358" s="622">
        <f t="shared" si="70"/>
        <v>1.428348909657321</v>
      </c>
      <c r="N358" s="622">
        <f t="shared" ca="1" si="71"/>
        <v>180.8358280373832</v>
      </c>
      <c r="O358" s="622">
        <f t="shared" si="72"/>
        <v>35.31619937694705</v>
      </c>
      <c r="P358" s="622">
        <f t="shared" ca="1" si="73"/>
        <v>1096.1454545454546</v>
      </c>
      <c r="Q358" s="622">
        <f t="shared" ca="1" si="74"/>
        <v>36.6198038397159</v>
      </c>
      <c r="R358">
        <f t="shared" ca="1" si="75"/>
        <v>172.7272727272727</v>
      </c>
      <c r="S358" s="622">
        <f t="shared" ca="1" si="76"/>
        <v>1758.6776859504128</v>
      </c>
      <c r="T358" s="622">
        <f t="shared" ca="1" si="77"/>
        <v>2.0443087588092324</v>
      </c>
      <c r="U358">
        <f t="shared" ca="1" si="78"/>
        <v>40.88617517618464</v>
      </c>
      <c r="V358" s="622">
        <f t="shared" ca="1" si="79"/>
        <v>0.0</v>
      </c>
      <c r="W358" s="622">
        <f t="shared" ca="1" si="80"/>
        <v>-2239.7733079151994</v>
      </c>
    </row>
    <row r="359" spans="11:23" x14ac:dyDescent="0.25">
      <c r="K359" s="622">
        <f>$L$345+9*$L$347</f>
        <v>7.16</v>
      </c>
      <c r="L359" s="622">
        <f t="shared" si="69"/>
        <v>484.2635938520122</v>
      </c>
      <c r="M359" s="622">
        <f t="shared" si="70"/>
        <v>1.6424581005586594</v>
      </c>
      <c r="N359" s="622">
        <f t="shared" ca="1" si="71"/>
        <v>207.94307932960896</v>
      </c>
      <c r="O359" s="622">
        <f t="shared" si="72"/>
        <v>31.304469273743017</v>
      </c>
      <c r="P359" s="622">
        <f t="shared" ca="1" si="73"/>
        <v>1096.1454545454546</v>
      </c>
      <c r="Q359" s="622">
        <f t="shared" ca="1" si="74"/>
        <v>33.02784043972633</v>
      </c>
      <c r="R359">
        <f t="shared" ca="1" si="75"/>
        <v>172.7272727272727</v>
      </c>
      <c r="S359" s="622">
        <f t="shared" ca="1" si="76"/>
        <v>1758.6776859504128</v>
      </c>
      <c r="T359" s="622">
        <f t="shared" ca="1" si="77"/>
        <v>2.044308758809232</v>
      </c>
      <c r="U359">
        <f t="shared" ca="1" si="78"/>
        <v>40.886175176184636</v>
      </c>
      <c r="V359" s="622">
        <f t="shared" ca="1" si="79"/>
        <v>0.0</v>
      </c>
      <c r="W359" s="622">
        <f t="shared" ca="1" si="80"/>
        <v>-2162.616467314246</v>
      </c>
    </row>
    <row r="360" spans="11:23" x14ac:dyDescent="0.25">
      <c r="K360" s="622">
        <f>$L$345+10*$L$347</f>
        <v>7.9</v>
      </c>
      <c r="L360" s="622">
        <f t="shared" si="69"/>
        <v>534.3131831607396</v>
      </c>
      <c r="M360" s="622">
        <f t="shared" si="70"/>
        <v>1.8164556962025318</v>
      </c>
      <c r="N360" s="622">
        <f t="shared" ca="1" si="71"/>
        <v>229.9720101265823</v>
      </c>
      <c r="O360" s="622">
        <f t="shared" si="72"/>
        <v>28.044303797468356</v>
      </c>
      <c r="P360" s="622">
        <f t="shared" ca="1" si="73"/>
        <v>1096.1454545454546</v>
      </c>
      <c r="Q360" s="622">
        <f t="shared" ca="1" si="74"/>
        <v>30.10880182859558</v>
      </c>
      <c r="R360">
        <f t="shared" ca="1" si="75"/>
        <v>172.7272727272727</v>
      </c>
      <c r="S360" s="622">
        <f t="shared" ca="1" si="76"/>
        <v>1758.6776859504128</v>
      </c>
      <c r="T360" s="622">
        <f t="shared" ca="1" si="77"/>
        <v>2.0443087588092324</v>
      </c>
      <c r="U360">
        <f t="shared" ca="1" si="78"/>
        <v>40.88617517618464</v>
      </c>
      <c r="V360" s="622">
        <f t="shared" ca="1" si="79"/>
        <v>0.0</v>
      </c>
      <c r="W360" s="622">
        <f t="shared" ca="1" si="80"/>
        <v>-2090.5379472085456</v>
      </c>
    </row>
    <row r="361" spans="11:23" x14ac:dyDescent="0.25">
      <c r="K361" s="622">
        <f>$L$345+11*$L$347</f>
        <v>8.64</v>
      </c>
      <c r="L361" s="622">
        <f t="shared" si="69"/>
        <v>584.3627724694672</v>
      </c>
      <c r="M361" s="622">
        <f t="shared" si="70"/>
        <v>1.9606481481481481</v>
      </c>
      <c r="N361" s="622">
        <f t="shared" ca="1" si="71"/>
        <v>248.22746666666671</v>
      </c>
      <c r="O361" s="622">
        <f t="shared" si="72"/>
        <v>25.34259259259259</v>
      </c>
      <c r="P361" s="622">
        <f t="shared" ca="1" si="73"/>
        <v>1096.1454545454546</v>
      </c>
      <c r="Q361" s="622">
        <f t="shared" ca="1" si="74"/>
        <v>27.68978372029741</v>
      </c>
      <c r="R361">
        <f t="shared" ca="1" si="75"/>
        <v>172.7272727272727</v>
      </c>
      <c r="S361" s="622">
        <f t="shared" ca="1" si="76"/>
        <v>1758.6776859504128</v>
      </c>
      <c r="T361" s="622">
        <f t="shared" ca="1" si="77"/>
        <v>2.0443087588092324</v>
      </c>
      <c r="U361">
        <f t="shared" ca="1" si="78"/>
        <v>40.88617517618464</v>
      </c>
      <c r="V361" s="622">
        <f t="shared" ca="1" si="79"/>
        <v>0.0</v>
      </c>
      <c r="W361" s="622">
        <f t="shared" ca="1" si="80"/>
        <v>-2022.2329013597334</v>
      </c>
    </row>
    <row r="362" spans="11:23" x14ac:dyDescent="0.25">
      <c r="K362" s="622">
        <f>$L$345+12*$L$347</f>
        <v>9.379999999999999</v>
      </c>
      <c r="L362" s="622">
        <f t="shared" si="69"/>
        <v>634.4123617781946</v>
      </c>
      <c r="M362" s="622">
        <f t="shared" si="70"/>
        <v>2.082089552238806</v>
      </c>
      <c r="N362" s="622">
        <f t="shared" ca="1" si="71"/>
        <v>263.60253134328366</v>
      </c>
      <c r="O362" s="622">
        <f t="shared" si="72"/>
        <v>23.067164179104484</v>
      </c>
      <c r="P362" s="622">
        <f t="shared" ca="1" si="73"/>
        <v>1096.1454545454546</v>
      </c>
      <c r="Q362" s="622">
        <f t="shared" ca="1" si="74"/>
        <v>25.652444375355458</v>
      </c>
      <c r="R362">
        <f t="shared" ca="1" si="75"/>
        <v>172.7272727272727</v>
      </c>
      <c r="S362" s="622">
        <f t="shared" ca="1" si="76"/>
        <v>1758.6776859504128</v>
      </c>
      <c r="T362" s="622">
        <f t="shared" ca="1" si="77"/>
        <v>2.0443087588092324</v>
      </c>
      <c r="U362">
        <f t="shared" ca="1" si="78"/>
        <v>40.88617517618464</v>
      </c>
      <c r="V362" s="622">
        <f t="shared" ca="1" si="79"/>
        <v>0.0</v>
      </c>
      <c r="W362" s="622">
        <f t="shared" ca="1" si="80"/>
        <v>-1956.808247374389</v>
      </c>
    </row>
    <row r="363" spans="11:23" x14ac:dyDescent="0.25">
      <c r="K363" s="622">
        <f>$L$345+13*$L$347</f>
        <v>10.12</v>
      </c>
      <c r="L363" s="622">
        <f t="shared" si="69"/>
        <v>684.4619510869222</v>
      </c>
      <c r="M363" s="622">
        <f t="shared" si="70"/>
        <v>2.185770750988142</v>
      </c>
      <c r="N363" s="622">
        <f t="shared" ca="1" si="71"/>
        <v>274.03636363636366</v>
      </c>
      <c r="O363" s="622">
        <f t="shared" si="72"/>
        <v>21.12450592885376</v>
      </c>
      <c r="P363" s="622">
        <f t="shared" ca="1" si="73"/>
        <v>1096.1454545454546</v>
      </c>
      <c r="Q363" s="622">
        <f t="shared" ca="1" si="74"/>
        <v>23.913055843705408</v>
      </c>
      <c r="R363">
        <f t="shared" ca="1" si="75"/>
        <v>172.7272727272727</v>
      </c>
      <c r="S363" s="622">
        <f t="shared" ca="1" si="76"/>
        <v>1758.6776859504128</v>
      </c>
      <c r="T363" s="622">
        <f t="shared" ca="1" si="77"/>
        <v>2.044308758809233</v>
      </c>
      <c r="U363">
        <f t="shared" ca="1" si="78"/>
        <v>40.88617517618466</v>
      </c>
      <c r="V363" s="622">
        <f t="shared" ca="1" si="79"/>
        <v>0.0</v>
      </c>
      <c r="W363" s="622">
        <f t="shared" ca="1" si="80"/>
        <v>-1896.3248257725816</v>
      </c>
    </row>
    <row r="364" spans="11:23" x14ac:dyDescent="0.25">
      <c r="K364" s="622">
        <f>$L$345+14*$L$347</f>
        <v>10.86</v>
      </c>
      <c r="L364" s="622">
        <f t="shared" si="69"/>
        <v>734.5115403956497</v>
      </c>
      <c r="M364" s="622">
        <f t="shared" si="70"/>
        <v>2.2753222836095763</v>
      </c>
      <c r="N364" s="622">
        <f t="shared" ca="1" si="71"/>
        <v>274.03636363636366</v>
      </c>
      <c r="O364" s="622">
        <f t="shared" si="72"/>
        <v>19.44659300184162</v>
      </c>
      <c r="P364" s="622">
        <f t="shared" ca="1" si="73"/>
        <v>1096.1454545454546</v>
      </c>
      <c r="Q364" s="622">
        <f t="shared" ca="1" si="74"/>
        <v>22.410711053016875</v>
      </c>
      <c r="R364">
        <f t="shared" ca="1" si="75"/>
        <v>172.7272727272727</v>
      </c>
      <c r="S364" s="622">
        <f t="shared" ca="1" si="76"/>
        <v>1758.6776859504128</v>
      </c>
      <c r="T364" s="622">
        <f t="shared" ca="1" si="77"/>
        <v>2.0443087588092324</v>
      </c>
      <c r="U364">
        <f t="shared" ca="1" si="78"/>
        <v>40.88617517618464</v>
      </c>
      <c r="V364" s="622">
        <f t="shared" ca="1" si="79"/>
        <v>0.0</v>
      </c>
      <c r="W364" s="622">
        <f t="shared" ca="1" si="80"/>
        <v>-1846.275236463854</v>
      </c>
    </row>
    <row r="365" spans="11:23" x14ac:dyDescent="0.25">
      <c r="K365" s="622">
        <f>$L$345+15*$L$347</f>
        <v>11.6</v>
      </c>
      <c r="L365" s="622">
        <f t="shared" si="69"/>
        <v>784.5611297043771</v>
      </c>
      <c r="M365" s="622">
        <f t="shared" si="70"/>
        <v>2.353448275862069</v>
      </c>
      <c r="N365" s="622">
        <f t="shared" ca="1" si="71"/>
        <v>274.03636363636366</v>
      </c>
      <c r="O365" s="622">
        <f t="shared" si="72"/>
        <v>17.982758620689655</v>
      </c>
      <c r="P365" s="622">
        <f t="shared" ca="1" si="73"/>
        <v>1096.1454545454546</v>
      </c>
      <c r="Q365" s="622">
        <f t="shared" ca="1" si="74"/>
        <v>21.100044735623083</v>
      </c>
      <c r="R365">
        <f t="shared" ca="1" si="75"/>
        <v>172.7272727272727</v>
      </c>
      <c r="S365" s="622">
        <f t="shared" ca="1" si="76"/>
        <v>1758.6776859504128</v>
      </c>
      <c r="T365" s="622">
        <f t="shared" ca="1" si="77"/>
        <v>2.044308758809232</v>
      </c>
      <c r="U365">
        <f t="shared" ca="1" si="78"/>
        <v>40.886175176184636</v>
      </c>
      <c r="V365" s="622">
        <f t="shared" ca="1" si="79"/>
        <v>0.0</v>
      </c>
      <c r="W365" s="622">
        <f t="shared" ca="1" si="80"/>
        <v>-1796.2256471551266</v>
      </c>
    </row>
    <row r="366" spans="11:23" x14ac:dyDescent="0.25">
      <c r="K366" s="622">
        <f>$L$345+16*$L$347</f>
        <v>12.34</v>
      </c>
      <c r="L366" s="622">
        <f t="shared" si="69"/>
        <v>834.6107190131047</v>
      </c>
      <c r="M366" s="622">
        <f t="shared" si="70"/>
        <v>2.4222042139384117</v>
      </c>
      <c r="N366" s="622">
        <f t="shared" ca="1" si="71"/>
        <v>274.03636363636366</v>
      </c>
      <c r="O366" s="622">
        <f t="shared" si="72"/>
        <v>16.69448946515397</v>
      </c>
      <c r="P366" s="622">
        <f t="shared" ca="1" si="73"/>
        <v>1096.1454545454546</v>
      </c>
      <c r="Q366" s="622">
        <f t="shared" ca="1" si="74"/>
        <v>19.94657340605286</v>
      </c>
      <c r="R366">
        <f t="shared" ca="1" si="75"/>
        <v>172.7272727272727</v>
      </c>
      <c r="S366" s="622">
        <f t="shared" ca="1" si="76"/>
        <v>1758.6776859504128</v>
      </c>
      <c r="T366" s="622">
        <f t="shared" ca="1" si="77"/>
        <v>2.0443087588092324</v>
      </c>
      <c r="U366">
        <f t="shared" ca="1" si="78"/>
        <v>40.88617517618464</v>
      </c>
      <c r="V366" s="622">
        <f t="shared" ca="1" si="79"/>
        <v>0.0</v>
      </c>
      <c r="W366" s="622">
        <f t="shared" ca="1" si="80"/>
        <v>-1746.176057846399</v>
      </c>
    </row>
    <row r="367" spans="11:23" x14ac:dyDescent="0.25">
      <c r="K367" s="622">
        <f>$L$345+17*$L$347</f>
        <v>13.08</v>
      </c>
      <c r="L367" s="622">
        <f t="shared" si="69"/>
        <v>884.6603083218322</v>
      </c>
      <c r="M367" s="622">
        <f t="shared" si="70"/>
        <v>2.483180428134557</v>
      </c>
      <c r="N367" s="622">
        <f t="shared" ca="1" si="71"/>
        <v>274.03636363636366</v>
      </c>
      <c r="O367" s="622">
        <f t="shared" si="72"/>
        <v>15.5519877675841</v>
      </c>
      <c r="P367" s="622">
        <f t="shared" ca="1" si="73"/>
        <v>1096.1454545454546</v>
      </c>
      <c r="Q367" s="622">
        <f t="shared" ca="1" si="74"/>
        <v>18.923617181051746</v>
      </c>
      <c r="R367">
        <f t="shared" ca="1" si="75"/>
        <v>172.7272727272727</v>
      </c>
      <c r="S367" s="622">
        <f t="shared" ca="1" si="76"/>
        <v>1758.6776859504128</v>
      </c>
      <c r="T367" s="622">
        <f t="shared" ca="1" si="77"/>
        <v>2.0443087588092324</v>
      </c>
      <c r="U367">
        <f t="shared" ca="1" si="78"/>
        <v>40.88617517618464</v>
      </c>
      <c r="V367" s="622">
        <f t="shared" ca="1" si="79"/>
        <v>0.0</v>
      </c>
      <c r="W367" s="622">
        <f t="shared" ca="1" si="80"/>
        <v>-1696.1264685376716</v>
      </c>
    </row>
    <row r="368" spans="11:23" x14ac:dyDescent="0.25">
      <c r="K368" s="622">
        <f>$L$345+18*$L$347</f>
        <v>13.82</v>
      </c>
      <c r="L368" s="622">
        <f t="shared" si="69"/>
        <v>934.7098976305598</v>
      </c>
      <c r="M368" s="622">
        <f t="shared" si="70"/>
        <v>2.537626628075253</v>
      </c>
      <c r="N368" s="622">
        <f t="shared" ca="1" si="71"/>
        <v>274.03636363636366</v>
      </c>
      <c r="O368" s="622">
        <f t="shared" si="72"/>
        <v>14.531837916063676</v>
      </c>
      <c r="P368" s="622">
        <f t="shared" ca="1" si="73"/>
        <v>1096.1454545454546</v>
      </c>
      <c r="Q368" s="622">
        <f t="shared" ca="1" si="74"/>
        <v>18.010210537309796</v>
      </c>
      <c r="R368">
        <f t="shared" ca="1" si="75"/>
        <v>172.7272727272727</v>
      </c>
      <c r="S368" s="622">
        <f t="shared" ca="1" si="76"/>
        <v>1758.6776859504128</v>
      </c>
      <c r="T368" s="622">
        <f t="shared" ca="1" si="77"/>
        <v>2.044308758809232</v>
      </c>
      <c r="U368">
        <f t="shared" ca="1" si="78"/>
        <v>40.886175176184636</v>
      </c>
      <c r="V368" s="622">
        <f t="shared" ca="1" si="79"/>
        <v>0.0</v>
      </c>
      <c r="W368" s="622">
        <f t="shared" ca="1" si="80"/>
        <v>-1646.0768792289439</v>
      </c>
    </row>
    <row r="369" spans="11:23" x14ac:dyDescent="0.25">
      <c r="K369" s="622">
        <f>$L$345+19*$L$347</f>
        <v>14.56</v>
      </c>
      <c r="L369" s="622">
        <f t="shared" si="69"/>
        <v>984.7594869392874</v>
      </c>
      <c r="M369" s="622">
        <f t="shared" si="70"/>
        <v>2.5865384615384617</v>
      </c>
      <c r="N369" s="622">
        <f t="shared" ca="1" si="71"/>
        <v>274.03636363636366</v>
      </c>
      <c r="O369" s="622">
        <f t="shared" si="72"/>
        <v>13.615384615384615</v>
      </c>
      <c r="P369" s="622">
        <f t="shared" ca="1" si="73"/>
        <v>1096.1454545454546</v>
      </c>
      <c r="Q369" s="622">
        <f t="shared" ca="1" si="74"/>
        <v>17.189650173288864</v>
      </c>
      <c r="R369">
        <f t="shared" ca="1" si="75"/>
        <v>172.7272727272727</v>
      </c>
      <c r="S369" s="622">
        <f t="shared" ca="1" si="76"/>
        <v>1758.6776859504128</v>
      </c>
      <c r="T369" s="622">
        <f t="shared" ca="1" si="77"/>
        <v>2.0443087588092324</v>
      </c>
      <c r="U369">
        <f t="shared" ca="1" si="78"/>
        <v>40.88617517618464</v>
      </c>
      <c r="V369" s="622">
        <f t="shared" ca="1" si="79"/>
        <v>0.0</v>
      </c>
      <c r="W369" s="622">
        <f t="shared" ca="1" si="80"/>
        <v>-1596.0272899202164</v>
      </c>
    </row>
    <row r="370" spans="11:23" x14ac:dyDescent="0.25">
      <c r="K370" s="622">
        <f>$L$345+20*$L$347</f>
        <v>15.3</v>
      </c>
      <c r="L370" s="622">
        <f t="shared" si="69"/>
        <v>1034.809076248015</v>
      </c>
      <c r="M370" s="622">
        <f t="shared" si="70"/>
        <v>2.630718954248366</v>
      </c>
      <c r="N370" s="622">
        <f t="shared" ca="1" si="71"/>
        <v>274.03636363636366</v>
      </c>
      <c r="O370" s="622">
        <f t="shared" si="72"/>
        <v>12.787581699346406</v>
      </c>
      <c r="P370" s="622">
        <f t="shared" ca="1" si="73"/>
        <v>1096.1454545454546</v>
      </c>
      <c r="Q370" s="622">
        <f t="shared" ca="1" si="74"/>
        <v>16.44846427585297</v>
      </c>
      <c r="R370">
        <f t="shared" ca="1" si="75"/>
        <v>172.7272727272727</v>
      </c>
      <c r="S370" s="622">
        <f t="shared" ca="1" si="76"/>
        <v>1758.6776859504128</v>
      </c>
      <c r="T370" s="622">
        <f t="shared" ca="1" si="77"/>
        <v>2.0443087588092324</v>
      </c>
      <c r="U370">
        <f t="shared" ca="1" si="78"/>
        <v>40.88617517618464</v>
      </c>
      <c r="V370" s="622">
        <f t="shared" ca="1" si="79"/>
        <v>0.0</v>
      </c>
      <c r="W370" s="622">
        <f t="shared" ca="1" si="80"/>
        <v>-1545.977700611489</v>
      </c>
    </row>
    <row r="371" spans="11:23" x14ac:dyDescent="0.25">
      <c r="K371" s="622">
        <f>$L$345+21*$L$347</f>
        <v>16.04</v>
      </c>
      <c r="L371" s="622">
        <f t="shared" si="69"/>
        <v>1084.8586655567424</v>
      </c>
      <c r="M371" s="622">
        <f t="shared" si="70"/>
        <v>2.6708229426433916</v>
      </c>
      <c r="N371" s="622">
        <f t="shared" ca="1" si="71"/>
        <v>274.03636363636366</v>
      </c>
      <c r="O371" s="622">
        <f t="shared" si="72"/>
        <v>12.036159600997507</v>
      </c>
      <c r="P371" s="622">
        <f t="shared" ca="1" si="73"/>
        <v>1096.1454545454546</v>
      </c>
      <c r="Q371" s="622">
        <f t="shared" ca="1" si="74"/>
        <v>15.775667102120634</v>
      </c>
      <c r="R371">
        <f t="shared" ca="1" si="75"/>
        <v>172.7272727272727</v>
      </c>
      <c r="S371" s="622">
        <f t="shared" ca="1" si="76"/>
        <v>1758.6776859504128</v>
      </c>
      <c r="T371" s="622">
        <f t="shared" ca="1" si="77"/>
        <v>2.0443087588092324</v>
      </c>
      <c r="U371">
        <f t="shared" ca="1" si="78"/>
        <v>40.88617517618464</v>
      </c>
      <c r="V371" s="622">
        <f t="shared" ca="1" si="79"/>
        <v>0.0</v>
      </c>
      <c r="W371" s="622">
        <f t="shared" ca="1" si="80"/>
        <v>-1495.9281113027614</v>
      </c>
    </row>
    <row r="372" spans="11:23" x14ac:dyDescent="0.25">
      <c r="K372" s="622">
        <f>$L$345+22*$L$347</f>
        <v>16.78</v>
      </c>
      <c r="L372" s="622">
        <f t="shared" si="69"/>
        <v>1134.9082548654699</v>
      </c>
      <c r="M372" s="622">
        <f t="shared" si="70"/>
        <v>2.707389749702026</v>
      </c>
      <c r="N372" s="622">
        <f t="shared" ca="1" si="71"/>
        <v>274.03636363636366</v>
      </c>
      <c r="O372" s="622">
        <f t="shared" si="72"/>
        <v>11.351013110846244</v>
      </c>
      <c r="P372" s="622">
        <f t="shared" ca="1" si="73"/>
        <v>1096.1454545454546</v>
      </c>
      <c r="Q372" s="622">
        <f t="shared" ca="1" si="74"/>
        <v>15.16221079949222</v>
      </c>
      <c r="R372">
        <f t="shared" ca="1" si="75"/>
        <v>172.7272727272727</v>
      </c>
      <c r="S372" s="622">
        <f t="shared" ca="1" si="76"/>
        <v>1758.6776859504128</v>
      </c>
      <c r="T372" s="622">
        <f t="shared" ca="1" si="77"/>
        <v>2.0443087588092324</v>
      </c>
      <c r="U372">
        <f t="shared" ca="1" si="78"/>
        <v>40.88617517618464</v>
      </c>
      <c r="V372" s="622">
        <f t="shared" ca="1" si="79"/>
        <v>0.0</v>
      </c>
      <c r="W372" s="622">
        <f t="shared" ca="1" si="80"/>
        <v>-1445.878521994034</v>
      </c>
    </row>
    <row r="373" spans="11:23" x14ac:dyDescent="0.25">
      <c r="K373" s="622">
        <f>$L$345+23*$L$347</f>
        <v>17.52</v>
      </c>
      <c r="L373" s="622">
        <f t="shared" si="69"/>
        <v>1184.9578441741974</v>
      </c>
      <c r="M373" s="622">
        <f t="shared" si="70"/>
        <v>2.7408675799086755</v>
      </c>
      <c r="N373" s="622">
        <f t="shared" ca="1" si="71"/>
        <v>274.03636363636366</v>
      </c>
      <c r="O373" s="622">
        <f t="shared" si="72"/>
        <v>10.723744292237445</v>
      </c>
      <c r="P373" s="622">
        <f t="shared" ca="1" si="73"/>
        <v>1096.1454545454546</v>
      </c>
      <c r="Q373" s="622">
        <f t="shared" ca="1" si="74"/>
        <v>14.600576147999087</v>
      </c>
      <c r="R373">
        <f t="shared" ca="1" si="75"/>
        <v>172.7272727272727</v>
      </c>
      <c r="S373" s="622">
        <f t="shared" ca="1" si="76"/>
        <v>1758.6776859504128</v>
      </c>
      <c r="T373" s="622">
        <f t="shared" ca="1" si="77"/>
        <v>2.0443087588092324</v>
      </c>
      <c r="U373">
        <f t="shared" ca="1" si="78"/>
        <v>40.88617517618464</v>
      </c>
      <c r="V373" s="622">
        <f t="shared" ca="1" si="79"/>
        <v>0.0</v>
      </c>
      <c r="W373" s="622">
        <f t="shared" ca="1" si="80"/>
        <v>-1395.8289326853064</v>
      </c>
    </row>
    <row r="374" spans="11:23" x14ac:dyDescent="0.25">
      <c r="K374" s="622">
        <f>$L$345+24*$L$347</f>
        <v>18.259999999999998</v>
      </c>
      <c r="L374" s="622">
        <f t="shared" si="69"/>
        <v>1235.0074334829246</v>
      </c>
      <c r="M374" s="622">
        <f t="shared" si="70"/>
        <v>2.771631982475356</v>
      </c>
      <c r="N374" s="622">
        <f t="shared" ca="1" si="71"/>
        <v>274.03636363636366</v>
      </c>
      <c r="O374" s="622">
        <f t="shared" si="72"/>
        <v>10.147316538882807</v>
      </c>
      <c r="P374" s="622">
        <f t="shared" ca="1" si="73"/>
        <v>1096.1454545454546</v>
      </c>
      <c r="Q374" s="622">
        <f t="shared" ca="1" si="74"/>
        <v>14.084462815465967</v>
      </c>
      <c r="R374">
        <f t="shared" ca="1" si="75"/>
        <v>172.7272727272727</v>
      </c>
      <c r="S374" s="622">
        <f t="shared" ca="1" si="76"/>
        <v>1758.6776859504128</v>
      </c>
      <c r="T374" s="622">
        <f t="shared" ca="1" si="77"/>
        <v>2.0443087588092324</v>
      </c>
      <c r="U374">
        <f t="shared" ca="1" si="78"/>
        <v>40.88617517618464</v>
      </c>
      <c r="V374" s="622">
        <f t="shared" ca="1" si="79"/>
        <v>0.0</v>
      </c>
      <c r="W374" s="622">
        <f t="shared" ca="1" si="80"/>
        <v>-1345.7793433765792</v>
      </c>
    </row>
    <row r="375" spans="11:23" x14ac:dyDescent="0.25">
      <c r="K375" s="622">
        <f>$L$345+25*$L$347</f>
        <v>19.0</v>
      </c>
      <c r="L375" s="622">
        <f t="shared" si="69"/>
        <v>1285.0570227916523</v>
      </c>
      <c r="M375" s="622">
        <f t="shared" si="70"/>
        <v>2.8</v>
      </c>
      <c r="N375" s="622">
        <f t="shared" ca="1" si="71"/>
        <v>274.03636363636366</v>
      </c>
      <c r="O375" s="622">
        <f t="shared" si="72"/>
        <v>9.615789473684211</v>
      </c>
      <c r="P375" s="622">
        <f t="shared" ca="1" si="73"/>
        <v>1096.1454545454546</v>
      </c>
      <c r="Q375" s="622">
        <f t="shared" ca="1" si="74"/>
        <v>13.608551995151213</v>
      </c>
      <c r="R375">
        <f t="shared" ca="1" si="75"/>
        <v>172.7272727272727</v>
      </c>
      <c r="S375" s="622">
        <f t="shared" ca="1" si="76"/>
        <v>1758.6776859504128</v>
      </c>
      <c r="T375" s="622">
        <f t="shared" ca="1" si="77"/>
        <v>2.0443087588092324</v>
      </c>
      <c r="U375">
        <f t="shared" ca="1" si="78"/>
        <v>40.88617517618464</v>
      </c>
      <c r="V375" s="622">
        <f t="shared" ca="1" si="79"/>
        <v>0.0</v>
      </c>
      <c r="W375" s="622">
        <f t="shared" ca="1" si="80"/>
        <v>-1295.7297540678514</v>
      </c>
    </row>
    <row r="376" spans="11:23" x14ac:dyDescent="0.25">
      <c r="K376" s="622">
        <f>$L$345+26*$L$347</f>
        <v>19.74</v>
      </c>
      <c r="L376" s="622">
        <f t="shared" si="69"/>
        <v>1335.1066121003798</v>
      </c>
      <c r="M376" s="622">
        <f t="shared" si="70"/>
        <v>2.826241134751773</v>
      </c>
      <c r="N376" s="622">
        <f t="shared" ca="1" si="71"/>
        <v>274.03636363636366</v>
      </c>
      <c r="O376" s="622">
        <f t="shared" si="72"/>
        <v>9.124113475177307</v>
      </c>
      <c r="P376" s="622">
        <f t="shared" ca="1" si="73"/>
        <v>1096.1454545454546</v>
      </c>
      <c r="Q376" s="622">
        <f t="shared" ca="1" si="74"/>
        <v>13.16832243188134</v>
      </c>
      <c r="R376">
        <f t="shared" ca="1" si="75"/>
        <v>172.7272727272727</v>
      </c>
      <c r="S376" s="622">
        <f t="shared" ca="1" si="76"/>
        <v>1758.6776859504128</v>
      </c>
      <c r="T376" s="622">
        <f t="shared" ca="1" si="77"/>
        <v>2.044308758809233</v>
      </c>
      <c r="U376">
        <f t="shared" ca="1" si="78"/>
        <v>40.88617517618466</v>
      </c>
      <c r="V376" s="622">
        <f t="shared" ca="1" si="79"/>
        <v>0.0</v>
      </c>
      <c r="W376" s="622">
        <f t="shared" ca="1" si="80"/>
        <v>-1245.680164759124</v>
      </c>
    </row>
    <row r="377" spans="11:23" x14ac:dyDescent="0.25">
      <c r="K377" s="622">
        <f>$L$345+27*$L$347</f>
        <v>20.48</v>
      </c>
      <c r="L377" s="622">
        <f t="shared" si="69"/>
        <v>1385.1562014091073</v>
      </c>
      <c r="M377" s="622">
        <f t="shared" si="70"/>
        <v>2.8505859374999996</v>
      </c>
      <c r="N377" s="622">
        <f t="shared" ca="1" si="71"/>
        <v>274.03636363636366</v>
      </c>
      <c r="O377" s="622">
        <f t="shared" si="72"/>
        <v>8.667968749999998</v>
      </c>
      <c r="P377" s="622">
        <f t="shared" ca="1" si="73"/>
        <v>1096.1454545454546</v>
      </c>
      <c r="Q377" s="622">
        <f t="shared" ca="1" si="74"/>
        <v>12.759906333144635</v>
      </c>
      <c r="R377">
        <f t="shared" ca="1" si="75"/>
        <v>172.7272727272727</v>
      </c>
      <c r="S377" s="622">
        <f t="shared" ca="1" si="76"/>
        <v>1758.6776859504128</v>
      </c>
      <c r="T377" s="622">
        <f t="shared" ca="1" si="77"/>
        <v>2.044308758809232</v>
      </c>
      <c r="U377">
        <f t="shared" ca="1" si="78"/>
        <v>40.886175176184636</v>
      </c>
      <c r="V377" s="622">
        <f t="shared" ca="1" si="79"/>
        <v>0.0</v>
      </c>
      <c r="W377" s="622">
        <f t="shared" ca="1" si="80"/>
        <v>-1195.6305754503965</v>
      </c>
    </row>
    <row r="378" spans="11:23" x14ac:dyDescent="0.25">
      <c r="K378" s="622">
        <f>$L$345+28*$L$347</f>
        <v>21.22</v>
      </c>
      <c r="L378" s="622">
        <f t="shared" si="69"/>
        <v>1435.2057907178348</v>
      </c>
      <c r="M378" s="622">
        <f t="shared" si="70"/>
        <v>2.873232799245994</v>
      </c>
      <c r="N378" s="622">
        <f t="shared" ca="1" si="71"/>
        <v>274.03636363636366</v>
      </c>
      <c r="O378" s="622">
        <f t="shared" si="72"/>
        <v>8.243638077285581</v>
      </c>
      <c r="P378" s="622">
        <f t="shared" ca="1" si="73"/>
        <v>1096.1454545454546</v>
      </c>
      <c r="Q378" s="622">
        <f t="shared" ca="1" si="74"/>
        <v>12.379975428853284</v>
      </c>
      <c r="R378">
        <f t="shared" ca="1" si="75"/>
        <v>172.7272727272727</v>
      </c>
      <c r="S378" s="622">
        <f t="shared" ca="1" si="76"/>
        <v>1758.6776859504128</v>
      </c>
      <c r="T378" s="622">
        <f t="shared" ca="1" si="77"/>
        <v>2.0443087588092324</v>
      </c>
      <c r="U378">
        <f t="shared" ca="1" si="78"/>
        <v>40.88617517618464</v>
      </c>
      <c r="V378" s="622">
        <f t="shared" ca="1" si="79"/>
        <v>0.0</v>
      </c>
      <c r="W378" s="622">
        <f t="shared" ca="1" si="80"/>
        <v>-1145.580986141669</v>
      </c>
    </row>
    <row r="379" spans="11:23" x14ac:dyDescent="0.25">
      <c r="K379" s="622">
        <f>$L$345+29*$L$347</f>
        <v>21.96</v>
      </c>
      <c r="L379" s="622">
        <f t="shared" si="69"/>
        <v>1485.2553800265625</v>
      </c>
      <c r="M379" s="622">
        <f t="shared" si="70"/>
        <v>2.894353369763206</v>
      </c>
      <c r="N379" s="622">
        <f t="shared" ca="1" si="71"/>
        <v>274.03636363636366</v>
      </c>
      <c r="O379" s="622">
        <f t="shared" si="72"/>
        <v>7.847905282331512</v>
      </c>
      <c r="P379" s="622">
        <f t="shared" ca="1" si="73"/>
        <v>1096.1454545454546</v>
      </c>
      <c r="Q379" s="622">
        <f t="shared" ca="1" si="74"/>
        <v>12.025650068202694</v>
      </c>
      <c r="R379">
        <f t="shared" ca="1" si="75"/>
        <v>172.7272727272727</v>
      </c>
      <c r="S379" s="622">
        <f t="shared" ca="1" si="76"/>
        <v>1758.6776859504128</v>
      </c>
      <c r="T379" s="622">
        <f t="shared" ca="1" si="77"/>
        <v>2.0443087588092324</v>
      </c>
      <c r="U379">
        <f t="shared" ca="1" si="78"/>
        <v>40.88617517618464</v>
      </c>
      <c r="V379" s="622">
        <f t="shared" ca="1" si="79"/>
        <v>0.0</v>
      </c>
      <c r="W379" s="622">
        <f t="shared" ca="1" si="80"/>
        <v>-1095.5313968329413</v>
      </c>
    </row>
    <row r="380" spans="11:23" x14ac:dyDescent="0.25">
      <c r="K380" s="622">
        <f>$L$345+30*$L$347</f>
        <v>22.7</v>
      </c>
      <c r="L380" s="622">
        <f t="shared" si="69"/>
        <v>1535.3049693352898</v>
      </c>
      <c r="M380" s="622">
        <f t="shared" si="70"/>
        <v>2.914096916299559</v>
      </c>
      <c r="N380" s="622">
        <f t="shared" ca="1" si="71"/>
        <v>274.03636363636366</v>
      </c>
      <c r="O380" s="622">
        <f t="shared" si="72"/>
        <v>7.477973568281938</v>
      </c>
      <c r="P380" s="622">
        <f t="shared" ca="1" si="73"/>
        <v>1096.1454545454546</v>
      </c>
      <c r="Q380" s="622">
        <f t="shared" ca="1" si="74"/>
        <v>11.694426096704657</v>
      </c>
      <c r="R380">
        <f t="shared" ca="1" si="75"/>
        <v>172.7272727272727</v>
      </c>
      <c r="S380" s="622">
        <f t="shared" ca="1" si="76"/>
        <v>1758.6776859504128</v>
      </c>
      <c r="T380" s="622">
        <f t="shared" ca="1" si="77"/>
        <v>2.044308758809232</v>
      </c>
      <c r="U380">
        <f t="shared" ca="1" si="78"/>
        <v>40.886175176184636</v>
      </c>
      <c r="V380" s="622">
        <f t="shared" ca="1" si="79"/>
        <v>0.0</v>
      </c>
      <c r="W380" s="622">
        <f t="shared" ca="1" si="80"/>
        <v>-1045.481807524214</v>
      </c>
    </row>
    <row r="381" spans="11:23" x14ac:dyDescent="0.25">
      <c r="K381" s="622">
        <f>$L$345+31*$L$347</f>
        <v>23.44</v>
      </c>
      <c r="L381" s="622">
        <f t="shared" si="69"/>
        <v>1585.3545586440175</v>
      </c>
      <c r="M381" s="622">
        <f t="shared" si="70"/>
        <v>2.9325938566552905</v>
      </c>
      <c r="N381" s="622">
        <f t="shared" ca="1" si="71"/>
        <v>274.03636363636366</v>
      </c>
      <c r="O381" s="622">
        <f t="shared" si="72"/>
        <v>7.131399317406144</v>
      </c>
      <c r="P381" s="622">
        <f t="shared" ca="1" si="73"/>
        <v>1096.1454545454546</v>
      </c>
      <c r="Q381" s="622">
        <f t="shared" ca="1" si="74"/>
        <v>11.38411558415786</v>
      </c>
      <c r="R381">
        <f t="shared" ca="1" si="75"/>
        <v>172.7272727272727</v>
      </c>
      <c r="S381" s="622">
        <f t="shared" ca="1" si="76"/>
        <v>1758.6776859504128</v>
      </c>
      <c r="T381" s="622">
        <f t="shared" ca="1" si="77"/>
        <v>2.0443087588092324</v>
      </c>
      <c r="U381">
        <f t="shared" ca="1" si="78"/>
        <v>40.88617517618464</v>
      </c>
      <c r="V381" s="622">
        <f t="shared" ca="1" si="79"/>
        <v>0.0</v>
      </c>
      <c r="W381" s="622">
        <f t="shared" ca="1" si="80"/>
        <v>-995.4322182154863</v>
      </c>
    </row>
    <row r="382" spans="11:23" x14ac:dyDescent="0.25">
      <c r="K382" s="622">
        <f>$L$345+32*$L$347</f>
        <v>24.18</v>
      </c>
      <c r="L382" s="622">
        <f t="shared" ref="L382:L413" si="81">IF(($L$14*K382)&lt;=$L$339,$L$338*$L$18*($L$14*K382),$L$338*$L$18*$L$339+$L$337*$L$18*(($L$14*K382)-$L$339))</f>
        <v>1635.404147952745</v>
      </c>
      <c r="M382" s="622">
        <f t="shared" ref="M382:M413" si="82">$L$13*(K382-$L$340)/K382</f>
        <v>2.9499586435070304</v>
      </c>
      <c r="N382" s="622">
        <f t="shared" ref="N382:N413" ca="1" si="83">$L$25*(SIGN(M382)*MIN(ABS(M382)*$L$10/1000,$L$11))/10</f>
        <v>274.03636363636366</v>
      </c>
      <c r="O382" s="622">
        <f t="shared" ref="O382:O413" si="84">$L$13*($L$341-K382)/K382</f>
        <v>6.806038047973533</v>
      </c>
      <c r="P382" s="622">
        <f t="shared" ref="P382:P413" ca="1" si="85">$L$30*(SIGN(O382)*MIN(ABS(O382)*$L$10/1000,$L$11))/10</f>
        <v>1096.1454545454546</v>
      </c>
      <c r="Q382" s="622">
        <f t="shared" ref="Q382:Q413" ca="1" si="86">$L$36+$L$13*($L$342-K382)/K382</f>
        <v>11.092798436316162</v>
      </c>
      <c r="R382">
        <f t="shared" ref="R382:R413" ca="1" si="87">SIGN(Q382)*IF(ABS(Q382)&lt;=$Z$12,$Z$9*ABS(Q382)/1000,IF(ABS(Q382)&lt;=$Z$13,$Z$10+($Z$11-$Z$10)*(ABS(Q382)-$Z$12)/($Z$13-$Z$12),$Z$11))/10</f>
        <v>172.7272727272727</v>
      </c>
      <c r="S382" s="622">
        <f t="shared" ref="S382:S413" ca="1" si="88">$L$34*(R382/$L$9)</f>
        <v>1758.6776859504128</v>
      </c>
      <c r="T382" s="622">
        <f t="shared" ref="T382:T413" ca="1" si="89">$L$41+$L$13*($L$343-K382)/K382</f>
        <v>2.0443087588092324</v>
      </c>
      <c r="U382">
        <f t="shared" ref="U382:U413" ca="1" si="90">SIGN(T382)*IF(ABS(T382)&lt;=$Z$12,$Z$9*ABS(T382)/1000,IF(ABS(T382)&lt;=$Z$13,$Z$10+($Z$11-$Z$10)*(ABS(T382)-$Z$12)/($Z$13-$Z$12),$Z$11))/10</f>
        <v>40.88617517618464</v>
      </c>
      <c r="V382" s="622">
        <f t="shared" ref="V382:V413" ca="1" si="91">$L$39*(U382/$L$9)</f>
        <v>0.0</v>
      </c>
      <c r="W382" s="622">
        <f t="shared" ref="W382:W413" ca="1" si="92">L382+N382-P382-S382-V382</f>
        <v>-945.3826289067588</v>
      </c>
    </row>
    <row r="383" spans="11:23" x14ac:dyDescent="0.25">
      <c r="K383" s="622">
        <f>$L$345+33*$L$347</f>
        <v>24.919999999999998</v>
      </c>
      <c r="L383" s="622">
        <f t="shared" si="81"/>
        <v>1685.4537372614723</v>
      </c>
      <c r="M383" s="622">
        <f t="shared" si="82"/>
        <v>2.9662921348314604</v>
      </c>
      <c r="N383" s="622">
        <f t="shared" ca="1" si="83"/>
        <v>274.03636363636366</v>
      </c>
      <c r="O383" s="622">
        <f t="shared" si="84"/>
        <v>6.500000000000001</v>
      </c>
      <c r="P383" s="622">
        <f t="shared" ca="1" si="85"/>
        <v>1096.1454545454546</v>
      </c>
      <c r="Q383" s="622">
        <f t="shared" ca="1" si="86"/>
        <v>10.818782627912894</v>
      </c>
      <c r="R383">
        <f t="shared" ca="1" si="87"/>
        <v>172.7272727272727</v>
      </c>
      <c r="S383" s="622">
        <f t="shared" ca="1" si="88"/>
        <v>1758.6776859504128</v>
      </c>
      <c r="T383" s="622">
        <f t="shared" ca="1" si="89"/>
        <v>2.0443087588092324</v>
      </c>
      <c r="U383">
        <f t="shared" ca="1" si="90"/>
        <v>40.88617517618464</v>
      </c>
      <c r="V383" s="622">
        <f t="shared" ca="1" si="91"/>
        <v>0.0</v>
      </c>
      <c r="W383" s="622">
        <f t="shared" ca="1" si="92"/>
        <v>-895.3330395980315</v>
      </c>
    </row>
    <row r="384" spans="11:23" x14ac:dyDescent="0.25">
      <c r="K384" s="622">
        <f>$L$345+34*$L$347</f>
        <v>25.66</v>
      </c>
      <c r="L384" s="622">
        <f t="shared" si="81"/>
        <v>1735.5033265702</v>
      </c>
      <c r="M384" s="622">
        <f t="shared" si="82"/>
        <v>2.981683554169914</v>
      </c>
      <c r="N384" s="622">
        <f t="shared" ca="1" si="83"/>
        <v>274.03636363636366</v>
      </c>
      <c r="O384" s="622">
        <f t="shared" si="84"/>
        <v>6.211613406079501</v>
      </c>
      <c r="P384" s="622">
        <f t="shared" ca="1" si="85"/>
        <v>1096.1454545454546</v>
      </c>
      <c r="Q384" s="622">
        <f t="shared" ca="1" si="86"/>
        <v>10.560571316642783</v>
      </c>
      <c r="R384">
        <f t="shared" ca="1" si="87"/>
        <v>172.7272727272727</v>
      </c>
      <c r="S384" s="622">
        <f t="shared" ca="1" si="88"/>
        <v>1758.6776859504128</v>
      </c>
      <c r="T384" s="622">
        <f t="shared" ca="1" si="89"/>
        <v>2.0443087588092324</v>
      </c>
      <c r="U384">
        <f t="shared" ca="1" si="90"/>
        <v>40.88617517618464</v>
      </c>
      <c r="V384" s="622">
        <f t="shared" ca="1" si="91"/>
        <v>0.0</v>
      </c>
      <c r="W384" s="622">
        <f t="shared" ca="1" si="92"/>
        <v>-845.2834502893038</v>
      </c>
    </row>
    <row r="385" spans="11:23" x14ac:dyDescent="0.25">
      <c r="K385" s="622">
        <f>$L$345+35*$L$347</f>
        <v>26.4</v>
      </c>
      <c r="L385" s="622">
        <f t="shared" si="81"/>
        <v>1785.5529158789275</v>
      </c>
      <c r="M385" s="622">
        <f t="shared" si="82"/>
        <v>2.996212121212121</v>
      </c>
      <c r="N385" s="622">
        <f t="shared" ca="1" si="83"/>
        <v>274.03636363636366</v>
      </c>
      <c r="O385" s="622">
        <f t="shared" si="84"/>
        <v>5.93939393939394</v>
      </c>
      <c r="P385" s="622">
        <f t="shared" ca="1" si="85"/>
        <v>1096.1454545454546</v>
      </c>
      <c r="Q385" s="622">
        <f t="shared" ca="1" si="86"/>
        <v>10.316835487974181</v>
      </c>
      <c r="R385">
        <f t="shared" ca="1" si="87"/>
        <v>172.7272727272727</v>
      </c>
      <c r="S385" s="622">
        <f t="shared" ca="1" si="88"/>
        <v>1758.6776859504128</v>
      </c>
      <c r="T385" s="622">
        <f t="shared" ca="1" si="89"/>
        <v>2.0443087588092324</v>
      </c>
      <c r="U385">
        <f t="shared" ca="1" si="90"/>
        <v>40.88617517618464</v>
      </c>
      <c r="V385" s="622">
        <f t="shared" ca="1" si="91"/>
        <v>0.0</v>
      </c>
      <c r="W385" s="622">
        <f t="shared" ca="1" si="92"/>
        <v>-795.2338609805761</v>
      </c>
    </row>
    <row r="386" spans="11:23" x14ac:dyDescent="0.25">
      <c r="K386" s="622">
        <f>$L$345+36*$L$347</f>
        <v>27.14</v>
      </c>
      <c r="L386" s="622">
        <f t="shared" si="81"/>
        <v>1835.6025051876552</v>
      </c>
      <c r="M386" s="622">
        <f t="shared" si="82"/>
        <v>3.0099484156226968</v>
      </c>
      <c r="N386" s="622">
        <f t="shared" ca="1" si="83"/>
        <v>274.03636363636366</v>
      </c>
      <c r="O386" s="622">
        <f t="shared" si="84"/>
        <v>5.68201915991157</v>
      </c>
      <c r="P386" s="622">
        <f t="shared" ca="1" si="85"/>
        <v>1096.1454545454546</v>
      </c>
      <c r="Q386" s="622">
        <f t="shared" ca="1" si="86"/>
        <v>10.086391075165174</v>
      </c>
      <c r="R386">
        <f t="shared" ca="1" si="87"/>
        <v>172.7272727272727</v>
      </c>
      <c r="S386" s="622">
        <f t="shared" ca="1" si="88"/>
        <v>1758.6776859504128</v>
      </c>
      <c r="T386" s="622">
        <f t="shared" ca="1" si="89"/>
        <v>2.044308758809232</v>
      </c>
      <c r="U386">
        <f t="shared" ca="1" si="90"/>
        <v>40.886175176184636</v>
      </c>
      <c r="V386" s="622">
        <f t="shared" ca="1" si="91"/>
        <v>0.0</v>
      </c>
      <c r="W386" s="622">
        <f t="shared" ca="1" si="92"/>
        <v>-745.1842716718484</v>
      </c>
    </row>
    <row r="387" spans="11:23" x14ac:dyDescent="0.25">
      <c r="K387" s="622">
        <f>$L$345+37*$L$347</f>
        <v>27.88</v>
      </c>
      <c r="L387" s="622">
        <f t="shared" si="81"/>
        <v>1885.6520944963827</v>
      </c>
      <c r="M387" s="622">
        <f t="shared" si="82"/>
        <v>3.022955523672884</v>
      </c>
      <c r="N387" s="622">
        <f t="shared" ca="1" si="83"/>
        <v>274.03636363636366</v>
      </c>
      <c r="O387" s="622">
        <f t="shared" si="84"/>
        <v>5.438307030129126</v>
      </c>
      <c r="P387" s="622">
        <f t="shared" ca="1" si="85"/>
        <v>1096.1454545454546</v>
      </c>
      <c r="Q387" s="622">
        <f t="shared" ca="1" si="86"/>
        <v>9.86817972300744</v>
      </c>
      <c r="R387">
        <f t="shared" ca="1" si="87"/>
        <v>171.70499302814673</v>
      </c>
      <c r="S387" s="622">
        <f t="shared" ca="1" si="88"/>
        <v>1748.2690199229482</v>
      </c>
      <c r="T387" s="622">
        <f t="shared" ca="1" si="89"/>
        <v>2.0443087588092324</v>
      </c>
      <c r="U387">
        <f t="shared" ca="1" si="90"/>
        <v>40.88617517618464</v>
      </c>
      <c r="V387" s="622">
        <f t="shared" ca="1" si="91"/>
        <v>0.0</v>
      </c>
      <c r="W387" s="622">
        <f t="shared" ca="1" si="92"/>
        <v>-684.7260163356566</v>
      </c>
    </row>
    <row r="388" spans="11:23" x14ac:dyDescent="0.25">
      <c r="K388" s="622">
        <f>$L$345+38*$L$347</f>
        <v>28.62</v>
      </c>
      <c r="L388" s="622">
        <f t="shared" si="81"/>
        <v>1935.70168380511</v>
      </c>
      <c r="M388" s="622">
        <f t="shared" si="82"/>
        <v>3.03529000698812</v>
      </c>
      <c r="N388" s="622">
        <f t="shared" ca="1" si="83"/>
        <v>274.03636363636366</v>
      </c>
      <c r="O388" s="622">
        <f t="shared" si="84"/>
        <v>5.207197763801537</v>
      </c>
      <c r="P388" s="622">
        <f t="shared" ca="1" si="85"/>
        <v>1096.1454545454546</v>
      </c>
      <c r="Q388" s="622">
        <f t="shared" ca="1" si="86"/>
        <v>9.661252535811037</v>
      </c>
      <c r="R388">
        <f t="shared" ca="1" si="87"/>
        <v>170.10025157641954</v>
      </c>
      <c r="S388" s="622">
        <f t="shared" ca="1" si="88"/>
        <v>1731.9298342326351</v>
      </c>
      <c r="T388" s="622">
        <f t="shared" ca="1" si="89"/>
        <v>2.0443087588092324</v>
      </c>
      <c r="U388">
        <f t="shared" ca="1" si="90"/>
        <v>40.88617517618464</v>
      </c>
      <c r="V388" s="622">
        <f t="shared" ca="1" si="91"/>
        <v>0.0</v>
      </c>
      <c r="W388" s="622">
        <f t="shared" ca="1" si="92"/>
        <v>-618.3372413366162</v>
      </c>
    </row>
    <row r="389" spans="11:23" x14ac:dyDescent="0.25">
      <c r="K389" s="622">
        <f>$L$345+39*$L$347</f>
        <v>29.36</v>
      </c>
      <c r="L389" s="622">
        <f t="shared" si="81"/>
        <v>1985.7512731138374</v>
      </c>
      <c r="M389" s="622">
        <f t="shared" si="82"/>
        <v>3.0470027247956404</v>
      </c>
      <c r="N389" s="622">
        <f t="shared" ca="1" si="83"/>
        <v>274.03636363636366</v>
      </c>
      <c r="O389" s="622">
        <f t="shared" si="84"/>
        <v>4.987738419618529</v>
      </c>
      <c r="P389" s="622">
        <f t="shared" ca="1" si="85"/>
        <v>1096.1454545454546</v>
      </c>
      <c r="Q389" s="622">
        <f t="shared" ca="1" si="86"/>
        <v>9.46475628311909</v>
      </c>
      <c r="R389">
        <f t="shared" ca="1" si="87"/>
        <v>168.57640308615547</v>
      </c>
      <c r="S389" s="622">
        <f t="shared" ca="1" si="88"/>
        <v>1716.414285968128</v>
      </c>
      <c r="T389" s="622">
        <f t="shared" ca="1" si="89"/>
        <v>2.044308758809233</v>
      </c>
      <c r="U389">
        <f t="shared" ca="1" si="90"/>
        <v>40.88617517618466</v>
      </c>
      <c r="V389" s="622">
        <f t="shared" ca="1" si="91"/>
        <v>0.0</v>
      </c>
      <c r="W389" s="622">
        <f t="shared" ca="1" si="92"/>
        <v>-552.7721037633814</v>
      </c>
    </row>
    <row r="390" spans="11:23" x14ac:dyDescent="0.25">
      <c r="K390" s="622">
        <f>$L$345+40*$L$347</f>
        <v>30.1</v>
      </c>
      <c r="L390" s="622">
        <f t="shared" si="81"/>
        <v>2035.8008624225652</v>
      </c>
      <c r="M390" s="622">
        <f t="shared" si="82"/>
        <v>3.0581395348837206</v>
      </c>
      <c r="N390" s="622">
        <f t="shared" ca="1" si="83"/>
        <v>274.03636363636366</v>
      </c>
      <c r="O390" s="622">
        <f t="shared" si="84"/>
        <v>4.77906976744186</v>
      </c>
      <c r="P390" s="622">
        <f t="shared" ca="1" si="85"/>
        <v>1096.1454545454546</v>
      </c>
      <c r="Q390" s="622">
        <f t="shared" ca="1" si="86"/>
        <v>9.277921640194052</v>
      </c>
      <c r="R390">
        <f t="shared" ca="1" si="87"/>
        <v>167.1274813655123</v>
      </c>
      <c r="S390" s="622">
        <f t="shared" ca="1" si="88"/>
        <v>1701.6616284488523</v>
      </c>
      <c r="T390" s="622">
        <f t="shared" ca="1" si="89"/>
        <v>2.0443087588092324</v>
      </c>
      <c r="U390">
        <f t="shared" ca="1" si="90"/>
        <v>40.88617517618464</v>
      </c>
      <c r="V390" s="622">
        <f t="shared" ca="1" si="91"/>
        <v>0.0</v>
      </c>
      <c r="W390" s="622">
        <f t="shared" ca="1" si="92"/>
        <v>-487.96985693537795</v>
      </c>
    </row>
    <row r="391" spans="11:23" x14ac:dyDescent="0.25">
      <c r="K391" s="622">
        <f>$L$345+41*$L$347</f>
        <v>30.84</v>
      </c>
      <c r="L391" s="622">
        <f t="shared" si="81"/>
        <v>2085.8504517312927</v>
      </c>
      <c r="M391" s="622">
        <f t="shared" si="82"/>
        <v>3.0687418936446176</v>
      </c>
      <c r="N391" s="622">
        <f t="shared" ca="1" si="83"/>
        <v>274.03636363636366</v>
      </c>
      <c r="O391" s="622">
        <f t="shared" si="84"/>
        <v>4.58041504539559</v>
      </c>
      <c r="P391" s="622">
        <f t="shared" ca="1" si="85"/>
        <v>1096.1454545454546</v>
      </c>
      <c r="Q391" s="622">
        <f t="shared" ca="1" si="86"/>
        <v>9.100053121507962</v>
      </c>
      <c r="R391">
        <f t="shared" ca="1" si="87"/>
        <v>165.7480928532528</v>
      </c>
      <c r="S391" s="622">
        <f t="shared" ca="1" si="88"/>
        <v>1687.6169454149374</v>
      </c>
      <c r="T391" s="622">
        <f t="shared" ca="1" si="89"/>
        <v>2.0443087588092324</v>
      </c>
      <c r="U391">
        <f t="shared" ca="1" si="90"/>
        <v>40.88617517618464</v>
      </c>
      <c r="V391" s="622">
        <f t="shared" ca="1" si="91"/>
        <v>0.0</v>
      </c>
      <c r="W391" s="622">
        <f t="shared" ca="1" si="92"/>
        <v>-423.8755845927358</v>
      </c>
    </row>
    <row r="392" spans="11:23" x14ac:dyDescent="0.25">
      <c r="K392" s="622">
        <f>$L$345+42*$L$347</f>
        <v>31.58</v>
      </c>
      <c r="L392" s="622">
        <f t="shared" si="81"/>
        <v>2122.508394170928</v>
      </c>
      <c r="M392" s="622">
        <f t="shared" si="82"/>
        <v>3.0788473717542746</v>
      </c>
      <c r="N392" s="622">
        <f t="shared" ca="1" si="83"/>
        <v>274.03636363636366</v>
      </c>
      <c r="O392" s="622">
        <f t="shared" si="84"/>
        <v>4.3910702976567455</v>
      </c>
      <c r="P392" s="622">
        <f t="shared" ca="1" si="85"/>
        <v>1096.1454545454546</v>
      </c>
      <c r="Q392" s="622">
        <f t="shared" ca="1" si="86"/>
        <v>8.930520429536735</v>
      </c>
      <c r="R392">
        <f t="shared" ca="1" si="87"/>
        <v>164.43334952776166</v>
      </c>
      <c r="S392" s="622">
        <f t="shared" ca="1" si="88"/>
        <v>1674.2304679190274</v>
      </c>
      <c r="T392" s="622">
        <f t="shared" ca="1" si="89"/>
        <v>2.044308758809232</v>
      </c>
      <c r="U392">
        <f t="shared" ca="1" si="90"/>
        <v>40.886175176184636</v>
      </c>
      <c r="V392" s="622">
        <f t="shared" ca="1" si="91"/>
        <v>0.0</v>
      </c>
      <c r="W392" s="622">
        <f t="shared" ca="1" si="92"/>
        <v>-373.83116465719036</v>
      </c>
    </row>
    <row r="393" spans="11:23" x14ac:dyDescent="0.25">
      <c r="K393" s="622">
        <f>$L$345+43*$L$347</f>
        <v>32.32</v>
      </c>
      <c r="L393" s="622">
        <f t="shared" si="81"/>
        <v>2142.5282298944194</v>
      </c>
      <c r="M393" s="622">
        <f t="shared" si="82"/>
        <v>3.088490099009901</v>
      </c>
      <c r="N393" s="622">
        <f t="shared" ca="1" si="83"/>
        <v>274.03636363636366</v>
      </c>
      <c r="O393" s="622">
        <f t="shared" si="84"/>
        <v>4.21039603960396</v>
      </c>
      <c r="P393" s="622">
        <f t="shared" ca="1" si="85"/>
        <v>1096.1454545454546</v>
      </c>
      <c r="Q393" s="622">
        <f t="shared" ca="1" si="86"/>
        <v>8.768750992024586</v>
      </c>
      <c r="R393">
        <f t="shared" ca="1" si="87"/>
        <v>163.1788110327695</v>
      </c>
      <c r="S393" s="622">
        <f t="shared" ca="1" si="88"/>
        <v>1661.4569850609255</v>
      </c>
      <c r="T393" s="622">
        <f t="shared" ca="1" si="89"/>
        <v>2.0443087588092324</v>
      </c>
      <c r="U393">
        <f t="shared" ca="1" si="90"/>
        <v>40.88617517618464</v>
      </c>
      <c r="V393" s="622">
        <f t="shared" ca="1" si="91"/>
        <v>0.0</v>
      </c>
      <c r="W393" s="622">
        <f t="shared" ca="1" si="92"/>
        <v>-341.03784607559714</v>
      </c>
    </row>
    <row r="394" spans="11:23" x14ac:dyDescent="0.25">
      <c r="K394" s="622">
        <f>$L$345+44*$L$347</f>
        <v>33.06</v>
      </c>
      <c r="L394" s="622">
        <f t="shared" si="81"/>
        <v>2162.54806561791</v>
      </c>
      <c r="M394" s="622">
        <f t="shared" si="82"/>
        <v>3.0977011494252875</v>
      </c>
      <c r="N394" s="622">
        <f t="shared" ca="1" si="83"/>
        <v>274.03636363636366</v>
      </c>
      <c r="O394" s="622">
        <f t="shared" si="84"/>
        <v>4.037810042347248</v>
      </c>
      <c r="P394" s="622">
        <f t="shared" ca="1" si="85"/>
        <v>1096.1454545454546</v>
      </c>
      <c r="Q394" s="622">
        <f t="shared" ca="1" si="86"/>
        <v>8.6142235015033</v>
      </c>
      <c r="R394">
        <f t="shared" ca="1" si="87"/>
        <v>161.98043457566567</v>
      </c>
      <c r="S394" s="622">
        <f t="shared" ca="1" si="88"/>
        <v>1649.255333861323</v>
      </c>
      <c r="T394" s="622">
        <f t="shared" ca="1" si="89"/>
        <v>2.0443087588092324</v>
      </c>
      <c r="U394">
        <f t="shared" ca="1" si="90"/>
        <v>40.88617517618464</v>
      </c>
      <c r="V394" s="622">
        <f t="shared" ca="1" si="91"/>
        <v>0.0</v>
      </c>
      <c r="W394" s="622">
        <f t="shared" ca="1" si="92"/>
        <v>-308.81635915250376</v>
      </c>
    </row>
    <row r="395" spans="11:23" x14ac:dyDescent="0.25">
      <c r="K395" s="622">
        <f>$L$345+45*$L$347</f>
        <v>33.8</v>
      </c>
      <c r="L395" s="622">
        <f t="shared" si="81"/>
        <v>2182.567901341401</v>
      </c>
      <c r="M395" s="622">
        <f t="shared" si="82"/>
        <v>3.1065088757396446</v>
      </c>
      <c r="N395" s="622">
        <f t="shared" ca="1" si="83"/>
        <v>274.03636363636366</v>
      </c>
      <c r="O395" s="622">
        <f t="shared" si="84"/>
        <v>3.8727810650887586</v>
      </c>
      <c r="P395" s="622">
        <f t="shared" ca="1" si="85"/>
        <v>1096.1454545454546</v>
      </c>
      <c r="Q395" s="622">
        <f t="shared" ca="1" si="86"/>
        <v>8.46646230346638</v>
      </c>
      <c r="R395">
        <f t="shared" ca="1" si="87"/>
        <v>160.83453140721608</v>
      </c>
      <c r="S395" s="622">
        <f t="shared" ca="1" si="88"/>
        <v>1637.5879561461998</v>
      </c>
      <c r="T395" s="622">
        <f t="shared" ca="1" si="89"/>
        <v>2.0443087588092324</v>
      </c>
      <c r="U395">
        <f t="shared" ca="1" si="90"/>
        <v>40.88617517618464</v>
      </c>
      <c r="V395" s="622">
        <f t="shared" ca="1" si="91"/>
        <v>0.0</v>
      </c>
      <c r="W395" s="622">
        <f t="shared" ca="1" si="92"/>
        <v>-277.1291457138898</v>
      </c>
    </row>
    <row r="396" spans="11:23" x14ac:dyDescent="0.25">
      <c r="K396" s="622">
        <f>$L$345+46*$L$347</f>
        <v>34.54</v>
      </c>
      <c r="L396" s="622">
        <f t="shared" si="81"/>
        <v>2202.5877370648923</v>
      </c>
      <c r="M396" s="622">
        <f t="shared" si="82"/>
        <v>3.114939200926462</v>
      </c>
      <c r="N396" s="622">
        <f t="shared" ca="1" si="83"/>
        <v>274.03636363636366</v>
      </c>
      <c r="O396" s="622">
        <f t="shared" si="84"/>
        <v>3.7148233931673422</v>
      </c>
      <c r="P396" s="622">
        <f t="shared" ca="1" si="85"/>
        <v>1096.1454545454546</v>
      </c>
      <c r="Q396" s="622">
        <f t="shared" ca="1" si="86"/>
        <v>8.325032505924383</v>
      </c>
      <c r="R396">
        <f t="shared" ca="1" si="87"/>
        <v>159.7377288956659</v>
      </c>
      <c r="S396" s="622">
        <f t="shared" ca="1" si="88"/>
        <v>1626.4205123922343</v>
      </c>
      <c r="T396" s="622">
        <f t="shared" ca="1" si="89"/>
        <v>2.0443087588092324</v>
      </c>
      <c r="U396">
        <f t="shared" ca="1" si="90"/>
        <v>40.88617517618464</v>
      </c>
      <c r="V396" s="622">
        <f t="shared" ca="1" si="91"/>
        <v>0.0</v>
      </c>
      <c r="W396" s="622">
        <f t="shared" ca="1" si="92"/>
        <v>-245.94186623643304</v>
      </c>
    </row>
    <row r="397" spans="11:23" x14ac:dyDescent="0.25">
      <c r="K397" s="622">
        <f>$L$345+47*$L$347</f>
        <v>35.28</v>
      </c>
      <c r="L397" s="622">
        <f t="shared" si="81"/>
        <v>2222.6075727883835</v>
      </c>
      <c r="M397" s="622">
        <f t="shared" si="82"/>
        <v>3.123015873015873</v>
      </c>
      <c r="N397" s="622">
        <f t="shared" ca="1" si="83"/>
        <v>274.03636363636366</v>
      </c>
      <c r="O397" s="622">
        <f t="shared" si="84"/>
        <v>3.5634920634920633</v>
      </c>
      <c r="P397" s="622">
        <f t="shared" ca="1" si="85"/>
        <v>1096.1454545454546</v>
      </c>
      <c r="Q397" s="622">
        <f t="shared" ca="1" si="86"/>
        <v>8.189535704424397</v>
      </c>
      <c r="R397">
        <f t="shared" ca="1" si="87"/>
        <v>158.68693737382927</v>
      </c>
      <c r="S397" s="622">
        <f t="shared" ca="1" si="88"/>
        <v>1615.7215441698977</v>
      </c>
      <c r="T397" s="622">
        <f t="shared" ca="1" si="89"/>
        <v>2.0443087588092324</v>
      </c>
      <c r="U397">
        <f t="shared" ca="1" si="90"/>
        <v>40.88617517618464</v>
      </c>
      <c r="V397" s="622">
        <f t="shared" ca="1" si="91"/>
        <v>0.0</v>
      </c>
      <c r="W397" s="622">
        <f t="shared" ca="1" si="92"/>
        <v>-215.22306229060518</v>
      </c>
    </row>
    <row r="398" spans="11:23" x14ac:dyDescent="0.25">
      <c r="K398" s="622">
        <f>$L$345+48*$L$347</f>
        <v>36.019999999999996</v>
      </c>
      <c r="L398" s="622">
        <f t="shared" si="81"/>
        <v>2242.6274085118744</v>
      </c>
      <c r="M398" s="622">
        <f t="shared" si="82"/>
        <v>3.1307606885063857</v>
      </c>
      <c r="N398" s="622">
        <f t="shared" ca="1" si="83"/>
        <v>274.03636363636366</v>
      </c>
      <c r="O398" s="622">
        <f t="shared" si="84"/>
        <v>3.4183786785119388</v>
      </c>
      <c r="P398" s="622">
        <f t="shared" ca="1" si="85"/>
        <v>1096.1454545454546</v>
      </c>
      <c r="Q398" s="622">
        <f t="shared" ca="1" si="86"/>
        <v>8.059606234024354</v>
      </c>
      <c r="R398">
        <f t="shared" ca="1" si="87"/>
        <v>157.67932107276772</v>
      </c>
      <c r="S398" s="622">
        <f t="shared" ca="1" si="88"/>
        <v>1605.462178195453</v>
      </c>
      <c r="T398" s="622">
        <f t="shared" ca="1" si="89"/>
        <v>2.0443087588092324</v>
      </c>
      <c r="U398">
        <f t="shared" ca="1" si="90"/>
        <v>40.88617517618464</v>
      </c>
      <c r="V398" s="622">
        <f t="shared" ca="1" si="91"/>
        <v>0.0</v>
      </c>
      <c r="W398" s="622">
        <f t="shared" ca="1" si="92"/>
        <v>-184.94386059266958</v>
      </c>
    </row>
    <row r="399" spans="11:23" x14ac:dyDescent="0.25">
      <c r="K399" s="622">
        <f>$L$345+49*$L$347</f>
        <v>36.76</v>
      </c>
      <c r="L399" s="622">
        <f t="shared" si="81"/>
        <v>2262.647244235365</v>
      </c>
      <c r="M399" s="622">
        <f t="shared" si="82"/>
        <v>3.1381936887921658</v>
      </c>
      <c r="N399" s="622">
        <f t="shared" ca="1" si="83"/>
        <v>274.03636363636366</v>
      </c>
      <c r="O399" s="622">
        <f t="shared" si="84"/>
        <v>3.2791077257889016</v>
      </c>
      <c r="P399" s="622">
        <f t="shared" ca="1" si="85"/>
        <v>1096.1454545454546</v>
      </c>
      <c r="Q399" s="622">
        <f t="shared" ca="1" si="86"/>
        <v>7.934907873966861</v>
      </c>
      <c r="R399">
        <f t="shared" ca="1" si="87"/>
        <v>156.7122725661994</v>
      </c>
      <c r="S399" s="622">
        <f t="shared" ca="1" si="88"/>
        <v>1595.6158661285756</v>
      </c>
      <c r="T399" s="622">
        <f t="shared" ca="1" si="89"/>
        <v>2.0443087588092324</v>
      </c>
      <c r="U399">
        <f t="shared" ca="1" si="90"/>
        <v>40.88617517618464</v>
      </c>
      <c r="V399" s="622">
        <f t="shared" ca="1" si="91"/>
        <v>0.0</v>
      </c>
      <c r="W399" s="622">
        <f t="shared" ca="1" si="92"/>
        <v>-155.07771280230145</v>
      </c>
    </row>
    <row r="400" spans="11:23" x14ac:dyDescent="0.25">
      <c r="K400" s="622">
        <f>$L$345+50*$L$347</f>
        <v>37.5</v>
      </c>
      <c r="L400" s="622">
        <f t="shared" si="81"/>
        <v>2282.6670799588564</v>
      </c>
      <c r="M400" s="622">
        <f t="shared" si="82"/>
        <v>3.1453333333333338</v>
      </c>
      <c r="N400" s="622">
        <f t="shared" ca="1" si="83"/>
        <v>274.03636363636366</v>
      </c>
      <c r="O400" s="622">
        <f t="shared" si="84"/>
        <v>3.1453333333333338</v>
      </c>
      <c r="P400" s="622">
        <f t="shared" ca="1" si="85"/>
        <v>1096.1454545454546</v>
      </c>
      <c r="Q400" s="622">
        <f t="shared" ca="1" si="86"/>
        <v>7.815130942519635</v>
      </c>
      <c r="R400">
        <f t="shared" ca="1" si="87"/>
        <v>155.7833902406903</v>
      </c>
      <c r="S400" s="622">
        <f t="shared" ca="1" si="88"/>
        <v>1586.1581551779375</v>
      </c>
      <c r="T400" s="622">
        <f t="shared" ca="1" si="89"/>
        <v>2.0443087588092324</v>
      </c>
      <c r="U400">
        <f t="shared" ca="1" si="90"/>
        <v>40.88617517618464</v>
      </c>
      <c r="V400" s="622">
        <f t="shared" ca="1" si="91"/>
        <v>0.0</v>
      </c>
      <c r="W400" s="622">
        <f t="shared" ca="1" si="92"/>
        <v>-125.60016612817208</v>
      </c>
    </row>
    <row r="401" spans="11:23" x14ac:dyDescent="0.25">
      <c r="K401" s="622">
        <f>$L$345+51*$L$347</f>
        <v>38.24</v>
      </c>
      <c r="L401" s="622">
        <f t="shared" si="81"/>
        <v>2302.6869156823473</v>
      </c>
      <c r="M401" s="622">
        <f t="shared" si="82"/>
        <v>3.1521966527196654</v>
      </c>
      <c r="N401" s="622">
        <f t="shared" ca="1" si="83"/>
        <v>274.03636363636366</v>
      </c>
      <c r="O401" s="622">
        <f t="shared" si="84"/>
        <v>3.01673640167364</v>
      </c>
      <c r="P401" s="622">
        <f t="shared" ca="1" si="85"/>
        <v>1096.1454545454546</v>
      </c>
      <c r="Q401" s="622">
        <f t="shared" ca="1" si="86"/>
        <v>7.699989729130513</v>
      </c>
      <c r="R401">
        <f t="shared" ca="1" si="87"/>
        <v>153.99979458261026</v>
      </c>
      <c r="S401" s="622">
        <f t="shared" ca="1" si="88"/>
        <v>1567.997908477486</v>
      </c>
      <c r="T401" s="622">
        <f t="shared" ca="1" si="89"/>
        <v>2.0443087588092324</v>
      </c>
      <c r="U401">
        <f t="shared" ca="1" si="90"/>
        <v>40.88617517618464</v>
      </c>
      <c r="V401" s="622">
        <f t="shared" ca="1" si="91"/>
        <v>0.0</v>
      </c>
      <c r="W401" s="622">
        <f t="shared" ca="1" si="92"/>
        <v>-87.42008370422968</v>
      </c>
    </row>
    <row r="402" spans="11:23" x14ac:dyDescent="0.25">
      <c r="K402" s="622">
        <f>$L$345+52*$L$347</f>
        <v>38.98</v>
      </c>
      <c r="L402" s="622">
        <f t="shared" si="81"/>
        <v>2322.706751405838</v>
      </c>
      <c r="M402" s="622">
        <f t="shared" si="82"/>
        <v>3.158799384299641</v>
      </c>
      <c r="N402" s="622">
        <f t="shared" ca="1" si="83"/>
        <v>274.03636363636366</v>
      </c>
      <c r="O402" s="622">
        <f t="shared" si="84"/>
        <v>2.893022062596204</v>
      </c>
      <c r="P402" s="622">
        <f t="shared" ca="1" si="85"/>
        <v>1096.1454545454546</v>
      </c>
      <c r="Q402" s="622">
        <f t="shared" ca="1" si="86"/>
        <v>7.589220219071713</v>
      </c>
      <c r="R402">
        <f t="shared" ca="1" si="87"/>
        <v>151.78440438143426</v>
      </c>
      <c r="S402" s="622">
        <f t="shared" ca="1" si="88"/>
        <v>1545.4412082473305</v>
      </c>
      <c r="T402" s="622">
        <f t="shared" ca="1" si="89"/>
        <v>2.044308758809233</v>
      </c>
      <c r="U402">
        <f t="shared" ca="1" si="90"/>
        <v>40.88617517618466</v>
      </c>
      <c r="V402" s="622">
        <f t="shared" ca="1" si="91"/>
        <v>0.0</v>
      </c>
      <c r="W402" s="622">
        <f t="shared" ca="1" si="92"/>
        <v>-44.84354775058341</v>
      </c>
    </row>
    <row r="403" spans="11:23" x14ac:dyDescent="0.25">
      <c r="K403" s="622">
        <f>$L$345+53*$L$347</f>
        <v>39.72</v>
      </c>
      <c r="L403" s="622">
        <f t="shared" si="81"/>
        <v>2342.7265871293293</v>
      </c>
      <c r="M403" s="622">
        <f t="shared" si="82"/>
        <v>3.16515609264854</v>
      </c>
      <c r="N403" s="622">
        <f t="shared" ca="1" si="83"/>
        <v>274.03636363636366</v>
      </c>
      <c r="O403" s="622">
        <f t="shared" si="84"/>
        <v>2.773917421953676</v>
      </c>
      <c r="P403" s="622">
        <f t="shared" ca="1" si="85"/>
        <v>1096.1454545454546</v>
      </c>
      <c r="Q403" s="622">
        <f t="shared" ca="1" si="86"/>
        <v>7.482578072429</v>
      </c>
      <c r="R403">
        <f t="shared" ca="1" si="87"/>
        <v>149.65156144858003</v>
      </c>
      <c r="S403" s="622">
        <f t="shared" ca="1" si="88"/>
        <v>1523.7249892946327</v>
      </c>
      <c r="T403" s="622">
        <f t="shared" ca="1" si="89"/>
        <v>2.044308758809233</v>
      </c>
      <c r="U403">
        <f t="shared" ca="1" si="90"/>
        <v>40.88617517618466</v>
      </c>
      <c r="V403" s="622">
        <f t="shared" ca="1" si="91"/>
        <v>0.0</v>
      </c>
      <c r="W403" s="622">
        <f t="shared" ca="1" si="92"/>
        <v>-3.1074930743943696</v>
      </c>
    </row>
    <row r="404" spans="11:23" x14ac:dyDescent="0.25">
      <c r="K404" s="622">
        <f>$L$345+54*$L$347</f>
        <v>40.46</v>
      </c>
      <c r="L404" s="622">
        <f t="shared" si="81"/>
        <v>2362.74642285282</v>
      </c>
      <c r="M404" s="622">
        <f t="shared" si="82"/>
        <v>3.171280276816609</v>
      </c>
      <c r="N404" s="622">
        <f t="shared" ca="1" si="83"/>
        <v>274.03636363636366</v>
      </c>
      <c r="O404" s="622">
        <f t="shared" si="84"/>
        <v>2.6591695501730106</v>
      </c>
      <c r="P404" s="622">
        <f t="shared" ca="1" si="85"/>
        <v>1096.1454545454546</v>
      </c>
      <c r="Q404" s="622">
        <f t="shared" ca="1" si="86"/>
        <v>7.379836824872576</v>
      </c>
      <c r="R404">
        <f t="shared" ca="1" si="87"/>
        <v>147.5967364974515</v>
      </c>
      <c r="S404" s="622">
        <f t="shared" ca="1" si="88"/>
        <v>1502.8031352467788</v>
      </c>
      <c r="T404" s="622">
        <f t="shared" ca="1" si="89"/>
        <v>2.044308758809232</v>
      </c>
      <c r="U404">
        <f t="shared" ca="1" si="90"/>
        <v>40.886175176184636</v>
      </c>
      <c r="V404" s="622">
        <f t="shared" ca="1" si="91"/>
        <v>0.0</v>
      </c>
      <c r="W404" s="622">
        <f t="shared" ca="1" si="92"/>
        <v>37.83419669695036</v>
      </c>
    </row>
    <row r="405" spans="11:23" x14ac:dyDescent="0.25">
      <c r="K405" s="622">
        <f>$L$345+55*$L$347</f>
        <v>41.2</v>
      </c>
      <c r="L405" s="622">
        <f t="shared" si="81"/>
        <v>2382.7662585763114</v>
      </c>
      <c r="M405" s="622">
        <f t="shared" si="82"/>
        <v>3.177184466019418</v>
      </c>
      <c r="N405" s="622">
        <f t="shared" ca="1" si="83"/>
        <v>274.03636363636366</v>
      </c>
      <c r="O405" s="622">
        <f t="shared" si="84"/>
        <v>2.5485436893203883</v>
      </c>
      <c r="P405" s="622">
        <f t="shared" ca="1" si="85"/>
        <v>1096.1454545454546</v>
      </c>
      <c r="Q405" s="622">
        <f t="shared" ca="1" si="86"/>
        <v>7.280786282325459</v>
      </c>
      <c r="R405">
        <f t="shared" ca="1" si="87"/>
        <v>145.6157256465092</v>
      </c>
      <c r="S405" s="622">
        <f t="shared" ca="1" si="88"/>
        <v>1482.6328429462753</v>
      </c>
      <c r="T405" s="622">
        <f t="shared" ca="1" si="89"/>
        <v>2.0443087588092324</v>
      </c>
      <c r="U405">
        <f t="shared" ca="1" si="90"/>
        <v>40.88617517618464</v>
      </c>
      <c r="V405" s="622">
        <f t="shared" ca="1" si="91"/>
        <v>0.0</v>
      </c>
      <c r="W405" s="622">
        <f t="shared" ca="1" si="92"/>
        <v>78.02432472094506</v>
      </c>
    </row>
    <row r="406" spans="11:23" x14ac:dyDescent="0.25">
      <c r="K406" s="622">
        <f>$L$345+56*$L$347</f>
        <v>41.94</v>
      </c>
      <c r="L406" s="622">
        <f t="shared" si="81"/>
        <v>2402.7860942998022</v>
      </c>
      <c r="M406" s="622">
        <f t="shared" si="82"/>
        <v>3.182880305197902</v>
      </c>
      <c r="N406" s="622">
        <f t="shared" ca="1" si="83"/>
        <v>274.03636363636366</v>
      </c>
      <c r="O406" s="622">
        <f t="shared" si="84"/>
        <v>2.4418216499761574</v>
      </c>
      <c r="P406" s="622">
        <f t="shared" ca="1" si="85"/>
        <v>1096.1454545454546</v>
      </c>
      <c r="Q406" s="622">
        <f t="shared" ca="1" si="86"/>
        <v>7.185231085581151</v>
      </c>
      <c r="R406">
        <f t="shared" ca="1" si="87"/>
        <v>143.70462171162302</v>
      </c>
      <c r="S406" s="622">
        <f t="shared" ca="1" si="88"/>
        <v>1463.1743301547067</v>
      </c>
      <c r="T406" s="622">
        <f t="shared" ca="1" si="89"/>
        <v>2.0443087588092324</v>
      </c>
      <c r="U406">
        <f t="shared" ca="1" si="90"/>
        <v>40.88617517618464</v>
      </c>
      <c r="V406" s="622">
        <f t="shared" ca="1" si="91"/>
        <v>0.0</v>
      </c>
      <c r="W406" s="622">
        <f t="shared" ca="1" si="92"/>
        <v>117.50267323600451</v>
      </c>
    </row>
    <row r="407" spans="11:23" x14ac:dyDescent="0.25">
      <c r="K407" s="622">
        <f>$L$345+57*$L$347</f>
        <v>42.68</v>
      </c>
      <c r="L407" s="622">
        <f t="shared" si="81"/>
        <v>2422.805930023293</v>
      </c>
      <c r="M407" s="622">
        <f t="shared" si="82"/>
        <v>3.188378631677601</v>
      </c>
      <c r="N407" s="622">
        <f t="shared" ca="1" si="83"/>
        <v>274.03636363636366</v>
      </c>
      <c r="O407" s="622">
        <f t="shared" si="84"/>
        <v>2.338800374882849</v>
      </c>
      <c r="P407" s="622">
        <f t="shared" ca="1" si="85"/>
        <v>1096.1454545454546</v>
      </c>
      <c r="Q407" s="622">
        <f t="shared" ca="1" si="86"/>
        <v>7.092989424244096</v>
      </c>
      <c r="R407">
        <f t="shared" ca="1" si="87"/>
        <v>141.8597884848819</v>
      </c>
      <c r="S407" s="622">
        <f t="shared" ca="1" si="88"/>
        <v>1444.3905736642519</v>
      </c>
      <c r="T407" s="622">
        <f t="shared" ca="1" si="89"/>
        <v>2.0443087588092324</v>
      </c>
      <c r="U407">
        <f t="shared" ca="1" si="90"/>
        <v>40.88617517618464</v>
      </c>
      <c r="V407" s="622">
        <f t="shared" ca="1" si="91"/>
        <v>0.0</v>
      </c>
      <c r="W407" s="622">
        <f t="shared" ca="1" si="92"/>
        <v>156.30626544995016</v>
      </c>
    </row>
    <row r="408" spans="11:23" x14ac:dyDescent="0.25">
      <c r="K408" s="622">
        <f>$L$345+58*$L$347</f>
        <v>43.42</v>
      </c>
      <c r="L408" s="622">
        <f t="shared" si="81"/>
        <v>2442.8257657467843</v>
      </c>
      <c r="M408" s="622">
        <f t="shared" si="82"/>
        <v>3.1936895439889454</v>
      </c>
      <c r="N408" s="622">
        <f t="shared" ca="1" si="83"/>
        <v>274.03636363636366</v>
      </c>
      <c r="O408" s="622">
        <f t="shared" si="84"/>
        <v>2.23929064947029</v>
      </c>
      <c r="P408" s="622">
        <f t="shared" ca="1" si="85"/>
        <v>1096.1454545454546</v>
      </c>
      <c r="Q408" s="622">
        <f t="shared" ca="1" si="86"/>
        <v>7.0038918821787775</v>
      </c>
      <c r="R408">
        <f t="shared" ca="1" si="87"/>
        <v>140.07783764357555</v>
      </c>
      <c r="S408" s="622">
        <f t="shared" ca="1" si="88"/>
        <v>1426.2470741891327</v>
      </c>
      <c r="T408" s="622">
        <f t="shared" ca="1" si="89"/>
        <v>2.0443087588092324</v>
      </c>
      <c r="U408">
        <f t="shared" ca="1" si="90"/>
        <v>40.88617517618464</v>
      </c>
      <c r="V408" s="622">
        <f t="shared" ca="1" si="91"/>
        <v>0.0</v>
      </c>
      <c r="W408" s="622">
        <f t="shared" ca="1" si="92"/>
        <v>194.46960064856057</v>
      </c>
    </row>
    <row r="409" spans="11:23" x14ac:dyDescent="0.25">
      <c r="K409" s="622">
        <f>$L$345+59*$L$347</f>
        <v>44.16</v>
      </c>
      <c r="L409" s="622">
        <f t="shared" si="81"/>
        <v>2462.845601470275</v>
      </c>
      <c r="M409" s="622">
        <f t="shared" si="82"/>
        <v>3.198822463768116</v>
      </c>
      <c r="N409" s="622">
        <f t="shared" ca="1" si="83"/>
        <v>274.03636363636366</v>
      </c>
      <c r="O409" s="622">
        <f t="shared" si="84"/>
        <v>2.143115942028986</v>
      </c>
      <c r="P409" s="622">
        <f t="shared" ca="1" si="85"/>
        <v>1085.3150608695655</v>
      </c>
      <c r="Q409" s="622">
        <f t="shared" ca="1" si="86"/>
        <v>6.917780399041374</v>
      </c>
      <c r="R409">
        <f t="shared" ca="1" si="87"/>
        <v>138.35560798082747</v>
      </c>
      <c r="S409" s="622">
        <f t="shared" ca="1" si="88"/>
        <v>1408.7116448956979</v>
      </c>
      <c r="T409" s="622">
        <f t="shared" ca="1" si="89"/>
        <v>2.044308758809232</v>
      </c>
      <c r="U409">
        <f t="shared" ca="1" si="90"/>
        <v>40.886175176184636</v>
      </c>
      <c r="V409" s="622">
        <f t="shared" ca="1" si="91"/>
        <v>0.0</v>
      </c>
      <c r="W409" s="622">
        <f t="shared" ca="1" si="92"/>
        <v>242.85525934137536</v>
      </c>
    </row>
    <row r="410" spans="11:23" x14ac:dyDescent="0.25">
      <c r="K410" s="622">
        <f>$L$345+60*$L$347</f>
        <v>44.9</v>
      </c>
      <c r="L410" s="622">
        <f t="shared" si="81"/>
        <v>2482.8654371937664</v>
      </c>
      <c r="M410" s="622">
        <f t="shared" si="82"/>
        <v>3.2037861915367483</v>
      </c>
      <c r="N410" s="622">
        <f t="shared" ca="1" si="83"/>
        <v>274.03636363636366</v>
      </c>
      <c r="O410" s="622">
        <f t="shared" si="84"/>
        <v>2.0501113585746107</v>
      </c>
      <c r="P410" s="622">
        <f t="shared" ca="1" si="85"/>
        <v>1038.2157541202673</v>
      </c>
      <c r="Q410" s="622">
        <f t="shared" ca="1" si="86"/>
        <v>6.834507334501818</v>
      </c>
      <c r="R410">
        <f t="shared" ca="1" si="87"/>
        <v>136.69014669003636</v>
      </c>
      <c r="S410" s="622">
        <f t="shared" ca="1" si="88"/>
        <v>1391.7542208440063</v>
      </c>
      <c r="T410" s="622">
        <f t="shared" ca="1" si="89"/>
        <v>2.044308758809232</v>
      </c>
      <c r="U410">
        <f t="shared" ca="1" si="90"/>
        <v>40.886175176184636</v>
      </c>
      <c r="V410" s="622">
        <f t="shared" ca="1" si="91"/>
        <v>0.0</v>
      </c>
      <c r="W410" s="622">
        <f t="shared" ca="1" si="92"/>
        <v>326.93182586585635</v>
      </c>
    </row>
    <row r="411" spans="11:23" x14ac:dyDescent="0.25">
      <c r="K411" s="622">
        <f>$L$345+61*$L$347</f>
        <v>45.64</v>
      </c>
      <c r="L411" s="622">
        <f t="shared" si="81"/>
        <v>2502.885272917257</v>
      </c>
      <c r="M411" s="622">
        <f t="shared" si="82"/>
        <v>3.208588957055215</v>
      </c>
      <c r="N411" s="622">
        <f t="shared" ca="1" si="83"/>
        <v>274.03636363636366</v>
      </c>
      <c r="O411" s="622">
        <f t="shared" si="84"/>
        <v>1.9601226993865033</v>
      </c>
      <c r="P411" s="622">
        <f t="shared" ca="1" si="85"/>
        <v>992.6437693251535</v>
      </c>
      <c r="Q411" s="622">
        <f t="shared" ca="1" si="86"/>
        <v>6.753934623501229</v>
      </c>
      <c r="R411">
        <f t="shared" ca="1" si="87"/>
        <v>135.07869247002458</v>
      </c>
      <c r="S411" s="622">
        <f t="shared" ca="1" si="88"/>
        <v>1375.3466869675228</v>
      </c>
      <c r="T411" s="622">
        <f t="shared" ca="1" si="89"/>
        <v>2.0443087588092324</v>
      </c>
      <c r="U411">
        <f t="shared" ca="1" si="90"/>
        <v>40.88617517618464</v>
      </c>
      <c r="V411" s="622">
        <f t="shared" ca="1" si="91"/>
        <v>0.0</v>
      </c>
      <c r="W411" s="622">
        <f t="shared" ca="1" si="92"/>
        <v>408.93118026094453</v>
      </c>
    </row>
    <row r="412" spans="11:23" x14ac:dyDescent="0.25">
      <c r="K412" s="622">
        <f>$L$345+62*$L$347</f>
        <v>46.38</v>
      </c>
      <c r="L412" s="622">
        <f t="shared" si="81"/>
        <v>2522.9051086407485</v>
      </c>
      <c r="M412" s="622">
        <f t="shared" si="82"/>
        <v>3.2132384648555417</v>
      </c>
      <c r="N412" s="622">
        <f t="shared" ca="1" si="83"/>
        <v>274.03636363636366</v>
      </c>
      <c r="O412" s="622">
        <f t="shared" si="84"/>
        <v>1.8730056058645967</v>
      </c>
      <c r="P412" s="622">
        <f t="shared" ca="1" si="85"/>
        <v>948.5260005174644</v>
      </c>
      <c r="Q412" s="622">
        <f t="shared" ca="1" si="86"/>
        <v>6.675933012377332</v>
      </c>
      <c r="R412">
        <f t="shared" ca="1" si="87"/>
        <v>133.51866024754665</v>
      </c>
      <c r="S412" s="622">
        <f t="shared" ca="1" si="88"/>
        <v>1359.4627225204747</v>
      </c>
      <c r="T412" s="622">
        <f t="shared" ca="1" si="89"/>
        <v>2.0443087588092324</v>
      </c>
      <c r="U412">
        <f t="shared" ca="1" si="90"/>
        <v>40.88617517618464</v>
      </c>
      <c r="V412" s="622">
        <f t="shared" ca="1" si="91"/>
        <v>0.0</v>
      </c>
      <c r="W412" s="622">
        <f t="shared" ca="1" si="92"/>
        <v>488.95274923917304</v>
      </c>
    </row>
    <row r="413" spans="11:23" x14ac:dyDescent="0.25">
      <c r="K413" s="622">
        <f>$L$345+63*$L$347</f>
        <v>47.12</v>
      </c>
      <c r="L413" s="622">
        <f t="shared" si="81"/>
        <v>2542.9249443642393</v>
      </c>
      <c r="M413" s="622">
        <f t="shared" si="82"/>
        <v>3.2177419354838714</v>
      </c>
      <c r="N413" s="622">
        <f t="shared" ca="1" si="83"/>
        <v>274.03636363636366</v>
      </c>
      <c r="O413" s="622">
        <f t="shared" si="84"/>
        <v>1.7886247877758918</v>
      </c>
      <c r="P413" s="622">
        <f t="shared" ca="1" si="85"/>
        <v>905.793934125637</v>
      </c>
      <c r="Q413" s="622">
        <f t="shared" ca="1" si="86"/>
        <v>6.600381366967852</v>
      </c>
      <c r="R413">
        <f t="shared" ca="1" si="87"/>
        <v>132.00762733935704</v>
      </c>
      <c r="S413" s="622">
        <f t="shared" ca="1" si="88"/>
        <v>1344.0776601825442</v>
      </c>
      <c r="T413" s="622">
        <f t="shared" ca="1" si="89"/>
        <v>2.0443087588092324</v>
      </c>
      <c r="U413">
        <f t="shared" ca="1" si="90"/>
        <v>40.88617517618464</v>
      </c>
      <c r="V413" s="622">
        <f t="shared" ca="1" si="91"/>
        <v>0.0</v>
      </c>
      <c r="W413" s="622">
        <f t="shared" ca="1" si="92"/>
        <v>567.0897136924218</v>
      </c>
    </row>
    <row r="414" spans="11:23" x14ac:dyDescent="0.25">
      <c r="K414" s="622">
        <f>$L$345+64*$L$347</f>
        <v>47.86</v>
      </c>
      <c r="L414" s="622">
        <f t="shared" ref="L414:L445" si="93">IF(($L$14*K414)&lt;=$L$339,$L$338*$L$18*($L$14*K414),$L$338*$L$18*$L$339+$L$337*$L$18*(($L$14*K414)-$L$339))</f>
        <v>2562.9447800877306</v>
      </c>
      <c r="M414" s="622">
        <f t="shared" ref="M414:M450" si="94">$L$13*(K414-$L$340)/K414</f>
        <v>3.222106142916841</v>
      </c>
      <c r="N414" s="622">
        <f t="shared" ref="N414:N445" ca="1" si="95">$L$25*(SIGN(M414)*MIN(ABS(M414)*$L$10/1000,$L$11))/10</f>
        <v>274.03636363636366</v>
      </c>
      <c r="O414" s="622">
        <f t="shared" ref="O414:O450" si="96">$L$13*($L$341-K414)/K414</f>
        <v>1.7068533221897202</v>
      </c>
      <c r="P414" s="622">
        <f t="shared" ref="P414:P445" ca="1" si="97">$L$30*(SIGN(O414)*MIN(ABS(O414)*$L$10/1000,$L$11))/10</f>
        <v>864.3832939406605</v>
      </c>
      <c r="Q414" s="622">
        <f t="shared" ref="Q414:Q450" ca="1" si="98">$L$36+$L$13*($L$342-K414)/K414</f>
        <v>6.527166044901582</v>
      </c>
      <c r="R414">
        <f t="shared" ref="R414:R445" ca="1" si="99">SIGN(Q414)*IF(ABS(Q414)&lt;=$Z$12,$Z$9*ABS(Q414)/1000,IF(ABS(Q414)&lt;=$Z$13,$Z$10+($Z$11-$Z$10)*(ABS(Q414)-$Z$12)/($Z$13-$Z$12),$Z$11))/10</f>
        <v>130.54332089803165</v>
      </c>
      <c r="S414" s="622">
        <f t="shared" ref="S414:S445" ca="1" si="100">$L$34*(R414/$L$9)</f>
        <v>1329.1683582345038</v>
      </c>
      <c r="T414" s="622">
        <f t="shared" ref="T414:T450" ca="1" si="101">$L$41+$L$13*($L$343-K414)/K414</f>
        <v>2.0443087588092324</v>
      </c>
      <c r="U414">
        <f t="shared" ref="U414:U445" ca="1" si="102">SIGN(T414)*IF(ABS(T414)&lt;=$Z$12,$Z$9*ABS(T414)/1000,IF(ABS(T414)&lt;=$Z$13,$Z$10+($Z$11-$Z$10)*(ABS(T414)-$Z$12)/($Z$13-$Z$12),$Z$11))/10</f>
        <v>40.88617517618464</v>
      </c>
      <c r="V414" s="622">
        <f t="shared" ref="V414:V445" ca="1" si="103">$L$39*(U414/$L$9)</f>
        <v>0.0</v>
      </c>
      <c r="W414" s="622">
        <f t="shared" ref="W414:W445" ca="1" si="104">L414+N414-P414-S414-V414</f>
        <v>643.42949154893</v>
      </c>
    </row>
    <row r="415" spans="11:23" x14ac:dyDescent="0.25">
      <c r="K415" s="622">
        <f>$L$345+65*$L$347</f>
        <v>48.6</v>
      </c>
      <c r="L415" s="622">
        <f t="shared" si="93"/>
        <v>2582.9646158112214</v>
      </c>
      <c r="M415" s="622">
        <f t="shared" si="94"/>
        <v>3.2263374485596708</v>
      </c>
      <c r="N415" s="622">
        <f t="shared" ca="1" si="95"/>
        <v>274.03636363636366</v>
      </c>
      <c r="O415" s="622">
        <f t="shared" si="96"/>
        <v>1.6275720164609055</v>
      </c>
      <c r="P415" s="622">
        <f t="shared" ca="1" si="97"/>
        <v>824.2337185185188</v>
      </c>
      <c r="Q415" s="622">
        <f t="shared" ca="1" si="98"/>
        <v>6.4561803252356835</v>
      </c>
      <c r="R415">
        <f t="shared" ca="1" si="99"/>
        <v>129.12360650471368</v>
      </c>
      <c r="S415" s="622">
        <f t="shared" ca="1" si="100"/>
        <v>1314.71308441163</v>
      </c>
      <c r="T415" s="622">
        <f t="shared" ca="1" si="101"/>
        <v>2.0443087588092324</v>
      </c>
      <c r="U415">
        <f t="shared" ca="1" si="102"/>
        <v>40.88617517618464</v>
      </c>
      <c r="V415" s="622">
        <f t="shared" ca="1" si="103"/>
        <v>0.0</v>
      </c>
      <c r="W415" s="622">
        <f t="shared" ca="1" si="104"/>
        <v>718.0541765174362</v>
      </c>
    </row>
    <row r="416" spans="11:23" x14ac:dyDescent="0.25">
      <c r="K416" s="622">
        <f>$L$345+66*$L$347</f>
        <v>49.339999999999996</v>
      </c>
      <c r="L416" s="622">
        <f t="shared" si="93"/>
        <v>2602.984451534712</v>
      </c>
      <c r="M416" s="622">
        <f t="shared" si="94"/>
        <v>3.23044183218484</v>
      </c>
      <c r="N416" s="622">
        <f t="shared" ca="1" si="95"/>
        <v>274.03636363636366</v>
      </c>
      <c r="O416" s="622">
        <f t="shared" si="96"/>
        <v>1.5506688285366848</v>
      </c>
      <c r="P416" s="622">
        <f t="shared" ca="1" si="97"/>
        <v>785.2884676124852</v>
      </c>
      <c r="Q416" s="622">
        <f t="shared" ca="1" si="98"/>
        <v>6.3873238894187025</v>
      </c>
      <c r="R416">
        <f t="shared" ca="1" si="99"/>
        <v>127.74647778837407</v>
      </c>
      <c r="S416" s="622">
        <f t="shared" ca="1" si="100"/>
        <v>1300.6914102088995</v>
      </c>
      <c r="T416" s="622">
        <f t="shared" ca="1" si="101"/>
        <v>2.0443087588092324</v>
      </c>
      <c r="U416">
        <f t="shared" ca="1" si="102"/>
        <v>40.88617517618464</v>
      </c>
      <c r="V416" s="622">
        <f t="shared" ca="1" si="103"/>
        <v>0.0</v>
      </c>
      <c r="W416" s="622">
        <f t="shared" ca="1" si="104"/>
        <v>791.0409373496914</v>
      </c>
    </row>
    <row r="417" spans="11:23" x14ac:dyDescent="0.25">
      <c r="K417" s="622">
        <f>$L$345+67*$L$347</f>
        <v>50.08</v>
      </c>
      <c r="L417" s="622">
        <f t="shared" si="93"/>
        <v>2623.0042872582035</v>
      </c>
      <c r="M417" s="622">
        <f t="shared" si="94"/>
        <v>3.234424920127796</v>
      </c>
      <c r="N417" s="622">
        <f t="shared" ca="1" si="95"/>
        <v>274.03636363636366</v>
      </c>
      <c r="O417" s="622">
        <f t="shared" si="96"/>
        <v>1.4760383386581473</v>
      </c>
      <c r="P417" s="622">
        <f t="shared" ca="1" si="97"/>
        <v>747.4941546325881</v>
      </c>
      <c r="Q417" s="622">
        <f t="shared" ca="1" si="98"/>
        <v>6.320502348270433</v>
      </c>
      <c r="R417">
        <f t="shared" ca="1" si="99"/>
        <v>126.41004696540867</v>
      </c>
      <c r="S417" s="622">
        <f t="shared" ca="1" si="100"/>
        <v>1287.0841145568882</v>
      </c>
      <c r="T417" s="622">
        <f t="shared" ca="1" si="101"/>
        <v>2.0443087588092324</v>
      </c>
      <c r="U417">
        <f t="shared" ca="1" si="102"/>
        <v>40.88617517618464</v>
      </c>
      <c r="V417" s="622">
        <f t="shared" ca="1" si="103"/>
        <v>0.0</v>
      </c>
      <c r="W417" s="622">
        <f t="shared" ca="1" si="104"/>
        <v>862.4623817050908</v>
      </c>
    </row>
    <row r="418" spans="11:23" x14ac:dyDescent="0.25">
      <c r="K418" s="622">
        <f>$L$345+68*$L$347</f>
        <v>50.82</v>
      </c>
      <c r="L418" s="622">
        <f t="shared" si="93"/>
        <v>2643.0241229816947</v>
      </c>
      <c r="M418" s="622">
        <f t="shared" si="94"/>
        <v>3.238292011019284</v>
      </c>
      <c r="N418" s="622">
        <f t="shared" ca="1" si="95"/>
        <v>274.03636363636366</v>
      </c>
      <c r="O418" s="622">
        <f t="shared" si="96"/>
        <v>1.403581267217631</v>
      </c>
      <c r="P418" s="622">
        <f t="shared" ca="1" si="97"/>
        <v>710.800502479339</v>
      </c>
      <c r="Q418" s="622">
        <f t="shared" ca="1" si="98"/>
        <v>6.25562681028823</v>
      </c>
      <c r="R418">
        <f t="shared" ca="1" si="99"/>
        <v>125.1125362057646</v>
      </c>
      <c r="S418" s="622">
        <f t="shared" ca="1" si="100"/>
        <v>1273.8730959132392</v>
      </c>
      <c r="T418" s="622">
        <f t="shared" ca="1" si="101"/>
        <v>2.0443087588092324</v>
      </c>
      <c r="U418">
        <f t="shared" ca="1" si="102"/>
        <v>40.88617517618464</v>
      </c>
      <c r="V418" s="622">
        <f t="shared" ca="1" si="103"/>
        <v>0.0</v>
      </c>
      <c r="W418" s="622">
        <f t="shared" ca="1" si="104"/>
        <v>932.3868882254799</v>
      </c>
    </row>
    <row r="419" spans="11:23" x14ac:dyDescent="0.25">
      <c r="K419" s="622">
        <f>$L$345+69*$L$347</f>
        <v>51.56</v>
      </c>
      <c r="L419" s="622">
        <f t="shared" si="93"/>
        <v>2663.0439587051856</v>
      </c>
      <c r="M419" s="622">
        <f t="shared" si="94"/>
        <v>3.2420480993017846</v>
      </c>
      <c r="N419" s="622">
        <f t="shared" ca="1" si="95"/>
        <v>274.03636363636366</v>
      </c>
      <c r="O419" s="622">
        <f t="shared" si="96"/>
        <v>1.3332040341349884</v>
      </c>
      <c r="P419" s="622">
        <f t="shared" ca="1" si="97"/>
        <v>675.1601204034135</v>
      </c>
      <c r="Q419" s="622">
        <f t="shared" ca="1" si="98"/>
        <v>6.192613487127858</v>
      </c>
      <c r="R419">
        <f t="shared" ca="1" si="99"/>
        <v>123.85226974255716</v>
      </c>
      <c r="S419" s="622">
        <f t="shared" ca="1" si="100"/>
        <v>1261.0412919242183</v>
      </c>
      <c r="T419" s="622">
        <f t="shared" ca="1" si="101"/>
        <v>2.0443087588092324</v>
      </c>
      <c r="U419">
        <f t="shared" ca="1" si="102"/>
        <v>40.88617517618464</v>
      </c>
      <c r="V419" s="622">
        <f t="shared" ca="1" si="103"/>
        <v>0.0</v>
      </c>
      <c r="W419" s="622">
        <f t="shared" ca="1" si="104"/>
        <v>1000.8789100139172</v>
      </c>
    </row>
    <row r="420" spans="11:23" x14ac:dyDescent="0.25">
      <c r="K420" s="622">
        <f>$L$345+70*$L$347</f>
        <v>52.3</v>
      </c>
      <c r="L420" s="622">
        <f t="shared" si="93"/>
        <v>2683.0637944286764</v>
      </c>
      <c r="M420" s="622">
        <f t="shared" si="94"/>
        <v>3.245697896749522</v>
      </c>
      <c r="N420" s="622">
        <f t="shared" ca="1" si="95"/>
        <v>274.03636363636366</v>
      </c>
      <c r="O420" s="622">
        <f t="shared" si="96"/>
        <v>1.264818355640536</v>
      </c>
      <c r="P420" s="622">
        <f t="shared" ca="1" si="97"/>
        <v>640.5282998087957</v>
      </c>
      <c r="Q420" s="622">
        <f t="shared" ca="1" si="98"/>
        <v>6.131383332576996</v>
      </c>
      <c r="R420">
        <f t="shared" ca="1" si="99"/>
        <v>122.62766665153993</v>
      </c>
      <c r="S420" s="622">
        <f t="shared" ca="1" si="100"/>
        <v>1248.572605906588</v>
      </c>
      <c r="T420" s="622">
        <f t="shared" ca="1" si="101"/>
        <v>2.0443087588092324</v>
      </c>
      <c r="U420">
        <f t="shared" ca="1" si="102"/>
        <v>40.88617517618464</v>
      </c>
      <c r="V420" s="622">
        <f t="shared" ca="1" si="103"/>
        <v>0.0</v>
      </c>
      <c r="W420" s="622">
        <f t="shared" ca="1" si="104"/>
        <v>1067.999252349656</v>
      </c>
    </row>
    <row r="421" spans="11:23" x14ac:dyDescent="0.25">
      <c r="K421" s="622">
        <f>$L$345+71*$L$347</f>
        <v>53.04</v>
      </c>
      <c r="L421" s="622">
        <f t="shared" si="93"/>
        <v>2703.0836301521676</v>
      </c>
      <c r="M421" s="622">
        <f t="shared" si="94"/>
        <v>3.2492458521870287</v>
      </c>
      <c r="N421" s="622">
        <f t="shared" ca="1" si="95"/>
        <v>274.03636363636366</v>
      </c>
      <c r="O421" s="622">
        <f t="shared" si="96"/>
        <v>1.1983408748114635</v>
      </c>
      <c r="P421" s="622">
        <f t="shared" ca="1" si="97"/>
        <v>606.8628271493214</v>
      </c>
      <c r="Q421" s="622">
        <f t="shared" ca="1" si="98"/>
        <v>6.071861711750404</v>
      </c>
      <c r="R421">
        <f t="shared" ca="1" si="99"/>
        <v>121.43723423500808</v>
      </c>
      <c r="S421" s="622">
        <f t="shared" ca="1" si="100"/>
        <v>1236.4518394837185</v>
      </c>
      <c r="T421" s="622">
        <f t="shared" ca="1" si="101"/>
        <v>2.0443087588092324</v>
      </c>
      <c r="U421">
        <f t="shared" ca="1" si="102"/>
        <v>40.88617517618464</v>
      </c>
      <c r="V421" s="622">
        <f t="shared" ca="1" si="103"/>
        <v>0.0</v>
      </c>
      <c r="W421" s="622">
        <f t="shared" ca="1" si="104"/>
        <v>1133.805327155491</v>
      </c>
    </row>
    <row r="422" spans="11:23" x14ac:dyDescent="0.25">
      <c r="K422" s="622">
        <f>$L$345+72*$L$347</f>
        <v>53.78</v>
      </c>
      <c r="L422" s="622">
        <f t="shared" si="93"/>
        <v>2723.1034658756585</v>
      </c>
      <c r="M422" s="622">
        <f t="shared" si="94"/>
        <v>3.2526961695797696</v>
      </c>
      <c r="N422" s="622">
        <f t="shared" ca="1" si="95"/>
        <v>274.03636363636366</v>
      </c>
      <c r="O422" s="622">
        <f t="shared" si="96"/>
        <v>1.133692822610636</v>
      </c>
      <c r="P422" s="622">
        <f t="shared" ca="1" si="97"/>
        <v>574.1238122722202</v>
      </c>
      <c r="Q422" s="622">
        <f t="shared" ca="1" si="98"/>
        <v>6.013978097595871</v>
      </c>
      <c r="R422">
        <f t="shared" ca="1" si="99"/>
        <v>120.27956195191742</v>
      </c>
      <c r="S422" s="622">
        <f t="shared" ca="1" si="100"/>
        <v>1224.6646307831588</v>
      </c>
      <c r="T422" s="622">
        <f t="shared" ca="1" si="101"/>
        <v>2.044308758809232</v>
      </c>
      <c r="U422">
        <f t="shared" ca="1" si="102"/>
        <v>40.886175176184636</v>
      </c>
      <c r="V422" s="622">
        <f t="shared" ca="1" si="103"/>
        <v>0.0</v>
      </c>
      <c r="W422" s="622">
        <f t="shared" ca="1" si="104"/>
        <v>1198.351386456643</v>
      </c>
    </row>
    <row r="423" spans="11:23" x14ac:dyDescent="0.25">
      <c r="K423" s="622">
        <f>$L$345+73*$L$347</f>
        <v>54.519999999999996</v>
      </c>
      <c r="L423" s="622">
        <f t="shared" si="93"/>
        <v>2743.1233015991493</v>
      </c>
      <c r="M423" s="622">
        <f t="shared" si="94"/>
        <v>3.256052824651504</v>
      </c>
      <c r="N423" s="622">
        <f t="shared" ca="1" si="95"/>
        <v>274.03636363636366</v>
      </c>
      <c r="O423" s="622">
        <f t="shared" si="96"/>
        <v>1.0707997065297143</v>
      </c>
      <c r="P423" s="622">
        <f t="shared" ca="1" si="97"/>
        <v>542.2735307410128</v>
      </c>
      <c r="Q423" s="622">
        <f t="shared" ca="1" si="98"/>
        <v>5.957665792116114</v>
      </c>
      <c r="R423">
        <f t="shared" ca="1" si="99"/>
        <v>119.15331584232226</v>
      </c>
      <c r="S423" s="622">
        <f t="shared" ca="1" si="100"/>
        <v>1213.197397667281</v>
      </c>
      <c r="T423" s="622">
        <f t="shared" ca="1" si="101"/>
        <v>2.0443087588092324</v>
      </c>
      <c r="U423">
        <f t="shared" ca="1" si="102"/>
        <v>40.88617517618464</v>
      </c>
      <c r="V423" s="622">
        <f t="shared" ca="1" si="103"/>
        <v>0.0</v>
      </c>
      <c r="W423" s="622">
        <f t="shared" ca="1" si="104"/>
        <v>1261.688736827219</v>
      </c>
    </row>
    <row r="424" spans="11:23" x14ac:dyDescent="0.25">
      <c r="K424" s="622">
        <f>$L$345+74*$L$347</f>
        <v>55.26</v>
      </c>
      <c r="L424" s="622">
        <f t="shared" si="93"/>
        <v>2763.1431373226405</v>
      </c>
      <c r="M424" s="622">
        <f t="shared" si="94"/>
        <v>3.259319580166486</v>
      </c>
      <c r="N424" s="622">
        <f t="shared" ca="1" si="95"/>
        <v>274.03636363636366</v>
      </c>
      <c r="O424" s="622">
        <f t="shared" si="96"/>
        <v>1.0095910242490052</v>
      </c>
      <c r="P424" s="622">
        <f t="shared" ca="1" si="97"/>
        <v>511.27627882736186</v>
      </c>
      <c r="Q424" s="622">
        <f t="shared" ca="1" si="98"/>
        <v>5.902861669989775</v>
      </c>
      <c r="R424">
        <f t="shared" ca="1" si="99"/>
        <v>118.05723339979552</v>
      </c>
      <c r="S424" s="622">
        <f t="shared" ca="1" si="100"/>
        <v>1202.0372855251906</v>
      </c>
      <c r="T424" s="622">
        <f t="shared" ca="1" si="101"/>
        <v>2.0443087588092324</v>
      </c>
      <c r="U424">
        <f t="shared" ca="1" si="102"/>
        <v>40.88617517618464</v>
      </c>
      <c r="V424" s="622">
        <f t="shared" ca="1" si="103"/>
        <v>0.0</v>
      </c>
      <c r="W424" s="622">
        <f t="shared" ca="1" si="104"/>
        <v>1323.865936606452</v>
      </c>
    </row>
    <row r="425" spans="11:23" x14ac:dyDescent="0.25">
      <c r="K425" s="622">
        <f>$L$345+75*$L$347</f>
        <v>56.0</v>
      </c>
      <c r="L425" s="622">
        <f t="shared" si="93"/>
        <v>2783.1629730461314</v>
      </c>
      <c r="M425" s="622">
        <f t="shared" si="94"/>
        <v>3.2625</v>
      </c>
      <c r="N425" s="622">
        <f t="shared" ca="1" si="95"/>
        <v>274.03636363636366</v>
      </c>
      <c r="O425" s="622">
        <f t="shared" si="96"/>
        <v>0.9500000000000002</v>
      </c>
      <c r="P425" s="622">
        <f t="shared" ca="1" si="97"/>
        <v>481.0982400000001</v>
      </c>
      <c r="Q425" s="622">
        <f t="shared" ca="1" si="98"/>
        <v>5.8495059425196345</v>
      </c>
      <c r="R425">
        <f t="shared" ca="1" si="99"/>
        <v>116.99011885039269</v>
      </c>
      <c r="S425" s="622">
        <f t="shared" ca="1" si="100"/>
        <v>1191.1721192039981</v>
      </c>
      <c r="T425" s="622">
        <f t="shared" ca="1" si="101"/>
        <v>2.0443087588092324</v>
      </c>
      <c r="U425">
        <f t="shared" ca="1" si="102"/>
        <v>40.88617517618464</v>
      </c>
      <c r="V425" s="622">
        <f t="shared" ca="1" si="103"/>
        <v>0.0</v>
      </c>
      <c r="W425" s="622">
        <f t="shared" ca="1" si="104"/>
        <v>1384.9289774784966</v>
      </c>
    </row>
    <row r="426" spans="11:23" x14ac:dyDescent="0.25">
      <c r="K426" s="622">
        <f>$L$345+76*$L$347</f>
        <v>56.74</v>
      </c>
      <c r="L426" s="622">
        <f t="shared" si="93"/>
        <v>2803.1828087696226</v>
      </c>
      <c r="M426" s="622">
        <f t="shared" si="94"/>
        <v>3.2655974621078605</v>
      </c>
      <c r="N426" s="622">
        <f t="shared" ca="1" si="95"/>
        <v>274.03636363636366</v>
      </c>
      <c r="O426" s="622">
        <f t="shared" si="96"/>
        <v>0.8919633415579837</v>
      </c>
      <c r="P426" s="622">
        <f t="shared" ca="1" si="97"/>
        <v>451.7073618611209</v>
      </c>
      <c r="Q426" s="622">
        <f t="shared" ca="1" si="98"/>
        <v>5.797541940052239</v>
      </c>
      <c r="R426">
        <f t="shared" ca="1" si="99"/>
        <v>115.95083880104478</v>
      </c>
      <c r="S426" s="622">
        <f t="shared" ca="1" si="100"/>
        <v>1180.5903587015468</v>
      </c>
      <c r="T426" s="622">
        <f t="shared" ca="1" si="101"/>
        <v>2.0443087588092324</v>
      </c>
      <c r="U426">
        <f t="shared" ca="1" si="102"/>
        <v>40.88617517618464</v>
      </c>
      <c r="V426" s="622">
        <f t="shared" ca="1" si="103"/>
        <v>0.0</v>
      </c>
      <c r="W426" s="622">
        <f t="shared" ca="1" si="104"/>
        <v>1444.9214518433187</v>
      </c>
    </row>
    <row r="427" spans="11:23" x14ac:dyDescent="0.25">
      <c r="K427" s="622">
        <f>$L$345+77*$L$347</f>
        <v>57.48</v>
      </c>
      <c r="L427" s="622">
        <f t="shared" si="93"/>
        <v>2823.2026444931134</v>
      </c>
      <c r="M427" s="622">
        <f t="shared" si="94"/>
        <v>3.268615170494085</v>
      </c>
      <c r="N427" s="622">
        <f t="shared" ca="1" si="95"/>
        <v>274.03636363636366</v>
      </c>
      <c r="O427" s="622">
        <f t="shared" si="96"/>
        <v>0.8354210160055676</v>
      </c>
      <c r="P427" s="622">
        <f t="shared" ca="1" si="97"/>
        <v>423.07324258872677</v>
      </c>
      <c r="Q427" s="622">
        <f t="shared" ca="1" si="98"/>
        <v>5.746915911204395</v>
      </c>
      <c r="R427">
        <f t="shared" ca="1" si="99"/>
        <v>114.93831822408791</v>
      </c>
      <c r="S427" s="622">
        <f t="shared" ca="1" si="100"/>
        <v>1170.281058281622</v>
      </c>
      <c r="T427" s="622">
        <f t="shared" ca="1" si="101"/>
        <v>2.0443087588092324</v>
      </c>
      <c r="U427">
        <f t="shared" ca="1" si="102"/>
        <v>40.88617517618464</v>
      </c>
      <c r="V427" s="622">
        <f t="shared" ca="1" si="103"/>
        <v>0.0</v>
      </c>
      <c r="W427" s="622">
        <f t="shared" ca="1" si="104"/>
        <v>1503.8847072591282</v>
      </c>
    </row>
    <row r="428" spans="11:23" x14ac:dyDescent="0.25">
      <c r="K428" s="622">
        <f>$L$345+78*$L$347</f>
        <v>58.22</v>
      </c>
      <c r="L428" s="622">
        <f t="shared" si="93"/>
        <v>2843.2224802166043</v>
      </c>
      <c r="M428" s="622">
        <f t="shared" si="94"/>
        <v>3.271556166265888</v>
      </c>
      <c r="N428" s="622">
        <f t="shared" ca="1" si="95"/>
        <v>274.03636363636366</v>
      </c>
      <c r="O428" s="622">
        <f t="shared" si="96"/>
        <v>0.7803160425970459</v>
      </c>
      <c r="P428" s="622">
        <f t="shared" ca="1" si="97"/>
        <v>395.1670260391619</v>
      </c>
      <c r="Q428" s="622">
        <f t="shared" ca="1" si="98"/>
        <v>5.697576837401119</v>
      </c>
      <c r="R428">
        <f t="shared" ca="1" si="99"/>
        <v>113.95153674802239</v>
      </c>
      <c r="S428" s="622">
        <f t="shared" ca="1" si="100"/>
        <v>1160.2338287071368</v>
      </c>
      <c r="T428" s="622">
        <f t="shared" ca="1" si="101"/>
        <v>2.044308758809233</v>
      </c>
      <c r="U428">
        <f t="shared" ca="1" si="102"/>
        <v>40.88617517618466</v>
      </c>
      <c r="V428" s="622">
        <f t="shared" ca="1" si="103"/>
        <v>0.0</v>
      </c>
      <c r="W428" s="622">
        <f t="shared" ca="1" si="104"/>
        <v>1561.857989106669</v>
      </c>
    </row>
    <row r="429" spans="11:23" x14ac:dyDescent="0.25">
      <c r="K429" s="622">
        <f>$L$345+79*$L$347</f>
        <v>58.96</v>
      </c>
      <c r="L429" s="622">
        <f t="shared" si="93"/>
        <v>2863.2423159400955</v>
      </c>
      <c r="M429" s="622">
        <f t="shared" si="94"/>
        <v>3.274423337856174</v>
      </c>
      <c r="N429" s="622">
        <f t="shared" ca="1" si="95"/>
        <v>274.03636363636366</v>
      </c>
      <c r="O429" s="622">
        <f t="shared" si="96"/>
        <v>0.726594301221167</v>
      </c>
      <c r="P429" s="622">
        <f t="shared" ca="1" si="97"/>
        <v>367.96130474898246</v>
      </c>
      <c r="Q429" s="622">
        <f t="shared" ca="1" si="98"/>
        <v>5.649476261379879</v>
      </c>
      <c r="R429">
        <f t="shared" ca="1" si="99"/>
        <v>112.98952522759757</v>
      </c>
      <c r="S429" s="622">
        <f t="shared" ca="1" si="100"/>
        <v>1150.438802317357</v>
      </c>
      <c r="T429" s="622">
        <f t="shared" ca="1" si="101"/>
        <v>2.0443087588092324</v>
      </c>
      <c r="U429">
        <f t="shared" ca="1" si="102"/>
        <v>40.88617517618464</v>
      </c>
      <c r="V429" s="622">
        <f t="shared" ca="1" si="103"/>
        <v>0.0</v>
      </c>
      <c r="W429" s="622">
        <f t="shared" ca="1" si="104"/>
        <v>1618.8785725101197</v>
      </c>
    </row>
    <row r="430" spans="11:23" x14ac:dyDescent="0.25">
      <c r="K430" s="622">
        <f>$L$345+80*$L$347</f>
        <v>59.7</v>
      </c>
      <c r="L430" s="622">
        <f t="shared" si="93"/>
        <v>2883.2621516635863</v>
      </c>
      <c r="M430" s="622">
        <f t="shared" si="94"/>
        <v>3.2772194304857627</v>
      </c>
      <c r="N430" s="622">
        <f t="shared" ca="1" si="95"/>
        <v>274.03636363636366</v>
      </c>
      <c r="O430" s="622">
        <f t="shared" si="96"/>
        <v>0.6742043551088777</v>
      </c>
      <c r="P430" s="622">
        <f t="shared" ca="1" si="97"/>
        <v>341.43003015075374</v>
      </c>
      <c r="Q430" s="622">
        <f t="shared" ca="1" si="98"/>
        <v>5.602568128449283</v>
      </c>
      <c r="R430">
        <f t="shared" ca="1" si="99"/>
        <v>112.05136256898568</v>
      </c>
      <c r="S430" s="622">
        <f t="shared" ca="1" si="100"/>
        <v>1140.8866007023994</v>
      </c>
      <c r="T430" s="622">
        <f t="shared" ca="1" si="101"/>
        <v>2.0443087588092324</v>
      </c>
      <c r="U430">
        <f t="shared" ca="1" si="102"/>
        <v>40.88617517618464</v>
      </c>
      <c r="V430" s="622">
        <f t="shared" ca="1" si="103"/>
        <v>0.0</v>
      </c>
      <c r="W430" s="622">
        <f t="shared" ca="1" si="104"/>
        <v>1674.9818844467968</v>
      </c>
    </row>
    <row r="431" spans="11:23" x14ac:dyDescent="0.25">
      <c r="K431" s="622">
        <f>$L$345+81*$L$347</f>
        <v>60.44</v>
      </c>
      <c r="L431" s="622">
        <f t="shared" si="93"/>
        <v>2903.2819873870776</v>
      </c>
      <c r="M431" s="622">
        <f t="shared" si="94"/>
        <v>3.27994705493051</v>
      </c>
      <c r="N431" s="622">
        <f t="shared" ca="1" si="95"/>
        <v>274.03636363636366</v>
      </c>
      <c r="O431" s="622">
        <f t="shared" si="96"/>
        <v>0.6230972865651889</v>
      </c>
      <c r="P431" s="622">
        <f t="shared" ca="1" si="97"/>
        <v>315.5484293845137</v>
      </c>
      <c r="Q431" s="622">
        <f t="shared" ca="1" si="98"/>
        <v>5.556808639409112</v>
      </c>
      <c r="R431">
        <f t="shared" ca="1" si="99"/>
        <v>111.13617278818222</v>
      </c>
      <c r="S431" s="622">
        <f t="shared" ca="1" si="100"/>
        <v>1131.5683047524005</v>
      </c>
      <c r="T431" s="622">
        <f t="shared" ca="1" si="101"/>
        <v>2.0443087588092324</v>
      </c>
      <c r="U431">
        <f t="shared" ca="1" si="102"/>
        <v>40.88617517618464</v>
      </c>
      <c r="V431" s="622">
        <f t="shared" ca="1" si="103"/>
        <v>0.0</v>
      </c>
      <c r="W431" s="622">
        <f t="shared" ca="1" si="104"/>
        <v>1730.2016168865268</v>
      </c>
    </row>
    <row r="432" spans="11:23" x14ac:dyDescent="0.25">
      <c r="K432" s="622">
        <f>$L$345+82*$L$347</f>
        <v>61.18</v>
      </c>
      <c r="L432" s="622">
        <f t="shared" si="93"/>
        <v>2923.3018231105684</v>
      </c>
      <c r="M432" s="622">
        <f t="shared" si="94"/>
        <v>3.2826086956521743</v>
      </c>
      <c r="N432" s="622">
        <f t="shared" ca="1" si="95"/>
        <v>274.03636363636366</v>
      </c>
      <c r="O432" s="622">
        <f t="shared" si="96"/>
        <v>0.5732265446224257</v>
      </c>
      <c r="P432" s="622">
        <f t="shared" ca="1" si="97"/>
        <v>290.29292814645316</v>
      </c>
      <c r="Q432" s="622">
        <f t="shared" ca="1" si="98"/>
        <v>5.512156114144348</v>
      </c>
      <c r="R432">
        <f t="shared" ca="1" si="99"/>
        <v>110.24312228288697</v>
      </c>
      <c r="S432" s="622">
        <f t="shared" ca="1" si="100"/>
        <v>1122.4754268803035</v>
      </c>
      <c r="T432" s="622">
        <f t="shared" ca="1" si="101"/>
        <v>2.0443087588092324</v>
      </c>
      <c r="U432">
        <f t="shared" ca="1" si="102"/>
        <v>40.88617517618464</v>
      </c>
      <c r="V432" s="622">
        <f t="shared" ca="1" si="103"/>
        <v>0.0</v>
      </c>
      <c r="W432" s="622">
        <f t="shared" ca="1" si="104"/>
        <v>1784.5698317201754</v>
      </c>
    </row>
    <row r="433" spans="11:23" x14ac:dyDescent="0.25">
      <c r="K433" s="622">
        <f>$L$345+83*$L$347</f>
        <v>61.92</v>
      </c>
      <c r="L433" s="622">
        <f t="shared" si="93"/>
        <v>2943.3216588340592</v>
      </c>
      <c r="M433" s="622">
        <f t="shared" si="94"/>
        <v>3.285206718346253</v>
      </c>
      <c r="N433" s="622">
        <f t="shared" ca="1" si="95"/>
        <v>274.03636363636366</v>
      </c>
      <c r="O433" s="622">
        <f t="shared" si="96"/>
        <v>0.5245478036175711</v>
      </c>
      <c r="P433" s="622">
        <f t="shared" ca="1" si="97"/>
        <v>265.6410790697675</v>
      </c>
      <c r="Q433" s="622">
        <f t="shared" ca="1" si="98"/>
        <v>5.468570865000254</v>
      </c>
      <c r="R433">
        <f t="shared" ca="1" si="99"/>
        <v>109.3714173000051</v>
      </c>
      <c r="S433" s="622">
        <f t="shared" ca="1" si="100"/>
        <v>1113.5998852364155</v>
      </c>
      <c r="T433" s="622">
        <f t="shared" ca="1" si="101"/>
        <v>2.0443087588092324</v>
      </c>
      <c r="U433">
        <f t="shared" ca="1" si="102"/>
        <v>40.88617517618464</v>
      </c>
      <c r="V433" s="622">
        <f t="shared" ca="1" si="103"/>
        <v>0.0</v>
      </c>
      <c r="W433" s="622">
        <f t="shared" ca="1" si="104"/>
        <v>1838.11705816424</v>
      </c>
    </row>
    <row r="434" spans="11:23" x14ac:dyDescent="0.25">
      <c r="K434" s="622">
        <f>$L$345+84*$L$347</f>
        <v>62.66</v>
      </c>
      <c r="L434" s="622">
        <f t="shared" si="93"/>
        <v>2963.3414945575505</v>
      </c>
      <c r="M434" s="622">
        <f t="shared" si="94"/>
        <v>3.287743376954995</v>
      </c>
      <c r="N434" s="622">
        <f t="shared" ca="1" si="95"/>
        <v>274.03636363636366</v>
      </c>
      <c r="O434" s="622">
        <f t="shared" si="96"/>
        <v>0.4770188317906164</v>
      </c>
      <c r="P434" s="622">
        <f t="shared" ca="1" si="97"/>
        <v>241.57149518033856</v>
      </c>
      <c r="Q434" s="622">
        <f t="shared" ca="1" si="98"/>
        <v>5.426015079129912</v>
      </c>
      <c r="R434">
        <f t="shared" ca="1" si="99"/>
        <v>108.52030158259825</v>
      </c>
      <c r="S434" s="622">
        <f t="shared" ca="1" si="100"/>
        <v>1104.933979750091</v>
      </c>
      <c r="T434" s="622">
        <f t="shared" ca="1" si="101"/>
        <v>2.044308758809232</v>
      </c>
      <c r="U434">
        <f t="shared" ca="1" si="102"/>
        <v>40.886175176184636</v>
      </c>
      <c r="V434" s="622">
        <f t="shared" ca="1" si="103"/>
        <v>0.0</v>
      </c>
      <c r="W434" s="622">
        <f t="shared" ca="1" si="104"/>
        <v>1890.8723832634846</v>
      </c>
    </row>
    <row r="435" spans="11:23" x14ac:dyDescent="0.25">
      <c r="K435" s="622">
        <f>$L$345+85*$L$347</f>
        <v>63.4</v>
      </c>
      <c r="L435" s="622">
        <f t="shared" si="93"/>
        <v>2983.3613302810413</v>
      </c>
      <c r="M435" s="622">
        <f t="shared" si="94"/>
        <v>3.2902208201892744</v>
      </c>
      <c r="N435" s="622">
        <f t="shared" ca="1" si="95"/>
        <v>274.03636363636366</v>
      </c>
      <c r="O435" s="622">
        <f t="shared" si="96"/>
        <v>0.43059936908517377</v>
      </c>
      <c r="P435" s="622">
        <f t="shared" ca="1" si="97"/>
        <v>218.06378801261843</v>
      </c>
      <c r="Q435" s="622">
        <f t="shared" ca="1" si="98"/>
        <v>5.384452709081149</v>
      </c>
      <c r="R435">
        <f t="shared" ca="1" si="99"/>
        <v>107.68905418162296</v>
      </c>
      <c r="S435" s="622">
        <f t="shared" ca="1" si="100"/>
        <v>1096.4703698492517</v>
      </c>
      <c r="T435" s="622">
        <f t="shared" ca="1" si="101"/>
        <v>2.0443087588092324</v>
      </c>
      <c r="U435">
        <f t="shared" ca="1" si="102"/>
        <v>40.88617517618464</v>
      </c>
      <c r="V435" s="622">
        <f t="shared" ca="1" si="103"/>
        <v>0.0</v>
      </c>
      <c r="W435" s="622">
        <f t="shared" ca="1" si="104"/>
        <v>1942.863536055535</v>
      </c>
    </row>
    <row r="436" spans="11:23" x14ac:dyDescent="0.25">
      <c r="K436" s="622">
        <f>$L$345+86*$L$347</f>
        <v>64.14</v>
      </c>
      <c r="L436" s="622">
        <f t="shared" si="93"/>
        <v>3003.3811660045326</v>
      </c>
      <c r="M436" s="622">
        <f t="shared" si="94"/>
        <v>3.292641097599002</v>
      </c>
      <c r="N436" s="622">
        <f t="shared" ca="1" si="95"/>
        <v>274.03636363636366</v>
      </c>
      <c r="O436" s="622">
        <f t="shared" si="96"/>
        <v>0.38525101340816975</v>
      </c>
      <c r="P436" s="622">
        <f t="shared" ca="1" si="97"/>
        <v>195.09851000935464</v>
      </c>
      <c r="Q436" s="622">
        <f t="shared" ca="1" si="98"/>
        <v>5.343849370957427</v>
      </c>
      <c r="R436">
        <f t="shared" ca="1" si="99"/>
        <v>106.87698741914853</v>
      </c>
      <c r="S436" s="622">
        <f t="shared" ca="1" si="100"/>
        <v>1088.2020537222395</v>
      </c>
      <c r="T436" s="622">
        <f t="shared" ca="1" si="101"/>
        <v>2.0443087588092324</v>
      </c>
      <c r="U436">
        <f t="shared" ca="1" si="102"/>
        <v>40.88617517618464</v>
      </c>
      <c r="V436" s="622">
        <f t="shared" ca="1" si="103"/>
        <v>0.0</v>
      </c>
      <c r="W436" s="622">
        <f t="shared" ca="1" si="104"/>
        <v>1994.1169659093023</v>
      </c>
    </row>
    <row r="437" spans="11:23" x14ac:dyDescent="0.25">
      <c r="K437" s="622">
        <f>$L$345+87*$L$347</f>
        <v>64.88</v>
      </c>
      <c r="L437" s="622">
        <f t="shared" si="93"/>
        <v>3023.4010017280234</v>
      </c>
      <c r="M437" s="622">
        <f t="shared" si="94"/>
        <v>3.2950061652281137</v>
      </c>
      <c r="N437" s="622">
        <f t="shared" ca="1" si="95"/>
        <v>274.03636363636366</v>
      </c>
      <c r="O437" s="622">
        <f t="shared" si="96"/>
        <v>0.34093711467324334</v>
      </c>
      <c r="P437" s="622">
        <f t="shared" ca="1" si="97"/>
        <v>172.65710086313217</v>
      </c>
      <c r="Q437" s="622">
        <f t="shared" ca="1" si="98"/>
        <v>5.304172249547995</v>
      </c>
      <c r="R437">
        <f t="shared" ca="1" si="99"/>
        <v>106.0834449909599</v>
      </c>
      <c r="S437" s="622">
        <f t="shared" ca="1" si="100"/>
        <v>1080.1223489988643</v>
      </c>
      <c r="T437" s="622">
        <f t="shared" ca="1" si="101"/>
        <v>2.0443087588092324</v>
      </c>
      <c r="U437">
        <f t="shared" ca="1" si="102"/>
        <v>40.88617517618464</v>
      </c>
      <c r="V437" s="622">
        <f t="shared" ca="1" si="103"/>
        <v>0.0</v>
      </c>
      <c r="W437" s="622">
        <f t="shared" ca="1" si="104"/>
        <v>2044.6579155023906</v>
      </c>
    </row>
    <row r="438" spans="11:23" x14ac:dyDescent="0.25">
      <c r="K438" s="622">
        <f>$L$345+88*$L$347</f>
        <v>65.62</v>
      </c>
      <c r="L438" s="622">
        <f t="shared" si="93"/>
        <v>3043.4208374515147</v>
      </c>
      <c r="M438" s="622">
        <f t="shared" si="94"/>
        <v>3.297317890886925</v>
      </c>
      <c r="N438" s="622">
        <f t="shared" ca="1" si="95"/>
        <v>274.03636363636366</v>
      </c>
      <c r="O438" s="622">
        <f t="shared" si="96"/>
        <v>0.2976226760134104</v>
      </c>
      <c r="P438" s="622">
        <f t="shared" ca="1" si="97"/>
        <v>150.7218374885705</v>
      </c>
      <c r="Q438" s="622">
        <f t="shared" ca="1" si="98"/>
        <v>5.265390009877147</v>
      </c>
      <c r="R438">
        <f t="shared" ca="1" si="99"/>
        <v>105.30780019754295</v>
      </c>
      <c r="S438" s="622">
        <f t="shared" ca="1" si="100"/>
        <v>1072.224874738619</v>
      </c>
      <c r="T438" s="622">
        <f t="shared" ca="1" si="101"/>
        <v>2.0443087588092324</v>
      </c>
      <c r="U438">
        <f t="shared" ca="1" si="102"/>
        <v>40.88617517618464</v>
      </c>
      <c r="V438" s="622">
        <f t="shared" ca="1" si="103"/>
        <v>0.0</v>
      </c>
      <c r="W438" s="622">
        <f t="shared" ca="1" si="104"/>
        <v>2094.5104888606884</v>
      </c>
    </row>
    <row r="439" spans="11:23" x14ac:dyDescent="0.25">
      <c r="K439" s="622">
        <f>$L$345+89*$L$347</f>
        <v>66.36</v>
      </c>
      <c r="L439" s="622">
        <f t="shared" si="93"/>
        <v>3063.4406731750055</v>
      </c>
      <c r="M439" s="622">
        <f t="shared" si="94"/>
        <v>3.29957805907173</v>
      </c>
      <c r="N439" s="622">
        <f t="shared" ca="1" si="95"/>
        <v>274.03636363636366</v>
      </c>
      <c r="O439" s="622">
        <f t="shared" si="96"/>
        <v>0.2552742616033757</v>
      </c>
      <c r="P439" s="622">
        <f t="shared" ca="1" si="97"/>
        <v>129.27578734177223</v>
      </c>
      <c r="Q439" s="622">
        <f t="shared" ca="1" si="98"/>
        <v>5.227472714671533</v>
      </c>
      <c r="R439">
        <f t="shared" ca="1" si="99"/>
        <v>104.54945429343067</v>
      </c>
      <c r="S439" s="622">
        <f t="shared" ca="1" si="100"/>
        <v>1064.503534624021</v>
      </c>
      <c r="T439" s="622">
        <f t="shared" ca="1" si="101"/>
        <v>2.0443087588092324</v>
      </c>
      <c r="U439">
        <f t="shared" ca="1" si="102"/>
        <v>40.88617517618464</v>
      </c>
      <c r="V439" s="622">
        <f t="shared" ca="1" si="103"/>
        <v>0.0</v>
      </c>
      <c r="W439" s="622">
        <f t="shared" ca="1" si="104"/>
        <v>2143.697714845576</v>
      </c>
    </row>
    <row r="440" spans="11:23" x14ac:dyDescent="0.25">
      <c r="K440" s="622">
        <f>$L$345+90*$L$347</f>
        <v>67.1</v>
      </c>
      <c r="L440" s="622">
        <f t="shared" si="93"/>
        <v>3083.4605088984963</v>
      </c>
      <c r="M440" s="622">
        <f t="shared" si="94"/>
        <v>3.3017883755588673</v>
      </c>
      <c r="N440" s="622">
        <f t="shared" ca="1" si="95"/>
        <v>274.03636363636366</v>
      </c>
      <c r="O440" s="622">
        <f t="shared" si="96"/>
        <v>0.21385991058122253</v>
      </c>
      <c r="P440" s="622">
        <f t="shared" ca="1" si="97"/>
        <v>108.30276482861427</v>
      </c>
      <c r="Q440" s="622">
        <f t="shared" ca="1" si="98"/>
        <v>5.190391747288636</v>
      </c>
      <c r="R440">
        <f t="shared" ca="1" si="99"/>
        <v>103.80783494577273</v>
      </c>
      <c r="S440" s="622">
        <f t="shared" ca="1" si="100"/>
        <v>1056.9525012660495</v>
      </c>
      <c r="T440" s="622">
        <f t="shared" ca="1" si="101"/>
        <v>2.0443087588092324</v>
      </c>
      <c r="U440">
        <f t="shared" ca="1" si="102"/>
        <v>40.88617517618464</v>
      </c>
      <c r="V440" s="622">
        <f t="shared" ca="1" si="103"/>
        <v>0.0</v>
      </c>
      <c r="W440" s="622">
        <f t="shared" ca="1" si="104"/>
        <v>2192.241606440196</v>
      </c>
    </row>
    <row r="441" spans="11:23" x14ac:dyDescent="0.25">
      <c r="K441" s="622">
        <f>$L$345+91*$L$347</f>
        <v>67.84</v>
      </c>
      <c r="L441" s="622">
        <f t="shared" si="93"/>
        <v>3103.4803446219876</v>
      </c>
      <c r="M441" s="622">
        <f t="shared" si="94"/>
        <v>3.3039504716981134</v>
      </c>
      <c r="N441" s="622">
        <f t="shared" ca="1" si="95"/>
        <v>274.03636363636366</v>
      </c>
      <c r="O441" s="622">
        <f t="shared" si="96"/>
        <v>0.17334905660377356</v>
      </c>
      <c r="P441" s="622">
        <f t="shared" ca="1" si="97"/>
        <v>87.78729056603774</v>
      </c>
      <c r="Q441" s="622">
        <f t="shared" ca="1" si="98"/>
        <v>5.154119739689445</v>
      </c>
      <c r="R441">
        <f t="shared" ca="1" si="99"/>
        <v>103.0823947937889</v>
      </c>
      <c r="S441" s="622">
        <f t="shared" ca="1" si="100"/>
        <v>1049.5662015367595</v>
      </c>
      <c r="T441" s="622">
        <f t="shared" ca="1" si="101"/>
        <v>2.0443087588092324</v>
      </c>
      <c r="U441">
        <f t="shared" ca="1" si="102"/>
        <v>40.88617517618464</v>
      </c>
      <c r="V441" s="622">
        <f t="shared" ca="1" si="103"/>
        <v>0.0</v>
      </c>
      <c r="W441" s="622">
        <f t="shared" ca="1" si="104"/>
        <v>2240.1632161555535</v>
      </c>
    </row>
    <row r="442" spans="11:23" x14ac:dyDescent="0.25">
      <c r="K442" s="622">
        <f>$L$345+92*$L$347</f>
        <v>68.58</v>
      </c>
      <c r="L442" s="622">
        <f t="shared" si="93"/>
        <v>3123.500180345479</v>
      </c>
      <c r="M442" s="622">
        <f t="shared" si="94"/>
        <v>3.3060659084281134</v>
      </c>
      <c r="N442" s="622">
        <f t="shared" ca="1" si="95"/>
        <v>274.03636363636366</v>
      </c>
      <c r="O442" s="622">
        <f t="shared" si="96"/>
        <v>0.13371245261009065</v>
      </c>
      <c r="P442" s="622">
        <f t="shared" ca="1" si="97"/>
        <v>67.71455328084002</v>
      </c>
      <c r="Q442" s="622">
        <f t="shared" ca="1" si="98"/>
        <v>5.118630505074315</v>
      </c>
      <c r="R442">
        <f t="shared" ca="1" si="99"/>
        <v>102.3726101014863</v>
      </c>
      <c r="S442" s="622">
        <f t="shared" ca="1" si="100"/>
        <v>1042.3393028514968</v>
      </c>
      <c r="T442" s="622">
        <f t="shared" ca="1" si="101"/>
        <v>2.0443087588092324</v>
      </c>
      <c r="U442">
        <f t="shared" ca="1" si="102"/>
        <v>40.88617517618464</v>
      </c>
      <c r="V442" s="622">
        <f t="shared" ca="1" si="103"/>
        <v>0.0</v>
      </c>
      <c r="W442" s="622">
        <f t="shared" ca="1" si="104"/>
        <v>2287.482687849506</v>
      </c>
    </row>
    <row r="443" spans="11:23" x14ac:dyDescent="0.25">
      <c r="K443" s="622">
        <f>$L$345+93*$L$347</f>
        <v>69.32</v>
      </c>
      <c r="L443" s="622">
        <f t="shared" si="93"/>
        <v>3143.520016068969</v>
      </c>
      <c r="M443" s="622">
        <f t="shared" si="94"/>
        <v>3.308136180034622</v>
      </c>
      <c r="N443" s="622">
        <f t="shared" ca="1" si="95"/>
        <v>274.03636363636366</v>
      </c>
      <c r="O443" s="622">
        <f t="shared" si="96"/>
        <v>0.09492210040392433</v>
      </c>
      <c r="P443" s="622">
        <f t="shared" ca="1" si="97"/>
        <v>48.07037414887505</v>
      </c>
      <c r="Q443" s="622">
        <f t="shared" ca="1" si="98"/>
        <v>5.0838989748335415</v>
      </c>
      <c r="R443">
        <f t="shared" ca="1" si="99"/>
        <v>101.67797949667083</v>
      </c>
      <c r="S443" s="622">
        <f t="shared" ca="1" si="100"/>
        <v>1035.2667003297393</v>
      </c>
      <c r="T443" s="622">
        <f t="shared" ca="1" si="101"/>
        <v>2.0443087588092324</v>
      </c>
      <c r="U443">
        <f t="shared" ca="1" si="102"/>
        <v>40.88617517618464</v>
      </c>
      <c r="V443" s="622">
        <f t="shared" ca="1" si="103"/>
        <v>0.0</v>
      </c>
      <c r="W443" s="622">
        <f t="shared" ca="1" si="104"/>
        <v>2334.2193052267185</v>
      </c>
    </row>
    <row r="444" spans="11:23" x14ac:dyDescent="0.25">
      <c r="K444" s="622">
        <f>$L$345+94*$L$347</f>
        <v>70.06</v>
      </c>
      <c r="L444" s="622">
        <f t="shared" si="93"/>
        <v>3163.5398517924605</v>
      </c>
      <c r="M444" s="622">
        <f t="shared" si="94"/>
        <v>3.3101627176705684</v>
      </c>
      <c r="N444" s="622">
        <f t="shared" ca="1" si="95"/>
        <v>274.03636363636366</v>
      </c>
      <c r="O444" s="622">
        <f t="shared" si="96"/>
        <v>0.0569511846988296</v>
      </c>
      <c r="P444" s="622">
        <f t="shared" ca="1" si="97"/>
        <v>28.841173394233532</v>
      </c>
      <c r="Q444" s="622">
        <f t="shared" ca="1" si="98"/>
        <v>5.049901139493657</v>
      </c>
      <c r="R444">
        <f t="shared" ca="1" si="99"/>
        <v>100.99802278987315</v>
      </c>
      <c r="S444" s="622">
        <f t="shared" ca="1" si="100"/>
        <v>1028.3435047696173</v>
      </c>
      <c r="T444" s="622">
        <f t="shared" ca="1" si="101"/>
        <v>2.0443087588092324</v>
      </c>
      <c r="U444">
        <f t="shared" ca="1" si="102"/>
        <v>40.88617517618464</v>
      </c>
      <c r="V444" s="622">
        <f t="shared" ca="1" si="103"/>
        <v>0.0</v>
      </c>
      <c r="W444" s="622">
        <f t="shared" ca="1" si="104"/>
        <v>2380.3915372649735</v>
      </c>
    </row>
    <row r="445" spans="11:23" x14ac:dyDescent="0.25">
      <c r="K445" s="622">
        <f>$L$345+95*$L$347</f>
        <v>70.8</v>
      </c>
      <c r="L445" s="622">
        <f t="shared" si="93"/>
        <v>3183.5596875159517</v>
      </c>
      <c r="M445" s="622">
        <f t="shared" si="94"/>
        <v>3.312146892655367</v>
      </c>
      <c r="N445" s="622">
        <f t="shared" ca="1" si="95"/>
        <v>274.03636363636366</v>
      </c>
      <c r="O445" s="622">
        <f t="shared" si="96"/>
        <v>0.01977401129943531</v>
      </c>
      <c r="P445" s="622">
        <f t="shared" ca="1" si="97"/>
        <v>10.013938983050991</v>
      </c>
      <c r="Q445" s="622">
        <f t="shared" ca="1" si="98"/>
        <v>5.016613993367092</v>
      </c>
      <c r="R445">
        <f t="shared" ca="1" si="99"/>
        <v>100.33227986734184</v>
      </c>
      <c r="S445" s="622">
        <f t="shared" ca="1" si="100"/>
        <v>1021.5650313765714</v>
      </c>
      <c r="T445" s="622">
        <f t="shared" ca="1" si="101"/>
        <v>2.0443087588092324</v>
      </c>
      <c r="U445">
        <f t="shared" ca="1" si="102"/>
        <v>40.88617517618464</v>
      </c>
      <c r="V445" s="622">
        <f t="shared" ca="1" si="103"/>
        <v>0.0</v>
      </c>
      <c r="W445" s="622">
        <f t="shared" ca="1" si="104"/>
        <v>2426.017080792693</v>
      </c>
    </row>
    <row r="446" spans="11:23" x14ac:dyDescent="0.25">
      <c r="K446" s="622">
        <f>$L$345+96*$L$347</f>
        <v>71.53999999999999</v>
      </c>
      <c r="L446" s="622">
        <f>IF(($L$14*K446)&lt;=$L$339,$L$338*$L$18*($L$14*K446),$L$338*$L$18*$L$339+$L$337*$L$18*(($L$14*K446)-$L$339))</f>
        <v>3203.579523239442</v>
      </c>
      <c r="M446" s="622">
        <f t="shared" si="94"/>
        <v>3.3140900195694716</v>
      </c>
      <c r="N446" s="622">
        <f ca="1">$L$25*(SIGN(M446)*MIN(ABS(M446)*$L$10/1000,$L$11))/10</f>
        <v>274.03636363636366</v>
      </c>
      <c r="O446" s="622">
        <f t="shared" si="96"/>
        <v>-0.0166340508806257</v>
      </c>
      <c r="P446" s="622">
        <f ca="1">$L$30*(SIGN(O446)*MIN(ABS(O446)*$L$10/1000,$L$11))/10</f>
        <v>-8.423802739725762</v>
      </c>
      <c r="Q446" s="622">
        <f t="shared" ca="1" si="98"/>
        <v>4.9840154826370515</v>
      </c>
      <c r="R446">
        <f ca="1">SIGN(Q446)*IF(ABS(Q446)&lt;=$Z$12,$Z$9*ABS(Q446)/1000,IF(ABS(Q446)&lt;=$Z$13,$Z$10+($Z$11-$Z$10)*(ABS(Q446)-$Z$12)/($Z$13-$Z$12),$Z$11))/10</f>
        <v>99.68030965274103</v>
      </c>
      <c r="S446" s="622">
        <f ca="1">$L$34*(R446/$L$9)</f>
        <v>1014.9267891915449</v>
      </c>
      <c r="T446" s="622">
        <f t="shared" ca="1" si="101"/>
        <v>2.0443087588092324</v>
      </c>
      <c r="U446">
        <f ca="1">SIGN(T446)*IF(ABS(T446)&lt;=$Z$12,$Z$9*ABS(T446)/1000,IF(ABS(T446)&lt;=$Z$13,$Z$10+($Z$11-$Z$10)*(ABS(T446)-$Z$12)/($Z$13-$Z$12),$Z$11))/10</f>
        <v>40.88617517618464</v>
      </c>
      <c r="V446" s="622">
        <f ca="1">$L$39*(U446/$L$9)</f>
        <v>0.0</v>
      </c>
      <c r="W446" s="622">
        <f ca="1">L446+N446-P446-S446-V446</f>
        <v>2471.1129004239865</v>
      </c>
    </row>
    <row r="447" spans="11:23" x14ac:dyDescent="0.25">
      <c r="K447" s="622">
        <f>$L$345+97*$L$347</f>
        <v>72.28</v>
      </c>
      <c r="L447" s="622">
        <f>IF(($L$14*K447)&lt;=$L$339,$L$338*$L$18*($L$14*K447),$L$338*$L$18*$L$339+$L$337*$L$18*(($L$14*K447)-$L$339))</f>
        <v>3223.5993589629334</v>
      </c>
      <c r="M447" s="622">
        <f t="shared" si="94"/>
        <v>3.315993359158827</v>
      </c>
      <c r="N447" s="622">
        <f ca="1">$L$25*(SIGN(M447)*MIN(ABS(M447)*$L$10/1000,$L$11))/10</f>
        <v>274.03636363636366</v>
      </c>
      <c r="O447" s="622">
        <f t="shared" si="96"/>
        <v>-0.0522966242390702</v>
      </c>
      <c r="P447" s="622">
        <f ca="1">$L$30*(SIGN(O447)*MIN(ABS(O447)*$L$10/1000,$L$11))/10</f>
        <v>-26.484014609850544</v>
      </c>
      <c r="Q447" s="622">
        <f t="shared" ca="1" si="98"/>
        <v>4.952084456631422</v>
      </c>
      <c r="R447">
        <f ca="1">SIGN(Q447)*IF(ABS(Q447)&lt;=$Z$12,$Z$9*ABS(Q447)/1000,IF(ABS(Q447)&lt;=$Z$13,$Z$10+($Z$11-$Z$10)*(ABS(Q447)-$Z$12)/($Z$13-$Z$12),$Z$11))/10</f>
        <v>99.04168913262843</v>
      </c>
      <c r="S447" s="622">
        <f ca="1">$L$34*(R447/$L$9)</f>
        <v>1008.4244711685803</v>
      </c>
      <c r="T447" s="622">
        <f t="shared" ca="1" si="101"/>
        <v>2.0443087588092324</v>
      </c>
      <c r="U447">
        <f ca="1">SIGN(T447)*IF(ABS(T447)&lt;=$Z$12,$Z$9*ABS(T447)/1000,IF(ABS(T447)&lt;=$Z$13,$Z$10+($Z$11-$Z$10)*(ABS(T447)-$Z$12)/($Z$13-$Z$12),$Z$11))/10</f>
        <v>40.88617517618464</v>
      </c>
      <c r="V447" s="622">
        <f ca="1">$L$39*(U447/$L$9)</f>
        <v>0.0</v>
      </c>
      <c r="W447" s="622">
        <f ca="1">L447+N447-P447-S447-V447</f>
        <v>2515.695266040567</v>
      </c>
    </row>
    <row r="448" spans="11:23" x14ac:dyDescent="0.25">
      <c r="K448" s="622">
        <f>$L$345+98*$L$347</f>
        <v>73.02</v>
      </c>
      <c r="L448" s="622">
        <f>IF(($L$14*K448)&lt;=$L$339,$L$338*$L$18*($L$14*K448),$L$338*$L$18*$L$339+$L$337*$L$18*(($L$14*K448)-$L$339))</f>
        <v>3243.6191946864246</v>
      </c>
      <c r="M448" s="622">
        <f t="shared" si="94"/>
        <v>3.3178581210627223</v>
      </c>
      <c r="N448" s="622">
        <f ca="1">$L$25*(SIGN(M448)*MIN(ABS(M448)*$L$10/1000,$L$11))/10</f>
        <v>274.03636363636366</v>
      </c>
      <c r="O448" s="622">
        <f t="shared" si="96"/>
        <v>-0.08723637359627467</v>
      </c>
      <c r="P448" s="622">
        <f ca="1">$L$30*(SIGN(O448)*MIN(ABS(O448)*$L$10/1000,$L$11))/10</f>
        <v>-44.178174527526544</v>
      </c>
      <c r="Q448" s="622">
        <f t="shared" ca="1" si="98"/>
        <v>4.920800622059486</v>
      </c>
      <c r="R448">
        <f ca="1">SIGN(Q448)*IF(ABS(Q448)&lt;=$Z$12,$Z$9*ABS(Q448)/1000,IF(ABS(Q448)&lt;=$Z$13,$Z$10+($Z$11-$Z$10)*(ABS(Q448)-$Z$12)/($Z$13-$Z$12),$Z$11))/10</f>
        <v>98.41601244118974</v>
      </c>
      <c r="S448" s="622">
        <f ca="1">$L$34*(R448/$L$9)</f>
        <v>1002.0539448557499</v>
      </c>
      <c r="T448" s="622">
        <f t="shared" ca="1" si="101"/>
        <v>2.0443087588092324</v>
      </c>
      <c r="U448">
        <f ca="1">SIGN(T448)*IF(ABS(T448)&lt;=$Z$12,$Z$9*ABS(T448)/1000,IF(ABS(T448)&lt;=$Z$13,$Z$10+($Z$11-$Z$10)*(ABS(T448)-$Z$12)/($Z$13-$Z$12),$Z$11))/10</f>
        <v>40.88617517618464</v>
      </c>
      <c r="V448" s="622">
        <f ca="1">$L$39*(U448/$L$9)</f>
        <v>0.0</v>
      </c>
      <c r="W448" s="622">
        <f ca="1">L448+N448-P448-S448-V448</f>
        <v>2559.7797879945647</v>
      </c>
    </row>
    <row r="449" spans="11:23" x14ac:dyDescent="0.25">
      <c r="K449" s="622">
        <f>$L$345+99*$L$347</f>
        <v>73.76</v>
      </c>
      <c r="L449" s="622">
        <f>IF(($L$14*K449)&lt;=$L$339,$L$338*$L$18*($L$14*K449),$L$338*$L$18*$L$339+$L$337*$L$18*(($L$14*K449)-$L$339))</f>
        <v>3263.639030409916</v>
      </c>
      <c r="M449" s="622">
        <f t="shared" si="94"/>
        <v>3.3196854663774404</v>
      </c>
      <c r="N449" s="622">
        <f ca="1">$L$25*(SIGN(M449)*MIN(ABS(M449)*$L$10/1000,$L$11))/10</f>
        <v>274.03636363636366</v>
      </c>
      <c r="O449" s="622">
        <f t="shared" si="96"/>
        <v>-0.12147505422993503</v>
      </c>
      <c r="P449" s="622">
        <f ca="1">$L$30*(SIGN(O449)*MIN(ABS(O449)*$L$10/1000,$L$11))/10</f>
        <v>-61.51729978308032</v>
      </c>
      <c r="Q449" s="622">
        <f t="shared" ca="1" si="98"/>
        <v>4.890144500003365</v>
      </c>
      <c r="R449">
        <f ca="1">SIGN(Q449)*IF(ABS(Q449)&lt;=$Z$12,$Z$9*ABS(Q449)/1000,IF(ABS(Q449)&lt;=$Z$13,$Z$10+($Z$11-$Z$10)*(ABS(Q449)-$Z$12)/($Z$13-$Z$12),$Z$11))/10</f>
        <v>97.80289000006731</v>
      </c>
      <c r="S449" s="622">
        <f ca="1">$L$34*(R449/$L$9)</f>
        <v>995.8112436370488</v>
      </c>
      <c r="T449" s="622">
        <f t="shared" ca="1" si="101"/>
        <v>2.0443087588092324</v>
      </c>
      <c r="U449">
        <f ca="1">SIGN(T449)*IF(ABS(T449)&lt;=$Z$12,$Z$9*ABS(T449)/1000,IF(ABS(T449)&lt;=$Z$13,$Z$10+($Z$11-$Z$10)*(ABS(T449)-$Z$12)/($Z$13-$Z$12),$Z$11))/10</f>
        <v>40.88617517618464</v>
      </c>
      <c r="V449" s="622">
        <f ca="1">$L$39*(U449/$L$9)</f>
        <v>0.0</v>
      </c>
      <c r="W449" s="622">
        <f ca="1">L449+N449-P449-S449-V449</f>
        <v>2603.381450192311</v>
      </c>
    </row>
    <row r="450" spans="11:23" x14ac:dyDescent="0.25">
      <c r="K450" s="622">
        <f>$L$345+100*$L$347</f>
        <v>74.5</v>
      </c>
      <c r="L450" s="622">
        <f>IF(($L$14*K450)&lt;=$L$339,$L$338*$L$18*($L$14*K450),$L$338*$L$18*$L$339+$L$337*$L$18*(($L$14*K450)-$L$339))</f>
        <v>3283.6588661334063</v>
      </c>
      <c r="M450" s="622">
        <f t="shared" si="94"/>
        <v>3.3214765100671144</v>
      </c>
      <c r="N450" s="622">
        <f ca="1">$L$25*(SIGN(M450)*MIN(ABS(M450)*$L$10/1000,$L$11))/10</f>
        <v>274.03636363636366</v>
      </c>
      <c r="O450" s="622">
        <f t="shared" si="96"/>
        <v>-0.15503355704697974</v>
      </c>
      <c r="P450" s="622">
        <f ca="1">$L$30*(SIGN(O450)*MIN(ABS(O450)*$L$10/1000,$L$11))/10</f>
        <v>-78.51196993288585</v>
      </c>
      <c r="Q450" s="622">
        <f t="shared" ca="1" si="98"/>
        <v>4.860097385472654</v>
      </c>
      <c r="R450">
        <f ca="1">SIGN(Q450)*IF(ABS(Q450)&lt;=$Z$12,$Z$9*ABS(Q450)/1000,IF(ABS(Q450)&lt;=$Z$13,$Z$10+($Z$11-$Z$10)*(ABS(Q450)-$Z$12)/($Z$13-$Z$12),$Z$11))/10</f>
        <v>97.20194770945308</v>
      </c>
      <c r="S450" s="622">
        <f ca="1">$L$34*(R450/$L$9)</f>
        <v>989.6925584962495</v>
      </c>
      <c r="T450" s="622">
        <f t="shared" ca="1" si="101"/>
        <v>2.0443087588092324</v>
      </c>
      <c r="U450">
        <f ca="1">SIGN(T450)*IF(ABS(T450)&lt;=$Z$12,$Z$9*ABS(T450)/1000,IF(ABS(T450)&lt;=$Z$13,$Z$10+($Z$11-$Z$10)*(ABS(T450)-$Z$12)/($Z$13-$Z$12),$Z$11))/10</f>
        <v>40.88617517618464</v>
      </c>
      <c r="V450" s="622">
        <f ca="1">$L$39*(U450/$L$9)</f>
        <v>0.0</v>
      </c>
      <c r="W450" s="622">
        <f ca="1">L450+N450-P450-S450-V450</f>
        <v>2646.514641206406</v>
      </c>
    </row>
    <row r="452" spans="11:23" ht="15" customHeight="1" x14ac:dyDescent="0.25">
      <c r="K452" s="591" t="s">
        <v>1908</v>
      </c>
      <c r="L452" s="615">
        <f ca="1">COUNTIF(W350:W450,"&lt;0")</f>
        <v>54.0</v>
      </c>
      <c r="N452" s="849" t="s">
        <v>1909</v>
      </c>
      <c r="O452" s="849"/>
      <c r="P452" s="849"/>
      <c r="Q452" s="849"/>
      <c r="R452" s="849"/>
      <c r="S452" s="849"/>
      <c r="T452" s="849"/>
      <c r="U452" s="849"/>
      <c r="V452" s="849"/>
      <c r="W452" s="849"/>
    </row>
    <row r="453" spans="11:23" x14ac:dyDescent="0.25">
      <c r="K453" s="591" t="s">
        <v>1910</v>
      </c>
      <c r="L453" s="615">
        <f ca="1">INDEX(K350:K450,MAX(1,MIN(100,L452)))</f>
        <v>39.72</v>
      </c>
    </row>
    <row r="454" spans="11:23" x14ac:dyDescent="0.25">
      <c r="K454" s="591" t="s">
        <v>1912</v>
      </c>
      <c r="L454" s="615">
        <f ca="1">INDEX(K350:K450,MAX(1,MIN(100,L452))+1)</f>
        <v>40.46</v>
      </c>
    </row>
    <row r="455" spans="11:23" x14ac:dyDescent="0.25">
      <c r="K455" s="591" t="s">
        <v>1914</v>
      </c>
      <c r="L455" s="615">
        <f ca="1">INDEX(W350:W450,MAX(1,MIN(100,L452)))</f>
        <v>-3.1074930743943696</v>
      </c>
    </row>
    <row r="456" spans="11:23" x14ac:dyDescent="0.25">
      <c r="K456" s="591" t="s">
        <v>1916</v>
      </c>
      <c r="L456" s="615">
        <f ca="1">INDEX(W350:W450,MAX(1,MIN(100,L452))+1)</f>
        <v>37.83419669695036</v>
      </c>
    </row>
    <row r="457" spans="11:23" ht="15" customHeight="1" x14ac:dyDescent="0.25">
      <c r="K457" s="591" t="s">
        <v>1918</v>
      </c>
      <c r="L457" s="623">
        <f ca="1">L453+(0-L455)*(L454-L453)/(L456-L455)</f>
        <v>39.77616634017537</v>
      </c>
      <c r="M457" s="591" t="s">
        <v>35</v>
      </c>
      <c r="N457" s="849" t="s">
        <v>1919</v>
      </c>
      <c r="O457" s="849"/>
      <c r="P457" s="849"/>
      <c r="Q457" s="849"/>
      <c r="R457" s="849"/>
      <c r="S457" s="849"/>
      <c r="T457" s="849"/>
      <c r="U457" s="849"/>
      <c r="V457" s="849"/>
      <c r="W457" s="849"/>
    </row>
    <row r="458" spans="11:23" ht="15" customHeight="1" x14ac:dyDescent="0.25">
      <c r="K458" s="591" t="s">
        <v>1920</v>
      </c>
      <c r="L458" s="615">
        <f ca="1">L457/L342</f>
        <v>0.6239398641596137</v>
      </c>
      <c r="N458" s="849" t="s">
        <v>1950</v>
      </c>
      <c r="O458" s="849"/>
      <c r="P458" s="849"/>
      <c r="Q458" s="849"/>
      <c r="R458" s="849"/>
      <c r="S458" s="849"/>
      <c r="T458" s="849"/>
      <c r="U458" s="849"/>
      <c r="V458" s="849"/>
      <c r="W458" s="849"/>
    </row>
    <row r="460" spans="11:23" ht="15" customHeight="1" x14ac:dyDescent="0.25">
      <c r="K460" s="849" t="s">
        <v>1922</v>
      </c>
      <c r="L460" s="849"/>
      <c r="M460" s="849"/>
      <c r="N460" s="849"/>
      <c r="O460" s="849"/>
      <c r="P460" s="849"/>
      <c r="Q460" s="849"/>
      <c r="R460" s="849"/>
      <c r="S460" s="849"/>
      <c r="T460" s="849"/>
      <c r="U460" s="849"/>
      <c r="V460" s="849"/>
      <c r="W460" s="849"/>
    </row>
    <row r="461" spans="11:23" x14ac:dyDescent="0.25">
      <c r="K461" s="591" t="s">
        <v>1923</v>
      </c>
      <c r="L461" s="615">
        <f ca="1">IF(($L$14*L457)&lt;=$L$339,$L$338*$L$18*($L$14*L457),$L$338*$L$18*$L$339+$L$337*$L$18*(($L$14*L457)-$L$339))</f>
        <v>2344.2461018637896</v>
      </c>
      <c r="M461" s="591" t="s">
        <v>292</v>
      </c>
    </row>
    <row r="462" spans="11:23" x14ac:dyDescent="0.25">
      <c r="K462" s="591" t="s">
        <v>1924</v>
      </c>
      <c r="L462" s="615">
        <f ca="1">IF(($L$14*L457)&lt;=$L$339,($L$14*L457)/2,($L$338*$L$339*($L$339/2)+$L$337*(($L$14*L457)-$L$339)*($L$339+(($L$14*L457)-$L$339)/2))/($L$338*$L$339+$L$337*(($L$14*L457)-$L$339)))</f>
        <v>14.065533275152605</v>
      </c>
      <c r="M462" s="591" t="s">
        <v>35</v>
      </c>
    </row>
    <row r="463" spans="11:23" x14ac:dyDescent="0.25">
      <c r="K463" s="591" t="s">
        <v>1925</v>
      </c>
      <c r="L463" s="615">
        <f ca="1">$L$13*(L457-$L$340)/L457</f>
        <v>3.165628912393035</v>
      </c>
      <c r="M463" s="591" t="s">
        <v>929</v>
      </c>
    </row>
    <row r="464" spans="11:23" x14ac:dyDescent="0.25">
      <c r="K464" s="591" t="s">
        <v>1926</v>
      </c>
      <c r="L464" s="615">
        <f ca="1">$L$25*(SIGN(L463)*MIN(ABS(L463)*$L$10/1000,$L$11))/10</f>
        <v>274.03636363636366</v>
      </c>
      <c r="M464" s="591" t="s">
        <v>292</v>
      </c>
    </row>
    <row r="465" spans="11:23" x14ac:dyDescent="0.25">
      <c r="K465" s="591" t="s">
        <v>1927</v>
      </c>
      <c r="L465" s="615">
        <f ca="1">$L$13*($L$341-L457)/L457</f>
        <v>2.7650582730568223</v>
      </c>
      <c r="M465" s="591" t="s">
        <v>929</v>
      </c>
    </row>
    <row r="466" spans="11:23" x14ac:dyDescent="0.25">
      <c r="K466" s="591" t="s">
        <v>1928</v>
      </c>
      <c r="L466" s="615">
        <f ca="1">$L$30*(SIGN(L465)*MIN(ABS(L465)*$L$10/1000,$L$11))/10</f>
        <v>1096.1454545454546</v>
      </c>
      <c r="M466" s="591" t="s">
        <v>292</v>
      </c>
    </row>
    <row r="467" spans="11:23" x14ac:dyDescent="0.25">
      <c r="K467" s="591" t="s">
        <v>1929</v>
      </c>
      <c r="L467" s="615">
        <f ca="1">$L$36+$L$13*($L$342-L457)/L457</f>
        <v>7.474645899083853</v>
      </c>
      <c r="M467" s="591" t="s">
        <v>929</v>
      </c>
    </row>
    <row r="468" spans="11:23" x14ac:dyDescent="0.25">
      <c r="K468" s="591" t="s">
        <v>1930</v>
      </c>
      <c r="L468">
        <f ca="1">SIGN(L467)*IF(ABS(L467)&lt;=$Z$12,$Z$9*ABS(L467)/1000,IF(ABS(L467)&lt;=$Z$13,$Z$10+($Z$11-$Z$10)*(ABS(L467)-$Z$12)/($Z$13-$Z$12),$Z$11))/10</f>
        <v>149.49291798167707</v>
      </c>
      <c r="M468" s="591" t="s">
        <v>241</v>
      </c>
    </row>
    <row r="469" spans="11:23" x14ac:dyDescent="0.25">
      <c r="K469" s="591" t="s">
        <v>1931</v>
      </c>
      <c r="L469" s="615">
        <f ca="1">$L$34*(L468/$L$9)</f>
        <v>1522.1097103588936</v>
      </c>
      <c r="M469" s="591" t="s">
        <v>292</v>
      </c>
    </row>
    <row r="470" spans="11:23" x14ac:dyDescent="0.25">
      <c r="K470" s="591" t="s">
        <v>1932</v>
      </c>
      <c r="L470" s="615">
        <f ca="1">$L$41+$L$13*($L$343-L457)/L457</f>
        <v>2.044308758809233</v>
      </c>
      <c r="M470" s="591" t="s">
        <v>929</v>
      </c>
    </row>
    <row r="471" spans="11:23" ht="15" customHeight="1" x14ac:dyDescent="0.25">
      <c r="K471" s="591" t="s">
        <v>1933</v>
      </c>
      <c r="L471">
        <f ca="1">SIGN(L470)*IF(ABS(L470)&lt;=$Z$12,$Z$9*ABS(L470)/1000,IF(ABS(L470)&lt;=$Z$13,$Z$10+($Z$11-$Z$10)*(ABS(L470)-$Z$12)/($Z$13-$Z$12),$Z$11))/10</f>
        <v>40.88617517618466</v>
      </c>
      <c r="M471" s="591" t="s">
        <v>241</v>
      </c>
      <c r="N471" s="849" t="s">
        <v>1934</v>
      </c>
      <c r="O471" s="849"/>
      <c r="P471" s="849"/>
      <c r="Q471" s="849"/>
      <c r="R471" s="849"/>
      <c r="S471" s="849"/>
      <c r="T471" s="849"/>
      <c r="U471" s="849"/>
      <c r="V471" s="849"/>
      <c r="W471" s="849"/>
    </row>
    <row r="472" spans="11:23" x14ac:dyDescent="0.25">
      <c r="K472" s="591" t="s">
        <v>1935</v>
      </c>
      <c r="L472" s="615">
        <f ca="1">$L$39*(L471/$L$9)</f>
        <v>0.0</v>
      </c>
      <c r="M472" s="591" t="s">
        <v>292</v>
      </c>
    </row>
    <row r="473" spans="11:23" x14ac:dyDescent="0.25">
      <c r="K473" s="591" t="s">
        <v>1936</v>
      </c>
      <c r="L473" s="615">
        <f ca="1">L461+L464-L466-L469-L472</f>
        <v>0.02730059580494526</v>
      </c>
      <c r="M473" s="591" t="s">
        <v>292</v>
      </c>
    </row>
    <row r="475" spans="11:23" ht="54.75" customHeight="1" x14ac:dyDescent="0.25">
      <c r="K475" s="591" t="s">
        <v>1937</v>
      </c>
      <c r="L475" s="625">
        <f ca="1">(L466*L341+L469*L342+L472*L343-L461*L462-L464*L340)/100</f>
        <v>1410.656406662857</v>
      </c>
      <c r="M475" s="591" t="s">
        <v>1729</v>
      </c>
      <c r="N475" s="849" t="s">
        <v>1938</v>
      </c>
      <c r="O475" s="849"/>
      <c r="P475" s="849"/>
      <c r="Q475" s="849"/>
      <c r="R475" s="849"/>
      <c r="S475" s="849"/>
      <c r="T475" s="849"/>
      <c r="U475" s="849"/>
      <c r="V475" s="849"/>
      <c r="W475" s="849"/>
    </row>
    <row r="477" spans="11:23" x14ac:dyDescent="0.25">
      <c r="K477" s="857" t="s">
        <v>1951</v>
      </c>
      <c r="L477" s="857"/>
      <c r="M477" s="857"/>
      <c r="N477" s="857"/>
      <c r="O477" s="857"/>
      <c r="P477" s="857"/>
      <c r="Q477" s="857"/>
      <c r="R477" s="857"/>
      <c r="S477" s="857"/>
      <c r="T477" s="857"/>
      <c r="U477" s="857"/>
      <c r="V477" s="857"/>
      <c r="W477" s="857"/>
    </row>
    <row r="479" spans="11:23" ht="15" customHeight="1" x14ac:dyDescent="0.25">
      <c r="K479" s="591" t="s">
        <v>1952</v>
      </c>
      <c r="L479" s="615" t="str">
        <f>IF(Geometria!M19="1 - Retângular",IF(Geometria!M18="1 - Sim","T","Retangular"),"I ou Transição")</f>
        <v>T</v>
      </c>
      <c r="N479" s="849" t="s">
        <v>1953</v>
      </c>
      <c r="O479" s="849"/>
      <c r="P479" s="849"/>
      <c r="Q479" s="849"/>
      <c r="R479" s="849"/>
      <c r="S479" s="849"/>
      <c r="T479" s="849"/>
      <c r="U479" s="849"/>
      <c r="V479" s="849"/>
      <c r="W479" s="849"/>
    </row>
    <row r="480" spans="11:23" x14ac:dyDescent="0.25">
      <c r="K480" s="591" t="s">
        <v>1954</v>
      </c>
      <c r="L480" s="615">
        <f ca="1">IF(L479="Retangular",L168,IF(L479="T",L311,L457))</f>
        <v>32.882660772287345</v>
      </c>
      <c r="M480" s="591" t="s">
        <v>35</v>
      </c>
    </row>
    <row r="481" spans="11:23" ht="15" customHeight="1" x14ac:dyDescent="0.25">
      <c r="K481" s="591" t="s">
        <v>1955</v>
      </c>
      <c r="L481" s="626">
        <f ca="1">IF(L479="Retangular",L186,IF(L479="T",L329,L475))</f>
        <v>2109.201133182931</v>
      </c>
      <c r="M481" s="591" t="s">
        <v>1729</v>
      </c>
      <c r="N481" s="849" t="s">
        <v>1956</v>
      </c>
      <c r="O481" s="849"/>
      <c r="P481" s="849"/>
      <c r="Q481" s="849"/>
      <c r="R481" s="849"/>
      <c r="S481" s="849"/>
      <c r="T481" s="849"/>
      <c r="U481" s="849"/>
      <c r="V481" s="849"/>
      <c r="W481" s="849"/>
    </row>
    <row r="482" spans="11:23" x14ac:dyDescent="0.25">
      <c r="K482" s="591" t="s">
        <v>1957</v>
      </c>
      <c r="L482" s="618">
        <f ca="1">Geometria!L1038</f>
        <v>2022.2780032851567</v>
      </c>
      <c r="M482" s="591" t="s">
        <v>1729</v>
      </c>
    </row>
    <row r="483" spans="11:23" x14ac:dyDescent="0.25">
      <c r="K483" s="591" t="s">
        <v>1958</v>
      </c>
      <c r="L483" s="615">
        <f ca="1">L481/L482</f>
        <v>1.0429827796952589</v>
      </c>
    </row>
    <row r="484" spans="11:23" ht="27.75" customHeight="1" x14ac:dyDescent="0.25">
      <c r="K484" s="591" t="s">
        <v>1598</v>
      </c>
      <c r="L484" s="627" t="str">
        <f ca="1">IF(L481&gt;=L482,"Mrd &gt;= Md - OK","Mrd &lt; Md - NAO PASSA, revisar armadura")</f>
        <v>Mrd &gt;= Md - OK</v>
      </c>
      <c r="N484" s="849" t="s">
        <v>1959</v>
      </c>
      <c r="O484" s="849"/>
      <c r="P484" s="849"/>
      <c r="Q484" s="849"/>
      <c r="R484" s="849"/>
      <c r="S484" s="849"/>
      <c r="T484" s="849"/>
      <c r="U484" s="849"/>
      <c r="V484" s="849"/>
      <c r="W484" s="849"/>
    </row>
    <row r="487" spans="11:23" ht="27.75" customHeight="1" x14ac:dyDescent="0.25">
      <c r="K487" s="849" t="s">
        <v>1960</v>
      </c>
      <c r="L487" s="849"/>
      <c r="M487" s="849"/>
      <c r="N487" s="849"/>
      <c r="O487" s="849"/>
      <c r="P487" s="849"/>
      <c r="Q487" s="849"/>
      <c r="R487" s="849"/>
      <c r="S487" s="849"/>
      <c r="T487" s="849"/>
      <c r="U487" s="849"/>
      <c r="V487" s="849"/>
      <c r="W487" s="849"/>
    </row>
  </sheetData>
  <mergeCells count="84">
    <mergeCell ref="K1:W1"/>
    <mergeCell ref="K4:W4"/>
    <mergeCell ref="N6:W6"/>
    <mergeCell ref="N7:W7"/>
    <mergeCell ref="N8:W8"/>
    <mergeCell ref="N9:W9"/>
    <mergeCell ref="N10:W10"/>
    <mergeCell ref="N11:W11"/>
    <mergeCell ref="N12:W12"/>
    <mergeCell ref="N13:W13"/>
    <mergeCell ref="N14:W14"/>
    <mergeCell ref="N15:W15"/>
    <mergeCell ref="N16:W16"/>
    <mergeCell ref="N17:W17"/>
    <mergeCell ref="N18:W18"/>
    <mergeCell ref="K20:W20"/>
    <mergeCell ref="K22:W22"/>
    <mergeCell ref="N23:W23"/>
    <mergeCell ref="N24:W24"/>
    <mergeCell ref="N25:W25"/>
    <mergeCell ref="N26:W26"/>
    <mergeCell ref="K27:W27"/>
    <mergeCell ref="N28:W28"/>
    <mergeCell ref="N29:W29"/>
    <mergeCell ref="N30:W30"/>
    <mergeCell ref="N31:W31"/>
    <mergeCell ref="K32:W32"/>
    <mergeCell ref="N33:W33"/>
    <mergeCell ref="N34:W34"/>
    <mergeCell ref="N35:W35"/>
    <mergeCell ref="N36:W36"/>
    <mergeCell ref="K37:W37"/>
    <mergeCell ref="N38:W38"/>
    <mergeCell ref="N39:W39"/>
    <mergeCell ref="N40:W40"/>
    <mergeCell ref="N41:W41"/>
    <mergeCell ref="K44:W44"/>
    <mergeCell ref="N47:W47"/>
    <mergeCell ref="N50:W50"/>
    <mergeCell ref="N51:W51"/>
    <mergeCell ref="N52:W52"/>
    <mergeCell ref="N53:W53"/>
    <mergeCell ref="N54:W54"/>
    <mergeCell ref="N58:W58"/>
    <mergeCell ref="N163:W163"/>
    <mergeCell ref="N168:W168"/>
    <mergeCell ref="N169:W169"/>
    <mergeCell ref="K171:W171"/>
    <mergeCell ref="N182:W182"/>
    <mergeCell ref="N186:W186"/>
    <mergeCell ref="K188:W188"/>
    <mergeCell ref="N190:W190"/>
    <mergeCell ref="N193:W193"/>
    <mergeCell ref="N194:W194"/>
    <mergeCell ref="N195:W195"/>
    <mergeCell ref="N196:W196"/>
    <mergeCell ref="N197:W197"/>
    <mergeCell ref="N201:W201"/>
    <mergeCell ref="N306:W306"/>
    <mergeCell ref="N311:W311"/>
    <mergeCell ref="N312:W312"/>
    <mergeCell ref="K314:W314"/>
    <mergeCell ref="N325:W325"/>
    <mergeCell ref="N329:W329"/>
    <mergeCell ref="K331:W331"/>
    <mergeCell ref="K333:W333"/>
    <mergeCell ref="N336:W336"/>
    <mergeCell ref="N339:W339"/>
    <mergeCell ref="N340:W340"/>
    <mergeCell ref="N341:W341"/>
    <mergeCell ref="N342:W342"/>
    <mergeCell ref="N343:W343"/>
    <mergeCell ref="N347:W347"/>
    <mergeCell ref="N452:W452"/>
    <mergeCell ref="N457:W457"/>
    <mergeCell ref="N479:W479"/>
    <mergeCell ref="N481:W481"/>
    <mergeCell ref="N484:W484"/>
    <mergeCell ref="K487:W487"/>
    <mergeCell ref="N458:W458"/>
    <mergeCell ref="K460:W460"/>
    <mergeCell ref="N471:W471"/>
    <mergeCell ref="N475:W475"/>
    <mergeCell ref="K477:W477"/>
  </mergeCells>
  <pageMargins left="0.7" right="0.7" top="0.75" bottom="0.75" header="0.511811023622047" footer="0.511811023622047"/>
  <pageSetup paperSize="9" scale="46" orientation="portrait" horizontalDpi="300" verticalDpi="300" r:id="rId1"/>
  <rowBreaks count="6" manualBreakCount="6">
    <brk id="59" min="10" max="23" man="1"/>
    <brk id="162" max="16383" man="1"/>
    <brk id="202" max="16383" man="1"/>
    <brk id="305" max="16383" man="1"/>
    <brk id="348" max="16383" man="1"/>
    <brk id="450"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111"/>
  <sheetViews>
    <sheetView showGridLines="0" view="pageBreakPreview" topLeftCell="H96" zoomScale="85" zoomScaleNormal="100" zoomScalePageLayoutView="85" workbookViewId="0">
      <selection activeCell="N99" sqref="N99"/>
    </sheetView>
  </sheetViews>
  <sheetFormatPr defaultColWidth="8.5703125" defaultRowHeight="15" x14ac:dyDescent="0.25"/>
  <cols>
    <col min="10" max="10" width="3" customWidth="1"/>
    <col min="11" max="11" width="30" customWidth="1"/>
    <col min="12" max="13" width="12" customWidth="1"/>
    <col min="14" max="15" width="10" customWidth="1"/>
    <col min="16" max="17" width="11" customWidth="1"/>
    <col min="18" max="18" width="10" customWidth="1"/>
    <col min="19" max="19" width="11" customWidth="1"/>
    <col min="20" max="20" width="10" customWidth="1"/>
    <col min="21" max="21" width="11" customWidth="1"/>
  </cols>
  <sheetData>
    <row r="1" spans="11:23" ht="30" customHeight="1" x14ac:dyDescent="0.25">
      <c r="K1" s="858" t="s">
        <v>1961</v>
      </c>
      <c r="L1" s="858"/>
      <c r="M1" s="858"/>
      <c r="N1" s="858"/>
      <c r="O1" s="858"/>
      <c r="P1" s="858"/>
      <c r="Q1" s="858"/>
      <c r="R1" s="858"/>
      <c r="S1" s="858"/>
      <c r="T1" s="858"/>
      <c r="U1" s="858"/>
      <c r="V1" s="858"/>
      <c r="W1" s="858"/>
    </row>
    <row r="3" spans="11:23" ht="126.75" customHeight="1" x14ac:dyDescent="0.25">
      <c r="K3" s="849" t="s">
        <v>1962</v>
      </c>
      <c r="L3" s="849"/>
      <c r="M3" s="849"/>
      <c r="N3" s="849"/>
      <c r="O3" s="849"/>
      <c r="P3" s="849"/>
      <c r="Q3" s="849"/>
      <c r="R3" s="849"/>
      <c r="S3" s="849"/>
      <c r="T3" s="849"/>
      <c r="U3" s="849"/>
      <c r="V3" s="849"/>
      <c r="W3" s="849"/>
    </row>
    <row r="5" spans="11:23" ht="165.75" customHeight="1" x14ac:dyDescent="0.25">
      <c r="K5" s="849" t="s">
        <v>1963</v>
      </c>
      <c r="L5" s="849"/>
      <c r="M5" s="849"/>
      <c r="N5" s="849"/>
      <c r="O5" s="849"/>
      <c r="P5" s="849"/>
      <c r="Q5" s="849"/>
      <c r="R5" s="849"/>
      <c r="S5" s="849"/>
      <c r="T5" s="849"/>
      <c r="U5" s="849"/>
      <c r="V5" s="849"/>
      <c r="W5" s="849"/>
    </row>
    <row r="7" spans="11:23" x14ac:dyDescent="0.25">
      <c r="K7" s="857" t="s">
        <v>1964</v>
      </c>
      <c r="L7" s="857"/>
      <c r="M7" s="857"/>
      <c r="N7" s="857"/>
      <c r="O7" s="857"/>
      <c r="P7" s="857"/>
      <c r="Q7" s="857"/>
      <c r="R7" s="857"/>
      <c r="S7" s="857"/>
      <c r="T7" s="857"/>
      <c r="U7" s="857"/>
      <c r="V7" s="857"/>
      <c r="W7" s="857"/>
    </row>
    <row r="9" spans="11:23" ht="15" customHeight="1" x14ac:dyDescent="0.25">
      <c r="K9" s="591" t="s">
        <v>1965</v>
      </c>
      <c r="L9" s="617">
        <f>Geometria!L1174</f>
        <v>4.071626424892359</v>
      </c>
      <c r="M9" s="591" t="s">
        <v>160</v>
      </c>
      <c r="N9" s="849" t="s">
        <v>1966</v>
      </c>
      <c r="O9" s="849"/>
      <c r="P9" s="849"/>
      <c r="Q9" s="849"/>
      <c r="R9" s="849"/>
      <c r="S9" s="849"/>
      <c r="T9" s="849"/>
      <c r="U9" s="849"/>
      <c r="V9" s="849"/>
      <c r="W9" s="849"/>
    </row>
    <row r="10" spans="11:23" ht="15" customHeight="1" x14ac:dyDescent="0.25">
      <c r="K10" s="591" t="s">
        <v>1967</v>
      </c>
      <c r="L10" s="615">
        <f>0.7*L9</f>
        <v>2.850138497424651</v>
      </c>
      <c r="M10" s="591" t="s">
        <v>160</v>
      </c>
      <c r="N10" s="849" t="s">
        <v>1968</v>
      </c>
      <c r="O10" s="849"/>
      <c r="P10" s="849"/>
      <c r="Q10" s="849"/>
      <c r="R10" s="849"/>
      <c r="S10" s="849"/>
      <c r="T10" s="849"/>
      <c r="U10" s="849"/>
      <c r="V10" s="849"/>
      <c r="W10" s="849"/>
    </row>
    <row r="11" spans="11:23" ht="15" customHeight="1" x14ac:dyDescent="0.25">
      <c r="K11" s="591" t="s">
        <v>1969</v>
      </c>
      <c r="L11" s="615">
        <f>Geometria!L1173*1000</f>
        <v>36628.13126546316</v>
      </c>
      <c r="M11" s="591" t="s">
        <v>160</v>
      </c>
      <c r="N11" s="849" t="s">
        <v>1970</v>
      </c>
      <c r="O11" s="849"/>
      <c r="P11" s="849"/>
      <c r="Q11" s="849"/>
      <c r="R11" s="849"/>
      <c r="S11" s="849"/>
      <c r="T11" s="849"/>
      <c r="U11" s="849"/>
      <c r="V11" s="849"/>
      <c r="W11" s="849"/>
    </row>
    <row r="12" spans="11:23" ht="15" customHeight="1" x14ac:dyDescent="0.25">
      <c r="K12" s="591" t="s">
        <v>1827</v>
      </c>
      <c r="L12" s="615">
        <v>210000</v>
      </c>
      <c r="M12" s="591" t="s">
        <v>160</v>
      </c>
      <c r="N12" s="849" t="s">
        <v>1971</v>
      </c>
      <c r="O12" s="849"/>
      <c r="P12" s="849"/>
      <c r="Q12" s="849"/>
      <c r="R12" s="849"/>
      <c r="S12" s="849"/>
      <c r="T12" s="849"/>
      <c r="U12" s="849"/>
      <c r="V12" s="849"/>
      <c r="W12" s="849"/>
    </row>
    <row r="13" spans="11:23" ht="15" customHeight="1" x14ac:dyDescent="0.25">
      <c r="K13" s="591" t="s">
        <v>1825</v>
      </c>
      <c r="L13" s="615">
        <v>200000</v>
      </c>
      <c r="M13" s="591" t="s">
        <v>160</v>
      </c>
      <c r="N13" s="849" t="s">
        <v>1972</v>
      </c>
      <c r="O13" s="849"/>
      <c r="P13" s="849"/>
      <c r="Q13" s="849"/>
      <c r="R13" s="849"/>
      <c r="S13" s="849"/>
      <c r="T13" s="849"/>
      <c r="U13" s="849"/>
      <c r="V13" s="849"/>
      <c r="W13" s="849"/>
    </row>
    <row r="14" spans="11:23" ht="15" customHeight="1" x14ac:dyDescent="0.25">
      <c r="K14" s="591" t="s">
        <v>1973</v>
      </c>
      <c r="L14" s="615">
        <f>L12/L11</f>
        <v>5.733298225836871</v>
      </c>
      <c r="N14" s="849" t="s">
        <v>1974</v>
      </c>
      <c r="O14" s="849"/>
      <c r="P14" s="849"/>
      <c r="Q14" s="849"/>
      <c r="R14" s="849"/>
      <c r="S14" s="849"/>
      <c r="T14" s="849"/>
      <c r="U14" s="849"/>
      <c r="V14" s="849"/>
      <c r="W14" s="849"/>
    </row>
    <row r="15" spans="11:23" ht="15" customHeight="1" x14ac:dyDescent="0.25">
      <c r="K15" s="591" t="s">
        <v>1975</v>
      </c>
      <c r="L15" s="615">
        <f>L13/L11</f>
        <v>5.460284024606545</v>
      </c>
      <c r="N15" s="849" t="s">
        <v>1976</v>
      </c>
      <c r="O15" s="849"/>
      <c r="P15" s="849"/>
      <c r="Q15" s="849"/>
      <c r="R15" s="849"/>
      <c r="S15" s="849"/>
      <c r="T15" s="849"/>
      <c r="U15" s="849"/>
      <c r="V15" s="849"/>
      <c r="W15" s="849"/>
    </row>
    <row r="16" spans="11:23" ht="15" customHeight="1" x14ac:dyDescent="0.25">
      <c r="K16" s="591" t="s">
        <v>1977</v>
      </c>
      <c r="L16" s="615">
        <v>2.25</v>
      </c>
      <c r="N16" s="849" t="s">
        <v>1978</v>
      </c>
      <c r="O16" s="849"/>
      <c r="P16" s="849"/>
      <c r="Q16" s="849"/>
      <c r="R16" s="849"/>
      <c r="S16" s="849"/>
      <c r="T16" s="849"/>
      <c r="U16" s="849"/>
      <c r="V16" s="849"/>
      <c r="W16" s="849"/>
    </row>
    <row r="17" spans="11:23" ht="15" customHeight="1" x14ac:dyDescent="0.25">
      <c r="K17" s="591" t="s">
        <v>1979</v>
      </c>
      <c r="L17" s="615">
        <v>1.2</v>
      </c>
      <c r="N17" s="849" t="s">
        <v>1980</v>
      </c>
      <c r="O17" s="849"/>
      <c r="P17" s="849"/>
      <c r="Q17" s="849"/>
      <c r="R17" s="849"/>
      <c r="S17" s="849"/>
      <c r="T17" s="849"/>
      <c r="U17" s="849"/>
      <c r="V17" s="849"/>
      <c r="W17" s="849"/>
    </row>
    <row r="19" spans="11:23" x14ac:dyDescent="0.25">
      <c r="K19" s="857" t="s">
        <v>1981</v>
      </c>
      <c r="L19" s="857"/>
      <c r="M19" s="857"/>
      <c r="N19" s="857"/>
      <c r="O19" s="857"/>
      <c r="P19" s="857"/>
      <c r="Q19" s="857"/>
      <c r="R19" s="857"/>
      <c r="S19" s="857"/>
      <c r="T19" s="857"/>
      <c r="U19" s="857"/>
      <c r="V19" s="857"/>
      <c r="W19" s="857"/>
    </row>
    <row r="21" spans="11:23" ht="15" customHeight="1" x14ac:dyDescent="0.25">
      <c r="K21" s="591" t="s">
        <v>1982</v>
      </c>
      <c r="L21" s="615" t="str">
        <f>'Momento Resistente - Ap+As'!L479</f>
        <v>T</v>
      </c>
      <c r="N21" s="849" t="s">
        <v>1983</v>
      </c>
      <c r="O21" s="849"/>
      <c r="P21" s="849"/>
      <c r="Q21" s="849"/>
      <c r="R21" s="849"/>
      <c r="S21" s="849"/>
      <c r="T21" s="849"/>
      <c r="U21" s="849"/>
      <c r="V21" s="849"/>
      <c r="W21" s="849"/>
    </row>
    <row r="22" spans="11:23" x14ac:dyDescent="0.25">
      <c r="K22" s="591" t="s">
        <v>1984</v>
      </c>
      <c r="L22" s="620">
        <f>IF(L21="Retangular",'Momento Resistente - Ap+As'!L47,IF(L21="T",'Momento Resistente - Ap+As'!L190,'Momento Resistente - Ap+As'!L336))</f>
        <v>90.0</v>
      </c>
      <c r="M22" s="591" t="s">
        <v>35</v>
      </c>
    </row>
    <row r="23" spans="11:23" ht="27.75" customHeight="1" x14ac:dyDescent="0.25">
      <c r="K23" s="591" t="s">
        <v>1985</v>
      </c>
      <c r="L23" s="620">
        <f>IF(L21="Retangular",'Momento Resistente - Ap+As'!L48,IF(L21="T",'Momento Resistente - Ap+As'!L191,'Momento Resistente - Ap+As'!L337))</f>
        <v>30.0</v>
      </c>
      <c r="M23" s="591" t="s">
        <v>35</v>
      </c>
      <c r="N23" s="849" t="s">
        <v>1986</v>
      </c>
      <c r="O23" s="849"/>
      <c r="P23" s="849"/>
      <c r="Q23" s="849"/>
      <c r="R23" s="849"/>
      <c r="S23" s="849"/>
      <c r="T23" s="849"/>
      <c r="U23" s="849"/>
      <c r="V23" s="849"/>
      <c r="W23" s="849"/>
    </row>
    <row r="24" spans="11:23" x14ac:dyDescent="0.25">
      <c r="K24" s="591" t="s">
        <v>1887</v>
      </c>
      <c r="L24" s="615">
        <f>IF(L21="Retangular",'Momento Resistente - Ap+As'!L52,IF(L21="T",'Momento Resistente - Ap+As'!L195,'Momento Resistente - Ap+As'!L341))</f>
        <v>86.2</v>
      </c>
      <c r="M24" s="591" t="s">
        <v>35</v>
      </c>
    </row>
    <row r="25" spans="11:23" x14ac:dyDescent="0.25">
      <c r="K25" s="591" t="s">
        <v>1889</v>
      </c>
      <c r="L25" s="615">
        <f>IF(L21="Retangular",'Momento Resistente - Ap+As'!L53,IF(L21="T",'Momento Resistente - Ap+As'!L196,'Momento Resistente - Ap+As'!L342))</f>
        <v>78.75</v>
      </c>
      <c r="M25" s="591" t="s">
        <v>35</v>
      </c>
    </row>
    <row r="26" spans="11:23" x14ac:dyDescent="0.25">
      <c r="K26" s="591" t="s">
        <v>1885</v>
      </c>
      <c r="L26" s="615">
        <f>IF(L21="Retangular",'Momento Resistente - Ap+As'!L51,IF(L21="T",'Momento Resistente - Ap+As'!L194,'Momento Resistente - Ap+As'!L340))</f>
        <v>33.8</v>
      </c>
      <c r="M26" s="591" t="s">
        <v>35</v>
      </c>
    </row>
    <row r="28" spans="11:23" x14ac:dyDescent="0.25">
      <c r="K28" s="591" t="s">
        <v>1987</v>
      </c>
      <c r="L28" s="617">
        <f ca="1">'Momento Resistente - Ap+As'!L30</f>
        <v>24.1152</v>
      </c>
      <c r="M28" s="591" t="s">
        <v>247</v>
      </c>
    </row>
    <row r="29" spans="11:23" x14ac:dyDescent="0.25">
      <c r="K29" s="591" t="s">
        <v>1988</v>
      </c>
      <c r="L29" s="616">
        <f>Geometria!O5</f>
        <v>16.0</v>
      </c>
      <c r="M29" s="591" t="s">
        <v>460</v>
      </c>
    </row>
    <row r="30" spans="11:23" ht="15" customHeight="1" x14ac:dyDescent="0.25">
      <c r="K30" s="591" t="s">
        <v>1989</v>
      </c>
      <c r="L30" s="615">
        <f>'Momento Resistente - Ap+As'!L31</f>
        <v>3.8</v>
      </c>
      <c r="M30" s="591" t="s">
        <v>35</v>
      </c>
      <c r="N30" s="849" t="s">
        <v>1990</v>
      </c>
      <c r="O30" s="849"/>
      <c r="P30" s="849"/>
      <c r="Q30" s="849"/>
      <c r="R30" s="849"/>
      <c r="S30" s="849"/>
      <c r="T30" s="849"/>
      <c r="U30" s="849"/>
      <c r="V30" s="849"/>
      <c r="W30" s="849"/>
    </row>
    <row r="31" spans="11:23" x14ac:dyDescent="0.25">
      <c r="K31" s="591" t="s">
        <v>1991</v>
      </c>
      <c r="L31" s="617">
        <f>'Momento Resistente - Ap+As'!L34</f>
        <v>11.2</v>
      </c>
      <c r="M31" s="591" t="s">
        <v>247</v>
      </c>
    </row>
    <row r="32" spans="11:23" x14ac:dyDescent="0.25">
      <c r="K32" s="591" t="s">
        <v>1992</v>
      </c>
      <c r="L32" s="616">
        <f>Geometria!L251</f>
        <v>15.2</v>
      </c>
      <c r="M32" s="591" t="s">
        <v>460</v>
      </c>
    </row>
    <row r="33" spans="11:23" ht="15" customHeight="1" x14ac:dyDescent="0.25">
      <c r="K33" s="591" t="s">
        <v>1993</v>
      </c>
      <c r="L33" s="617">
        <f>'Momento Resistente - Ap+As'!L35</f>
        <v>11.25</v>
      </c>
      <c r="M33" s="591" t="s">
        <v>35</v>
      </c>
      <c r="N33" s="849" t="s">
        <v>1994</v>
      </c>
      <c r="O33" s="849"/>
      <c r="P33" s="849"/>
      <c r="Q33" s="849"/>
      <c r="R33" s="849"/>
      <c r="S33" s="849"/>
      <c r="T33" s="849"/>
      <c r="U33" s="849"/>
      <c r="V33" s="849"/>
      <c r="W33" s="849"/>
    </row>
    <row r="35" spans="11:23" x14ac:dyDescent="0.25">
      <c r="K35" s="591" t="s">
        <v>1995</v>
      </c>
      <c r="L35" s="617">
        <f ca="1">'Momento Resistente - Ap+As'!L25</f>
        <v>6.0288</v>
      </c>
      <c r="M35" s="591" t="s">
        <v>247</v>
      </c>
    </row>
    <row r="36" spans="11:23" x14ac:dyDescent="0.25">
      <c r="K36" s="591" t="s">
        <v>1996</v>
      </c>
      <c r="L36" s="616">
        <f>Geometria!O4</f>
        <v>16.0</v>
      </c>
      <c r="M36" s="591" t="s">
        <v>460</v>
      </c>
    </row>
    <row r="37" spans="11:23" ht="15" customHeight="1" x14ac:dyDescent="0.25">
      <c r="K37" s="591" t="s">
        <v>1997</v>
      </c>
      <c r="L37" s="615">
        <f>'Momento Resistente - Ap+As'!L26</f>
        <v>3.8</v>
      </c>
      <c r="M37" s="591" t="s">
        <v>35</v>
      </c>
      <c r="N37" s="849" t="s">
        <v>1998</v>
      </c>
      <c r="O37" s="849"/>
      <c r="P37" s="849"/>
      <c r="Q37" s="849"/>
      <c r="R37" s="849"/>
      <c r="S37" s="849"/>
      <c r="T37" s="849"/>
      <c r="U37" s="849"/>
      <c r="V37" s="849"/>
      <c r="W37" s="849"/>
    </row>
    <row r="38" spans="11:23" ht="15" customHeight="1" x14ac:dyDescent="0.25">
      <c r="K38" s="591" t="s">
        <v>1999</v>
      </c>
      <c r="L38" s="617">
        <f>Geometria!L266</f>
        <v>0.0</v>
      </c>
      <c r="M38" s="591" t="s">
        <v>247</v>
      </c>
      <c r="N38" s="849" t="s">
        <v>2000</v>
      </c>
      <c r="O38" s="849"/>
      <c r="P38" s="849"/>
      <c r="Q38" s="849"/>
      <c r="R38" s="849"/>
      <c r="S38" s="849"/>
      <c r="T38" s="849"/>
      <c r="U38" s="849"/>
      <c r="V38" s="849"/>
      <c r="W38" s="849"/>
    </row>
    <row r="39" spans="11:23" ht="15" customHeight="1" x14ac:dyDescent="0.25">
      <c r="K39" s="591" t="s">
        <v>2001</v>
      </c>
      <c r="L39" s="615">
        <f>Geometria!R267</f>
        <v>0.0</v>
      </c>
      <c r="M39" s="591" t="s">
        <v>35</v>
      </c>
      <c r="N39" s="849" t="s">
        <v>2002</v>
      </c>
      <c r="O39" s="849"/>
      <c r="P39" s="849"/>
      <c r="Q39" s="849"/>
      <c r="R39" s="849"/>
      <c r="S39" s="849"/>
      <c r="T39" s="849"/>
      <c r="U39" s="849"/>
      <c r="V39" s="849"/>
      <c r="W39" s="849"/>
    </row>
    <row r="41" spans="11:23" ht="27.75" customHeight="1" x14ac:dyDescent="0.25">
      <c r="K41" s="849" t="s">
        <v>2003</v>
      </c>
      <c r="L41" s="849"/>
      <c r="M41" s="849"/>
      <c r="N41" s="849"/>
      <c r="O41" s="849"/>
      <c r="P41" s="849"/>
      <c r="Q41" s="849"/>
      <c r="R41" s="849"/>
      <c r="S41" s="849"/>
      <c r="T41" s="849"/>
      <c r="U41" s="849"/>
      <c r="V41" s="849"/>
      <c r="W41" s="849"/>
    </row>
    <row r="42" spans="11:23" x14ac:dyDescent="0.25">
      <c r="K42" s="591" t="s">
        <v>2004</v>
      </c>
      <c r="L42" s="615">
        <f ca="1">L28/(L23*2*L30)</f>
        <v>0.10576842105263158</v>
      </c>
    </row>
    <row r="43" spans="11:23" x14ac:dyDescent="0.25">
      <c r="K43" s="591" t="s">
        <v>2005</v>
      </c>
      <c r="L43" s="615">
        <f>L31/(L23*2*L33)</f>
        <v>0.016592592592592593</v>
      </c>
    </row>
    <row r="44" spans="11:23" x14ac:dyDescent="0.25">
      <c r="K44" s="591" t="s">
        <v>2006</v>
      </c>
      <c r="L44" s="615">
        <f ca="1">IF(L35=0,0,L35/(L23*2*L37))</f>
        <v>0.026442105263157895</v>
      </c>
    </row>
    <row r="45" spans="11:23" x14ac:dyDescent="0.25">
      <c r="K45" s="591" t="s">
        <v>2007</v>
      </c>
      <c r="L45" s="615">
        <f>IF(L38=0,0,L38/(L23*2*MAX(L39,0.1)))</f>
        <v>0.0</v>
      </c>
    </row>
    <row r="48" spans="11:23" x14ac:dyDescent="0.25">
      <c r="K48" s="857" t="s">
        <v>2008</v>
      </c>
      <c r="L48" s="857"/>
      <c r="M48" s="857"/>
      <c r="N48" s="857"/>
      <c r="O48" s="857"/>
      <c r="P48" s="857"/>
      <c r="Q48" s="857"/>
      <c r="R48" s="857"/>
      <c r="S48" s="857"/>
      <c r="T48" s="857"/>
      <c r="U48" s="857"/>
      <c r="V48" s="857"/>
      <c r="W48" s="857"/>
    </row>
    <row r="50" spans="11:23" ht="27.75" customHeight="1" x14ac:dyDescent="0.25">
      <c r="K50" s="849" t="s">
        <v>2009</v>
      </c>
      <c r="L50" s="849"/>
      <c r="M50" s="849"/>
      <c r="N50" s="849"/>
      <c r="O50" s="849"/>
      <c r="P50" s="849"/>
      <c r="Q50" s="849"/>
      <c r="R50" s="849"/>
      <c r="S50" s="849"/>
      <c r="T50" s="849"/>
      <c r="U50" s="849"/>
      <c r="V50" s="849"/>
      <c r="W50" s="849"/>
    </row>
    <row r="53" spans="11:23" x14ac:dyDescent="0.25">
      <c r="K53" s="621" t="s">
        <v>1809</v>
      </c>
      <c r="L53" s="621" t="s">
        <v>2010</v>
      </c>
      <c r="M53" s="621" t="s">
        <v>2011</v>
      </c>
      <c r="N53" s="621" t="s">
        <v>2012</v>
      </c>
      <c r="O53" s="621" t="s">
        <v>2013</v>
      </c>
      <c r="P53" s="621" t="s">
        <v>2014</v>
      </c>
      <c r="Q53" s="621" t="s">
        <v>2015</v>
      </c>
      <c r="R53" s="621" t="s">
        <v>2016</v>
      </c>
      <c r="S53" s="621" t="s">
        <v>2017</v>
      </c>
      <c r="T53" s="621" t="s">
        <v>2018</v>
      </c>
      <c r="U53" s="621" t="s">
        <v>2019</v>
      </c>
    </row>
    <row r="54" spans="11:23" x14ac:dyDescent="0.25">
      <c r="K54" s="622">
        <v>1</v>
      </c>
      <c r="L54" s="628">
        <f>Geometria!K415</f>
        <v>-0.0</v>
      </c>
      <c r="M54" s="622">
        <f>'Isolamento de cabos'!AR124*1000</f>
        <v>0.0</v>
      </c>
      <c r="N54" s="622" t="str">
        <f t="shared" ref="N54:N74" si="0">IF(M54&gt;$L$10*1000,"SIM","Nao")</f>
        <v>Nao</v>
      </c>
      <c r="O54" s="622">
        <f t="shared" ref="O54:O74" ca="1" si="1">(-(($L$14*$L$28+$L$15*$L$31))+SQRT((($L$14*$L$28+$L$15*$L$31))^2-4*(0.5*$L$23)*(-($L$14*$L$28*$L$24+$L$15*$L$31*$L$25))))/(2*(0.5*$L$23))</f>
        <v>27.408403962036616</v>
      </c>
      <c r="P54" s="622">
        <f ca="1">MAX(0,M54)*Geometria!$L$53/100^3</f>
        <v>0.0</v>
      </c>
      <c r="Q54" s="622">
        <f t="shared" ref="Q54:Q74" ca="1" si="2">IF(OR(N54&lt;&gt;"SIM",($L$28+$L$31=0)),0,(P54*100)*$L$14*($L$24-O54)/($L$23*O54^3/3+$L$14*$L$28*($L$24-O54)^2+$L$15*$L$31*($L$25-O54)^2)*10)</f>
        <v>0.0</v>
      </c>
      <c r="R54" s="622">
        <f t="shared" ref="R54:R74" si="3">IF(N54&lt;&gt;"SIM",0,IF($L$28=0,0,MIN(($L$29/(12.5*$L$16))*(Q54/$L$12)*(3*Q54/$L$9),($L$29/(12.5*$L$16))*(Q54/$L$12)*((4/$L$42)+45))))</f>
        <v>0.0</v>
      </c>
      <c r="S54" s="622">
        <f t="shared" ref="S54:S74" ca="1" si="4">IF(OR(N54&lt;&gt;"SIM",($L$28+$L$31=0)),0,(P54*100)*$L$15*($L$25-O54)/($L$23*O54^3/3+$L$14*$L$28*($L$24-O54)^2+$L$15*$L$31*($L$25-O54)^2)*10)</f>
        <v>0.0</v>
      </c>
      <c r="T54" s="622">
        <f t="shared" ref="T54:T74" si="5">IF(N54&lt;&gt;"SIM",0,IF($L$31=0,0,MIN(($L$32/(12.5*$L$17))*(S54/$L$13)*(3*S54/$L$9),($L$32/(12.5*$L$17))*(S54/$L$13)*((4/$L$43)+45))))</f>
        <v>0.0</v>
      </c>
      <c r="U54" s="629">
        <f t="shared" ref="U54:U74" si="6">MAX(R54,T54)</f>
        <v>0.0</v>
      </c>
      <c r="V54">
        <f>L10</f>
        <v>2.850138497424651</v>
      </c>
    </row>
    <row r="55" spans="11:23" x14ac:dyDescent="0.25">
      <c r="K55" s="622">
        <v>2</v>
      </c>
      <c r="L55" s="628">
        <f>Geometria!L415</f>
        <v>0.39249999999999996</v>
      </c>
      <c r="M55" s="630">
        <f ca="1">'Isolamento de cabos'!AR125*1000</f>
        <v>1622.3897589662633</v>
      </c>
      <c r="N55" s="622" t="str">
        <f t="shared" ca="1" si="0"/>
        <v>Nao</v>
      </c>
      <c r="O55" s="622">
        <f t="shared" ca="1" si="1"/>
        <v>27.408403962036616</v>
      </c>
      <c r="P55" s="622">
        <f ca="1">MAX(0,M55)*Geometria!$L$53/100^3</f>
        <v>29.20301566139274</v>
      </c>
      <c r="Q55" s="622">
        <f t="shared" ca="1" si="2"/>
        <v>0.0</v>
      </c>
      <c r="R55" s="622">
        <f t="shared" ca="1" si="3"/>
        <v>0.0</v>
      </c>
      <c r="S55" s="622">
        <f t="shared" ca="1" si="4"/>
        <v>0.0</v>
      </c>
      <c r="T55" s="622">
        <f t="shared" ca="1" si="5"/>
        <v>0.0</v>
      </c>
      <c r="U55" s="629">
        <f t="shared" ca="1" si="6"/>
        <v>0.0</v>
      </c>
    </row>
    <row r="56" spans="11:23" x14ac:dyDescent="0.25">
      <c r="K56" s="622">
        <v>3</v>
      </c>
      <c r="L56" s="628">
        <f>Geometria!M415</f>
        <v>0.7849999999999999</v>
      </c>
      <c r="M56" s="630">
        <f ca="1">'Isolamento de cabos'!AR126*1000</f>
        <v>2639.1137854309845</v>
      </c>
      <c r="N56" s="622" t="str">
        <f t="shared" ca="1" si="0"/>
        <v>Nao</v>
      </c>
      <c r="O56" s="622">
        <f t="shared" ca="1" si="1"/>
        <v>27.408403962036616</v>
      </c>
      <c r="P56" s="622">
        <f ca="1">MAX(0,M56)*Geometria!$L$53/100^3</f>
        <v>47.50404813775772</v>
      </c>
      <c r="Q56" s="622">
        <f t="shared" ca="1" si="2"/>
        <v>0.0</v>
      </c>
      <c r="R56" s="622">
        <f t="shared" ca="1" si="3"/>
        <v>0.0</v>
      </c>
      <c r="S56" s="622">
        <f t="shared" ca="1" si="4"/>
        <v>0.0</v>
      </c>
      <c r="T56" s="622">
        <f t="shared" ca="1" si="5"/>
        <v>0.0</v>
      </c>
      <c r="U56" s="629">
        <f t="shared" ca="1" si="6"/>
        <v>0.0</v>
      </c>
    </row>
    <row r="57" spans="11:23" x14ac:dyDescent="0.25">
      <c r="K57" s="622">
        <v>4</v>
      </c>
      <c r="L57" s="628">
        <f>Geometria!N415</f>
        <v>1.1774999999999998</v>
      </c>
      <c r="M57" s="630">
        <f ca="1">'Isolamento de cabos'!AR127*1000</f>
        <v>3050.1720793941604</v>
      </c>
      <c r="N57" s="622" t="str">
        <f t="shared" ca="1" si="0"/>
        <v>SIM</v>
      </c>
      <c r="O57" s="622">
        <f t="shared" ca="1" si="1"/>
        <v>27.408403962036616</v>
      </c>
      <c r="P57" s="622">
        <f ca="1">MAX(0,M57)*Geometria!$L$53/100^3</f>
        <v>54.903097429094885</v>
      </c>
      <c r="Q57" s="622">
        <f t="shared" ca="1" si="2"/>
        <v>21.901110345048437</v>
      </c>
      <c r="R57" s="622">
        <f t="shared" ca="1" si="3"/>
        <v>0.0009574007290719902</v>
      </c>
      <c r="S57" s="622">
        <f t="shared" ca="1" si="4"/>
        <v>18.215074390212035</v>
      </c>
      <c r="T57" s="622">
        <f t="shared" ca="1" si="5"/>
        <v>0.0012386184994257897</v>
      </c>
      <c r="U57" s="629">
        <f t="shared" ca="1" si="6"/>
        <v>0.0012386184994257897</v>
      </c>
    </row>
    <row r="58" spans="11:23" x14ac:dyDescent="0.25">
      <c r="K58" s="622">
        <v>5</v>
      </c>
      <c r="L58" s="628">
        <f>Geometria!O415</f>
        <v>1.5699999999999998</v>
      </c>
      <c r="M58" s="630">
        <f ca="1">'Isolamento de cabos'!AR128*1000</f>
        <v>6082.124140333226</v>
      </c>
      <c r="N58" s="622" t="str">
        <f t="shared" ca="1" si="0"/>
        <v>SIM</v>
      </c>
      <c r="O58" s="622">
        <f t="shared" ca="1" si="1"/>
        <v>27.408403962036616</v>
      </c>
      <c r="P58" s="622">
        <f ca="1">MAX(0,M58)*Geometria!$L$53/100^3</f>
        <v>109.47823452599808</v>
      </c>
      <c r="Q58" s="622">
        <f t="shared" ca="1" si="2"/>
        <v>43.67139573193481</v>
      </c>
      <c r="R58" s="622">
        <f t="shared" ca="1" si="3"/>
        <v>0.0038067611768187026</v>
      </c>
      <c r="S58" s="622">
        <f t="shared" ca="1" si="4"/>
        <v>36.32134213512276</v>
      </c>
      <c r="T58" s="622">
        <f t="shared" ca="1" si="5"/>
        <v>0.004924922943263173</v>
      </c>
      <c r="U58" s="629">
        <f t="shared" ca="1" si="6"/>
        <v>0.004924922943263173</v>
      </c>
    </row>
    <row r="59" spans="11:23" x14ac:dyDescent="0.25">
      <c r="K59" s="622">
        <v>6</v>
      </c>
      <c r="L59" s="628">
        <f>Geometria!P415</f>
        <v>1.9625</v>
      </c>
      <c r="M59" s="630">
        <f ca="1">'Isolamento de cabos'!AR129*1000</f>
        <v>7377.085603996947</v>
      </c>
      <c r="N59" s="622" t="str">
        <f t="shared" ca="1" si="0"/>
        <v>SIM</v>
      </c>
      <c r="O59" s="622">
        <f t="shared" ca="1" si="1"/>
        <v>27.408403962036616</v>
      </c>
      <c r="P59" s="622">
        <f ca="1">MAX(0,M59)*Geometria!$L$53/100^3</f>
        <v>132.78754087194503</v>
      </c>
      <c r="Q59" s="622">
        <f t="shared" ca="1" si="2"/>
        <v>52.96959044687619</v>
      </c>
      <c r="R59" s="622">
        <f t="shared" ca="1" si="3"/>
        <v>0.0056003441684530685</v>
      </c>
      <c r="S59" s="622">
        <f t="shared" ca="1" si="4"/>
        <v>44.054617104244386</v>
      </c>
      <c r="T59" s="622">
        <f t="shared" ca="1" si="5"/>
        <v>0.007245335917929637</v>
      </c>
      <c r="U59" s="629">
        <f t="shared" ca="1" si="6"/>
        <v>0.007245335917929637</v>
      </c>
    </row>
    <row r="60" spans="11:23" x14ac:dyDescent="0.25">
      <c r="K60" s="622">
        <v>7</v>
      </c>
      <c r="L60" s="628">
        <f>Geometria!Q415</f>
        <v>2.355</v>
      </c>
      <c r="M60" s="630">
        <f ca="1">'Isolamento de cabos'!AR130*1000</f>
        <v>7897.868226323695</v>
      </c>
      <c r="N60" s="622" t="str">
        <f t="shared" ca="1" si="0"/>
        <v>SIM</v>
      </c>
      <c r="O60" s="622">
        <f t="shared" ca="1" si="1"/>
        <v>27.408403962036616</v>
      </c>
      <c r="P60" s="622">
        <f ca="1">MAX(0,M60)*Geometria!$L$53/100^3</f>
        <v>142.16162807382653</v>
      </c>
      <c r="Q60" s="622">
        <f t="shared" ca="1" si="2"/>
        <v>56.70895904001711</v>
      </c>
      <c r="R60" s="622">
        <f t="shared" ca="1" si="3"/>
        <v>0.006418962492188415</v>
      </c>
      <c r="S60" s="622">
        <f t="shared" ca="1" si="4"/>
        <v>47.16463646049513</v>
      </c>
      <c r="T60" s="622">
        <f t="shared" ca="1" si="5"/>
        <v>0.008304407390259047</v>
      </c>
      <c r="U60" s="629">
        <f t="shared" ca="1" si="6"/>
        <v>0.008304407390259047</v>
      </c>
    </row>
    <row r="61" spans="11:23" x14ac:dyDescent="0.25">
      <c r="K61" s="622">
        <v>8</v>
      </c>
      <c r="L61" s="628">
        <f>Geometria!R415</f>
        <v>2.7475</v>
      </c>
      <c r="M61" s="630">
        <f ca="1">'Isolamento de cabos'!AR131*1000</f>
        <v>7812.985116148896</v>
      </c>
      <c r="N61" s="622" t="str">
        <f t="shared" ca="1" si="0"/>
        <v>SIM</v>
      </c>
      <c r="O61" s="622">
        <f t="shared" ca="1" si="1"/>
        <v>27.408403962036616</v>
      </c>
      <c r="P61" s="622">
        <f ca="1">MAX(0,M61)*Geometria!$L$53/100^3</f>
        <v>140.63373209068013</v>
      </c>
      <c r="Q61" s="622">
        <f t="shared" ca="1" si="2"/>
        <v>56.099473963772354</v>
      </c>
      <c r="R61" s="622">
        <f t="shared" ca="1" si="3"/>
        <v>0.006281727099344343</v>
      </c>
      <c r="S61" s="622">
        <f t="shared" ca="1" si="4"/>
        <v>46.65772992340112</v>
      </c>
      <c r="T61" s="622">
        <f t="shared" ca="1" si="5"/>
        <v>0.008126861780368614</v>
      </c>
      <c r="U61" s="629">
        <f t="shared" ca="1" si="6"/>
        <v>0.008126861780368614</v>
      </c>
    </row>
    <row r="62" spans="11:23" x14ac:dyDescent="0.25">
      <c r="K62" s="622">
        <v>9</v>
      </c>
      <c r="L62" s="628">
        <f>Geometria!K418</f>
        <v>3.14</v>
      </c>
      <c r="M62" s="630">
        <f ca="1">'Isolamento de cabos'!AR132*1000</f>
        <v>9209.544517640856</v>
      </c>
      <c r="N62" s="622" t="str">
        <f t="shared" ca="1" si="0"/>
        <v>SIM</v>
      </c>
      <c r="O62" s="622">
        <f t="shared" ca="1" si="1"/>
        <v>27.408403962036616</v>
      </c>
      <c r="P62" s="622">
        <f ca="1">MAX(0,M62)*Geometria!$L$53/100^3</f>
        <v>165.7718013175354</v>
      </c>
      <c r="Q62" s="622">
        <f t="shared" ca="1" si="2"/>
        <v>66.1271710114633</v>
      </c>
      <c r="R62" s="622">
        <f t="shared" ca="1" si="3"/>
        <v>0.008728133379266489</v>
      </c>
      <c r="S62" s="622">
        <f t="shared" ca="1" si="4"/>
        <v>54.997729348475765</v>
      </c>
      <c r="T62" s="622">
        <f t="shared" ca="1" si="5"/>
        <v>0.011291852137499572</v>
      </c>
      <c r="U62" s="629">
        <f t="shared" ca="1" si="6"/>
        <v>0.011291852137499572</v>
      </c>
    </row>
    <row r="63" spans="11:23" x14ac:dyDescent="0.25">
      <c r="K63" s="622">
        <v>10</v>
      </c>
      <c r="L63" s="628">
        <f>Geometria!L418</f>
        <v>3.5325</v>
      </c>
      <c r="M63" s="630">
        <f ca="1">'Isolamento de cabos'!AR133*1000</f>
        <v>10118.043116393172</v>
      </c>
      <c r="N63" s="622" t="str">
        <f t="shared" ca="1" si="0"/>
        <v>SIM</v>
      </c>
      <c r="O63" s="622">
        <f t="shared" ca="1" si="1"/>
        <v>27.408403962036616</v>
      </c>
      <c r="P63" s="622">
        <f ca="1">MAX(0,M63)*Geometria!$L$53/100^3</f>
        <v>182.1247760950771</v>
      </c>
      <c r="Q63" s="622">
        <f t="shared" ca="1" si="2"/>
        <v>72.65045151554176</v>
      </c>
      <c r="R63" s="622">
        <f t="shared" ca="1" si="3"/>
        <v>0.0105350869105438</v>
      </c>
      <c r="S63" s="622">
        <f t="shared" ca="1" si="4"/>
        <v>60.42311818849288</v>
      </c>
      <c r="T63" s="622">
        <f t="shared" ca="1" si="5"/>
        <v>0.01362956298676146</v>
      </c>
      <c r="U63" s="629">
        <f t="shared" ca="1" si="6"/>
        <v>0.01362956298676146</v>
      </c>
    </row>
    <row r="64" spans="11:23" x14ac:dyDescent="0.25">
      <c r="K64" s="622">
        <v>11</v>
      </c>
      <c r="L64" s="628">
        <f>Geometria!M418</f>
        <v>3.9250000000000003</v>
      </c>
      <c r="M64" s="630">
        <f ca="1">'Isolamento de cabos'!AR134*1000</f>
        <v>10420.875982643945</v>
      </c>
      <c r="N64" s="622" t="str">
        <f t="shared" ca="1" si="0"/>
        <v>SIM</v>
      </c>
      <c r="O64" s="622">
        <f t="shared" ca="1" si="1"/>
        <v>27.408403962036616</v>
      </c>
      <c r="P64" s="622">
        <f ca="1">MAX(0,M64)*Geometria!$L$53/100^3</f>
        <v>187.57576768759102</v>
      </c>
      <c r="Q64" s="622">
        <f t="shared" ca="1" si="2"/>
        <v>74.8248783502346</v>
      </c>
      <c r="R64" s="622">
        <f t="shared" ca="1" si="3"/>
        <v>0.011175154243266207</v>
      </c>
      <c r="S64" s="622">
        <f t="shared" ca="1" si="4"/>
        <v>62.23158113516525</v>
      </c>
      <c r="T64" s="622">
        <f t="shared" ca="1" si="5"/>
        <v>0.014457637600780773</v>
      </c>
      <c r="U64" s="629">
        <f t="shared" ca="1" si="6"/>
        <v>0.014457637600780773</v>
      </c>
    </row>
    <row r="65" spans="11:23" x14ac:dyDescent="0.25">
      <c r="K65" s="622">
        <v>12</v>
      </c>
      <c r="L65" s="628">
        <f>Geometria!N418</f>
        <v>4.3175</v>
      </c>
      <c r="M65" s="630">
        <f ca="1">'Isolamento de cabos'!AR135*1000</f>
        <v>10118.043116393175</v>
      </c>
      <c r="N65" s="622" t="str">
        <f t="shared" ca="1" si="0"/>
        <v>SIM</v>
      </c>
      <c r="O65" s="622">
        <f t="shared" ca="1" si="1"/>
        <v>27.408403962036616</v>
      </c>
      <c r="P65" s="622">
        <f ca="1">MAX(0,M65)*Geometria!$L$53/100^3</f>
        <v>182.12477609507715</v>
      </c>
      <c r="Q65" s="622">
        <f t="shared" ca="1" si="2"/>
        <v>72.65045151554177</v>
      </c>
      <c r="R65" s="622">
        <f t="shared" ca="1" si="3"/>
        <v>0.010535086910543803</v>
      </c>
      <c r="S65" s="622">
        <f t="shared" ca="1" si="4"/>
        <v>60.423118188492886</v>
      </c>
      <c r="T65" s="622">
        <f t="shared" ca="1" si="5"/>
        <v>0.013629562986761466</v>
      </c>
      <c r="U65" s="629">
        <f t="shared" ca="1" si="6"/>
        <v>0.013629562986761466</v>
      </c>
    </row>
    <row r="66" spans="11:23" x14ac:dyDescent="0.25">
      <c r="K66" s="622">
        <v>13</v>
      </c>
      <c r="L66" s="628">
        <f>Geometria!O418</f>
        <v>4.71</v>
      </c>
      <c r="M66" s="630">
        <f ca="1">'Isolamento de cabos'!AR136*1000</f>
        <v>9209.544517640863</v>
      </c>
      <c r="N66" s="622" t="str">
        <f t="shared" ca="1" si="0"/>
        <v>SIM</v>
      </c>
      <c r="O66" s="622">
        <f t="shared" ca="1" si="1"/>
        <v>27.408403962036616</v>
      </c>
      <c r="P66" s="622">
        <f ca="1">MAX(0,M66)*Geometria!$L$53/100^3</f>
        <v>165.7718013175355</v>
      </c>
      <c r="Q66" s="622">
        <f t="shared" ca="1" si="2"/>
        <v>66.12717101146335</v>
      </c>
      <c r="R66" s="622">
        <f t="shared" ca="1" si="3"/>
        <v>0.008728133379266501</v>
      </c>
      <c r="S66" s="622">
        <f t="shared" ca="1" si="4"/>
        <v>54.9977293484758</v>
      </c>
      <c r="T66" s="622">
        <f t="shared" ca="1" si="5"/>
        <v>0.011291852137499588</v>
      </c>
      <c r="U66" s="629">
        <f t="shared" ca="1" si="6"/>
        <v>0.011291852137499588</v>
      </c>
    </row>
    <row r="67" spans="11:23" x14ac:dyDescent="0.25">
      <c r="K67" s="622">
        <v>14</v>
      </c>
      <c r="L67" s="628">
        <f>Geometria!P418</f>
        <v>5.1025</v>
      </c>
      <c r="M67" s="630">
        <f ca="1">'Isolamento de cabos'!AR137*1000</f>
        <v>7812.985116148907</v>
      </c>
      <c r="N67" s="622" t="str">
        <f t="shared" ca="1" si="0"/>
        <v>SIM</v>
      </c>
      <c r="O67" s="622">
        <f t="shared" ca="1" si="1"/>
        <v>27.408403962036616</v>
      </c>
      <c r="P67" s="622">
        <f ca="1">MAX(0,M67)*Geometria!$L$53/100^3</f>
        <v>140.63373209068033</v>
      </c>
      <c r="Q67" s="622">
        <f t="shared" ca="1" si="2"/>
        <v>56.09947396377243</v>
      </c>
      <c r="R67" s="622">
        <f t="shared" ca="1" si="3"/>
        <v>0.006281727099344361</v>
      </c>
      <c r="S67" s="622">
        <f t="shared" ca="1" si="4"/>
        <v>46.65772992340119</v>
      </c>
      <c r="T67" s="622">
        <f t="shared" ca="1" si="5"/>
        <v>0.008126861780368639</v>
      </c>
      <c r="U67" s="629">
        <f t="shared" ca="1" si="6"/>
        <v>0.008126861780368639</v>
      </c>
    </row>
    <row r="68" spans="11:23" x14ac:dyDescent="0.25">
      <c r="K68" s="622">
        <v>15</v>
      </c>
      <c r="L68" s="628">
        <f>Geometria!Q418</f>
        <v>5.495</v>
      </c>
      <c r="M68" s="630">
        <f ca="1">'Isolamento de cabos'!AR138*1000</f>
        <v>7897.868226323701</v>
      </c>
      <c r="N68" s="622" t="str">
        <f t="shared" ca="1" si="0"/>
        <v>SIM</v>
      </c>
      <c r="O68" s="622">
        <f t="shared" ca="1" si="1"/>
        <v>27.408403962036616</v>
      </c>
      <c r="P68" s="622">
        <f ca="1">MAX(0,M68)*Geometria!$L$53/100^3</f>
        <v>142.16162807382662</v>
      </c>
      <c r="Q68" s="622">
        <f t="shared" ca="1" si="2"/>
        <v>56.70895904001715</v>
      </c>
      <c r="R68" s="622">
        <f t="shared" ca="1" si="3"/>
        <v>0.006418962492188424</v>
      </c>
      <c r="S68" s="622">
        <f t="shared" ca="1" si="4"/>
        <v>47.164636460495174</v>
      </c>
      <c r="T68" s="622">
        <f t="shared" ca="1" si="5"/>
        <v>0.008304407390259063</v>
      </c>
      <c r="U68" s="629">
        <f t="shared" ca="1" si="6"/>
        <v>0.008304407390259063</v>
      </c>
    </row>
    <row r="69" spans="11:23" x14ac:dyDescent="0.25">
      <c r="K69" s="622">
        <v>16</v>
      </c>
      <c r="L69" s="628">
        <f>Geometria!R418</f>
        <v>5.8875</v>
      </c>
      <c r="M69" s="630">
        <f ca="1">'Isolamento de cabos'!AR139*1000</f>
        <v>7377.085603996959</v>
      </c>
      <c r="N69" s="622" t="str">
        <f t="shared" ca="1" si="0"/>
        <v>SIM</v>
      </c>
      <c r="O69" s="622">
        <f t="shared" ca="1" si="1"/>
        <v>27.408403962036616</v>
      </c>
      <c r="P69" s="622">
        <f ca="1">MAX(0,M69)*Geometria!$L$53/100^3</f>
        <v>132.78754087194528</v>
      </c>
      <c r="Q69" s="622">
        <f t="shared" ca="1" si="2"/>
        <v>52.969590446876296</v>
      </c>
      <c r="R69" s="622">
        <f t="shared" ca="1" si="3"/>
        <v>0.005600344168453092</v>
      </c>
      <c r="S69" s="622">
        <f t="shared" ca="1" si="4"/>
        <v>44.054617104244464</v>
      </c>
      <c r="T69" s="622">
        <f t="shared" ca="1" si="5"/>
        <v>0.0072453359179296606</v>
      </c>
      <c r="U69" s="629">
        <f t="shared" ca="1" si="6"/>
        <v>0.0072453359179296606</v>
      </c>
    </row>
    <row r="70" spans="11:23" x14ac:dyDescent="0.25">
      <c r="K70" s="622">
        <v>17</v>
      </c>
      <c r="L70" s="628">
        <f>Geometria!K421</f>
        <v>6.28</v>
      </c>
      <c r="M70" s="630">
        <f ca="1">'Isolamento de cabos'!AR140*1000</f>
        <v>6082.124140333237</v>
      </c>
      <c r="N70" s="622" t="str">
        <f t="shared" ca="1" si="0"/>
        <v>SIM</v>
      </c>
      <c r="O70" s="622">
        <f t="shared" ca="1" si="1"/>
        <v>27.408403962036616</v>
      </c>
      <c r="P70" s="622">
        <f ca="1">MAX(0,M70)*Geometria!$L$53/100^3</f>
        <v>109.47823452599826</v>
      </c>
      <c r="Q70" s="622">
        <f t="shared" ca="1" si="2"/>
        <v>43.67139573193489</v>
      </c>
      <c r="R70" s="622">
        <f t="shared" ca="1" si="3"/>
        <v>0.0038067611768187173</v>
      </c>
      <c r="S70" s="622">
        <f t="shared" ca="1" si="4"/>
        <v>36.321342135122826</v>
      </c>
      <c r="T70" s="622">
        <f t="shared" ca="1" si="5"/>
        <v>0.004924922943263191</v>
      </c>
      <c r="U70" s="629">
        <f t="shared" ca="1" si="6"/>
        <v>0.004924922943263191</v>
      </c>
    </row>
    <row r="71" spans="11:23" x14ac:dyDescent="0.25">
      <c r="K71" s="622">
        <v>18</v>
      </c>
      <c r="L71" s="628">
        <f>Geometria!L421</f>
        <v>6.6725</v>
      </c>
      <c r="M71" s="630">
        <f ca="1">'Isolamento de cabos'!AR141*1000</f>
        <v>3050.1720793941713</v>
      </c>
      <c r="N71" s="622" t="str">
        <f t="shared" ca="1" si="0"/>
        <v>SIM</v>
      </c>
      <c r="O71" s="622">
        <f t="shared" ca="1" si="1"/>
        <v>27.408403962036616</v>
      </c>
      <c r="P71" s="622">
        <f ca="1">MAX(0,M71)*Geometria!$L$53/100^3</f>
        <v>54.903097429095084</v>
      </c>
      <c r="Q71" s="622">
        <f t="shared" ca="1" si="2"/>
        <v>21.90111034504852</v>
      </c>
      <c r="R71" s="622">
        <f t="shared" ca="1" si="3"/>
        <v>0.0009574007290719972</v>
      </c>
      <c r="S71" s="622">
        <f t="shared" ca="1" si="4"/>
        <v>18.215074390212102</v>
      </c>
      <c r="T71" s="622">
        <f t="shared" ca="1" si="5"/>
        <v>0.0012386184994257988</v>
      </c>
      <c r="U71" s="629">
        <f t="shared" ca="1" si="6"/>
        <v>0.0012386184994257988</v>
      </c>
    </row>
    <row r="72" spans="11:23" x14ac:dyDescent="0.25">
      <c r="K72" s="622">
        <v>19</v>
      </c>
      <c r="L72" s="628">
        <f>Geometria!M421</f>
        <v>7.065</v>
      </c>
      <c r="M72" s="630">
        <f ca="1">'Isolamento de cabos'!AR142*1000</f>
        <v>2639.1137854309954</v>
      </c>
      <c r="N72" s="622" t="str">
        <f t="shared" ca="1" si="0"/>
        <v>Nao</v>
      </c>
      <c r="O72" s="622">
        <f t="shared" ca="1" si="1"/>
        <v>27.408403962036616</v>
      </c>
      <c r="P72" s="622">
        <f ca="1">MAX(0,M72)*Geometria!$L$53/100^3</f>
        <v>47.50404813775792</v>
      </c>
      <c r="Q72" s="622">
        <f t="shared" ca="1" si="2"/>
        <v>0.0</v>
      </c>
      <c r="R72" s="622">
        <f t="shared" ca="1" si="3"/>
        <v>0.0</v>
      </c>
      <c r="S72" s="622">
        <f t="shared" ca="1" si="4"/>
        <v>0.0</v>
      </c>
      <c r="T72" s="622">
        <f t="shared" ca="1" si="5"/>
        <v>0.0</v>
      </c>
      <c r="U72" s="629">
        <f t="shared" ca="1" si="6"/>
        <v>0.0</v>
      </c>
    </row>
    <row r="73" spans="11:23" x14ac:dyDescent="0.25">
      <c r="K73" s="622">
        <v>20</v>
      </c>
      <c r="L73" s="628">
        <f>Geometria!N421</f>
        <v>7.4575000000000005</v>
      </c>
      <c r="M73" s="630">
        <f ca="1">'Isolamento de cabos'!AR143*1000</f>
        <v>1622.3897589662758</v>
      </c>
      <c r="N73" s="622" t="str">
        <f t="shared" ca="1" si="0"/>
        <v>Nao</v>
      </c>
      <c r="O73" s="622">
        <f t="shared" ca="1" si="1"/>
        <v>27.408403962036616</v>
      </c>
      <c r="P73" s="622">
        <f ca="1">MAX(0,M73)*Geometria!$L$53/100^3</f>
        <v>29.203015661392964</v>
      </c>
      <c r="Q73" s="622">
        <f t="shared" ca="1" si="2"/>
        <v>0.0</v>
      </c>
      <c r="R73" s="622">
        <f t="shared" ca="1" si="3"/>
        <v>0.0</v>
      </c>
      <c r="S73" s="622">
        <f t="shared" ca="1" si="4"/>
        <v>0.0</v>
      </c>
      <c r="T73" s="622">
        <f t="shared" ca="1" si="5"/>
        <v>0.0</v>
      </c>
      <c r="U73" s="629">
        <f t="shared" ca="1" si="6"/>
        <v>0.0</v>
      </c>
    </row>
    <row r="74" spans="11:23" x14ac:dyDescent="0.25">
      <c r="K74" s="622">
        <v>21</v>
      </c>
      <c r="L74" s="628">
        <f>Geometria!O421</f>
        <v>7.8500000000000005</v>
      </c>
      <c r="M74" s="622">
        <f>'Isolamento de cabos'!AR144*1000</f>
        <v>0.0</v>
      </c>
      <c r="N74" s="622" t="str">
        <f t="shared" si="0"/>
        <v>Nao</v>
      </c>
      <c r="O74" s="622">
        <f t="shared" ca="1" si="1"/>
        <v>27.408403962036616</v>
      </c>
      <c r="P74" s="622">
        <f ca="1">MAX(0,M74)*Geometria!$L$53/100^3</f>
        <v>0.0</v>
      </c>
      <c r="Q74" s="622">
        <f t="shared" ca="1" si="2"/>
        <v>0.0</v>
      </c>
      <c r="R74" s="622">
        <f t="shared" si="3"/>
        <v>0.0</v>
      </c>
      <c r="S74" s="622">
        <f t="shared" ca="1" si="4"/>
        <v>0.0</v>
      </c>
      <c r="T74" s="622">
        <f t="shared" si="5"/>
        <v>0.0</v>
      </c>
      <c r="U74" s="629">
        <f t="shared" si="6"/>
        <v>0.0</v>
      </c>
      <c r="V74">
        <f>V54</f>
        <v>2.850138497424651</v>
      </c>
    </row>
    <row r="76" spans="11:23" x14ac:dyDescent="0.25">
      <c r="K76" s="857" t="s">
        <v>2020</v>
      </c>
      <c r="L76" s="857"/>
      <c r="M76" s="857"/>
      <c r="N76" s="857"/>
      <c r="O76" s="857"/>
      <c r="P76" s="857"/>
      <c r="Q76" s="857"/>
      <c r="R76" s="857"/>
      <c r="S76" s="857"/>
      <c r="T76" s="857"/>
      <c r="U76" s="857"/>
      <c r="V76" s="857"/>
      <c r="W76" s="857"/>
    </row>
    <row r="78" spans="11:23" ht="27.75" customHeight="1" x14ac:dyDescent="0.25">
      <c r="K78" s="849" t="s">
        <v>2021</v>
      </c>
      <c r="L78" s="849"/>
      <c r="M78" s="849"/>
      <c r="N78" s="849"/>
      <c r="O78" s="849"/>
      <c r="P78" s="849"/>
      <c r="Q78" s="849"/>
      <c r="R78" s="849"/>
      <c r="S78" s="849"/>
      <c r="T78" s="849"/>
      <c r="U78" s="849"/>
      <c r="V78" s="849"/>
      <c r="W78" s="849"/>
    </row>
    <row r="81" spans="11:21" x14ac:dyDescent="0.25">
      <c r="K81" s="621" t="s">
        <v>1809</v>
      </c>
      <c r="L81" s="621" t="s">
        <v>2010</v>
      </c>
      <c r="M81" s="621" t="s">
        <v>2011</v>
      </c>
      <c r="N81" s="621" t="s">
        <v>2012</v>
      </c>
      <c r="O81" s="621" t="s">
        <v>2013</v>
      </c>
      <c r="P81" s="621" t="s">
        <v>2014</v>
      </c>
      <c r="Q81" s="621" t="s">
        <v>2022</v>
      </c>
      <c r="R81" s="621" t="s">
        <v>2023</v>
      </c>
      <c r="S81" s="621" t="s">
        <v>2024</v>
      </c>
      <c r="T81" s="621" t="s">
        <v>2025</v>
      </c>
      <c r="U81" s="621" t="s">
        <v>2019</v>
      </c>
    </row>
    <row r="82" spans="11:21" x14ac:dyDescent="0.25">
      <c r="K82" s="622">
        <v>1</v>
      </c>
      <c r="L82" s="628">
        <f>Geometria!K415</f>
        <v>-0.0</v>
      </c>
      <c r="M82" s="622">
        <f>'Isolamento de cabos'!BO101*1000</f>
        <v>0.0</v>
      </c>
      <c r="N82" s="622" t="str">
        <f t="shared" ref="N82:N102" si="7">IF(M82&gt;$L$10*1000,"SIM","Nao")</f>
        <v>Nao</v>
      </c>
      <c r="O82" s="622">
        <f t="shared" ref="O82:O102" ca="1" si="8">(-(($L$14*$L$35+$L$15*$L$38))+SQRT((($L$14*$L$35+$L$15*$L$38))^2-4*(0.5*$L$23)*(-($L$14*$L$35*$L$26+$L$15*$L$38*$L$39))))/(2*(0.5*$L$23))</f>
        <v>7.748046561478962</v>
      </c>
      <c r="P82" s="622">
        <f ca="1">MAX(0,M82)*Geometria!$L$52/100^3</f>
        <v>0.0</v>
      </c>
      <c r="Q82" s="622">
        <f t="shared" ref="Q82:Q102" ca="1" si="9">IF(OR(N82&lt;&gt;"SIM",($L$35+$L$38=0)),0,(P82*100)*$L$14*($L$26-O82)/($L$23*O82^3/3+$L$14*$L$35*($L$26-O82)^2+$L$15*$L$38*($L$39-O82)^2)*10)</f>
        <v>0.0</v>
      </c>
      <c r="R82" s="622">
        <f t="shared" ref="R82:R102" si="10">IF(N82&lt;&gt;"SIM",0,IF($L$35=0,0,MIN(($L$36/(12.5*$L$16))*(Q82/$L$12)*(3*Q82/$L$9),($L$36/(12.5*$L$16))*(Q82/$L$12)*((4/$L$44)+45))))</f>
        <v>0.0</v>
      </c>
      <c r="S82" s="622">
        <f t="shared" ref="S82:S102" ca="1" si="11">IF(OR(N82&lt;&gt;"SIM",($L$35+$L$38=0)),0,(P82*100)*$L$15*($L$39-O82)/($L$23*O82^3/3+$L$14*$L$35*($L$26-O82)^2+$L$15*$L$38*($L$39-O82)^2)*10)</f>
        <v>0.0</v>
      </c>
      <c r="T82" s="622">
        <f t="shared" ref="T82:T102" si="12">IF(N82&lt;&gt;"SIM",0,IF($L$38=0,0,MIN(($L$36/(12.5*$L$17))*(S82/$L$13)*(3*S82/$L$9),($L$36/(12.5*$L$17))*(S82/$L$13)*((4/$L$45)+45))))</f>
        <v>0.0</v>
      </c>
      <c r="U82" s="623">
        <f t="shared" ref="U82:U102" si="13">MAX(R82,T82)</f>
        <v>0.0</v>
      </c>
    </row>
    <row r="83" spans="11:21" x14ac:dyDescent="0.25">
      <c r="K83" s="622">
        <v>2</v>
      </c>
      <c r="L83" s="628">
        <f>Geometria!L415</f>
        <v>0.39249999999999996</v>
      </c>
      <c r="M83" s="630">
        <f ca="1">'Isolamento de cabos'!BO102*1000</f>
        <v>-1066.7546836851948</v>
      </c>
      <c r="N83" s="622" t="str">
        <f t="shared" ca="1" si="7"/>
        <v>Nao</v>
      </c>
      <c r="O83" s="622">
        <f t="shared" ca="1" si="8"/>
        <v>7.748046561478962</v>
      </c>
      <c r="P83" s="622">
        <f ca="1">MAX(0,M83)*Geometria!$L$52/100^3</f>
        <v>0.0</v>
      </c>
      <c r="Q83" s="622">
        <f t="shared" ca="1" si="9"/>
        <v>0.0</v>
      </c>
      <c r="R83" s="622">
        <f t="shared" ca="1" si="10"/>
        <v>0.0</v>
      </c>
      <c r="S83" s="622">
        <f t="shared" ca="1" si="11"/>
        <v>0.0</v>
      </c>
      <c r="T83" s="622">
        <f t="shared" ca="1" si="12"/>
        <v>0.0</v>
      </c>
      <c r="U83" s="623">
        <f t="shared" ca="1" si="13"/>
        <v>0.0</v>
      </c>
    </row>
    <row r="84" spans="11:21" x14ac:dyDescent="0.25">
      <c r="K84" s="622">
        <v>3</v>
      </c>
      <c r="L84" s="628">
        <f>Geometria!M415</f>
        <v>0.7849999999999999</v>
      </c>
      <c r="M84" s="630">
        <f ca="1">'Isolamento de cabos'!BO103*1000</f>
        <v>-1812.2473105880242</v>
      </c>
      <c r="N84" s="622" t="str">
        <f t="shared" ca="1" si="7"/>
        <v>Nao</v>
      </c>
      <c r="O84" s="622">
        <f t="shared" ca="1" si="8"/>
        <v>7.748046561478962</v>
      </c>
      <c r="P84" s="622">
        <f ca="1">MAX(0,M84)*Geometria!$L$52/100^3</f>
        <v>0.0</v>
      </c>
      <c r="Q84" s="622">
        <f t="shared" ca="1" si="9"/>
        <v>0.0</v>
      </c>
      <c r="R84" s="622">
        <f t="shared" ca="1" si="10"/>
        <v>0.0</v>
      </c>
      <c r="S84" s="622">
        <f t="shared" ca="1" si="11"/>
        <v>0.0</v>
      </c>
      <c r="T84" s="622">
        <f t="shared" ca="1" si="12"/>
        <v>0.0</v>
      </c>
      <c r="U84" s="623">
        <f t="shared" ca="1" si="13"/>
        <v>0.0</v>
      </c>
    </row>
    <row r="85" spans="11:21" x14ac:dyDescent="0.25">
      <c r="K85" s="622">
        <v>4</v>
      </c>
      <c r="L85" s="628">
        <f>Geometria!N415</f>
        <v>1.1774999999999998</v>
      </c>
      <c r="M85" s="630">
        <f ca="1">'Isolamento de cabos'!BO104*1000</f>
        <v>-1801.6626049207532</v>
      </c>
      <c r="N85" s="622" t="str">
        <f t="shared" ca="1" si="7"/>
        <v>Nao</v>
      </c>
      <c r="O85" s="622">
        <f t="shared" ca="1" si="8"/>
        <v>7.748046561478962</v>
      </c>
      <c r="P85" s="622">
        <f ca="1">MAX(0,M85)*Geometria!$L$52/100^3</f>
        <v>0.0</v>
      </c>
      <c r="Q85" s="622">
        <f t="shared" ca="1" si="9"/>
        <v>0.0</v>
      </c>
      <c r="R85" s="622">
        <f t="shared" ca="1" si="10"/>
        <v>0.0</v>
      </c>
      <c r="S85" s="622">
        <f t="shared" ca="1" si="11"/>
        <v>0.0</v>
      </c>
      <c r="T85" s="622">
        <f t="shared" ca="1" si="12"/>
        <v>0.0</v>
      </c>
      <c r="U85" s="623">
        <f t="shared" ca="1" si="13"/>
        <v>0.0</v>
      </c>
    </row>
    <row r="86" spans="11:21" x14ac:dyDescent="0.25">
      <c r="K86" s="622">
        <v>5</v>
      </c>
      <c r="L86" s="628">
        <f>Geometria!O415</f>
        <v>1.5699999999999998</v>
      </c>
      <c r="M86" s="630">
        <f ca="1">'Isolamento de cabos'!BO105*1000</f>
        <v>-3889.864670285953</v>
      </c>
      <c r="N86" s="622" t="str">
        <f t="shared" ca="1" si="7"/>
        <v>Nao</v>
      </c>
      <c r="O86" s="622">
        <f t="shared" ca="1" si="8"/>
        <v>7.748046561478962</v>
      </c>
      <c r="P86" s="622">
        <f ca="1">MAX(0,M86)*Geometria!$L$52/100^3</f>
        <v>0.0</v>
      </c>
      <c r="Q86" s="622">
        <f t="shared" ca="1" si="9"/>
        <v>0.0</v>
      </c>
      <c r="R86" s="622">
        <f t="shared" ca="1" si="10"/>
        <v>0.0</v>
      </c>
      <c r="S86" s="622">
        <f t="shared" ca="1" si="11"/>
        <v>0.0</v>
      </c>
      <c r="T86" s="622">
        <f t="shared" ca="1" si="12"/>
        <v>0.0</v>
      </c>
      <c r="U86" s="623">
        <f t="shared" ca="1" si="13"/>
        <v>0.0</v>
      </c>
    </row>
    <row r="87" spans="11:21" x14ac:dyDescent="0.25">
      <c r="K87" s="622">
        <v>6</v>
      </c>
      <c r="L87" s="628">
        <f>Geometria!P415</f>
        <v>1.9625</v>
      </c>
      <c r="M87" s="630">
        <f ca="1">'Isolamento de cabos'!BO106*1000</f>
        <v>-5763.973303919795</v>
      </c>
      <c r="N87" s="622" t="str">
        <f t="shared" ca="1" si="7"/>
        <v>Nao</v>
      </c>
      <c r="O87" s="622">
        <f t="shared" ca="1" si="8"/>
        <v>7.748046561478962</v>
      </c>
      <c r="P87" s="622">
        <f ca="1">MAX(0,M87)*Geometria!$L$52/100^3</f>
        <v>0.0</v>
      </c>
      <c r="Q87" s="622">
        <f t="shared" ca="1" si="9"/>
        <v>0.0</v>
      </c>
      <c r="R87" s="622">
        <f t="shared" ca="1" si="10"/>
        <v>0.0</v>
      </c>
      <c r="S87" s="622">
        <f t="shared" ca="1" si="11"/>
        <v>0.0</v>
      </c>
      <c r="T87" s="622">
        <f t="shared" ca="1" si="12"/>
        <v>0.0</v>
      </c>
      <c r="U87" s="623">
        <f t="shared" ca="1" si="13"/>
        <v>0.0</v>
      </c>
    </row>
    <row r="88" spans="11:21" x14ac:dyDescent="0.25">
      <c r="K88" s="622">
        <v>7</v>
      </c>
      <c r="L88" s="628">
        <f>Geometria!Q415</f>
        <v>2.355</v>
      </c>
      <c r="M88" s="630">
        <f ca="1">'Isolamento de cabos'!BO107*1000</f>
        <v>-7325.689192334941</v>
      </c>
      <c r="N88" s="622" t="str">
        <f t="shared" ca="1" si="7"/>
        <v>Nao</v>
      </c>
      <c r="O88" s="622">
        <f t="shared" ca="1" si="8"/>
        <v>7.748046561478962</v>
      </c>
      <c r="P88" s="622">
        <f ca="1">MAX(0,M88)*Geometria!$L$52/100^3</f>
        <v>0.0</v>
      </c>
      <c r="Q88" s="622">
        <f t="shared" ca="1" si="9"/>
        <v>0.0</v>
      </c>
      <c r="R88" s="622">
        <f t="shared" ca="1" si="10"/>
        <v>0.0</v>
      </c>
      <c r="S88" s="622">
        <f t="shared" ca="1" si="11"/>
        <v>0.0</v>
      </c>
      <c r="T88" s="622">
        <f t="shared" ca="1" si="12"/>
        <v>0.0</v>
      </c>
      <c r="U88" s="623">
        <f t="shared" ca="1" si="13"/>
        <v>0.0</v>
      </c>
    </row>
    <row r="89" spans="11:21" x14ac:dyDescent="0.25">
      <c r="K89" s="622">
        <v>8</v>
      </c>
      <c r="L89" s="628">
        <f>Geometria!R415</f>
        <v>2.7475</v>
      </c>
      <c r="M89" s="630">
        <f ca="1">'Isolamento de cabos'!BO108*1000</f>
        <v>-8566.14322454006</v>
      </c>
      <c r="N89" s="622" t="str">
        <f t="shared" ca="1" si="7"/>
        <v>Nao</v>
      </c>
      <c r="O89" s="622">
        <f t="shared" ca="1" si="8"/>
        <v>7.748046561478962</v>
      </c>
      <c r="P89" s="622">
        <f ca="1">MAX(0,M89)*Geometria!$L$52/100^3</f>
        <v>0.0</v>
      </c>
      <c r="Q89" s="622">
        <f t="shared" ca="1" si="9"/>
        <v>0.0</v>
      </c>
      <c r="R89" s="622">
        <f t="shared" ca="1" si="10"/>
        <v>0.0</v>
      </c>
      <c r="S89" s="622">
        <f t="shared" ca="1" si="11"/>
        <v>0.0</v>
      </c>
      <c r="T89" s="622">
        <f t="shared" ca="1" si="12"/>
        <v>0.0</v>
      </c>
      <c r="U89" s="623">
        <f t="shared" ca="1" si="13"/>
        <v>0.0</v>
      </c>
    </row>
    <row r="90" spans="11:21" x14ac:dyDescent="0.25">
      <c r="K90" s="622">
        <v>9</v>
      </c>
      <c r="L90" s="628">
        <f>Geometria!K418</f>
        <v>3.14</v>
      </c>
      <c r="M90" s="630">
        <f ca="1">'Isolamento de cabos'!BO109*1000</f>
        <v>-9375.487598210499</v>
      </c>
      <c r="N90" s="622" t="str">
        <f t="shared" ca="1" si="7"/>
        <v>Nao</v>
      </c>
      <c r="O90" s="622">
        <f t="shared" ca="1" si="8"/>
        <v>7.748046561478962</v>
      </c>
      <c r="P90" s="622">
        <f ca="1">MAX(0,M90)*Geometria!$L$52/100^3</f>
        <v>0.0</v>
      </c>
      <c r="Q90" s="622">
        <f t="shared" ca="1" si="9"/>
        <v>0.0</v>
      </c>
      <c r="R90" s="622">
        <f t="shared" ca="1" si="10"/>
        <v>0.0</v>
      </c>
      <c r="S90" s="622">
        <f t="shared" ca="1" si="11"/>
        <v>0.0</v>
      </c>
      <c r="T90" s="622">
        <f t="shared" ca="1" si="12"/>
        <v>0.0</v>
      </c>
      <c r="U90" s="623">
        <f t="shared" ca="1" si="13"/>
        <v>0.0</v>
      </c>
    </row>
    <row r="91" spans="11:21" x14ac:dyDescent="0.25">
      <c r="K91" s="622">
        <v>10</v>
      </c>
      <c r="L91" s="628">
        <f>Geometria!L418</f>
        <v>3.5325</v>
      </c>
      <c r="M91" s="630">
        <f ca="1">'Isolamento de cabos'!BO110*1000</f>
        <v>-9857.380382525545</v>
      </c>
      <c r="N91" s="622" t="str">
        <f t="shared" ca="1" si="7"/>
        <v>Nao</v>
      </c>
      <c r="O91" s="622">
        <f t="shared" ca="1" si="8"/>
        <v>7.748046561478962</v>
      </c>
      <c r="P91" s="622">
        <f ca="1">MAX(0,M91)*Geometria!$L$52/100^3</f>
        <v>0.0</v>
      </c>
      <c r="Q91" s="622">
        <f t="shared" ca="1" si="9"/>
        <v>0.0</v>
      </c>
      <c r="R91" s="622">
        <f t="shared" ca="1" si="10"/>
        <v>0.0</v>
      </c>
      <c r="S91" s="622">
        <f t="shared" ca="1" si="11"/>
        <v>0.0</v>
      </c>
      <c r="T91" s="622">
        <f t="shared" ca="1" si="12"/>
        <v>0.0</v>
      </c>
      <c r="U91" s="623">
        <f t="shared" ca="1" si="13"/>
        <v>0.0</v>
      </c>
    </row>
    <row r="92" spans="11:21" x14ac:dyDescent="0.25">
      <c r="K92" s="622">
        <v>11</v>
      </c>
      <c r="L92" s="628">
        <f>Geometria!M418</f>
        <v>3.9250000000000003</v>
      </c>
      <c r="M92" s="630">
        <f ca="1">'Isolamento de cabos'!BO111*1000</f>
        <v>-10018.01131063056</v>
      </c>
      <c r="N92" s="622" t="str">
        <f t="shared" ca="1" si="7"/>
        <v>Nao</v>
      </c>
      <c r="O92" s="622">
        <f t="shared" ca="1" si="8"/>
        <v>7.748046561478962</v>
      </c>
      <c r="P92" s="622">
        <f ca="1">MAX(0,M92)*Geometria!$L$52/100^3</f>
        <v>0.0</v>
      </c>
      <c r="Q92" s="622">
        <f t="shared" ca="1" si="9"/>
        <v>0.0</v>
      </c>
      <c r="R92" s="622">
        <f t="shared" ca="1" si="10"/>
        <v>0.0</v>
      </c>
      <c r="S92" s="622">
        <f t="shared" ca="1" si="11"/>
        <v>0.0</v>
      </c>
      <c r="T92" s="622">
        <f t="shared" ca="1" si="12"/>
        <v>0.0</v>
      </c>
      <c r="U92" s="623">
        <f t="shared" ca="1" si="13"/>
        <v>0.0</v>
      </c>
    </row>
    <row r="93" spans="11:21" x14ac:dyDescent="0.25">
      <c r="K93" s="622">
        <v>12</v>
      </c>
      <c r="L93" s="628">
        <f>Geometria!N418</f>
        <v>4.3175</v>
      </c>
      <c r="M93" s="630">
        <f ca="1">'Isolamento de cabos'!BO112*1000</f>
        <v>-9857.380382525545</v>
      </c>
      <c r="N93" s="622" t="str">
        <f t="shared" ca="1" si="7"/>
        <v>Nao</v>
      </c>
      <c r="O93" s="622">
        <f t="shared" ca="1" si="8"/>
        <v>7.748046561478962</v>
      </c>
      <c r="P93" s="622">
        <f ca="1">MAX(0,M93)*Geometria!$L$52/100^3</f>
        <v>0.0</v>
      </c>
      <c r="Q93" s="622">
        <f t="shared" ca="1" si="9"/>
        <v>0.0</v>
      </c>
      <c r="R93" s="622">
        <f t="shared" ca="1" si="10"/>
        <v>0.0</v>
      </c>
      <c r="S93" s="622">
        <f t="shared" ca="1" si="11"/>
        <v>0.0</v>
      </c>
      <c r="T93" s="622">
        <f t="shared" ca="1" si="12"/>
        <v>0.0</v>
      </c>
      <c r="U93" s="623">
        <f t="shared" ca="1" si="13"/>
        <v>0.0</v>
      </c>
    </row>
    <row r="94" spans="11:21" x14ac:dyDescent="0.25">
      <c r="K94" s="622">
        <v>13</v>
      </c>
      <c r="L94" s="628">
        <f>Geometria!O418</f>
        <v>4.71</v>
      </c>
      <c r="M94" s="630">
        <f ca="1">'Isolamento de cabos'!BO113*1000</f>
        <v>-9375.487598210499</v>
      </c>
      <c r="N94" s="622" t="str">
        <f t="shared" ca="1" si="7"/>
        <v>Nao</v>
      </c>
      <c r="O94" s="622">
        <f t="shared" ca="1" si="8"/>
        <v>7.748046561478962</v>
      </c>
      <c r="P94" s="622">
        <f ca="1">MAX(0,M94)*Geometria!$L$52/100^3</f>
        <v>0.0</v>
      </c>
      <c r="Q94" s="622">
        <f t="shared" ca="1" si="9"/>
        <v>0.0</v>
      </c>
      <c r="R94" s="622">
        <f t="shared" ca="1" si="10"/>
        <v>0.0</v>
      </c>
      <c r="S94" s="622">
        <f t="shared" ca="1" si="11"/>
        <v>0.0</v>
      </c>
      <c r="T94" s="622">
        <f t="shared" ca="1" si="12"/>
        <v>0.0</v>
      </c>
      <c r="U94" s="623">
        <f t="shared" ca="1" si="13"/>
        <v>0.0</v>
      </c>
    </row>
    <row r="95" spans="11:21" x14ac:dyDescent="0.25">
      <c r="K95" s="622">
        <v>14</v>
      </c>
      <c r="L95" s="628">
        <f>Geometria!P418</f>
        <v>5.1025</v>
      </c>
      <c r="M95" s="630">
        <f ca="1">'Isolamento de cabos'!BO114*1000</f>
        <v>-8566.14322454006</v>
      </c>
      <c r="N95" s="622" t="str">
        <f t="shared" ca="1" si="7"/>
        <v>Nao</v>
      </c>
      <c r="O95" s="622">
        <f t="shared" ca="1" si="8"/>
        <v>7.748046561478962</v>
      </c>
      <c r="P95" s="622">
        <f ca="1">MAX(0,M95)*Geometria!$L$52/100^3</f>
        <v>0.0</v>
      </c>
      <c r="Q95" s="622">
        <f t="shared" ca="1" si="9"/>
        <v>0.0</v>
      </c>
      <c r="R95" s="622">
        <f t="shared" ca="1" si="10"/>
        <v>0.0</v>
      </c>
      <c r="S95" s="622">
        <f t="shared" ca="1" si="11"/>
        <v>0.0</v>
      </c>
      <c r="T95" s="622">
        <f t="shared" ca="1" si="12"/>
        <v>0.0</v>
      </c>
      <c r="U95" s="623">
        <f t="shared" ca="1" si="13"/>
        <v>0.0</v>
      </c>
    </row>
    <row r="96" spans="11:21" x14ac:dyDescent="0.25">
      <c r="K96" s="622">
        <v>15</v>
      </c>
      <c r="L96" s="628">
        <f>Geometria!Q418</f>
        <v>5.495</v>
      </c>
      <c r="M96" s="630">
        <f ca="1">'Isolamento de cabos'!BO115*1000</f>
        <v>-7325.689192334942</v>
      </c>
      <c r="N96" s="622" t="str">
        <f t="shared" ca="1" si="7"/>
        <v>Nao</v>
      </c>
      <c r="O96" s="622">
        <f t="shared" ca="1" si="8"/>
        <v>7.748046561478962</v>
      </c>
      <c r="P96" s="622">
        <f ca="1">MAX(0,M96)*Geometria!$L$52/100^3</f>
        <v>0.0</v>
      </c>
      <c r="Q96" s="622">
        <f t="shared" ca="1" si="9"/>
        <v>0.0</v>
      </c>
      <c r="R96" s="622">
        <f t="shared" ca="1" si="10"/>
        <v>0.0</v>
      </c>
      <c r="S96" s="622">
        <f t="shared" ca="1" si="11"/>
        <v>0.0</v>
      </c>
      <c r="T96" s="622">
        <f t="shared" ca="1" si="12"/>
        <v>0.0</v>
      </c>
      <c r="U96" s="623">
        <f t="shared" ca="1" si="13"/>
        <v>0.0</v>
      </c>
    </row>
    <row r="97" spans="11:23" x14ac:dyDescent="0.25">
      <c r="K97" s="622">
        <v>16</v>
      </c>
      <c r="L97" s="628">
        <f>Geometria!R418</f>
        <v>5.8875</v>
      </c>
      <c r="M97" s="630">
        <f ca="1">'Isolamento de cabos'!BO116*1000</f>
        <v>-5763.973303919795</v>
      </c>
      <c r="N97" s="622" t="str">
        <f t="shared" ca="1" si="7"/>
        <v>Nao</v>
      </c>
      <c r="O97" s="622">
        <f t="shared" ca="1" si="8"/>
        <v>7.748046561478962</v>
      </c>
      <c r="P97" s="622">
        <f ca="1">MAX(0,M97)*Geometria!$L$52/100^3</f>
        <v>0.0</v>
      </c>
      <c r="Q97" s="622">
        <f t="shared" ca="1" si="9"/>
        <v>0.0</v>
      </c>
      <c r="R97" s="622">
        <f t="shared" ca="1" si="10"/>
        <v>0.0</v>
      </c>
      <c r="S97" s="622">
        <f t="shared" ca="1" si="11"/>
        <v>0.0</v>
      </c>
      <c r="T97" s="622">
        <f t="shared" ca="1" si="12"/>
        <v>0.0</v>
      </c>
      <c r="U97" s="623">
        <f t="shared" ca="1" si="13"/>
        <v>0.0</v>
      </c>
    </row>
    <row r="98" spans="11:23" x14ac:dyDescent="0.25">
      <c r="K98" s="622">
        <v>17</v>
      </c>
      <c r="L98" s="628">
        <f>Geometria!K421</f>
        <v>6.28</v>
      </c>
      <c r="M98" s="630">
        <f ca="1">'Isolamento de cabos'!BO117*1000</f>
        <v>-3889.8646702859546</v>
      </c>
      <c r="N98" s="622" t="str">
        <f t="shared" ca="1" si="7"/>
        <v>Nao</v>
      </c>
      <c r="O98" s="622">
        <f t="shared" ca="1" si="8"/>
        <v>7.748046561478962</v>
      </c>
      <c r="P98" s="622">
        <f ca="1">MAX(0,M98)*Geometria!$L$52/100^3</f>
        <v>0.0</v>
      </c>
      <c r="Q98" s="622">
        <f t="shared" ca="1" si="9"/>
        <v>0.0</v>
      </c>
      <c r="R98" s="622">
        <f t="shared" ca="1" si="10"/>
        <v>0.0</v>
      </c>
      <c r="S98" s="622">
        <f t="shared" ca="1" si="11"/>
        <v>0.0</v>
      </c>
      <c r="T98" s="622">
        <f t="shared" ca="1" si="12"/>
        <v>0.0</v>
      </c>
      <c r="U98" s="623">
        <f t="shared" ca="1" si="13"/>
        <v>0.0</v>
      </c>
    </row>
    <row r="99" spans="11:23" x14ac:dyDescent="0.25">
      <c r="K99" s="622">
        <v>18</v>
      </c>
      <c r="L99" s="628">
        <f>Geometria!L421</f>
        <v>6.6725</v>
      </c>
      <c r="M99" s="630">
        <f ca="1">'Isolamento de cabos'!BO118*1000</f>
        <v>-1801.662604920755</v>
      </c>
      <c r="N99" s="622" t="str">
        <f t="shared" ca="1" si="7"/>
        <v>Nao</v>
      </c>
      <c r="O99" s="622">
        <f t="shared" ca="1" si="8"/>
        <v>7.748046561478962</v>
      </c>
      <c r="P99" s="622">
        <f ca="1">MAX(0,M99)*Geometria!$L$52/100^3</f>
        <v>0.0</v>
      </c>
      <c r="Q99" s="622">
        <f t="shared" ca="1" si="9"/>
        <v>0.0</v>
      </c>
      <c r="R99" s="622">
        <f t="shared" ca="1" si="10"/>
        <v>0.0</v>
      </c>
      <c r="S99" s="622">
        <f t="shared" ca="1" si="11"/>
        <v>0.0</v>
      </c>
      <c r="T99" s="622">
        <f t="shared" ca="1" si="12"/>
        <v>0.0</v>
      </c>
      <c r="U99" s="623">
        <f t="shared" ca="1" si="13"/>
        <v>0.0</v>
      </c>
    </row>
    <row r="100" spans="11:23" x14ac:dyDescent="0.25">
      <c r="K100" s="622">
        <v>19</v>
      </c>
      <c r="L100" s="628">
        <f>Geometria!M421</f>
        <v>7.065</v>
      </c>
      <c r="M100" s="630">
        <f ca="1">'Isolamento de cabos'!BO119*1000</f>
        <v>-1812.247310588026</v>
      </c>
      <c r="N100" s="622" t="str">
        <f t="shared" ca="1" si="7"/>
        <v>Nao</v>
      </c>
      <c r="O100" s="622">
        <f t="shared" ca="1" si="8"/>
        <v>7.748046561478962</v>
      </c>
      <c r="P100" s="622">
        <f ca="1">MAX(0,M100)*Geometria!$L$52/100^3</f>
        <v>0.0</v>
      </c>
      <c r="Q100" s="622">
        <f t="shared" ca="1" si="9"/>
        <v>0.0</v>
      </c>
      <c r="R100" s="622">
        <f t="shared" ca="1" si="10"/>
        <v>0.0</v>
      </c>
      <c r="S100" s="622">
        <f t="shared" ca="1" si="11"/>
        <v>0.0</v>
      </c>
      <c r="T100" s="622">
        <f t="shared" ca="1" si="12"/>
        <v>0.0</v>
      </c>
      <c r="U100" s="623">
        <f t="shared" ca="1" si="13"/>
        <v>0.0</v>
      </c>
    </row>
    <row r="101" spans="11:23" x14ac:dyDescent="0.25">
      <c r="K101" s="622">
        <v>20</v>
      </c>
      <c r="L101" s="628">
        <f>Geometria!N421</f>
        <v>7.4575000000000005</v>
      </c>
      <c r="M101" s="630">
        <f ca="1">'Isolamento de cabos'!BO120*1000</f>
        <v>-1066.7546836851966</v>
      </c>
      <c r="N101" s="622" t="str">
        <f t="shared" ca="1" si="7"/>
        <v>Nao</v>
      </c>
      <c r="O101" s="622">
        <f t="shared" ca="1" si="8"/>
        <v>7.748046561478962</v>
      </c>
      <c r="P101" s="622">
        <f ca="1">MAX(0,M101)*Geometria!$L$52/100^3</f>
        <v>0.0</v>
      </c>
      <c r="Q101" s="622">
        <f t="shared" ca="1" si="9"/>
        <v>0.0</v>
      </c>
      <c r="R101" s="622">
        <f t="shared" ca="1" si="10"/>
        <v>0.0</v>
      </c>
      <c r="S101" s="622">
        <f t="shared" ca="1" si="11"/>
        <v>0.0</v>
      </c>
      <c r="T101" s="622">
        <f t="shared" ca="1" si="12"/>
        <v>0.0</v>
      </c>
      <c r="U101" s="623">
        <f t="shared" ca="1" si="13"/>
        <v>0.0</v>
      </c>
    </row>
    <row r="102" spans="11:23" x14ac:dyDescent="0.25">
      <c r="K102" s="622">
        <v>21</v>
      </c>
      <c r="L102" s="628">
        <f>Geometria!O421</f>
        <v>7.8500000000000005</v>
      </c>
      <c r="M102" s="622">
        <f>'Isolamento de cabos'!BO121*1000</f>
        <v>0.0</v>
      </c>
      <c r="N102" s="622" t="str">
        <f t="shared" si="7"/>
        <v>Nao</v>
      </c>
      <c r="O102" s="622">
        <f t="shared" ca="1" si="8"/>
        <v>7.748046561478962</v>
      </c>
      <c r="P102" s="622">
        <f ca="1">MAX(0,M102)*Geometria!$L$52/100^3</f>
        <v>0.0</v>
      </c>
      <c r="Q102" s="622">
        <f t="shared" ca="1" si="9"/>
        <v>0.0</v>
      </c>
      <c r="R102" s="622">
        <f t="shared" si="10"/>
        <v>0.0</v>
      </c>
      <c r="S102" s="622">
        <f t="shared" ca="1" si="11"/>
        <v>0.0</v>
      </c>
      <c r="T102" s="622">
        <f t="shared" si="12"/>
        <v>0.0</v>
      </c>
      <c r="U102" s="623">
        <f t="shared" si="13"/>
        <v>0.0</v>
      </c>
    </row>
    <row r="105" spans="11:23" x14ac:dyDescent="0.25">
      <c r="K105" s="857" t="s">
        <v>2026</v>
      </c>
      <c r="L105" s="857"/>
      <c r="M105" s="857"/>
      <c r="N105" s="857"/>
      <c r="O105" s="857"/>
      <c r="P105" s="857"/>
      <c r="Q105" s="857"/>
      <c r="R105" s="857"/>
      <c r="S105" s="857"/>
      <c r="T105" s="857"/>
      <c r="U105" s="857"/>
      <c r="V105" s="857"/>
      <c r="W105" s="857"/>
    </row>
    <row r="107" spans="11:23" ht="15" customHeight="1" x14ac:dyDescent="0.25">
      <c r="K107" s="591" t="s">
        <v>2027</v>
      </c>
      <c r="L107" s="623">
        <f ca="1">MAX(U54:U74)</f>
        <v>0.014457637600780773</v>
      </c>
      <c r="M107" s="591" t="s">
        <v>460</v>
      </c>
      <c r="N107" s="631" t="str">
        <f ca="1">IF(OR(MAX(Q54:Q74)&gt;'Momento Resistente - Ap+As'!$L$11,MAX(Q82:Q102)&gt;'Momento Resistente - Ap+As'!$L$11),"⚠ Aço passivo escoado (As ou As') — verifique o ELU (aba Momento Resistente - Ap+As)",IF(OR((MAX(S54:S74)+Geometria!$N$368*10)&gt;MAX(Geometria!$W$1129:$W$1140)*10,(MAX(S82:S102)+Geometria!$N$369*10)&gt;MAX(Geometria!$W$1129:$W$1140)*10),"⚠ Cordoalha (Ap ou A'p) perto do limite da tabela tensão-deformação — verifique o ELU (aba Momento Resistente - Ap+As)",""))</f>
        <v/>
      </c>
    </row>
    <row r="108" spans="11:23" x14ac:dyDescent="0.25">
      <c r="K108" s="591" t="s">
        <v>2028</v>
      </c>
      <c r="L108" s="623">
        <f ca="1">MAX(U82:U102)</f>
        <v>0.0</v>
      </c>
      <c r="M108" s="591" t="s">
        <v>460</v>
      </c>
    </row>
    <row r="109" spans="11:23" ht="27.75" customHeight="1" x14ac:dyDescent="0.25">
      <c r="K109" s="591" t="s">
        <v>2029</v>
      </c>
      <c r="L109" s="615">
        <v>0.3</v>
      </c>
      <c r="M109" s="591" t="s">
        <v>460</v>
      </c>
      <c r="N109" s="849" t="s">
        <v>2030</v>
      </c>
      <c r="O109" s="849"/>
      <c r="P109" s="849"/>
      <c r="Q109" s="849"/>
      <c r="R109" s="849"/>
      <c r="S109" s="849"/>
      <c r="T109" s="849"/>
      <c r="U109" s="849"/>
      <c r="V109" s="849"/>
      <c r="W109" s="849"/>
    </row>
    <row r="111" spans="11:23" ht="15" customHeight="1" x14ac:dyDescent="0.25">
      <c r="K111" s="849" t="s">
        <v>2031</v>
      </c>
      <c r="L111" s="849"/>
      <c r="M111" s="849"/>
      <c r="N111" s="849"/>
      <c r="O111" s="849"/>
      <c r="P111" s="849"/>
      <c r="Q111" s="849"/>
      <c r="R111" s="849"/>
      <c r="S111" s="849"/>
      <c r="T111" s="849"/>
      <c r="U111" s="849"/>
      <c r="V111" s="849"/>
      <c r="W111" s="849"/>
    </row>
  </sheetData>
  <mergeCells count="29">
    <mergeCell ref="K1:W1"/>
    <mergeCell ref="K3:W3"/>
    <mergeCell ref="K5:W5"/>
    <mergeCell ref="K7:W7"/>
    <mergeCell ref="N9:W9"/>
    <mergeCell ref="N10:W10"/>
    <mergeCell ref="N11:W11"/>
    <mergeCell ref="N12:W12"/>
    <mergeCell ref="N13:W13"/>
    <mergeCell ref="N14:W14"/>
    <mergeCell ref="N15:W15"/>
    <mergeCell ref="N16:W16"/>
    <mergeCell ref="N17:W17"/>
    <mergeCell ref="K19:W19"/>
    <mergeCell ref="N21:W21"/>
    <mergeCell ref="N23:W23"/>
    <mergeCell ref="N30:W30"/>
    <mergeCell ref="N33:W33"/>
    <mergeCell ref="N37:W37"/>
    <mergeCell ref="N38:W38"/>
    <mergeCell ref="K78:W78"/>
    <mergeCell ref="K105:W105"/>
    <mergeCell ref="N109:W109"/>
    <mergeCell ref="K111:W111"/>
    <mergeCell ref="N39:W39"/>
    <mergeCell ref="K41:W41"/>
    <mergeCell ref="K48:W48"/>
    <mergeCell ref="K50:W50"/>
    <mergeCell ref="K76:W76"/>
  </mergeCells>
  <pageMargins left="0.7" right="0.7" top="0.75" bottom="0.75" header="0.511811023622047" footer="0.511811023622047"/>
  <pageSetup paperSize="9" scale="55" orientation="portrait" horizontalDpi="300" verticalDpi="300" r:id="rId1"/>
  <rowBreaks count="1" manualBreakCount="1">
    <brk id="51" max="16383"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V165"/>
  <sheetViews>
    <sheetView showGridLines="0" view="pageBreakPreview" topLeftCell="F109" zoomScale="85" zoomScaleNormal="100" zoomScaleSheetLayoutView="85" workbookViewId="0">
      <selection activeCell="K100" sqref="K100"/>
    </sheetView>
  </sheetViews>
  <sheetFormatPr defaultColWidth="8.5703125" defaultRowHeight="15" x14ac:dyDescent="0.25"/>
  <cols>
    <col min="11" max="11" width="45" customWidth="1"/>
    <col min="12" max="14" width="22" customWidth="1"/>
    <col min="15" max="15" width="12.7109375" customWidth="1"/>
    <col min="16" max="16" width="13.7109375" customWidth="1"/>
    <col min="17" max="17" width="12.7109375" customWidth="1"/>
    <col min="18" max="18" width="14" customWidth="1"/>
    <col min="19" max="19" width="12.85546875" customWidth="1"/>
    <col min="20" max="20" width="13.7109375" customWidth="1"/>
    <col min="21" max="21" width="12.7109375" customWidth="1"/>
    <col min="22" max="22" width="14.7109375" customWidth="1"/>
  </cols>
  <sheetData>
    <row r="1" spans="11:22" x14ac:dyDescent="0.25">
      <c r="K1" s="742" t="s">
        <v>2032</v>
      </c>
      <c r="L1" s="742"/>
      <c r="M1" s="742"/>
      <c r="N1" s="742"/>
      <c r="O1" s="742"/>
      <c r="P1" s="742"/>
      <c r="Q1" s="742"/>
      <c r="R1" s="742"/>
      <c r="S1" s="742"/>
      <c r="T1" s="742"/>
      <c r="U1" s="742"/>
      <c r="V1" s="742"/>
    </row>
    <row r="3" spans="11:22" x14ac:dyDescent="0.25">
      <c r="K3" s="742" t="s">
        <v>1397</v>
      </c>
      <c r="L3" s="742"/>
      <c r="M3" s="742"/>
      <c r="N3" s="742"/>
      <c r="O3" s="742"/>
      <c r="P3" s="742"/>
      <c r="Q3" s="742"/>
      <c r="R3" s="742"/>
      <c r="S3" s="742"/>
      <c r="T3" s="742"/>
      <c r="U3" s="742"/>
      <c r="V3" s="742"/>
    </row>
    <row r="4" spans="11:22" x14ac:dyDescent="0.25">
      <c r="K4" s="27" t="s">
        <v>2033</v>
      </c>
      <c r="M4" s="37">
        <v>300</v>
      </c>
      <c r="N4" s="4" t="s">
        <v>35</v>
      </c>
    </row>
    <row r="5" spans="11:22" x14ac:dyDescent="0.25">
      <c r="K5" s="27" t="s">
        <v>2034</v>
      </c>
      <c r="M5" s="37">
        <v>15</v>
      </c>
      <c r="N5" s="4" t="s">
        <v>35</v>
      </c>
    </row>
    <row r="6" spans="11:22" x14ac:dyDescent="0.25">
      <c r="K6" s="27" t="s">
        <v>2035</v>
      </c>
      <c r="M6" s="37">
        <v>32</v>
      </c>
      <c r="N6" s="4" t="s">
        <v>35</v>
      </c>
    </row>
    <row r="7" spans="11:22" x14ac:dyDescent="0.25">
      <c r="K7" s="27" t="s">
        <v>2036</v>
      </c>
      <c r="M7" s="37">
        <v>15</v>
      </c>
      <c r="N7" s="4" t="s">
        <v>35</v>
      </c>
    </row>
    <row r="8" spans="11:22" x14ac:dyDescent="0.25">
      <c r="K8" s="27" t="s">
        <v>2037</v>
      </c>
      <c r="M8" s="37">
        <v>0</v>
      </c>
      <c r="N8" s="98" t="s">
        <v>203</v>
      </c>
    </row>
    <row r="10" spans="11:22" x14ac:dyDescent="0.25">
      <c r="K10" s="742" t="s">
        <v>2038</v>
      </c>
      <c r="L10" s="742"/>
      <c r="M10" s="742"/>
      <c r="N10" s="742"/>
      <c r="O10" s="742"/>
      <c r="P10" s="742"/>
      <c r="Q10" s="742"/>
      <c r="R10" s="742"/>
      <c r="S10" s="742"/>
      <c r="T10" s="742"/>
      <c r="U10" s="742"/>
      <c r="V10" s="742"/>
    </row>
    <row r="11" spans="11:22" x14ac:dyDescent="0.25">
      <c r="K11" s="27" t="s">
        <v>2498</v>
      </c>
      <c r="M11" s="42">
        <f>Taxas!$J$6</f>
        <v>90.0</v>
      </c>
      <c r="N11" s="4" t="s">
        <v>35</v>
      </c>
    </row>
    <row r="12" spans="11:22" x14ac:dyDescent="0.25">
      <c r="K12" s="27" t="s">
        <v>2499</v>
      </c>
      <c r="M12" s="42">
        <f>MIN($M$4,Geometria!$L$29-$M$4)-(Geometria!$L$25-Geometria!$L$29)/2</f>
        <v>285.0</v>
      </c>
      <c r="N12" s="4" t="s">
        <v>35</v>
      </c>
    </row>
    <row r="13" spans="11:22" x14ac:dyDescent="0.25">
      <c r="K13" s="27" t="s">
        <v>2039</v>
      </c>
      <c r="M13" s="42">
        <f>2*$M$11</f>
        <v>180.0</v>
      </c>
      <c r="N13" s="4" t="s">
        <v>35</v>
      </c>
    </row>
    <row r="14" spans="11:22" x14ac:dyDescent="0.25">
      <c r="K14" s="27" t="s">
        <v>2040</v>
      </c>
      <c r="M14" s="42" t="str">
        <f>IF($M$12&gt;=$M$13,"OK","NÃO ATENDE — abertura muito próxima do apoio")</f>
        <v>OK</v>
      </c>
    </row>
    <row r="15" spans="11:22" x14ac:dyDescent="0.25">
      <c r="K15" s="27" t="s">
        <v>2500</v>
      </c>
      <c r="M15" s="42">
        <f>MIN(12,$M$11/3)</f>
        <v>12.0</v>
      </c>
      <c r="N15" s="4" t="s">
        <v>35</v>
      </c>
    </row>
    <row r="16" spans="11:22" x14ac:dyDescent="0.25">
      <c r="K16" s="27" t="s">
        <v>2041</v>
      </c>
      <c r="M16" s="42" t="str">
        <f>IF(MAX($M$5,$M$7)&lt;=$M$15,"OK","NÃO ATENDE — furo maior que o limite (considerando o maior entre altura e comprimento)")</f>
        <v>NÃO ATENDE — furo maior que o limite (considerando o maior entre altura e comprimento)</v>
      </c>
    </row>
    <row r="17" spans="11:22" x14ac:dyDescent="0.25">
      <c r="K17" s="27" t="s">
        <v>2042</v>
      </c>
      <c r="M17" s="4" t="s">
        <v>2043</v>
      </c>
    </row>
    <row r="18" spans="11:22" x14ac:dyDescent="0.25">
      <c r="K18" s="27" t="s">
        <v>2044</v>
      </c>
      <c r="M18" s="42" t="str">
        <f ca="1">IF(AND($M$14="OK",$M$16="OK",$M$19="OK"),"DISPENSADO — furo pequeno, não precisa do cálculo abaixo","NÃO DISPENSADO — furo deve ser verificado (cálculo abaixo)")</f>
        <v>NÃO DISPENSADO — furo deve ser verificado (cálculo abaixo)</v>
      </c>
    </row>
    <row r="19" spans="11:22" x14ac:dyDescent="0.25">
      <c r="K19" s="27" t="s">
        <v>2501</v>
      </c>
      <c r="M19" s="42" t="str">
        <f ca="1">IF($M$6+$M$5/2&lt;=$M$11-Geometria!$L$1135,"OK","NÃO ATENDE — furo na zona comprimida")</f>
        <v>OK</v>
      </c>
    </row>
    <row r="20" spans="11:22" x14ac:dyDescent="0.25">
      <c r="K20" s="742" t="s">
        <v>2502</v>
      </c>
      <c r="L20" s="742"/>
      <c r="M20" s="742"/>
      <c r="N20" s="742"/>
      <c r="O20" s="742"/>
      <c r="P20" s="742"/>
      <c r="Q20" s="742"/>
      <c r="R20" s="742"/>
      <c r="S20" s="742"/>
      <c r="T20" s="742"/>
      <c r="U20" s="742"/>
      <c r="V20" s="742"/>
    </row>
    <row r="21" spans="11:22" x14ac:dyDescent="0.25">
      <c r="K21" s="27" t="s">
        <v>1150</v>
      </c>
      <c r="L21" s="4" t="s">
        <v>968</v>
      </c>
      <c r="M21" s="4" t="s">
        <v>2503</v>
      </c>
      <c r="N21" s="4" t="s">
        <v>2504</v>
      </c>
      <c r="O21" s="4" t="s">
        <v>2505</v>
      </c>
      <c r="P21" s="4" t="s">
        <v>2506</v>
      </c>
    </row>
    <row r="22" spans="11:22" x14ac:dyDescent="0.25">
      <c r="K22" s="27">
        <f>0</f>
        <v>0.0</v>
      </c>
      <c r="L22" s="42">
        <f>'Cargas adicionais'!$L$243</f>
        <v>0.0</v>
      </c>
      <c r="M22" s="42">
        <f ca="1">Geometria!$N$220*'Cargas adicionais'!$O$243+Geometria!$O$77*('Cargas adicionais'!$R$243+'Cargas adicionais'!$U$243)</f>
        <v>0.0</v>
      </c>
      <c r="N22" s="42">
        <f ca="1">Geometria!$N$220*'Cargas adicionais'!$N$243+Geometria!$O$77*('Cargas adicionais'!$Q$243+'Cargas adicionais'!$T$243)</f>
        <v>1030.4601290625</v>
      </c>
      <c r="O22" s="42">
        <f>'Cargas adicionais'!$O$243+'Cargas adicionais'!$R$243+Geometria!$L$76*'Cargas adicionais'!$U$243</f>
        <v>0.0</v>
      </c>
      <c r="P22" s="42">
        <f>'Cargas adicionais'!$O$243</f>
        <v>0.0</v>
      </c>
    </row>
    <row r="23" spans="11:22" x14ac:dyDescent="0.25">
      <c r="K23" s="27">
        <f>1</f>
        <v>1.0</v>
      </c>
      <c r="L23" s="42">
        <f>'Cargas adicionais'!$L$244</f>
        <v>39.25</v>
      </c>
      <c r="M23" s="42">
        <f ca="1">Geometria!$N$220*'Cargas adicionais'!$O$244+Geometria!$O$77*('Cargas adicionais'!$R$244+'Cargas adicionais'!$U$244)</f>
        <v>384.2328206241798</v>
      </c>
      <c r="N23" s="42">
        <f ca="1">Geometria!$N$220*'Cargas adicionais'!$N$244+Geometria!$O$77*('Cargas adicionais'!$Q$244+'Cargas adicionais'!$T$244)</f>
        <v>927.4141161562502</v>
      </c>
      <c r="O23" s="42">
        <f ca="1">'Cargas adicionais'!$O$244+'Cargas adicionais'!$R$244+Geometria!$L$76*'Cargas adicionais'!$U$244</f>
        <v>191.62988575039066</v>
      </c>
      <c r="P23" s="42">
        <f ca="1">'Cargas adicionais'!$O$244</f>
        <v>54.93577512539062</v>
      </c>
    </row>
    <row r="24" spans="11:22" x14ac:dyDescent="0.25">
      <c r="K24" s="27">
        <f>2</f>
        <v>2.0</v>
      </c>
      <c r="L24" s="42">
        <f>'Cargas adicionais'!$L$245</f>
        <v>78.5</v>
      </c>
      <c r="M24" s="42">
        <f ca="1">Geometria!$N$220*'Cargas adicionais'!$O$245+Geometria!$O$77*('Cargas adicionais'!$R$245+'Cargas adicionais'!$U$245)</f>
        <v>728.0200811826564</v>
      </c>
      <c r="N24" s="42">
        <f ca="1">Geometria!$N$220*'Cargas adicionais'!$N$245+Geometria!$O$77*('Cargas adicionais'!$Q$245+'Cargas adicionais'!$T$245)</f>
        <v>824.3681032500001</v>
      </c>
      <c r="O24" s="42">
        <f ca="1">'Cargas adicionais'!$O$245+'Cargas adicionais'!$R$245+Geometria!$L$76*'Cargas adicionais'!$U$245</f>
        <v>363.08820457968756</v>
      </c>
      <c r="P24" s="42">
        <f ca="1">'Cargas adicionais'!$O$245</f>
        <v>104.0888370796875</v>
      </c>
    </row>
    <row r="25" spans="11:22" x14ac:dyDescent="0.25">
      <c r="K25" s="27">
        <f>3</f>
        <v>3.0</v>
      </c>
      <c r="L25" s="42">
        <f>'Cargas adicionais'!$L$246</f>
        <v>117.75</v>
      </c>
      <c r="M25" s="42">
        <f ca="1">Geometria!$N$220*'Cargas adicionais'!$O$246+Geometria!$O$77*('Cargas adicionais'!$R$246+'Cargas adicionais'!$U$246)</f>
        <v>1031.36178167543</v>
      </c>
      <c r="N25" s="42">
        <f ca="1">Geometria!$N$220*'Cargas adicionais'!$N$246+Geometria!$O$77*('Cargas adicionais'!$Q$246+'Cargas adicionais'!$T$246)</f>
        <v>721.3220903437502</v>
      </c>
      <c r="O25" s="42">
        <f ca="1">'Cargas adicionais'!$O$246+'Cargas adicionais'!$R$246+Geometria!$L$76*'Cargas adicionais'!$U$246</f>
        <v>514.3749564878907</v>
      </c>
      <c r="P25" s="42">
        <f ca="1">'Cargas adicionais'!$O$246</f>
        <v>147.45918586289062</v>
      </c>
    </row>
    <row r="26" spans="11:22" x14ac:dyDescent="0.25">
      <c r="K26" s="27">
        <f>4</f>
        <v>4.0</v>
      </c>
      <c r="L26" s="42">
        <f>'Cargas adicionais'!$L$247</f>
        <v>157.0</v>
      </c>
      <c r="M26" s="42">
        <f ca="1">Geometria!$N$220*'Cargas adicionais'!$O$247+Geometria!$O$77*('Cargas adicionais'!$R$247+'Cargas adicionais'!$U$247)</f>
        <v>1294.2579221025</v>
      </c>
      <c r="N26" s="42">
        <f ca="1">Geometria!$N$220*'Cargas adicionais'!$N$247+Geometria!$O$77*('Cargas adicionais'!$Q$247+'Cargas adicionais'!$T$247)</f>
        <v>618.2760774375001</v>
      </c>
      <c r="O26" s="42">
        <f ca="1">'Cargas adicionais'!$O$247+'Cargas adicionais'!$R$247+Geometria!$L$76*'Cargas adicionais'!$U$247</f>
        <v>645.4901414750001</v>
      </c>
      <c r="P26" s="42">
        <f ca="1">'Cargas adicionais'!$O$247</f>
        <v>185.046821475</v>
      </c>
    </row>
    <row r="27" spans="11:22" x14ac:dyDescent="0.25">
      <c r="K27" s="27">
        <f>5</f>
        <v>5.0</v>
      </c>
      <c r="L27" s="42">
        <f>'Cargas adicionais'!$L$248</f>
        <v>196.25</v>
      </c>
      <c r="M27" s="42">
        <f ca="1">Geometria!$N$220*'Cargas adicionais'!$O$248+Geometria!$O$77*('Cargas adicionais'!$R$248+'Cargas adicionais'!$U$248)</f>
        <v>1516.7085024638675</v>
      </c>
      <c r="N27" s="42">
        <f ca="1">Geometria!$N$220*'Cargas adicionais'!$N$248+Geometria!$O$77*('Cargas adicionais'!$Q$248+'Cargas adicionais'!$T$248)</f>
        <v>515.23006453125</v>
      </c>
      <c r="O27" s="42">
        <f ca="1">'Cargas adicionais'!$O$248+'Cargas adicionais'!$R$248+Geometria!$L$76*'Cargas adicionais'!$U$248</f>
        <v>756.4337595410157</v>
      </c>
      <c r="P27" s="42">
        <f ca="1">'Cargas adicionais'!$O$248</f>
        <v>216.85174391601564</v>
      </c>
    </row>
    <row r="28" spans="11:22" x14ac:dyDescent="0.25">
      <c r="K28" s="27">
        <f>6</f>
        <v>6.0</v>
      </c>
      <c r="L28" s="42">
        <f>'Cargas adicionais'!$L$249</f>
        <v>235.5</v>
      </c>
      <c r="M28" s="42">
        <f ca="1">Geometria!$N$220*'Cargas adicionais'!$O$249+Geometria!$O$77*('Cargas adicionais'!$R$249+'Cargas adicionais'!$U$249)</f>
        <v>1698.7135227595315</v>
      </c>
      <c r="N28" s="42">
        <f ca="1">Geometria!$N$220*'Cargas adicionais'!$N$249+Geometria!$O$77*('Cargas adicionais'!$Q$249+'Cargas adicionais'!$T$249)</f>
        <v>412.1840516250001</v>
      </c>
      <c r="O28" s="42">
        <f ca="1">'Cargas adicionais'!$O$249+'Cargas adicionais'!$R$249+Geometria!$L$76*'Cargas adicionais'!$U$249</f>
        <v>847.2058106859376</v>
      </c>
      <c r="P28" s="42">
        <f ca="1">'Cargas adicionais'!$O$249</f>
        <v>242.87395318593752</v>
      </c>
    </row>
    <row r="29" spans="11:22" x14ac:dyDescent="0.25">
      <c r="K29" s="27">
        <f>7</f>
        <v>7.0</v>
      </c>
      <c r="L29" s="42">
        <f>'Cargas adicionais'!$L$250</f>
        <v>274.75</v>
      </c>
      <c r="M29" s="42">
        <f ca="1">Geometria!$N$220*'Cargas adicionais'!$O$250+Geometria!$O$77*('Cargas adicionais'!$R$250+'Cargas adicionais'!$U$250)</f>
        <v>1840.2729829894924</v>
      </c>
      <c r="N29" s="42">
        <f ca="1">Geometria!$N$220*'Cargas adicionais'!$N$250+Geometria!$O$77*('Cargas adicionais'!$Q$250+'Cargas adicionais'!$T$250)</f>
        <v>309.1380387187501</v>
      </c>
      <c r="O29" s="42">
        <f ca="1">'Cargas adicionais'!$O$250+'Cargas adicionais'!$R$250+Geometria!$L$76*'Cargas adicionais'!$U$250</f>
        <v>917.8062949097658</v>
      </c>
      <c r="P29" s="42">
        <f ca="1">'Cargas adicionais'!$O$250</f>
        <v>263.11344928476564</v>
      </c>
    </row>
    <row r="30" spans="11:22" x14ac:dyDescent="0.25">
      <c r="K30" s="27">
        <f>8</f>
        <v>8.0</v>
      </c>
      <c r="L30" s="42">
        <f>'Cargas adicionais'!$L$251</f>
        <v>314.0</v>
      </c>
      <c r="M30" s="42">
        <f ca="1">Geometria!$N$220*'Cargas adicionais'!$O$251+Geometria!$O$77*('Cargas adicionais'!$R$251+'Cargas adicionais'!$U$251)</f>
        <v>1941.3868831537504</v>
      </c>
      <c r="N30" s="42">
        <f ca="1">Geometria!$N$220*'Cargas adicionais'!$N$251+Geometria!$O$77*('Cargas adicionais'!$Q$251+'Cargas adicionais'!$T$251)</f>
        <v>206.09202581250008</v>
      </c>
      <c r="O30" s="42">
        <f ca="1">'Cargas adicionais'!$O$251+'Cargas adicionais'!$R$251+Geometria!$L$76*'Cargas adicionais'!$U$251</f>
        <v>968.2352122125001</v>
      </c>
      <c r="P30" s="42">
        <f ca="1">'Cargas adicionais'!$O$251</f>
        <v>277.5702322125</v>
      </c>
    </row>
    <row r="31" spans="11:22" x14ac:dyDescent="0.25">
      <c r="K31" s="27">
        <f>9</f>
        <v>9.0</v>
      </c>
      <c r="L31" s="42">
        <f>'Cargas adicionais'!$L$252</f>
        <v>353.25</v>
      </c>
      <c r="M31" s="42">
        <f ca="1">Geometria!$N$220*'Cargas adicionais'!$O$252+Geometria!$O$77*('Cargas adicionais'!$R$252+'Cargas adicionais'!$U$252)</f>
        <v>2002.0552232523053</v>
      </c>
      <c r="N31" s="42">
        <f ca="1">Geometria!$N$220*'Cargas adicionais'!$N$252+Geometria!$O$77*('Cargas adicionais'!$Q$252+'Cargas adicionais'!$T$252)</f>
        <v>103.04601290625008</v>
      </c>
      <c r="O31" s="42">
        <f ca="1">'Cargas adicionais'!$O$252+'Cargas adicionais'!$R$252+Geometria!$L$76*'Cargas adicionais'!$U$252</f>
        <v>998.4925625941407</v>
      </c>
      <c r="P31" s="42">
        <f ca="1">'Cargas adicionais'!$O$252</f>
        <v>286.2443019691406</v>
      </c>
    </row>
    <row r="32" spans="11:22" x14ac:dyDescent="0.25">
      <c r="K32" s="27">
        <f>10</f>
        <v>10.0</v>
      </c>
      <c r="L32" s="42">
        <f>'Cargas adicionais'!$L$253</f>
        <v>392.5</v>
      </c>
      <c r="M32" s="42">
        <f ca="1">Geometria!$N$220*'Cargas adicionais'!$O$253+Geometria!$O$77*('Cargas adicionais'!$R$253+'Cargas adicionais'!$U$253)</f>
        <v>2022.278003285157</v>
      </c>
      <c r="N32" s="42">
        <f ca="1">Geometria!$N$220*'Cargas adicionais'!$N$253+Geometria!$O$77*('Cargas adicionais'!$Q$253+'Cargas adicionais'!$T$253)</f>
        <v>0.0</v>
      </c>
      <c r="O32" s="42">
        <f ca="1">'Cargas adicionais'!$O$253+'Cargas adicionais'!$R$253+Geometria!$L$76*'Cargas adicionais'!$U$253</f>
        <v>1008.5783460546878</v>
      </c>
      <c r="P32" s="42">
        <f ca="1">'Cargas adicionais'!$O$253</f>
        <v>289.1356585546875</v>
      </c>
    </row>
    <row r="33" spans="11:22" x14ac:dyDescent="0.25">
      <c r="K33" s="27">
        <f>11</f>
        <v>11.0</v>
      </c>
      <c r="L33" s="42">
        <f>'Cargas adicionais'!$L$254</f>
        <v>431.75</v>
      </c>
      <c r="M33" s="42">
        <f ca="1">Geometria!$N$220*'Cargas adicionais'!$O$254+Geometria!$O$77*('Cargas adicionais'!$R$254+'Cargas adicionais'!$U$254)</f>
        <v>2002.0552232523057</v>
      </c>
      <c r="N33" s="42">
        <f ca="1">Geometria!$N$220*'Cargas adicionais'!$N$254+Geometria!$O$77*('Cargas adicionais'!$Q$254+'Cargas adicionais'!$T$254)</f>
        <v>-103.04601290624977</v>
      </c>
      <c r="O33" s="42">
        <f ca="1">'Cargas adicionais'!$O$254+'Cargas adicionais'!$R$254+Geometria!$L$76*'Cargas adicionais'!$U$254</f>
        <v>998.492562594141</v>
      </c>
      <c r="P33" s="42">
        <f ca="1">'Cargas adicionais'!$O$254</f>
        <v>286.2443019691406</v>
      </c>
    </row>
    <row r="34" spans="11:22" x14ac:dyDescent="0.25">
      <c r="K34" s="27">
        <f>12</f>
        <v>12.0</v>
      </c>
      <c r="L34" s="42">
        <f>'Cargas adicionais'!$L$255</f>
        <v>471.0</v>
      </c>
      <c r="M34" s="42">
        <f ca="1">Geometria!$N$220*'Cargas adicionais'!$O$255+Geometria!$O$77*('Cargas adicionais'!$R$255+'Cargas adicionais'!$U$255)</f>
        <v>1941.3868831537511</v>
      </c>
      <c r="N34" s="42">
        <f ca="1">Geometria!$N$220*'Cargas adicionais'!$N$255+Geometria!$O$77*('Cargas adicionais'!$Q$255+'Cargas adicionais'!$T$255)</f>
        <v>-206.09202581249986</v>
      </c>
      <c r="O34" s="42">
        <f ca="1">'Cargas adicionais'!$O$255+'Cargas adicionais'!$R$255+Geometria!$L$76*'Cargas adicionais'!$U$255</f>
        <v>968.2352122125005</v>
      </c>
      <c r="P34" s="42">
        <f ca="1">'Cargas adicionais'!$O$255</f>
        <v>277.5702322125</v>
      </c>
    </row>
    <row r="35" spans="11:22" x14ac:dyDescent="0.25">
      <c r="K35" s="27">
        <f>13</f>
        <v>13.0</v>
      </c>
      <c r="L35" s="42">
        <f>'Cargas adicionais'!$L$256</f>
        <v>510.25</v>
      </c>
      <c r="M35" s="42">
        <f ca="1">Geometria!$N$220*'Cargas adicionais'!$O$256+Geometria!$O$77*('Cargas adicionais'!$R$256+'Cargas adicionais'!$U$256)</f>
        <v>1840.2729829894934</v>
      </c>
      <c r="N35" s="42">
        <f ca="1">Geometria!$N$220*'Cargas adicionais'!$N$256+Geometria!$O$77*('Cargas adicionais'!$Q$256+'Cargas adicionais'!$T$256)</f>
        <v>-309.1380387187498</v>
      </c>
      <c r="O35" s="42">
        <f ca="1">'Cargas adicionais'!$O$256+'Cargas adicionais'!$R$256+Geometria!$L$76*'Cargas adicionais'!$U$256</f>
        <v>917.8062949097662</v>
      </c>
      <c r="P35" s="42">
        <f ca="1">'Cargas adicionais'!$O$256</f>
        <v>263.11344928476564</v>
      </c>
    </row>
    <row r="36" spans="11:22" x14ac:dyDescent="0.25">
      <c r="K36" s="27">
        <f>14</f>
        <v>14.0</v>
      </c>
      <c r="L36" s="42">
        <f>'Cargas adicionais'!$L$257</f>
        <v>549.5</v>
      </c>
      <c r="M36" s="42">
        <f ca="1">Geometria!$N$220*'Cargas adicionais'!$O$257+Geometria!$O$77*('Cargas adicionais'!$R$257+'Cargas adicionais'!$U$257)</f>
        <v>1698.7135227595325</v>
      </c>
      <c r="N36" s="42">
        <f ca="1">Geometria!$N$220*'Cargas adicionais'!$N$257+Geometria!$O$77*('Cargas adicionais'!$Q$257+'Cargas adicionais'!$T$257)</f>
        <v>-412.1840516249999</v>
      </c>
      <c r="O36" s="42">
        <f ca="1">'Cargas adicionais'!$O$257+'Cargas adicionais'!$R$257+Geometria!$L$76*'Cargas adicionais'!$U$257</f>
        <v>847.205810685938</v>
      </c>
      <c r="P36" s="42">
        <f ca="1">'Cargas adicionais'!$O$257</f>
        <v>242.87395318593752</v>
      </c>
    </row>
    <row r="37" spans="11:22" x14ac:dyDescent="0.25">
      <c r="K37" s="27">
        <f>15</f>
        <v>15.0</v>
      </c>
      <c r="L37" s="42">
        <f>'Cargas adicionais'!$L$258</f>
        <v>588.75</v>
      </c>
      <c r="M37" s="42">
        <f ca="1">Geometria!$N$220*'Cargas adicionais'!$O$258+Geometria!$O$77*('Cargas adicionais'!$R$258+'Cargas adicionais'!$U$258)</f>
        <v>1516.7085024638684</v>
      </c>
      <c r="N37" s="42">
        <f ca="1">Geometria!$N$220*'Cargas adicionais'!$N$258+Geometria!$O$77*('Cargas adicionais'!$Q$258+'Cargas adicionais'!$T$258)</f>
        <v>-515.2300645312498</v>
      </c>
      <c r="O37" s="42">
        <f ca="1">'Cargas adicionais'!$O$258+'Cargas adicionais'!$R$258+Geometria!$L$76*'Cargas adicionais'!$U$258</f>
        <v>756.4337595410161</v>
      </c>
      <c r="P37" s="42">
        <f ca="1">'Cargas adicionais'!$O$258</f>
        <v>216.85174391601566</v>
      </c>
    </row>
    <row r="38" spans="11:22" x14ac:dyDescent="0.25">
      <c r="K38" s="27">
        <f>16</f>
        <v>16.0</v>
      </c>
      <c r="L38" s="42">
        <f>'Cargas adicionais'!$L$259</f>
        <v>628.0</v>
      </c>
      <c r="M38" s="42">
        <f ca="1">Geometria!$N$220*'Cargas adicionais'!$O$259+Geometria!$O$77*('Cargas adicionais'!$R$259+'Cargas adicionais'!$U$259)</f>
        <v>1294.2579221025014</v>
      </c>
      <c r="N38" s="42">
        <f ca="1">Geometria!$N$220*'Cargas adicionais'!$N$259+Geometria!$O$77*('Cargas adicionais'!$Q$259+'Cargas adicionais'!$T$259)</f>
        <v>-618.2760774375</v>
      </c>
      <c r="O38" s="42">
        <f ca="1">'Cargas adicionais'!$O$259+'Cargas adicionais'!$R$259+Geometria!$L$76*'Cargas adicionais'!$U$259</f>
        <v>645.4901414750007</v>
      </c>
      <c r="P38" s="42">
        <f ca="1">'Cargas adicionais'!$O$259</f>
        <v>185.04682147500003</v>
      </c>
    </row>
    <row r="39" spans="11:22" x14ac:dyDescent="0.25">
      <c r="K39" s="27">
        <f>17</f>
        <v>17.0</v>
      </c>
      <c r="L39" s="42">
        <f>'Cargas adicionais'!$L$260</f>
        <v>667.25</v>
      </c>
      <c r="M39" s="42">
        <f ca="1">Geometria!$N$220*'Cargas adicionais'!$O$260+Geometria!$O$77*('Cargas adicionais'!$R$260+'Cargas adicionais'!$U$260)</f>
        <v>1031.361781675431</v>
      </c>
      <c r="N39" s="42">
        <f ca="1">Geometria!$N$220*'Cargas adicionais'!$N$260+Geometria!$O$77*('Cargas adicionais'!$Q$260+'Cargas adicionais'!$T$260)</f>
        <v>-721.3220903437499</v>
      </c>
      <c r="O39" s="42">
        <f ca="1">'Cargas adicionais'!$O$260+'Cargas adicionais'!$R$260+Geometria!$L$76*'Cargas adicionais'!$U$260</f>
        <v>514.3749564878912</v>
      </c>
      <c r="P39" s="42">
        <f ca="1">'Cargas adicionais'!$O$260</f>
        <v>147.45918586289065</v>
      </c>
    </row>
    <row r="40" spans="11:22" x14ac:dyDescent="0.25">
      <c r="K40" s="27">
        <f>18</f>
        <v>18.0</v>
      </c>
      <c r="L40" s="42">
        <f>'Cargas adicionais'!$L$261</f>
        <v>706.5</v>
      </c>
      <c r="M40" s="42">
        <f ca="1">Geometria!$N$220*'Cargas adicionais'!$O$261+Geometria!$O$77*('Cargas adicionais'!$R$261+'Cargas adicionais'!$U$261)</f>
        <v>728.0200811826575</v>
      </c>
      <c r="N40" s="42">
        <f ca="1">Geometria!$N$220*'Cargas adicionais'!$N$261+Geometria!$O$77*('Cargas adicionais'!$Q$261+'Cargas adicionais'!$T$261)</f>
        <v>-824.3681032499999</v>
      </c>
      <c r="O40" s="42">
        <f ca="1">'Cargas adicionais'!$O$261+'Cargas adicionais'!$R$261+Geometria!$L$76*'Cargas adicionais'!$U$261</f>
        <v>363.08820457968807</v>
      </c>
      <c r="P40" s="42">
        <f ca="1">'Cargas adicionais'!$O$261</f>
        <v>104.08883707968752</v>
      </c>
    </row>
    <row r="41" spans="11:22" x14ac:dyDescent="0.25">
      <c r="K41" s="27">
        <f>19</f>
        <v>19.0</v>
      </c>
      <c r="L41" s="42">
        <f>'Cargas adicionais'!$L$262</f>
        <v>745.75</v>
      </c>
      <c r="M41" s="42">
        <f ca="1">Geometria!$N$220*'Cargas adicionais'!$O$262+Geometria!$O$77*('Cargas adicionais'!$R$262+'Cargas adicionais'!$U$262)</f>
        <v>384.23282062418104</v>
      </c>
      <c r="N41" s="42">
        <f ca="1">Geometria!$N$220*'Cargas adicionais'!$N$262+Geometria!$O$77*('Cargas adicionais'!$Q$262+'Cargas adicionais'!$T$262)</f>
        <v>-927.4141161562497</v>
      </c>
      <c r="O41" s="42">
        <f ca="1">'Cargas adicionais'!$O$262+'Cargas adicionais'!$R$262+Geometria!$L$76*'Cargas adicionais'!$U$262</f>
        <v>191.62988575039122</v>
      </c>
      <c r="P41" s="42">
        <f ca="1">'Cargas adicionais'!$O$262</f>
        <v>54.93577512539065</v>
      </c>
    </row>
    <row r="42" spans="11:22" x14ac:dyDescent="0.25">
      <c r="K42" s="27">
        <f>20</f>
        <v>20.0</v>
      </c>
      <c r="L42" s="42">
        <f>'Cargas adicionais'!$L$263</f>
        <v>785.0</v>
      </c>
      <c r="M42" s="42">
        <f ca="1">Geometria!$N$220*'Cargas adicionais'!$O$263+Geometria!$O$77*('Cargas adicionais'!$R$263+'Cargas adicionais'!$U$263)</f>
        <v>1.3926637620897964e-12</v>
      </c>
      <c r="N42" s="42">
        <f ca="1">Geometria!$N$220*'Cargas adicionais'!$N$263+Geometria!$O$77*('Cargas adicionais'!$Q$263+'Cargas adicionais'!$T$263)</f>
        <v>-1030.4601290624996</v>
      </c>
      <c r="O42" s="42">
        <f ca="1">'Cargas adicionais'!$O$263+'Cargas adicionais'!$R$263+Geometria!$L$76*'Cargas adicionais'!$U$263</f>
        <v>5.968558980384842e-13</v>
      </c>
      <c r="P42" s="42">
        <f ca="1">'Cargas adicionais'!$O$263</f>
        <v>0.0</v>
      </c>
    </row>
    <row r="43" spans="11:22" x14ac:dyDescent="0.25">
      <c r="K43" s="27" t="s">
        <v>2045</v>
      </c>
      <c r="M43" s="42">
        <f>Geometria!$L$29</f>
        <v>785.0</v>
      </c>
      <c r="N43" s="4" t="s">
        <v>35</v>
      </c>
    </row>
    <row r="44" spans="11:22" x14ac:dyDescent="0.25">
      <c r="K44" s="742" t="s">
        <v>2046</v>
      </c>
      <c r="L44" s="742"/>
      <c r="M44" s="742"/>
      <c r="N44" s="742"/>
      <c r="O44" s="742"/>
      <c r="P44" s="742"/>
      <c r="Q44" s="742"/>
      <c r="R44" s="742"/>
      <c r="S44" s="742"/>
      <c r="T44" s="742"/>
      <c r="U44" s="742"/>
      <c r="V44" s="742"/>
    </row>
    <row r="45" spans="11:22" x14ac:dyDescent="0.25">
      <c r="K45" s="27" t="s">
        <v>2047</v>
      </c>
      <c r="M45" s="42">
        <f>$M$4/($M$43/20)</f>
        <v>7.643312101910828</v>
      </c>
    </row>
    <row r="46" spans="11:22" x14ac:dyDescent="0.25">
      <c r="K46" s="27" t="s">
        <v>2507</v>
      </c>
      <c r="M46" s="42">
        <f ca="1">INDEX($M$22:$M$42,INT($M$45)+1)+($M$45-INT($M$45))*(INDEX($M$22:$M$42,INT($M$45)+2)-INDEX($M$22:$M$42,INT($M$45)+1))</f>
        <v>1905.3207786365629</v>
      </c>
      <c r="N46" s="38" t="s">
        <v>965</v>
      </c>
    </row>
    <row r="47" spans="11:22" x14ac:dyDescent="0.25">
      <c r="K47" s="27" t="s">
        <v>2508</v>
      </c>
      <c r="M47" s="42">
        <f ca="1">INDEX($N$22:$N$42,INT($M$45)+1)+($M$45-INT($M$45))*(INDEX($N$22:$N$42,INT($M$45)+2)-INDEX($N$22:$N$42,INT($M$45)+1))</f>
        <v>242.8472915625001</v>
      </c>
      <c r="N47" s="38" t="s">
        <v>292</v>
      </c>
    </row>
    <row r="48" spans="11:22" x14ac:dyDescent="0.25">
      <c r="K48" s="27" t="s">
        <v>2509</v>
      </c>
      <c r="M48" s="42">
        <f ca="1">INDEX($O$22:$O$42,INT($M$45)+1)+($M$45-INT($M$45))*(INDEX($O$22:$O$42,INT($M$45)+2)-INDEX($O$22:$O$42,INT($M$45)+1))</f>
        <v>950.2478276968751</v>
      </c>
      <c r="N48" s="4" t="s">
        <v>965</v>
      </c>
    </row>
    <row r="49" spans="11:22" x14ac:dyDescent="0.25">
      <c r="K49" s="742" t="s">
        <v>2048</v>
      </c>
      <c r="L49" s="742"/>
      <c r="M49" s="742"/>
      <c r="N49" s="742"/>
      <c r="O49" s="742"/>
      <c r="P49" s="742"/>
      <c r="Q49" s="742"/>
      <c r="R49" s="742"/>
      <c r="S49" s="742"/>
      <c r="T49" s="742"/>
      <c r="U49" s="742"/>
      <c r="V49" s="742"/>
    </row>
    <row r="50" spans="11:22" x14ac:dyDescent="0.25">
      <c r="K50" s="27" t="s">
        <v>2049</v>
      </c>
      <c r="M50" s="42">
        <f>$M$11-($M$6+$M$5/2)</f>
        <v>50.5</v>
      </c>
      <c r="N50" s="4" t="s">
        <v>35</v>
      </c>
    </row>
    <row r="51" spans="11:22" x14ac:dyDescent="0.25">
      <c r="K51" s="27" t="s">
        <v>2050</v>
      </c>
      <c r="M51" s="42">
        <f>$M$6-$M$5/2</f>
        <v>24.5</v>
      </c>
      <c r="N51" s="4" t="s">
        <v>35</v>
      </c>
    </row>
    <row r="52" spans="11:22" x14ac:dyDescent="0.25">
      <c r="K52" s="27" t="s">
        <v>2051</v>
      </c>
      <c r="M52" s="42">
        <f>$M$11-$M$50/2-$M$51/2</f>
        <v>52.5</v>
      </c>
      <c r="N52" s="4" t="s">
        <v>35</v>
      </c>
    </row>
    <row r="53" spans="11:22" x14ac:dyDescent="0.25">
      <c r="K53" s="27" t="s">
        <v>2510</v>
      </c>
      <c r="M53" s="42">
        <f ca="1">INDEX($P$22:$P$42,INT($M$45)+1)+($M$45-INT($M$45))*(INDEX($P$22:$P$42,INT($M$45)+2)-INDEX($P$22:$P$42,INT($M$45)+1))</f>
        <v>272.413672696875</v>
      </c>
      <c r="N53" s="4" t="s">
        <v>965</v>
      </c>
    </row>
    <row r="54" spans="11:22" x14ac:dyDescent="0.25">
      <c r="K54" s="742" t="s">
        <v>2052</v>
      </c>
      <c r="L54" s="742"/>
      <c r="M54" s="742"/>
      <c r="N54" s="742"/>
      <c r="O54" s="742"/>
      <c r="P54" s="742"/>
      <c r="Q54" s="742"/>
      <c r="R54" s="742"/>
      <c r="S54" s="742"/>
      <c r="T54" s="742"/>
      <c r="U54" s="742"/>
      <c r="V54" s="742"/>
    </row>
    <row r="55" spans="11:22" x14ac:dyDescent="0.25">
      <c r="K55" s="27" t="s">
        <v>2511</v>
      </c>
      <c r="M55" s="42">
        <f ca="1">$M$104</f>
        <v>1234.6943891424664</v>
      </c>
      <c r="N55" s="38" t="s">
        <v>292</v>
      </c>
    </row>
    <row r="56" spans="11:22" x14ac:dyDescent="0.25">
      <c r="K56" s="27" t="s">
        <v>2053</v>
      </c>
      <c r="M56" s="42">
        <f>Geometria!$L$277</f>
        <v>11.25</v>
      </c>
      <c r="N56" s="4" t="s">
        <v>35</v>
      </c>
    </row>
    <row r="57" spans="11:22" x14ac:dyDescent="0.25">
      <c r="K57" s="27" t="s">
        <v>2054</v>
      </c>
      <c r="M57" s="42" t="str">
        <f>IF($M$56&lt;$M$6-$M$5/2,"INFERIOR (tracionado)",IF($M$56&gt;$M$6+$M$5/2,"SUPERIOR (comprimido)","ATENÇÃO: cordoalha cruza o furo!"))</f>
        <v>INFERIOR (tracionado)</v>
      </c>
    </row>
    <row r="58" spans="11:22" x14ac:dyDescent="0.25">
      <c r="K58" s="27" t="s">
        <v>2055</v>
      </c>
      <c r="M58" s="42">
        <f>IF($M$57="INFERIOR (tracionado)",$M$56-$M$51/2,IF($M$57="SUPERIOR (comprimido)",$M$56-($M$11-$M$50/2),0))</f>
        <v>-1.0</v>
      </c>
      <c r="N58" s="4" t="s">
        <v>35</v>
      </c>
    </row>
    <row r="59" spans="11:22" x14ac:dyDescent="0.25">
      <c r="K59" s="27" t="s">
        <v>2512</v>
      </c>
      <c r="M59" s="42">
        <f ca="1">IF($M$57="INFERIOR (tracionado)",Geometria!$L$298*(Geometria!$L$89/Geometria!$O$76/10)*MIN(1,($M$4+(Geometria!$L$25-Geometria!$L$29)/2)/Geometria!$N$1307),0)</f>
        <v>1741.0909090909088</v>
      </c>
      <c r="N59" s="4" t="s">
        <v>292</v>
      </c>
    </row>
    <row r="60" spans="11:22" x14ac:dyDescent="0.25">
      <c r="K60" s="742" t="s">
        <v>2056</v>
      </c>
      <c r="L60" s="742"/>
      <c r="M60" s="742"/>
      <c r="N60" s="742"/>
      <c r="O60" s="742"/>
      <c r="P60" s="742"/>
      <c r="Q60" s="742"/>
      <c r="R60" s="742"/>
      <c r="S60" s="742"/>
      <c r="T60" s="742"/>
      <c r="U60" s="742"/>
      <c r="V60" s="742"/>
    </row>
    <row r="61" spans="11:22" x14ac:dyDescent="0.25">
      <c r="K61" s="27" t="s">
        <v>1536</v>
      </c>
      <c r="L61" s="4" t="s">
        <v>2057</v>
      </c>
      <c r="M61" s="4" t="s">
        <v>2058</v>
      </c>
      <c r="N61" s="4" t="s">
        <v>2059</v>
      </c>
      <c r="O61" s="4" t="s">
        <v>2060</v>
      </c>
    </row>
    <row r="62" spans="11:22" x14ac:dyDescent="0.25">
      <c r="K62" s="27" t="s">
        <v>2061</v>
      </c>
      <c r="L62" s="42">
        <f ca="1">$M$46/($M$52/100)</f>
        <v>3629.182435498215</v>
      </c>
      <c r="M62" s="42">
        <f ca="1">$M$46/($M$52/100)</f>
        <v>3629.182435498215</v>
      </c>
      <c r="N62" s="42">
        <f ca="1">$M$46/($M$52/100)</f>
        <v>3629.182435498215</v>
      </c>
      <c r="O62" s="38" t="s">
        <v>292</v>
      </c>
    </row>
    <row r="63" spans="11:22" x14ac:dyDescent="0.25">
      <c r="K63" s="27" t="s">
        <v>2062</v>
      </c>
      <c r="L63" s="42">
        <f ca="1">$M$47*1</f>
        <v>242.8472915625001</v>
      </c>
      <c r="M63" s="42">
        <f ca="1">$M$47*0.8</f>
        <v>194.27783325000007</v>
      </c>
      <c r="N63" s="42">
        <f ca="1">$M$47*0.85</f>
        <v>206.42019782812508</v>
      </c>
      <c r="O63" s="38" t="s">
        <v>292</v>
      </c>
    </row>
    <row r="64" spans="11:22" x14ac:dyDescent="0.25">
      <c r="K64" s="27" t="s">
        <v>2063</v>
      </c>
      <c r="L64" s="42">
        <f ca="1">$M$47*0.1</f>
        <v>24.28472915625001</v>
      </c>
      <c r="M64" s="42">
        <f ca="1">$M$47*0.2</f>
        <v>48.56945831250002</v>
      </c>
      <c r="N64" s="42">
        <f ca="1">$M$47*0.15</f>
        <v>36.42709373437501</v>
      </c>
      <c r="O64" s="38" t="s">
        <v>292</v>
      </c>
    </row>
    <row r="65" spans="11:22" x14ac:dyDescent="0.25">
      <c r="K65" s="27" t="s">
        <v>2064</v>
      </c>
      <c r="L65" s="42">
        <f ca="1">L63*($M$7/200)+$M$8*($M$7/200)^2*0.5</f>
        <v>18.213546867187507</v>
      </c>
      <c r="M65" s="42">
        <f ca="1">M63*($M$7/200)</f>
        <v>14.570837493750005</v>
      </c>
      <c r="N65" s="42">
        <f ca="1">N63*($M$7/200)</f>
        <v>15.48151483710938</v>
      </c>
      <c r="O65" s="38" t="s">
        <v>965</v>
      </c>
    </row>
    <row r="66" spans="11:22" x14ac:dyDescent="0.25">
      <c r="K66" s="27" t="s">
        <v>2065</v>
      </c>
      <c r="L66" s="42">
        <f ca="1">0.1*$M$47*($M$7/200)</f>
        <v>1.8213546867187507</v>
      </c>
      <c r="M66" s="42">
        <f ca="1">M64*($M$7/200)</f>
        <v>3.6427093734375013</v>
      </c>
      <c r="N66" s="42">
        <f ca="1">N64*($M$7/200)</f>
        <v>2.732032030078126</v>
      </c>
      <c r="O66" s="38" t="s">
        <v>965</v>
      </c>
    </row>
    <row r="68" spans="11:22" x14ac:dyDescent="0.25">
      <c r="K68" s="742" t="s">
        <v>2066</v>
      </c>
      <c r="L68" s="742"/>
      <c r="M68" s="742"/>
      <c r="N68" s="742"/>
      <c r="O68" s="742"/>
      <c r="P68" s="742"/>
      <c r="Q68" s="742"/>
      <c r="R68" s="742"/>
      <c r="S68" s="742"/>
      <c r="T68" s="742"/>
      <c r="U68" s="742"/>
      <c r="V68" s="742"/>
    </row>
    <row r="69" spans="11:22" x14ac:dyDescent="0.25">
      <c r="K69" s="27" t="s">
        <v>2513</v>
      </c>
      <c r="L69" s="42">
        <f ca="1">L62+IF($M$57="SUPERIOR (comprimido)",$M$55,0)+IF($M$163="SUPERIOR (comprimido)",$M$161,0)</f>
        <v>3629.182435498215</v>
      </c>
      <c r="M69" s="42">
        <f ca="1">M62+IF($M$57="SUPERIOR (comprimido)",$M$55,0)+IF($M$163="SUPERIOR (comprimido)",$M$161,0)</f>
        <v>3629.182435498215</v>
      </c>
      <c r="N69" s="42">
        <f ca="1">N62+IF($M$57="SUPERIOR (comprimido)",$M$55,0)+IF($M$163="SUPERIOR (comprimido)",$M$161,0)</f>
        <v>3629.182435498215</v>
      </c>
      <c r="O69" s="38" t="s">
        <v>292</v>
      </c>
    </row>
    <row r="70" spans="11:22" x14ac:dyDescent="0.25">
      <c r="K70" s="27" t="s">
        <v>2514</v>
      </c>
      <c r="L70" s="42">
        <f ca="1">MAX(0,L62-$M$59)</f>
        <v>1888.0915264073062</v>
      </c>
      <c r="M70" s="42">
        <f ca="1">MAX(0,M62-$M$59)</f>
        <v>1888.0915264073062</v>
      </c>
      <c r="N70" s="42">
        <f ca="1">MAX(0,N62-$M$59)</f>
        <v>1888.0915264073062</v>
      </c>
      <c r="O70" s="38" t="s">
        <v>292</v>
      </c>
    </row>
    <row r="71" spans="11:22" x14ac:dyDescent="0.25">
      <c r="K71" s="27" t="s">
        <v>2515</v>
      </c>
      <c r="L71" s="42">
        <f>0</f>
        <v>0.0</v>
      </c>
      <c r="M71" s="42">
        <f>0</f>
        <v>0.0</v>
      </c>
      <c r="N71" s="42">
        <f>0</f>
        <v>0.0</v>
      </c>
      <c r="O71" s="38" t="s">
        <v>965</v>
      </c>
    </row>
    <row r="72" spans="11:22" x14ac:dyDescent="0.25">
      <c r="K72" s="27" t="s">
        <v>2067</v>
      </c>
      <c r="L72" s="42">
        <f ca="1">$M$161*$M$164/100</f>
        <v>0.0</v>
      </c>
      <c r="M72" s="42">
        <f ca="1">$M$161*$M$164/100</f>
        <v>0.0</v>
      </c>
      <c r="N72" s="42">
        <f ca="1">$M$161*$M$164/100</f>
        <v>0.0</v>
      </c>
      <c r="O72" s="38" t="s">
        <v>965</v>
      </c>
    </row>
    <row r="73" spans="11:22" x14ac:dyDescent="0.25">
      <c r="K73" s="27" t="s">
        <v>2068</v>
      </c>
    </row>
    <row r="75" spans="11:22" x14ac:dyDescent="0.25">
      <c r="K75" s="742" t="s">
        <v>2069</v>
      </c>
      <c r="L75" s="742"/>
      <c r="M75" s="742"/>
      <c r="N75" s="742"/>
      <c r="O75" s="742"/>
      <c r="P75" s="742"/>
      <c r="Q75" s="742"/>
      <c r="R75" s="742"/>
      <c r="S75" s="742"/>
      <c r="T75" s="742"/>
      <c r="U75" s="742"/>
      <c r="V75" s="742"/>
    </row>
    <row r="76" spans="11:22" x14ac:dyDescent="0.25">
      <c r="K76" s="27" t="s">
        <v>2070</v>
      </c>
      <c r="M76" s="42">
        <f>'Torção (parede fina)'!$L$19</f>
        <v>30.0</v>
      </c>
      <c r="N76" s="4" t="s">
        <v>35</v>
      </c>
    </row>
    <row r="77" spans="11:22" x14ac:dyDescent="0.25">
      <c r="K77" s="27" t="s">
        <v>2071</v>
      </c>
      <c r="M77" s="42">
        <f>'Torção (parede fina)'!$L$23</f>
        <v>4.8</v>
      </c>
      <c r="N77" s="4" t="s">
        <v>35</v>
      </c>
    </row>
    <row r="78" spans="11:22" x14ac:dyDescent="0.25">
      <c r="K78" s="27" t="s">
        <v>2516</v>
      </c>
      <c r="M78" s="42">
        <f>MIN(Geometria!$L$81/Geometria!$O$76,435)/10</f>
        <v>43.5</v>
      </c>
      <c r="N78" s="38" t="s">
        <v>241</v>
      </c>
    </row>
    <row r="80" spans="11:22" x14ac:dyDescent="0.25">
      <c r="K80" s="742" t="s">
        <v>2072</v>
      </c>
      <c r="L80" s="742"/>
      <c r="M80" s="742"/>
      <c r="N80" s="742"/>
      <c r="O80" s="742"/>
      <c r="P80" s="742"/>
      <c r="Q80" s="742"/>
      <c r="R80" s="742"/>
      <c r="S80" s="742"/>
      <c r="T80" s="742"/>
      <c r="U80" s="742"/>
      <c r="V80" s="742"/>
    </row>
    <row r="81" spans="11:22" x14ac:dyDescent="0.25">
      <c r="K81" s="27" t="s">
        <v>2073</v>
      </c>
      <c r="M81" s="42">
        <f>$M$50-2*$M$77</f>
        <v>40.9</v>
      </c>
      <c r="N81" s="4" t="s">
        <v>2074</v>
      </c>
    </row>
    <row r="82" spans="11:22" x14ac:dyDescent="0.25">
      <c r="K82" s="27" t="s">
        <v>2075</v>
      </c>
      <c r="M82" s="42">
        <f>$M$51-2*$M$77</f>
        <v>14.9</v>
      </c>
      <c r="N82" s="4" t="s">
        <v>35</v>
      </c>
    </row>
    <row r="84" spans="11:22" x14ac:dyDescent="0.25">
      <c r="K84" s="27" t="s">
        <v>1536</v>
      </c>
      <c r="L84" s="4" t="s">
        <v>2076</v>
      </c>
      <c r="M84" s="4" t="s">
        <v>2077</v>
      </c>
      <c r="N84" s="4" t="s">
        <v>2078</v>
      </c>
      <c r="O84" s="4" t="s">
        <v>2060</v>
      </c>
    </row>
    <row r="85" spans="11:22" x14ac:dyDescent="0.25">
      <c r="K85" s="27" t="s">
        <v>2079</v>
      </c>
      <c r="L85" s="42">
        <f ca="1">L65+IF($M$57="SUPERIOR (comprimido)",L71,0)+IF($M$163="SUPERIOR (comprimido)",L72,0)</f>
        <v>18.213546867187507</v>
      </c>
      <c r="M85" s="42">
        <f ca="1">M65+IF($M$57="SUPERIOR (comprimido)",M71,0)+IF($M$163="SUPERIOR (comprimido)",M72,0)</f>
        <v>14.570837493750005</v>
      </c>
      <c r="N85" s="42">
        <f ca="1">N65+IF($M$57="SUPERIOR (comprimido)",N71,0)+IF($M$163="SUPERIOR (comprimido)",N72,0)</f>
        <v>15.48151483710938</v>
      </c>
      <c r="O85" s="38" t="s">
        <v>965</v>
      </c>
    </row>
    <row r="86" spans="11:22" x14ac:dyDescent="0.25">
      <c r="K86" s="27" t="s">
        <v>2080</v>
      </c>
      <c r="L86" s="42">
        <f ca="1">L66+IF($M$57="INFERIOR (tracionado)",L71,0)+IF($M$163="INFERIOR (tracionado)",L72,0)</f>
        <v>1.8213546867187507</v>
      </c>
      <c r="M86" s="42">
        <f ca="1">M66+IF($M$57="INFERIOR (tracionado)",M71,0)+IF($M$163="INFERIOR (tracionado)",M72,0)</f>
        <v>3.6427093734375013</v>
      </c>
      <c r="N86" s="42">
        <f ca="1">N66+IF($M$57="INFERIOR (tracionado)",N71,0)+IF($M$163="INFERIOR (tracionado)",N72,0)</f>
        <v>2.732032030078126</v>
      </c>
      <c r="O86" s="38" t="s">
        <v>965</v>
      </c>
    </row>
    <row r="88" spans="11:22" x14ac:dyDescent="0.25">
      <c r="K88" s="27" t="s">
        <v>2081</v>
      </c>
      <c r="L88" s="42">
        <f ca="1">MAX(0,(-L69/2+L85/($M$81/100)))/$M$78</f>
        <v>0.0</v>
      </c>
      <c r="M88" s="42">
        <f ca="1">MAX(0,(-M69/2+M85/($M$81/100)))/$M$78</f>
        <v>0.0</v>
      </c>
      <c r="N88" s="42">
        <f ca="1">MAX(0,(-N69/2+N85/($M$81/100)))/$M$78</f>
        <v>0.0</v>
      </c>
      <c r="O88" s="4" t="s">
        <v>247</v>
      </c>
    </row>
    <row r="89" spans="11:22" x14ac:dyDescent="0.25">
      <c r="K89" s="27" t="s">
        <v>2082</v>
      </c>
      <c r="L89" s="42">
        <f ca="1">MAX(0,(-L69/2-L85/($M$81/100)))/$M$78</f>
        <v>0.0</v>
      </c>
      <c r="M89" s="42">
        <f ca="1">MAX(0,(-M69/2-M85/($M$81/100)))/$M$78</f>
        <v>0.0</v>
      </c>
      <c r="N89" s="42">
        <f ca="1">MAX(0,(-N69/2-N85/($M$81/100)))/$M$78</f>
        <v>0.0</v>
      </c>
      <c r="O89" s="4" t="s">
        <v>247</v>
      </c>
    </row>
    <row r="91" spans="11:22" x14ac:dyDescent="0.25">
      <c r="K91" s="27" t="s">
        <v>2083</v>
      </c>
      <c r="L91" s="42">
        <f ca="1">MAX(0,(L70/2+L86/($M$82/100)))/$M$78</f>
        <v>21.98320965888499</v>
      </c>
      <c r="M91" s="42">
        <f ca="1">MAX(0,(M70/2+M86/($M$82/100)))/$M$78</f>
        <v>22.264217864812437</v>
      </c>
      <c r="N91" s="42">
        <f ca="1">MAX(0,(N70/2+N86/($M$82/100)))/$M$78</f>
        <v>22.123713761848713</v>
      </c>
      <c r="O91" s="4" t="s">
        <v>247</v>
      </c>
    </row>
    <row r="92" spans="11:22" x14ac:dyDescent="0.25">
      <c r="K92" s="27" t="s">
        <v>2084</v>
      </c>
      <c r="L92" s="42">
        <f ca="1">MAX(0,(L70/2-L86/($M$82/100)))/$M$78</f>
        <v>21.421193247030097</v>
      </c>
      <c r="M92" s="42">
        <f ca="1">MAX(0,(M70/2-M86/($M$82/100)))/$M$78</f>
        <v>21.140185041102647</v>
      </c>
      <c r="N92" s="42">
        <f ca="1">MAX(0,(N70/2-N86/($M$82/100)))/$M$78</f>
        <v>21.280689144066372</v>
      </c>
      <c r="O92" s="4" t="s">
        <v>247</v>
      </c>
    </row>
    <row r="93" spans="11:22" x14ac:dyDescent="0.25">
      <c r="K93" s="27" t="s">
        <v>2517</v>
      </c>
      <c r="L93" s="42" t="str">
        <f ca="1">IF(L69/($M$76*$M$50)+6*L85*100/($M$76*$M$50^2)&lt;=0.85*Geometria!$L$82/Geometria!$O$78/10,"OK","NÃO ATENDE")</f>
        <v>OK</v>
      </c>
      <c r="M93" s="42" t="str">
        <f ca="1">IF(M69/($M$76*$M$50)+6*M85*100/($M$76*$M$50^2)&lt;=0.85*Geometria!$L$82/Geometria!$O$78/10,"OK","NÃO ATENDE")</f>
        <v>OK</v>
      </c>
      <c r="N93" s="42" t="str">
        <f ca="1">IF(N69/($M$76*$M$50)+6*N85*100/($M$76*$M$50^2)&lt;=0.85*Geometria!$L$82/Geometria!$O$78/10,"OK","NÃO ATENDE")</f>
        <v>OK</v>
      </c>
    </row>
    <row r="94" spans="11:22" x14ac:dyDescent="0.25">
      <c r="K94" s="742" t="s">
        <v>2085</v>
      </c>
      <c r="L94" s="742"/>
      <c r="M94" s="742"/>
      <c r="N94" s="742"/>
      <c r="O94" s="742"/>
      <c r="P94" s="742"/>
      <c r="Q94" s="742"/>
      <c r="R94" s="742"/>
      <c r="S94" s="742"/>
      <c r="T94" s="742"/>
      <c r="U94" s="742"/>
      <c r="V94" s="742"/>
    </row>
    <row r="95" spans="11:22" x14ac:dyDescent="0.25">
      <c r="K95" s="27" t="s">
        <v>2086</v>
      </c>
      <c r="L95" s="42">
        <f ca="1">L63/(0.9*($M$50-$M$77)*$M$78)</f>
        <v>0.13573295302111893</v>
      </c>
      <c r="M95" s="42">
        <f ca="1">M63/(0.9*($M$50-$M$77)*$M$78)</f>
        <v>0.10858636241689515</v>
      </c>
      <c r="N95" s="42">
        <f ca="1">N63/(0.9*($M$50-$M$77)*$M$78)</f>
        <v>0.1153730100679511</v>
      </c>
      <c r="O95" s="4" t="s">
        <v>2087</v>
      </c>
    </row>
    <row r="96" spans="11:22" x14ac:dyDescent="0.25">
      <c r="K96" s="27" t="s">
        <v>2088</v>
      </c>
      <c r="L96" s="42">
        <f ca="1">L64/(0.9*($M$51-$M$77)*$M$78)</f>
        <v>0.031487289101853486</v>
      </c>
      <c r="M96" s="42">
        <f ca="1">M64/(0.9*($M$51-$M$77)*$M$78)</f>
        <v>0.06297457820370697</v>
      </c>
      <c r="N96" s="42">
        <f ca="1">N64/(0.9*($M$51-$M$77)*$M$78)</f>
        <v>0.04723093365278023</v>
      </c>
      <c r="O96" s="4" t="s">
        <v>2087</v>
      </c>
    </row>
    <row r="97" spans="11:22" x14ac:dyDescent="0.25">
      <c r="K97" s="27" t="s">
        <v>2518</v>
      </c>
      <c r="L97" s="42" t="str">
        <f ca="1">IF(L63&lt;=0.27*(1-Geometria!$L$82/250)*Geometria!$L$82/Geometria!$O$78/10*$M$76*($M$50-$M$77),"OK","NÃO ATENDE")</f>
        <v>OK</v>
      </c>
      <c r="M97" s="42" t="str">
        <f ca="1">IF(M63&lt;=0.27*(1-Geometria!$L$82/250)*Geometria!$L$82/Geometria!$O$78/10*$M$76*($M$50-$M$77),"OK","NÃO ATENDE")</f>
        <v>OK</v>
      </c>
      <c r="N97" s="42" t="str">
        <f ca="1">IF(N63&lt;=0.27*(1-Geometria!$L$82/250)*Geometria!$L$82/Geometria!$O$78/10*$M$76*($M$50-$M$77),"OK","NÃO ATENDE")</f>
        <v>OK</v>
      </c>
    </row>
    <row r="98" spans="11:22" x14ac:dyDescent="0.25">
      <c r="K98" s="742" t="s">
        <v>2089</v>
      </c>
      <c r="L98" s="742"/>
      <c r="M98" s="742"/>
      <c r="N98" s="742"/>
      <c r="O98" s="742"/>
      <c r="P98" s="742"/>
      <c r="Q98" s="742"/>
      <c r="R98" s="742"/>
      <c r="S98" s="742"/>
      <c r="T98" s="742"/>
      <c r="U98" s="742"/>
      <c r="V98" s="742"/>
    </row>
    <row r="99" spans="11:22" x14ac:dyDescent="0.25">
      <c r="K99" s="27" t="s">
        <v>2090</v>
      </c>
      <c r="L99" s="42">
        <f ca="1">0.8*$M$47/$M$78</f>
        <v>4.466157086206898</v>
      </c>
      <c r="M99" s="4" t="s">
        <v>2091</v>
      </c>
      <c r="O99" s="4" t="s">
        <v>247</v>
      </c>
    </row>
    <row r="100" spans="11:22" x14ac:dyDescent="0.25">
      <c r="K100" s="27" t="s">
        <v>2092</v>
      </c>
    </row>
    <row r="101" spans="11:22" x14ac:dyDescent="0.25">
      <c r="K101" s="27" t="s">
        <v>2519</v>
      </c>
      <c r="M101" s="42">
        <f ca="1">IF(MIN($M$4,Geometria!$L$29-$M$4)&lt;='Cisalhamento e Apoios'!$J$4,'Cisalhamento e Apoios'!$M$61*VLOOKUP('Cisalhamento e Apoios'!$L$61,Taxas!$V$22:$W$30,2)/'Cisalhamento e Apoios'!$Q$61,IF(MIN($M$4,Geometria!$L$29-$M$4)&lt;='Cisalhamento e Apoios'!$J$5,'Cisalhamento e Apoios'!$M$62*VLOOKUP('Cisalhamento e Apoios'!$L$62,Taxas!$V$22:$W$30,2)/'Cisalhamento e Apoios'!$Q$62,'Cisalhamento e Apoios'!$M$63*VLOOKUP('Cisalhamento e Apoios'!$L$63,Taxas!$V$22:$W$30,2)/'Cisalhamento e Apoios'!$Q$63))</f>
        <v>0.07658536585365854</v>
      </c>
      <c r="N101" s="4" t="s">
        <v>2087</v>
      </c>
      <c r="O101" s="42" t="str">
        <f ca="1">IF($M$18&lt;&gt;"NÃO DISPENSADO — furo deve ser verificado (cálculo abaixo)","Dispensado",IF($M$101&gt;=MAX($L$95:$N$96),"OK – estribos do trecho atendem os banzos","Adensar estribos junto ao furo"))</f>
        <v>Adensar estribos junto ao furo</v>
      </c>
    </row>
    <row r="102" spans="11:22" x14ac:dyDescent="0.25">
      <c r="K102" s="742" t="s">
        <v>2093</v>
      </c>
      <c r="L102" s="742"/>
      <c r="M102" s="742"/>
      <c r="N102" s="742"/>
      <c r="O102" s="742"/>
      <c r="P102" s="742"/>
      <c r="Q102" s="742"/>
      <c r="R102" s="742"/>
      <c r="S102" s="742"/>
      <c r="T102" s="742"/>
      <c r="U102" s="742"/>
      <c r="V102" s="742"/>
    </row>
    <row r="103" spans="11:22" x14ac:dyDescent="0.25">
      <c r="K103" s="27" t="s">
        <v>2094</v>
      </c>
      <c r="M103" s="42">
        <f>$M$4/(Geometria!$L$29/20)</f>
        <v>7.643312101910828</v>
      </c>
    </row>
    <row r="104" spans="11:22" x14ac:dyDescent="0.25">
      <c r="K104" s="27" t="s">
        <v>2095</v>
      </c>
      <c r="M104" s="42">
        <f ca="1">INDEX('Perdas por Seção'!$C$99:$W$99,1,INT($M$103)+1)+($M$103-INT($M$103))*(INDEX('Perdas por Seção'!$C$99:$W$99,1,INT($M$103)+2)-INDEX('Perdas por Seção'!$C$99:$W$99,1,INT($M$103)+1))</f>
        <v>1234.6943891424664</v>
      </c>
      <c r="N104" s="38" t="s">
        <v>292</v>
      </c>
    </row>
    <row r="106" spans="11:22" x14ac:dyDescent="0.25">
      <c r="K106" s="742" t="s">
        <v>2096</v>
      </c>
      <c r="L106" s="742"/>
      <c r="M106" s="742"/>
      <c r="N106" s="742"/>
      <c r="O106" s="742"/>
      <c r="P106" s="742"/>
      <c r="Q106" s="742"/>
      <c r="R106" s="742"/>
      <c r="S106" s="742"/>
      <c r="T106" s="742"/>
      <c r="U106" s="742"/>
      <c r="V106" s="742"/>
    </row>
    <row r="107" spans="11:22" x14ac:dyDescent="0.25">
      <c r="K107" s="27" t="s">
        <v>2097</v>
      </c>
      <c r="M107" s="42">
        <f ca="1">Geometria!$L$48</f>
        <v>1800.0</v>
      </c>
      <c r="N107" s="4" t="s">
        <v>247</v>
      </c>
    </row>
    <row r="108" spans="11:22" x14ac:dyDescent="0.25">
      <c r="K108" s="27" t="s">
        <v>2098</v>
      </c>
      <c r="M108" s="42">
        <f ca="1">Geometria!$L$49</f>
        <v>540000.0</v>
      </c>
      <c r="N108" s="4" t="s">
        <v>2099</v>
      </c>
    </row>
    <row r="109" spans="11:22" x14ac:dyDescent="0.25">
      <c r="K109" s="27" t="s">
        <v>2100</v>
      </c>
      <c r="M109" s="42">
        <f ca="1">Geometria!$L$30</f>
        <v>30.0</v>
      </c>
      <c r="N109" s="4" t="s">
        <v>35</v>
      </c>
    </row>
    <row r="110" spans="11:22" x14ac:dyDescent="0.25">
      <c r="K110" s="27" t="s">
        <v>2520</v>
      </c>
      <c r="M110" s="42">
        <f>IF(Geometria!$M$19="2 - i",Geometria!$L$70,Geometria!$L$27)</f>
        <v>60.0</v>
      </c>
      <c r="N110" s="4" t="s">
        <v>35</v>
      </c>
    </row>
    <row r="111" spans="11:22" x14ac:dyDescent="0.25">
      <c r="K111" s="27" t="s">
        <v>2101</v>
      </c>
      <c r="M111" s="42">
        <f>$M$76*$M$5</f>
        <v>450.0</v>
      </c>
      <c r="N111" s="4" t="s">
        <v>247</v>
      </c>
    </row>
    <row r="112" spans="11:22" x14ac:dyDescent="0.25">
      <c r="K112" s="27" t="s">
        <v>2102</v>
      </c>
      <c r="M112" s="42">
        <f ca="1">$M$107-$M$111</f>
        <v>1350.0</v>
      </c>
      <c r="N112" s="4" t="s">
        <v>247</v>
      </c>
    </row>
    <row r="113" spans="11:22" x14ac:dyDescent="0.25">
      <c r="K113" s="27" t="s">
        <v>2103</v>
      </c>
      <c r="M113" s="42">
        <f ca="1">($M$107*$M$109-$M$111*$M$6)/$M$112</f>
        <v>29.333333333333332</v>
      </c>
      <c r="N113" s="4" t="s">
        <v>35</v>
      </c>
    </row>
    <row r="114" spans="11:22" x14ac:dyDescent="0.25">
      <c r="K114" s="27" t="s">
        <v>2104</v>
      </c>
      <c r="M114" s="42">
        <f ca="1">$M$109-$M$113</f>
        <v>0.6666666666666679</v>
      </c>
      <c r="N114" s="4" t="s">
        <v>35</v>
      </c>
    </row>
    <row r="115" spans="11:22" x14ac:dyDescent="0.25">
      <c r="K115" s="27" t="s">
        <v>2105</v>
      </c>
      <c r="M115" s="42">
        <f>$M$76*$M$5^3/12</f>
        <v>8437.5</v>
      </c>
      <c r="N115" s="4" t="s">
        <v>2099</v>
      </c>
    </row>
    <row r="116" spans="11:22" x14ac:dyDescent="0.25">
      <c r="K116" s="27" t="s">
        <v>2106</v>
      </c>
      <c r="M116" s="42">
        <f ca="1">($M$108+$M$107*$M$114^2)-($M$115+$M$111*($M$6-$M$113)^2)</f>
        <v>529162.5</v>
      </c>
      <c r="N116" s="4" t="s">
        <v>2099</v>
      </c>
    </row>
    <row r="117" spans="11:22" x14ac:dyDescent="0.25">
      <c r="K117" s="27" t="s">
        <v>2107</v>
      </c>
      <c r="M117" s="42">
        <f ca="1">$M$110-$M$113</f>
        <v>30.666666666666668</v>
      </c>
      <c r="N117" s="4" t="s">
        <v>35</v>
      </c>
    </row>
    <row r="118" spans="11:22" x14ac:dyDescent="0.25">
      <c r="K118" s="27" t="s">
        <v>2108</v>
      </c>
      <c r="M118" s="42">
        <f ca="1">$M$113</f>
        <v>29.333333333333332</v>
      </c>
      <c r="N118" s="4" t="s">
        <v>35</v>
      </c>
    </row>
    <row r="119" spans="11:22" x14ac:dyDescent="0.25">
      <c r="K119" s="27" t="s">
        <v>2109</v>
      </c>
      <c r="M119" s="42">
        <f ca="1">$M$116/$M$117</f>
        <v>17255.298913043476</v>
      </c>
      <c r="N119" s="4" t="s">
        <v>1039</v>
      </c>
    </row>
    <row r="120" spans="11:22" x14ac:dyDescent="0.25">
      <c r="K120" s="27" t="s">
        <v>2110</v>
      </c>
      <c r="M120" s="42">
        <f ca="1">$M$116/$M$118</f>
        <v>18039.630681818184</v>
      </c>
      <c r="N120" s="4" t="s">
        <v>1039</v>
      </c>
    </row>
    <row r="122" spans="11:22" x14ac:dyDescent="0.25">
      <c r="K122" s="742" t="s">
        <v>2111</v>
      </c>
      <c r="L122" s="742"/>
      <c r="M122" s="742"/>
      <c r="N122" s="742"/>
      <c r="O122" s="742"/>
      <c r="P122" s="742"/>
      <c r="Q122" s="742"/>
      <c r="R122" s="742"/>
      <c r="S122" s="742"/>
      <c r="T122" s="742"/>
      <c r="U122" s="742"/>
      <c r="V122" s="742"/>
    </row>
    <row r="123" spans="11:22" x14ac:dyDescent="0.25">
      <c r="K123" s="27" t="s">
        <v>2112</v>
      </c>
      <c r="M123" s="42">
        <f ca="1">$M$56-$M$113</f>
        <v>-18.083333333333332</v>
      </c>
      <c r="N123" s="4" t="s">
        <v>35</v>
      </c>
    </row>
    <row r="124" spans="11:22" x14ac:dyDescent="0.25">
      <c r="K124" s="27" t="s">
        <v>2113</v>
      </c>
      <c r="M124" s="42">
        <f ca="1">$M$104*$M$123/100</f>
        <v>-223.273902036596</v>
      </c>
      <c r="N124" s="38" t="s">
        <v>965</v>
      </c>
    </row>
    <row r="125" spans="11:22" x14ac:dyDescent="0.25">
      <c r="K125" s="27" t="s">
        <v>2114</v>
      </c>
      <c r="M125" s="42">
        <f ca="1">$M$162-$M$113</f>
        <v>-29.333333333333332</v>
      </c>
      <c r="N125" s="4" t="s">
        <v>35</v>
      </c>
    </row>
    <row r="126" spans="11:22" x14ac:dyDescent="0.25">
      <c r="K126" s="742" t="s">
        <v>2521</v>
      </c>
      <c r="L126" s="742"/>
      <c r="M126" s="742"/>
      <c r="N126" s="742"/>
      <c r="O126" s="742"/>
      <c r="P126" s="742"/>
      <c r="Q126" s="742"/>
      <c r="R126" s="742"/>
      <c r="S126" s="742"/>
      <c r="T126" s="742"/>
      <c r="U126" s="742"/>
      <c r="V126" s="742"/>
    </row>
    <row r="127" spans="11:22" x14ac:dyDescent="0.25">
      <c r="K127" s="27" t="s">
        <v>2115</v>
      </c>
      <c r="L127" s="4" t="s">
        <v>1064</v>
      </c>
      <c r="M127" s="4" t="s">
        <v>428</v>
      </c>
      <c r="N127" s="4" t="s">
        <v>938</v>
      </c>
      <c r="O127" s="4" t="s">
        <v>2060</v>
      </c>
    </row>
    <row r="128" spans="11:22" x14ac:dyDescent="0.25">
      <c r="K128" s="27" t="s">
        <v>2522</v>
      </c>
      <c r="L128" s="42">
        <f ca="1">(-($M$104+$M$161)/$M$112-($M$124+$M$165)/($M$119/100)-$M$53/($M$119/100)-($M$48-$M$53)/((Geometria!$M$49/(IF(Geometria!$M$19="2 - i",Geometria!$L$70,Geometria!$L$27)-Geometria!$M$30))/100))*10</f>
        <v>-14.246782957955277</v>
      </c>
      <c r="M128" s="42">
        <f>Geometria!$V$449</f>
        <v>-35.0</v>
      </c>
      <c r="N128" s="42" t="str">
        <f ca="1">IF(L128&gt;=M128,"OK — dentro do limite","NÃO ATENDE — verificar")</f>
        <v>OK — dentro do limite</v>
      </c>
      <c r="O128" s="38" t="s">
        <v>160</v>
      </c>
    </row>
    <row r="129" spans="11:22" x14ac:dyDescent="0.25">
      <c r="K129" s="27" t="s">
        <v>2523</v>
      </c>
      <c r="L129" s="42">
        <f ca="1">(-($M$104+$M$161)/$M$112+($M$124+$M$165)/($M$120/100)+$M$53/($M$120/100)+($M$48-$M$53)/((Geometria!$M$49/Geometria!$M$30)/100))*10</f>
        <v>6.975883613871159</v>
      </c>
      <c r="M129" s="42">
        <f>Geometria!$V$449</f>
        <v>-35.0</v>
      </c>
      <c r="N129" s="42" t="str">
        <f ca="1">IF(L129&gt;=M129,"OK — dentro do limite","NÃO ATENDE — verificar")</f>
        <v>OK — dentro do limite</v>
      </c>
      <c r="O129" s="38" t="s">
        <v>160</v>
      </c>
    </row>
    <row r="131" spans="11:22" x14ac:dyDescent="0.25">
      <c r="K131" s="27" t="s">
        <v>2524</v>
      </c>
      <c r="M131" s="42">
        <f>Geometria!$V$450</f>
        <v>2.8501384974246515</v>
      </c>
      <c r="N131" s="38" t="s">
        <v>160</v>
      </c>
    </row>
    <row r="132" spans="11:22" x14ac:dyDescent="0.25">
      <c r="K132" s="27" t="s">
        <v>2116</v>
      </c>
      <c r="L132" s="42">
        <f ca="1">L128</f>
        <v>-14.246782957955277</v>
      </c>
      <c r="M132" s="42">
        <f>$M$131</f>
        <v>2.8501384974246515</v>
      </c>
      <c r="N132" s="42" t="str">
        <f ca="1">IF(L132&lt;=M132,"OK — dentro do limite","NÃO ATENDE — tração excede limite")</f>
        <v>OK — dentro do limite</v>
      </c>
    </row>
    <row r="133" spans="11:22" x14ac:dyDescent="0.25">
      <c r="K133" s="27" t="s">
        <v>2117</v>
      </c>
      <c r="L133" s="42">
        <f ca="1">L129</f>
        <v>6.975883613871159</v>
      </c>
      <c r="M133" s="42">
        <f>$M$131</f>
        <v>2.8501384974246515</v>
      </c>
      <c r="N133" s="42" t="str">
        <f ca="1">IF(L133&lt;=M133,"OK — dentro do limite","NÃO ATENDE — tração excede limite")</f>
        <v>NÃO ATENDE — tração excede limite</v>
      </c>
    </row>
    <row r="135" spans="11:22" x14ac:dyDescent="0.25">
      <c r="K135" s="742" t="s">
        <v>2118</v>
      </c>
      <c r="L135" s="742"/>
      <c r="M135" s="742"/>
      <c r="N135" s="742"/>
      <c r="O135" s="742"/>
      <c r="P135" s="742"/>
      <c r="Q135" s="742"/>
      <c r="R135" s="742"/>
      <c r="S135" s="742"/>
      <c r="T135" s="742"/>
      <c r="U135" s="742"/>
      <c r="V135" s="742"/>
    </row>
    <row r="136" spans="11:22" x14ac:dyDescent="0.25">
      <c r="K136" s="27" t="s">
        <v>1459</v>
      </c>
      <c r="L136" s="4" t="s">
        <v>2119</v>
      </c>
      <c r="M136" s="4" t="s">
        <v>2120</v>
      </c>
      <c r="N136" s="4" t="s">
        <v>2121</v>
      </c>
      <c r="O136" s="4" t="s">
        <v>2122</v>
      </c>
      <c r="P136" s="4" t="s">
        <v>2123</v>
      </c>
      <c r="Q136" s="4" t="s">
        <v>2124</v>
      </c>
      <c r="R136" s="4" t="s">
        <v>2125</v>
      </c>
      <c r="S136" s="4" t="s">
        <v>2126</v>
      </c>
      <c r="T136" s="4" t="s">
        <v>2127</v>
      </c>
      <c r="U136" s="4" t="s">
        <v>2128</v>
      </c>
      <c r="V136" s="4" t="s">
        <v>2129</v>
      </c>
    </row>
    <row r="137" spans="11:22" x14ac:dyDescent="0.25">
      <c r="K137" s="60">
        <f>'Isolamento de cabos'!$B$101</f>
        <v>-0.0</v>
      </c>
      <c r="L137" s="42">
        <f ca="1">'Isolamento de cabos'!$EC$101/1000</f>
        <v>0.0</v>
      </c>
      <c r="M137" s="42">
        <f ca="1">'Isolamento de cabos'!$EC$124/1000</f>
        <v>0.0</v>
      </c>
      <c r="N137" s="42">
        <f ca="1">'Isolamento de cabos'!$EF$101/1000</f>
        <v>0.0</v>
      </c>
      <c r="O137" s="42">
        <f ca="1">'Isolamento de cabos'!$EF$124/1000</f>
        <v>0.0</v>
      </c>
      <c r="P137" s="42">
        <f ca="1">'Isolamento de cabos'!$EI$101/1000</f>
        <v>0.0</v>
      </c>
      <c r="Q137" s="42">
        <f ca="1">'Isolamento de cabos'!$EI$124/1000</f>
        <v>0.0</v>
      </c>
      <c r="R137" s="42">
        <f ca="1">'Isolamento de cabos'!$EL$101/1000</f>
        <v>0.0</v>
      </c>
      <c r="S137" s="42">
        <f ca="1">'Isolamento de cabos'!$EL$124/1000</f>
        <v>0.0</v>
      </c>
      <c r="T137" s="42">
        <f ca="1">'Isolamento de cabos'!$EO$101/1000</f>
        <v>0.0</v>
      </c>
      <c r="U137" s="42">
        <f ca="1">'Isolamento de cabos'!$EO$124/1000</f>
        <v>0.0</v>
      </c>
      <c r="V137" s="42" t="str">
        <f ca="1">IF($M$18="NÃO DISPENSADO — furo deve ser verificado (cálculo abaixo)",IF(OR(AND(K137&gt;=($M$4-$M$7/2)/100,K137&lt;=($M$4+$M$7/2)/100),ABS(K137-$M$4/100)&lt;=Geometria!$L$29/4000),"SIM","não"),"não")</f>
        <v>não</v>
      </c>
    </row>
    <row r="138" spans="11:22" x14ac:dyDescent="0.25">
      <c r="K138" s="60">
        <f>'Isolamento de cabos'!$B$102</f>
        <v>0.39249999999999996</v>
      </c>
      <c r="L138" s="42">
        <f ca="1">'Isolamento de cabos'!$EC$102/1000</f>
        <v>1.9224068198767983</v>
      </c>
      <c r="M138" s="42">
        <f ca="1">'Isolamento de cabos'!$EC$125/1000</f>
        <v>-4.468751763099462</v>
      </c>
      <c r="N138" s="42">
        <f ca="1">'Isolamento de cabos'!$EF$102/1000</f>
        <v>-1.0667546836851949</v>
      </c>
      <c r="O138" s="42">
        <f ca="1">'Isolamento de cabos'!$EF$125/1000</f>
        <v>1.6223897589662633</v>
      </c>
      <c r="P138" s="42">
        <f ca="1">'Isolamento de cabos'!$EI$102/1000</f>
        <v>-1.0667546836851949</v>
      </c>
      <c r="Q138" s="42">
        <f ca="1">'Isolamento de cabos'!$EI$125/1000</f>
        <v>1.6223897589662633</v>
      </c>
      <c r="R138" s="42">
        <f ca="1">'Isolamento de cabos'!$EL$102/1000</f>
        <v>-1.0667546836851949</v>
      </c>
      <c r="S138" s="42">
        <f ca="1">'Isolamento de cabos'!$EL$125/1000</f>
        <v>1.6223897589662633</v>
      </c>
      <c r="T138" s="42">
        <f ca="1">'Isolamento de cabos'!$EO$102/1000</f>
        <v>-1.0667546836851949</v>
      </c>
      <c r="U138" s="42">
        <f ca="1">'Isolamento de cabos'!$EO$125/1000</f>
        <v>1.6223897589662633</v>
      </c>
      <c r="V138" s="42" t="str">
        <f ca="1">IF($M$18="NÃO DISPENSADO — furo deve ser verificado (cálculo abaixo)",IF(OR(AND(K138&gt;=($M$4-$M$7/2)/100,K138&lt;=($M$4+$M$7/2)/100),ABS(K138-$M$4/100)&lt;=Geometria!$L$29/4000),"SIM","não"),"não")</f>
        <v>não</v>
      </c>
    </row>
    <row r="139" spans="11:22" x14ac:dyDescent="0.25">
      <c r="K139" s="60">
        <f>'Isolamento de cabos'!$B$103</f>
        <v>0.7849999999999999</v>
      </c>
      <c r="L139" s="42">
        <f ca="1">'Isolamento de cabos'!$EC$103/1000</f>
        <v>4.277775892357763</v>
      </c>
      <c r="M139" s="42">
        <f ca="1">'Isolamento de cabos'!$EC$126/1000</f>
        <v>-9.37046577880309</v>
      </c>
      <c r="N139" s="42">
        <f ca="1">'Isolamento de cabos'!$EF$103/1000</f>
        <v>-1.8122473105880241</v>
      </c>
      <c r="O139" s="42">
        <f ca="1">'Isolamento de cabos'!$EF$126/1000</f>
        <v>2.6391137854309847</v>
      </c>
      <c r="P139" s="42">
        <f ca="1">'Isolamento de cabos'!$EI$103/1000</f>
        <v>-1.8122473105880241</v>
      </c>
      <c r="Q139" s="42">
        <f ca="1">'Isolamento de cabos'!$EI$126/1000</f>
        <v>2.6391137854309847</v>
      </c>
      <c r="R139" s="42">
        <f ca="1">'Isolamento de cabos'!$EL$103/1000</f>
        <v>-1.8122473105880241</v>
      </c>
      <c r="S139" s="42">
        <f ca="1">'Isolamento de cabos'!$EL$126/1000</f>
        <v>2.6391137854309847</v>
      </c>
      <c r="T139" s="42">
        <f ca="1">'Isolamento de cabos'!$EO$103/1000</f>
        <v>-1.8122473105880241</v>
      </c>
      <c r="U139" s="42">
        <f ca="1">'Isolamento de cabos'!$EO$126/1000</f>
        <v>2.6391137854309847</v>
      </c>
      <c r="V139" s="42" t="str">
        <f ca="1">IF($M$18="NÃO DISPENSADO — furo deve ser verificado (cálculo abaixo)",IF(OR(AND(K139&gt;=($M$4-$M$7/2)/100,K139&lt;=($M$4+$M$7/2)/100),ABS(K139-$M$4/100)&lt;=Geometria!$L$29/4000),"SIM","não"),"não")</f>
        <v>não</v>
      </c>
    </row>
    <row r="140" spans="11:22" x14ac:dyDescent="0.25">
      <c r="K140" s="60">
        <f>'Isolamento de cabos'!$B$104</f>
        <v>1.1774999999999998</v>
      </c>
      <c r="L140" s="42">
        <f ca="1">'Isolamento de cabos'!$EC$104/1000</f>
        <v>6.5451724993646545</v>
      </c>
      <c r="M140" s="42">
        <f ca="1">'Isolamento de cabos'!$EC$127/1000</f>
        <v>-14.272179794506716</v>
      </c>
      <c r="N140" s="42">
        <f ca="1">'Isolamento de cabos'!$EF$104/1000</f>
        <v>-1.8016677195152977</v>
      </c>
      <c r="O140" s="42">
        <f ca="1">'Isolamento de cabos'!$EF$127/1000</f>
        <v>3.0501720793941605</v>
      </c>
      <c r="P140" s="42">
        <f ca="1">'Isolamento de cabos'!$EI$104/1000</f>
        <v>-1.8016626049207531</v>
      </c>
      <c r="Q140" s="42">
        <f ca="1">'Isolamento de cabos'!$EI$127/1000</f>
        <v>3.0501720793941605</v>
      </c>
      <c r="R140" s="42">
        <f ca="1">'Isolamento de cabos'!$EL$104/1000</f>
        <v>-1.8016660146504495</v>
      </c>
      <c r="S140" s="42">
        <f ca="1">'Isolamento de cabos'!$EL$127/1000</f>
        <v>3.0501720793941605</v>
      </c>
      <c r="T140" s="42">
        <f ca="1">'Isolamento de cabos'!$EO$104/1000</f>
        <v>-1.8016626049207531</v>
      </c>
      <c r="U140" s="42">
        <f ca="1">'Isolamento de cabos'!$EO$127/1000</f>
        <v>3.0501720793941605</v>
      </c>
      <c r="V140" s="42" t="str">
        <f ca="1">IF($M$18="NÃO DISPENSADO — furo deve ser verificado (cálculo abaixo)",IF(OR(AND(K140&gt;=($M$4-$M$7/2)/100,K140&lt;=($M$4+$M$7/2)/100),ABS(K140-$M$4/100)&lt;=Geometria!$L$29/4000),"SIM","não"),"não")</f>
        <v>não</v>
      </c>
    </row>
    <row r="141" spans="11:22" x14ac:dyDescent="0.25">
      <c r="K141" s="60">
        <f>'Isolamento de cabos'!$B$105</f>
        <v>1.5699999999999998</v>
      </c>
      <c r="L141" s="42">
        <f ca="1">'Isolamento de cabos'!$EC$105/1000</f>
        <v>6.248935168635488</v>
      </c>
      <c r="M141" s="42">
        <f ca="1">'Isolamento de cabos'!$EC$128/1000</f>
        <v>-14.581188504097273</v>
      </c>
      <c r="N141" s="42">
        <f ca="1">'Isolamento de cabos'!$EF$105/1000</f>
        <v>-3.889871088600675</v>
      </c>
      <c r="O141" s="42">
        <f ca="1">'Isolamento de cabos'!$EF$128/1000</f>
        <v>6.082124140333226</v>
      </c>
      <c r="P141" s="42">
        <f ca="1">'Isolamento de cabos'!$EI$105/1000</f>
        <v>-3.8898646702859527</v>
      </c>
      <c r="Q141" s="42">
        <f ca="1">'Isolamento de cabos'!$EI$128/1000</f>
        <v>-2.449992549556807</v>
      </c>
      <c r="R141" s="42">
        <f ca="1">'Isolamento de cabos'!$EL$105/1000</f>
        <v>-3.8898689491624348</v>
      </c>
      <c r="S141" s="42">
        <f ca="1">'Isolamento de cabos'!$EL$128/1000</f>
        <v>3.2380852437032157</v>
      </c>
      <c r="T141" s="42">
        <f ca="1">'Isolamento de cabos'!$EO$105/1000</f>
        <v>-3.8898646702859527</v>
      </c>
      <c r="U141" s="42">
        <f ca="1">'Isolamento de cabos'!$EO$128/1000</f>
        <v>-2.449992549556807</v>
      </c>
      <c r="V141" s="42" t="str">
        <f ca="1">IF($M$18="NÃO DISPENSADO — furo deve ser verificado (cálculo abaixo)",IF(OR(AND(K141&gt;=($M$4-$M$7/2)/100,K141&lt;=($M$4+$M$7/2)/100),ABS(K141-$M$4/100)&lt;=Geometria!$L$29/4000),"SIM","não"),"não")</f>
        <v>não</v>
      </c>
    </row>
    <row r="142" spans="11:22" x14ac:dyDescent="0.25">
      <c r="K142" s="60">
        <f>'Isolamento de cabos'!$B$106</f>
        <v>1.9625</v>
      </c>
      <c r="L142" s="42">
        <f ca="1">'Isolamento de cabos'!$EC$106/1000</f>
        <v>5.832234683139494</v>
      </c>
      <c r="M142" s="42">
        <f ca="1">'Isolamento de cabos'!$EC$129/1000</f>
        <v>-16.665431726428</v>
      </c>
      <c r="N142" s="42">
        <f ca="1">'Isolamento de cabos'!$EF$106/1000</f>
        <v>-5.763980825382361</v>
      </c>
      <c r="O142" s="42">
        <f ca="1">'Isolamento de cabos'!$EF$129/1000</f>
        <v>7.377085603996947</v>
      </c>
      <c r="P142" s="42">
        <f ca="1">'Isolamento de cabos'!$EI$106/1000</f>
        <v>-5.763973303919795</v>
      </c>
      <c r="Q142" s="42">
        <f ca="1">'Isolamento de cabos'!$EI$129/1000</f>
        <v>-2.621488641967936</v>
      </c>
      <c r="R142" s="42">
        <f ca="1">'Isolamento de cabos'!$EL$106/1000</f>
        <v>-5.7639783182281725</v>
      </c>
      <c r="S142" s="42">
        <f ca="1">'Isolamento de cabos'!$EL$129/1000</f>
        <v>4.044227522008654</v>
      </c>
      <c r="T142" s="42">
        <f ca="1">'Isolamento de cabos'!$EO$106/1000</f>
        <v>-5.763973303919795</v>
      </c>
      <c r="U142" s="42">
        <f ca="1">'Isolamento de cabos'!$EO$129/1000</f>
        <v>-2.621488641967936</v>
      </c>
      <c r="V142" s="42" t="str">
        <f ca="1">IF($M$18="NÃO DISPENSADO — furo deve ser verificado (cálculo abaixo)",IF(OR(AND(K142&gt;=($M$4-$M$7/2)/100,K142&lt;=($M$4+$M$7/2)/100),ABS(K142-$M$4/100)&lt;=Geometria!$L$29/4000),"SIM","não"),"não")</f>
        <v>não</v>
      </c>
    </row>
    <row r="143" spans="11:22" x14ac:dyDescent="0.25">
      <c r="K143" s="60">
        <f>'Isolamento de cabos'!$B$107</f>
        <v>2.355</v>
      </c>
      <c r="L143" s="42">
        <f ca="1">'Isolamento de cabos'!$EC$107/1000</f>
        <v>5.447368085086649</v>
      </c>
      <c r="M143" s="42">
        <f ca="1">'Isolamento de cabos'!$EC$130/1000</f>
        <v>-18.988483487884082</v>
      </c>
      <c r="N143" s="42">
        <f ca="1">'Isolamento de cabos'!$EF$107/1000</f>
        <v>-7.325697616373014</v>
      </c>
      <c r="O143" s="42">
        <f ca="1">'Isolamento de cabos'!$EF$130/1000</f>
        <v>7.897868226323695</v>
      </c>
      <c r="P143" s="42">
        <f ca="1">'Isolamento de cabos'!$EI$107/1000</f>
        <v>-7.325689192334941</v>
      </c>
      <c r="Q143" s="42">
        <f ca="1">'Isolamento de cabos'!$EI$130/1000</f>
        <v>-3.300534929156975</v>
      </c>
      <c r="R143" s="42">
        <f ca="1">'Isolamento de cabos'!$EL$107/1000</f>
        <v>-7.325694808360324</v>
      </c>
      <c r="S143" s="42">
        <f ca="1">'Isolamento de cabos'!$EL$130/1000</f>
        <v>4.165067174496806</v>
      </c>
      <c r="T143" s="42">
        <f ca="1">'Isolamento de cabos'!$EO$107/1000</f>
        <v>-7.325689192334941</v>
      </c>
      <c r="U143" s="42">
        <f ca="1">'Isolamento de cabos'!$EO$130/1000</f>
        <v>-3.300534929156975</v>
      </c>
      <c r="V143" s="42" t="str">
        <f ca="1">IF($M$18="NÃO DISPENSADO — furo deve ser verificado (cálculo abaixo)",IF(OR(AND(K143&gt;=($M$4-$M$7/2)/100,K143&lt;=($M$4+$M$7/2)/100),ABS(K143-$M$4/100)&lt;=Geometria!$L$29/4000),"SIM","não"),"não")</f>
        <v>não</v>
      </c>
    </row>
    <row r="144" spans="11:22" x14ac:dyDescent="0.25">
      <c r="K144" s="60">
        <f>'Isolamento de cabos'!$B$108</f>
        <v>2.7475</v>
      </c>
      <c r="L144" s="42">
        <f ca="1">'Isolamento de cabos'!$EC$108/1000</f>
        <v>5.108076460992136</v>
      </c>
      <c r="M144" s="42">
        <f ca="1">'Isolamento de cabos'!$EC$131/1000</f>
        <v>-21.3571102232985</v>
      </c>
      <c r="N144" s="42">
        <f ca="1">'Isolamento de cabos'!$EF$108/1000</f>
        <v>-8.566152350581305</v>
      </c>
      <c r="O144" s="42">
        <f ca="1">'Isolamento de cabos'!$EF$131/1000</f>
        <v>7.812985116148896</v>
      </c>
      <c r="P144" s="42">
        <f ca="1">'Isolamento de cabos'!$EI$108/1000</f>
        <v>-8.56614322454006</v>
      </c>
      <c r="Q144" s="42">
        <f ca="1">'Isolamento de cabos'!$EI$131/1000</f>
        <v>-4.318618302288497</v>
      </c>
      <c r="R144" s="42">
        <f ca="1">'Isolamento de cabos'!$EL$108/1000</f>
        <v>-8.566149308567557</v>
      </c>
      <c r="S144" s="42">
        <f ca="1">'Isolamento de cabos'!$EL$131/1000</f>
        <v>3.7691173100030992</v>
      </c>
      <c r="T144" s="42">
        <f ca="1">'Isolamento de cabos'!$EO$108/1000</f>
        <v>-8.56614322454006</v>
      </c>
      <c r="U144" s="42">
        <f ca="1">'Isolamento de cabos'!$EO$131/1000</f>
        <v>-4.318618302288497</v>
      </c>
      <c r="V144" s="42" t="str">
        <f ca="1">IF($M$18="NÃO DISPENSADO — furo deve ser verificado (cálculo abaixo)",IF(OR(AND(K144&gt;=($M$4-$M$7/2)/100,K144&lt;=($M$4+$M$7/2)/100),ABS(K144-$M$4/100)&lt;=Geometria!$L$29/4000),"SIM","não"),"não")</f>
        <v>não</v>
      </c>
    </row>
    <row r="145" spans="11:22" x14ac:dyDescent="0.25">
      <c r="K145" s="60">
        <f>'Isolamento de cabos'!$B$109</f>
        <v>3.14</v>
      </c>
      <c r="L145" s="42">
        <f ca="1">'Isolamento de cabos'!$EC$109/1000</f>
        <v>2.8211780583854638</v>
      </c>
      <c r="M145" s="42">
        <f ca="1">'Isolamento de cabos'!$EC$132/1000</f>
        <v>-24.081319341009152</v>
      </c>
      <c r="N145" s="42">
        <f ca="1">'Isolamento de cabos'!$EF$109/1000</f>
        <v>-51.81109198940107</v>
      </c>
      <c r="O145" s="42">
        <f ca="1">'Isolamento de cabos'!$EF$132/1000</f>
        <v>31.535832586519856</v>
      </c>
      <c r="P145" s="42">
        <f ca="1">'Isolamento de cabos'!$EI$109/1000</f>
        <v>-14.286478708981525</v>
      </c>
      <c r="Q145" s="42">
        <f ca="1">'Isolamento de cabos'!$EI$132/1000</f>
        <v>-4.357275768664049</v>
      </c>
      <c r="R145" s="42">
        <f ca="1">'Isolamento de cabos'!$EL$109/1000</f>
        <v>-39.302887562594556</v>
      </c>
      <c r="S145" s="42">
        <f ca="1">'Isolamento de cabos'!$EL$132/1000</f>
        <v>19.57146313479189</v>
      </c>
      <c r="T145" s="42">
        <f ca="1">'Isolamento de cabos'!$EO$109/1000</f>
        <v>-14.286478708981525</v>
      </c>
      <c r="U145" s="42">
        <f ca="1">'Isolamento de cabos'!$EO$132/1000</f>
        <v>-4.357275768664049</v>
      </c>
      <c r="V145" s="42" t="str">
        <f ca="1">IF($M$18="NÃO DISPENSADO — furo deve ser verificado (cálculo abaixo)",IF(OR(AND(K145&gt;=($M$4-$M$7/2)/100,K145&lt;=($M$4+$M$7/2)/100),ABS(K145-$M$4/100)&lt;=Geometria!$L$29/4000),"SIM","não"),"não")</f>
        <v>SIM</v>
      </c>
    </row>
    <row r="146" spans="11:22" x14ac:dyDescent="0.25">
      <c r="K146" s="60">
        <f>'Isolamento de cabos'!$B$110</f>
        <v>3.5325</v>
      </c>
      <c r="L146" s="42">
        <f ca="1">'Isolamento de cabos'!$EC$110/1000</f>
        <v>4.916186690960655</v>
      </c>
      <c r="M146" s="42">
        <f ca="1">'Isolamento de cabos'!$EC$133/1000</f>
        <v>-21.309667609585002</v>
      </c>
      <c r="N146" s="42">
        <f ca="1">'Isolamento de cabos'!$EF$110/1000</f>
        <v>-9.857390310856132</v>
      </c>
      <c r="O146" s="42">
        <f ca="1">'Isolamento de cabos'!$EF$133/1000</f>
        <v>10.11804311639317</v>
      </c>
      <c r="P146" s="42">
        <f ca="1">'Isolamento de cabos'!$EI$110/1000</f>
        <v>-9.857380382525545</v>
      </c>
      <c r="Q146" s="42">
        <f ca="1">'Isolamento de cabos'!$EI$133/1000</f>
        <v>-3.0800748882804756</v>
      </c>
      <c r="R146" s="42">
        <f ca="1">'Isolamento de cabos'!$EL$110/1000</f>
        <v>-9.857387001412603</v>
      </c>
      <c r="S146" s="42">
        <f ca="1">'Isolamento de cabos'!$EL$133/1000</f>
        <v>5.7186704481686235</v>
      </c>
      <c r="T146" s="42">
        <f ca="1">'Isolamento de cabos'!$EO$110/1000</f>
        <v>-9.857380382525545</v>
      </c>
      <c r="U146" s="42">
        <f ca="1">'Isolamento de cabos'!$EO$133/1000</f>
        <v>-3.0800748882804756</v>
      </c>
      <c r="V146" s="42" t="str">
        <f ca="1">IF($M$18="NÃO DISPENSADO — furo deve ser verificado (cálculo abaixo)",IF(OR(AND(K146&gt;=($M$4-$M$7/2)/100,K146&lt;=($M$4+$M$7/2)/100),ABS(K146-$M$4/100)&lt;=Geometria!$L$29/4000),"SIM","não"),"não")</f>
        <v>não</v>
      </c>
    </row>
    <row r="147" spans="11:22" x14ac:dyDescent="0.25">
      <c r="K147" s="60">
        <f>'Isolamento de cabos'!$B$111</f>
        <v>3.9250000000000003</v>
      </c>
      <c r="L147" s="42">
        <f ca="1">'Isolamento de cabos'!$EC$111/1000</f>
        <v>4.893399203981487</v>
      </c>
      <c r="M147" s="42">
        <f ca="1">'Isolamento de cabos'!$EC$134/1000</f>
        <v>-21.286880122605837</v>
      </c>
      <c r="N147" s="42">
        <f ca="1">'Isolamento de cabos'!$EF$111/1000</f>
        <v>-10.018021339247314</v>
      </c>
      <c r="O147" s="42">
        <f ca="1">'Isolamento de cabos'!$EF$134/1000</f>
        <v>10.420875982643945</v>
      </c>
      <c r="P147" s="42">
        <f ca="1">'Isolamento de cabos'!$EI$111/1000</f>
        <v>-10.018011310630559</v>
      </c>
      <c r="Q147" s="42">
        <f ca="1">'Isolamento de cabos'!$EI$134/1000</f>
        <v>-2.910556345309237</v>
      </c>
      <c r="R147" s="42">
        <f ca="1">'Isolamento de cabos'!$EL$111/1000</f>
        <v>-10.018017996375063</v>
      </c>
      <c r="S147" s="42">
        <f ca="1">'Isolamento de cabos'!$EL$134/1000</f>
        <v>5.977065206659552</v>
      </c>
      <c r="T147" s="42">
        <f ca="1">'Isolamento de cabos'!$EO$111/1000</f>
        <v>-10.018011310630559</v>
      </c>
      <c r="U147" s="42">
        <f ca="1">'Isolamento de cabos'!$EO$134/1000</f>
        <v>-2.910556345309237</v>
      </c>
      <c r="V147" s="42" t="str">
        <f ca="1">IF($M$18="NÃO DISPENSADO — furo deve ser verificado (cálculo abaixo)",IF(OR(AND(K147&gt;=($M$4-$M$7/2)/100,K147&lt;=($M$4+$M$7/2)/100),ABS(K147-$M$4/100)&lt;=Geometria!$L$29/4000),"SIM","não"),"não")</f>
        <v>não</v>
      </c>
    </row>
    <row r="148" spans="11:22" x14ac:dyDescent="0.25">
      <c r="K148" s="60">
        <f>'Isolamento de cabos'!$B$112</f>
        <v>4.3175</v>
      </c>
      <c r="L148" s="42">
        <f ca="1">'Isolamento de cabos'!$EC$112/1000</f>
        <v>4.916186690960655</v>
      </c>
      <c r="M148" s="42">
        <f ca="1">'Isolamento de cabos'!$EC$135/1000</f>
        <v>-21.309667609585002</v>
      </c>
      <c r="N148" s="42">
        <f ca="1">'Isolamento de cabos'!$EF$112/1000</f>
        <v>-9.857390310856132</v>
      </c>
      <c r="O148" s="42">
        <f ca="1">'Isolamento de cabos'!$EF$135/1000</f>
        <v>10.118043116393176</v>
      </c>
      <c r="P148" s="42">
        <f ca="1">'Isolamento de cabos'!$EI$112/1000</f>
        <v>-9.857380382525545</v>
      </c>
      <c r="Q148" s="42">
        <f ca="1">'Isolamento de cabos'!$EI$135/1000</f>
        <v>-3.0800748882804756</v>
      </c>
      <c r="R148" s="42">
        <f ca="1">'Isolamento de cabos'!$EL$112/1000</f>
        <v>-9.857387001412603</v>
      </c>
      <c r="S148" s="42">
        <f ca="1">'Isolamento de cabos'!$EL$135/1000</f>
        <v>5.718670448168625</v>
      </c>
      <c r="T148" s="42">
        <f ca="1">'Isolamento de cabos'!$EO$112/1000</f>
        <v>-9.857380382525545</v>
      </c>
      <c r="U148" s="42">
        <f ca="1">'Isolamento de cabos'!$EO$135/1000</f>
        <v>-3.0800748882804756</v>
      </c>
      <c r="V148" s="42" t="str">
        <f ca="1">IF($M$18="NÃO DISPENSADO — furo deve ser verificado (cálculo abaixo)",IF(OR(AND(K148&gt;=($M$4-$M$7/2)/100,K148&lt;=($M$4+$M$7/2)/100),ABS(K148-$M$4/100)&lt;=Geometria!$L$29/4000),"SIM","não"),"não")</f>
        <v>não</v>
      </c>
    </row>
    <row r="149" spans="11:22" x14ac:dyDescent="0.25">
      <c r="K149" s="60">
        <f>'Isolamento de cabos'!$B$113</f>
        <v>4.71</v>
      </c>
      <c r="L149" s="42">
        <f ca="1">'Isolamento de cabos'!$EC$113/1000</f>
        <v>4.984549151898154</v>
      </c>
      <c r="M149" s="42">
        <f ca="1">'Isolamento de cabos'!$EC$136/1000</f>
        <v>-21.378030070522502</v>
      </c>
      <c r="N149" s="42">
        <f ca="1">'Isolamento de cabos'!$EF$113/1000</f>
        <v>-9.375497225682583</v>
      </c>
      <c r="O149" s="42">
        <f ca="1">'Isolamento de cabos'!$EF$136/1000</f>
        <v>9.209544517640863</v>
      </c>
      <c r="P149" s="42">
        <f ca="1">'Isolamento de cabos'!$EI$113/1000</f>
        <v>-9.3754875982105</v>
      </c>
      <c r="Q149" s="42">
        <f ca="1">'Isolamento de cabos'!$EI$136/1000</f>
        <v>-3.5886305171941943</v>
      </c>
      <c r="R149" s="42">
        <f ca="1">'Isolamento de cabos'!$EL$113/1000</f>
        <v>-9.375494016525222</v>
      </c>
      <c r="S149" s="42">
        <f ca="1">'Isolamento de cabos'!$EL$136/1000</f>
        <v>4.943486172695844</v>
      </c>
      <c r="T149" s="42">
        <f ca="1">'Isolamento de cabos'!$EO$113/1000</f>
        <v>-9.3754875982105</v>
      </c>
      <c r="U149" s="42">
        <f ca="1">'Isolamento de cabos'!$EO$136/1000</f>
        <v>-3.5886305171941943</v>
      </c>
      <c r="V149" s="42" t="str">
        <f ca="1">IF($M$18="NÃO DISPENSADO — furo deve ser verificado (cálculo abaixo)",IF(OR(AND(K149&gt;=($M$4-$M$7/2)/100,K149&lt;=($M$4+$M$7/2)/100),ABS(K149-$M$4/100)&lt;=Geometria!$L$29/4000),"SIM","não"),"não")</f>
        <v>não</v>
      </c>
    </row>
    <row r="150" spans="11:22" x14ac:dyDescent="0.25">
      <c r="K150" s="60">
        <f>'Isolamento de cabos'!$B$114</f>
        <v>5.1025</v>
      </c>
      <c r="L150" s="42">
        <f ca="1">'Isolamento de cabos'!$EC$114/1000</f>
        <v>5.108076460992136</v>
      </c>
      <c r="M150" s="42">
        <f ca="1">'Isolamento de cabos'!$EC$137/1000</f>
        <v>-21.3571102232985</v>
      </c>
      <c r="N150" s="42">
        <f ca="1">'Isolamento de cabos'!$EF$114/1000</f>
        <v>-8.566152350581305</v>
      </c>
      <c r="O150" s="42">
        <f ca="1">'Isolamento de cabos'!$EF$137/1000</f>
        <v>7.812985116148907</v>
      </c>
      <c r="P150" s="42">
        <f ca="1">'Isolamento de cabos'!$EI$114/1000</f>
        <v>-8.56614322454006</v>
      </c>
      <c r="Q150" s="42">
        <f ca="1">'Isolamento de cabos'!$EI$137/1000</f>
        <v>-4.318618302288494</v>
      </c>
      <c r="R150" s="42">
        <f ca="1">'Isolamento de cabos'!$EL$114/1000</f>
        <v>-8.566149308567557</v>
      </c>
      <c r="S150" s="42">
        <f ca="1">'Isolamento de cabos'!$EL$137/1000</f>
        <v>3.7691173100031072</v>
      </c>
      <c r="T150" s="42">
        <f ca="1">'Isolamento de cabos'!$EO$114/1000</f>
        <v>-8.56614322454006</v>
      </c>
      <c r="U150" s="42">
        <f ca="1">'Isolamento de cabos'!$EO$137/1000</f>
        <v>-4.318618302288494</v>
      </c>
      <c r="V150" s="42" t="str">
        <f ca="1">IF($M$18="NÃO DISPENSADO — furo deve ser verificado (cálculo abaixo)",IF(OR(AND(K150&gt;=($M$4-$M$7/2)/100,K150&lt;=($M$4+$M$7/2)/100),ABS(K150-$M$4/100)&lt;=Geometria!$L$29/4000),"SIM","não"),"não")</f>
        <v>não</v>
      </c>
    </row>
    <row r="151" spans="11:22" x14ac:dyDescent="0.25">
      <c r="K151" s="60">
        <f>'Isolamento de cabos'!$B$115</f>
        <v>5.495</v>
      </c>
      <c r="L151" s="42">
        <f ca="1">'Isolamento de cabos'!$EC$115/1000</f>
        <v>5.447368085086651</v>
      </c>
      <c r="M151" s="42">
        <f ca="1">'Isolamento de cabos'!$EC$138/1000</f>
        <v>-18.988483487884086</v>
      </c>
      <c r="N151" s="42">
        <f ca="1">'Isolamento de cabos'!$EF$115/1000</f>
        <v>-7.325697616373015</v>
      </c>
      <c r="O151" s="42">
        <f ca="1">'Isolamento de cabos'!$EF$138/1000</f>
        <v>7.897868226323701</v>
      </c>
      <c r="P151" s="42">
        <f ca="1">'Isolamento de cabos'!$EI$115/1000</f>
        <v>-7.325689192334942</v>
      </c>
      <c r="Q151" s="42">
        <f ca="1">'Isolamento de cabos'!$EI$138/1000</f>
        <v>-3.300534929156975</v>
      </c>
      <c r="R151" s="42">
        <f ca="1">'Isolamento de cabos'!$EL$115/1000</f>
        <v>-7.325694808360325</v>
      </c>
      <c r="S151" s="42">
        <f ca="1">'Isolamento de cabos'!$EL$138/1000</f>
        <v>4.1650671744968095</v>
      </c>
      <c r="T151" s="42">
        <f ca="1">'Isolamento de cabos'!$EO$115/1000</f>
        <v>-7.325689192334942</v>
      </c>
      <c r="U151" s="42">
        <f ca="1">'Isolamento de cabos'!$EO$138/1000</f>
        <v>-3.300534929156975</v>
      </c>
      <c r="V151" s="42" t="str">
        <f ca="1">IF($M$18="NÃO DISPENSADO — furo deve ser verificado (cálculo abaixo)",IF(OR(AND(K151&gt;=($M$4-$M$7/2)/100,K151&lt;=($M$4+$M$7/2)/100),ABS(K151-$M$4/100)&lt;=Geometria!$L$29/4000),"SIM","não"),"não")</f>
        <v>não</v>
      </c>
    </row>
    <row r="152" spans="11:22" x14ac:dyDescent="0.25">
      <c r="K152" s="60">
        <f>'Isolamento de cabos'!$B$116</f>
        <v>5.8875</v>
      </c>
      <c r="L152" s="42">
        <f ca="1">'Isolamento de cabos'!$EC$116/1000</f>
        <v>5.832234683139496</v>
      </c>
      <c r="M152" s="42">
        <f ca="1">'Isolamento de cabos'!$EC$139/1000</f>
        <v>-16.665431726427997</v>
      </c>
      <c r="N152" s="42">
        <f ca="1">'Isolamento de cabos'!$EF$116/1000</f>
        <v>-5.763980825382361</v>
      </c>
      <c r="O152" s="42">
        <f ca="1">'Isolamento de cabos'!$EF$139/1000</f>
        <v>7.377085603996959</v>
      </c>
      <c r="P152" s="42">
        <f ca="1">'Isolamento de cabos'!$EI$116/1000</f>
        <v>-5.763973303919795</v>
      </c>
      <c r="Q152" s="42">
        <f ca="1">'Isolamento de cabos'!$EI$139/1000</f>
        <v>-2.6214886419679324</v>
      </c>
      <c r="R152" s="42">
        <f ca="1">'Isolamento de cabos'!$EL$116/1000</f>
        <v>-5.7639783182281725</v>
      </c>
      <c r="S152" s="42">
        <f ca="1">'Isolamento de cabos'!$EL$139/1000</f>
        <v>4.044227522008663</v>
      </c>
      <c r="T152" s="42">
        <f ca="1">'Isolamento de cabos'!$EO$116/1000</f>
        <v>-5.763973303919795</v>
      </c>
      <c r="U152" s="42">
        <f ca="1">'Isolamento de cabos'!$EO$139/1000</f>
        <v>-2.6214886419679324</v>
      </c>
      <c r="V152" s="42" t="str">
        <f ca="1">IF($M$18="NÃO DISPENSADO — furo deve ser verificado (cálculo abaixo)",IF(OR(AND(K152&gt;=($M$4-$M$7/2)/100,K152&lt;=($M$4+$M$7/2)/100),ABS(K152-$M$4/100)&lt;=Geometria!$L$29/4000),"SIM","não"),"não")</f>
        <v>não</v>
      </c>
    </row>
    <row r="153" spans="11:22" x14ac:dyDescent="0.25">
      <c r="K153" s="60">
        <f>'Isolamento de cabos'!$B$117</f>
        <v>6.28</v>
      </c>
      <c r="L153" s="42">
        <f ca="1">'Isolamento de cabos'!$EC$117/1000</f>
        <v>6.24893516863549</v>
      </c>
      <c r="M153" s="42">
        <f ca="1">'Isolamento de cabos'!$EC$140/1000</f>
        <v>-14.581188504097275</v>
      </c>
      <c r="N153" s="42">
        <f ca="1">'Isolamento de cabos'!$EF$117/1000</f>
        <v>-3.889871088600677</v>
      </c>
      <c r="O153" s="42">
        <f ca="1">'Isolamento de cabos'!$EF$140/1000</f>
        <v>6.082124140333237</v>
      </c>
      <c r="P153" s="42">
        <f ca="1">'Isolamento de cabos'!$EI$117/1000</f>
        <v>-3.8898646702859545</v>
      </c>
      <c r="Q153" s="42">
        <f ca="1">'Isolamento de cabos'!$EI$140/1000</f>
        <v>-2.4499925495568053</v>
      </c>
      <c r="R153" s="42">
        <f ca="1">'Isolamento de cabos'!$EL$117/1000</f>
        <v>-3.8898689491624365</v>
      </c>
      <c r="S153" s="42">
        <f ca="1">'Isolamento de cabos'!$EL$140/1000</f>
        <v>3.2380852437032233</v>
      </c>
      <c r="T153" s="42">
        <f ca="1">'Isolamento de cabos'!$EO$117/1000</f>
        <v>-3.8898646702859545</v>
      </c>
      <c r="U153" s="42">
        <f ca="1">'Isolamento de cabos'!$EO$140/1000</f>
        <v>-2.4499925495568053</v>
      </c>
      <c r="V153" s="42" t="str">
        <f ca="1">IF($M$18="NÃO DISPENSADO — furo deve ser verificado (cálculo abaixo)",IF(OR(AND(K153&gt;=($M$4-$M$7/2)/100,K153&lt;=($M$4+$M$7/2)/100),ABS(K153-$M$4/100)&lt;=Geometria!$L$29/4000),"SIM","não"),"não")</f>
        <v>não</v>
      </c>
    </row>
    <row r="154" spans="11:22" x14ac:dyDescent="0.25">
      <c r="K154" s="60">
        <f>'Isolamento de cabos'!$B$118</f>
        <v>6.6725</v>
      </c>
      <c r="L154" s="42">
        <f ca="1">'Isolamento de cabos'!$EC$118/1000</f>
        <v>6.545172499364656</v>
      </c>
      <c r="M154" s="42">
        <f ca="1">'Isolamento de cabos'!$EC$141/1000</f>
        <v>-14.272179794506716</v>
      </c>
      <c r="N154" s="42">
        <f ca="1">'Isolamento de cabos'!$EF$118/1000</f>
        <v>-1.8016677195152995</v>
      </c>
      <c r="O154" s="42">
        <f ca="1">'Isolamento de cabos'!$EF$141/1000</f>
        <v>3.050172079394171</v>
      </c>
      <c r="P154" s="42">
        <f ca="1">'Isolamento de cabos'!$EI$118/1000</f>
        <v>-1.8016626049207551</v>
      </c>
      <c r="Q154" s="42">
        <f ca="1">'Isolamento de cabos'!$EI$141/1000</f>
        <v>3.050172079394171</v>
      </c>
      <c r="R154" s="42">
        <f ca="1">'Isolamento de cabos'!$EL$118/1000</f>
        <v>-1.8016660146504515</v>
      </c>
      <c r="S154" s="42">
        <f ca="1">'Isolamento de cabos'!$EL$141/1000</f>
        <v>3.050172079394171</v>
      </c>
      <c r="T154" s="42">
        <f ca="1">'Isolamento de cabos'!$EO$118/1000</f>
        <v>-1.8016626049207551</v>
      </c>
      <c r="U154" s="42">
        <f ca="1">'Isolamento de cabos'!$EO$141/1000</f>
        <v>3.050172079394171</v>
      </c>
      <c r="V154" s="42" t="str">
        <f ca="1">IF($M$18="NÃO DISPENSADO — furo deve ser verificado (cálculo abaixo)",IF(OR(AND(K154&gt;=($M$4-$M$7/2)/100,K154&lt;=($M$4+$M$7/2)/100),ABS(K154-$M$4/100)&lt;=Geometria!$L$29/4000),"SIM","não"),"não")</f>
        <v>não</v>
      </c>
    </row>
    <row r="155" spans="11:22" x14ac:dyDescent="0.25">
      <c r="K155" s="60">
        <f>'Isolamento de cabos'!$B$119</f>
        <v>7.065</v>
      </c>
      <c r="L155" s="42">
        <f ca="1">'Isolamento de cabos'!$EC$119/1000</f>
        <v>4.277775892357763</v>
      </c>
      <c r="M155" s="42">
        <f ca="1">'Isolamento de cabos'!$EC$142/1000</f>
        <v>-9.37046577880309</v>
      </c>
      <c r="N155" s="42">
        <f ca="1">'Isolamento de cabos'!$EF$119/1000</f>
        <v>-1.8122473105880261</v>
      </c>
      <c r="O155" s="42">
        <f ca="1">'Isolamento de cabos'!$EF$142/1000</f>
        <v>2.6391137854309954</v>
      </c>
      <c r="P155" s="42">
        <f ca="1">'Isolamento de cabos'!$EI$119/1000</f>
        <v>-1.8122473105880261</v>
      </c>
      <c r="Q155" s="42">
        <f ca="1">'Isolamento de cabos'!$EI$142/1000</f>
        <v>2.6391137854309954</v>
      </c>
      <c r="R155" s="42">
        <f ca="1">'Isolamento de cabos'!$EL$119/1000</f>
        <v>-1.8122473105880261</v>
      </c>
      <c r="S155" s="42">
        <f ca="1">'Isolamento de cabos'!$EL$142/1000</f>
        <v>2.6391137854309954</v>
      </c>
      <c r="T155" s="42">
        <f ca="1">'Isolamento de cabos'!$EO$119/1000</f>
        <v>-1.8122473105880261</v>
      </c>
      <c r="U155" s="42">
        <f ca="1">'Isolamento de cabos'!$EO$142/1000</f>
        <v>2.6391137854309954</v>
      </c>
      <c r="V155" s="42" t="str">
        <f ca="1">IF($M$18="NÃO DISPENSADO — furo deve ser verificado (cálculo abaixo)",IF(OR(AND(K155&gt;=($M$4-$M$7/2)/100,K155&lt;=($M$4+$M$7/2)/100),ABS(K155-$M$4/100)&lt;=Geometria!$L$29/4000),"SIM","não"),"não")</f>
        <v>não</v>
      </c>
    </row>
    <row r="156" spans="11:22" x14ac:dyDescent="0.25">
      <c r="K156" s="60">
        <f>'Isolamento de cabos'!$B$120</f>
        <v>7.4575000000000005</v>
      </c>
      <c r="L156" s="42">
        <f ca="1">'Isolamento de cabos'!$EC$120/1000</f>
        <v>1.9224068198767983</v>
      </c>
      <c r="M156" s="42">
        <f ca="1">'Isolamento de cabos'!$EC$143/1000</f>
        <v>-4.468751763099462</v>
      </c>
      <c r="N156" s="42">
        <f ca="1">'Isolamento de cabos'!$EF$120/1000</f>
        <v>-1.0667546836851967</v>
      </c>
      <c r="O156" s="42">
        <f ca="1">'Isolamento de cabos'!$EF$143/1000</f>
        <v>1.622389758966276</v>
      </c>
      <c r="P156" s="42">
        <f ca="1">'Isolamento de cabos'!$EI$120/1000</f>
        <v>-1.0667546836851967</v>
      </c>
      <c r="Q156" s="42">
        <f ca="1">'Isolamento de cabos'!$EI$143/1000</f>
        <v>1.622389758966276</v>
      </c>
      <c r="R156" s="42">
        <f ca="1">'Isolamento de cabos'!$EL$120/1000</f>
        <v>-1.0667546836851967</v>
      </c>
      <c r="S156" s="42">
        <f ca="1">'Isolamento de cabos'!$EL$143/1000</f>
        <v>1.622389758966276</v>
      </c>
      <c r="T156" s="42">
        <f ca="1">'Isolamento de cabos'!$EO$120/1000</f>
        <v>-1.0667546836851967</v>
      </c>
      <c r="U156" s="42">
        <f ca="1">'Isolamento de cabos'!$EO$143/1000</f>
        <v>1.622389758966276</v>
      </c>
      <c r="V156" s="42" t="str">
        <f ca="1">IF($M$18="NÃO DISPENSADO — furo deve ser verificado (cálculo abaixo)",IF(OR(AND(K156&gt;=($M$4-$M$7/2)/100,K156&lt;=($M$4+$M$7/2)/100),ABS(K156-$M$4/100)&lt;=Geometria!$L$29/4000),"SIM","não"),"não")</f>
        <v>não</v>
      </c>
    </row>
    <row r="157" spans="11:22" x14ac:dyDescent="0.25">
      <c r="K157" s="60">
        <f>'Isolamento de cabos'!$B$121</f>
        <v>7.8500000000000005</v>
      </c>
      <c r="L157" s="42">
        <f>'Isolamento de cabos'!$EC$121/1000</f>
        <v>0.0</v>
      </c>
      <c r="M157" s="42">
        <f ca="1">'Isolamento de cabos'!$EC$144/1000</f>
        <v>0.0</v>
      </c>
      <c r="N157" s="42">
        <f>'Isolamento de cabos'!$EF$121/1000</f>
        <v>0.0</v>
      </c>
      <c r="O157" s="42">
        <f ca="1">'Isolamento de cabos'!$EF$144/1000</f>
        <v>0.0</v>
      </c>
      <c r="P157" s="42">
        <f>'Isolamento de cabos'!$EI$121/1000</f>
        <v>0.0</v>
      </c>
      <c r="Q157" s="42">
        <f ca="1">'Isolamento de cabos'!$EI$144/1000</f>
        <v>0.0</v>
      </c>
      <c r="R157" s="42">
        <f>'Isolamento de cabos'!$EL$121/1000</f>
        <v>0.0</v>
      </c>
      <c r="S157" s="42">
        <f ca="1">'Isolamento de cabos'!$EL$144/1000</f>
        <v>0.0</v>
      </c>
      <c r="T157" s="42">
        <f>'Isolamento de cabos'!$EO$121/1000</f>
        <v>0.0</v>
      </c>
      <c r="U157" s="42">
        <f ca="1">'Isolamento de cabos'!$EO$144/1000</f>
        <v>0.0</v>
      </c>
      <c r="V157" s="42" t="str">
        <f ca="1">IF($M$18="NÃO DISPENSADO — furo deve ser verificado (cálculo abaixo)",IF(OR(AND(K157&gt;=($M$4-$M$7/2)/100,K157&lt;=($M$4+$M$7/2)/100),ABS(K157-$M$4/100)&lt;=Geometria!$L$29/4000),"SIM","não"),"não")</f>
        <v>não</v>
      </c>
    </row>
    <row r="160" spans="11:22" x14ac:dyDescent="0.25">
      <c r="K160" s="742" t="s">
        <v>2130</v>
      </c>
      <c r="L160" s="742"/>
      <c r="M160" s="742"/>
      <c r="N160" s="742"/>
      <c r="O160" s="742"/>
      <c r="P160" s="742"/>
      <c r="Q160" s="742"/>
      <c r="R160" s="742"/>
      <c r="S160" s="742"/>
      <c r="T160" s="742"/>
      <c r="U160" s="742"/>
      <c r="V160" s="742"/>
    </row>
    <row r="161" spans="11:14" x14ac:dyDescent="0.25">
      <c r="K161" s="27" t="s">
        <v>2131</v>
      </c>
      <c r="M161" s="42">
        <f ca="1">Geometria!$L$300*Geometria!$N$368</f>
        <v>0.0</v>
      </c>
      <c r="N161" s="38" t="s">
        <v>292</v>
      </c>
    </row>
    <row r="162" spans="11:14" x14ac:dyDescent="0.25">
      <c r="K162" s="27" t="s">
        <v>2132</v>
      </c>
      <c r="M162" s="42">
        <f ca="1">IF($M$161=0,0,IF(Geometria!$M$19="2 - i",Geometria!$L$70,Geometria!$L$27)-Geometria!$R$267)</f>
        <v>0.0</v>
      </c>
      <c r="N162" s="4" t="s">
        <v>35</v>
      </c>
    </row>
    <row r="163" spans="11:14" x14ac:dyDescent="0.25">
      <c r="K163" s="27" t="s">
        <v>2133</v>
      </c>
      <c r="M163" s="42" t="str">
        <f ca="1">IF($M$161=0,"(sem cordoalha superior)",IF($M$162&lt;$M$6-$M$5/2,"INFERIOR (tracionado)",IF($M$162&gt;$M$6+$M$5/2,"SUPERIOR (comprimido)","ATENÇÃO: cordoalha superior cruza o furo!")))</f>
        <v>(sem cordoalha superior)</v>
      </c>
    </row>
    <row r="164" spans="11:14" x14ac:dyDescent="0.25">
      <c r="K164" s="27" t="s">
        <v>2134</v>
      </c>
      <c r="M164" s="42">
        <f ca="1">IF($M$163="INFERIOR (tracionado)",$M$162-$M$51/2,IF($M$163="SUPERIOR (comprimido)",$M$162-($M$11-$M$50/2),0))</f>
        <v>0.0</v>
      </c>
      <c r="N164" s="4" t="s">
        <v>35</v>
      </c>
    </row>
    <row r="165" spans="11:14" x14ac:dyDescent="0.25">
      <c r="K165" s="27" t="s">
        <v>2135</v>
      </c>
      <c r="M165" s="42">
        <f ca="1">$M$161*$M$125/100</f>
        <v>-0.0</v>
      </c>
      <c r="N165" s="38" t="s">
        <v>965</v>
      </c>
    </row>
  </sheetData>
  <mergeCells count="19">
    <mergeCell ref="K1:V1"/>
    <mergeCell ref="K3:V3"/>
    <mergeCell ref="K10:V10"/>
    <mergeCell ref="K20:V20"/>
    <mergeCell ref="K44:V44"/>
    <mergeCell ref="K49:V49"/>
    <mergeCell ref="K54:V54"/>
    <mergeCell ref="K60:V60"/>
    <mergeCell ref="K68:V68"/>
    <mergeCell ref="K75:V75"/>
    <mergeCell ref="K122:V122"/>
    <mergeCell ref="K126:V126"/>
    <mergeCell ref="K135:V135"/>
    <mergeCell ref="K160:V160"/>
    <mergeCell ref="K80:V80"/>
    <mergeCell ref="K94:V94"/>
    <mergeCell ref="K98:V98"/>
    <mergeCell ref="K102:V102"/>
    <mergeCell ref="K106:V106"/>
  </mergeCells>
  <pageMargins left="0.7" right="0.7" top="0.75" bottom="0.75" header="0.511811023622047" footer="0.511811023622047"/>
  <pageSetup paperSize="9" scale="40" orientation="portrait" horizontalDpi="300" verticalDpi="300" r:id="rId1"/>
  <rowBreaks count="1" manualBreakCount="1">
    <brk id="101" max="1638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0AD47"/>
  </sheetPr>
  <dimension ref="A1:T17"/>
  <sheetViews>
    <sheetView showGridLines="0" workbookViewId="0"/>
  </sheetViews>
  <sheetFormatPr defaultRowHeight="15" x14ac:dyDescent="0.25"/>
  <cols>
    <col min="1" max="1" width="3" customWidth="1"/>
    <col min="2" max="2" width="7" customWidth="1"/>
    <col min="3" max="3" width="26" customWidth="1"/>
    <col min="4" max="4" width="15" customWidth="1"/>
    <col min="5" max="5" width="9" customWidth="1"/>
    <col min="6" max="6" width="8" customWidth="1"/>
    <col min="7" max="10" width="10" customWidth="1"/>
    <col min="11" max="11" width="11" customWidth="1"/>
    <col min="12" max="12" width="13" customWidth="1"/>
    <col min="13" max="13" width="10" customWidth="1"/>
    <col min="14" max="15" width="12" customWidth="1"/>
    <col min="16" max="16" width="6" customWidth="1"/>
    <col min="17" max="17" width="13" customWidth="1"/>
    <col min="18" max="18" width="15" customWidth="1"/>
    <col min="19" max="20" width="12" customWidth="1"/>
  </cols>
  <sheetData>
    <row r="1" spans="2:20" ht="18" x14ac:dyDescent="0.3">
      <c r="B1" s="644" t="s">
        <v>2224</v>
      </c>
    </row>
    <row r="2" spans="2:20" ht="32.1" customHeight="1" x14ac:dyDescent="0.25">
      <c r="B2" s="796" t="s">
        <v>2225</v>
      </c>
      <c r="C2" s="859"/>
      <c r="D2" s="859"/>
      <c r="E2" s="859"/>
      <c r="F2" s="859"/>
      <c r="G2" s="859"/>
      <c r="H2" s="859"/>
      <c r="I2" s="859"/>
      <c r="J2" s="859"/>
      <c r="K2" s="859"/>
      <c r="L2" s="859"/>
      <c r="M2" s="859"/>
      <c r="N2" s="859"/>
      <c r="O2" s="859"/>
      <c r="P2" s="859"/>
      <c r="Q2" s="859"/>
      <c r="R2" s="859"/>
      <c r="S2" s="859"/>
      <c r="T2" s="859"/>
    </row>
    <row r="3" spans="2:20" ht="45" customHeight="1" x14ac:dyDescent="0.25">
      <c r="B3" s="796" t="s">
        <v>2226</v>
      </c>
      <c r="C3" s="859"/>
      <c r="D3" s="859"/>
      <c r="E3" s="859"/>
      <c r="F3" s="859"/>
      <c r="G3" s="859"/>
      <c r="H3" s="859"/>
      <c r="I3" s="859"/>
      <c r="J3" s="859"/>
      <c r="K3" s="859"/>
      <c r="L3" s="859"/>
      <c r="M3" s="859"/>
      <c r="N3" s="859"/>
      <c r="O3" s="859"/>
      <c r="P3" s="859"/>
      <c r="Q3" s="859"/>
      <c r="R3" s="859"/>
      <c r="S3" s="859"/>
      <c r="T3" s="859"/>
    </row>
    <row r="4" spans="2:20" ht="32.1" customHeight="1" x14ac:dyDescent="0.25">
      <c r="B4" s="796" t="s">
        <v>2227</v>
      </c>
      <c r="C4" s="859"/>
      <c r="D4" s="859"/>
      <c r="E4" s="859"/>
      <c r="F4" s="859"/>
      <c r="G4" s="859"/>
      <c r="H4" s="859"/>
      <c r="I4" s="859"/>
      <c r="J4" s="859"/>
      <c r="K4" s="859"/>
      <c r="L4" s="859"/>
      <c r="M4" s="859"/>
      <c r="N4" s="859"/>
      <c r="O4" s="859"/>
      <c r="P4" s="859"/>
      <c r="Q4" s="859"/>
      <c r="R4" s="859"/>
      <c r="S4" s="859"/>
      <c r="T4" s="859"/>
    </row>
    <row r="5" spans="2:20" ht="45" customHeight="1" x14ac:dyDescent="0.25">
      <c r="B5" s="641" t="s">
        <v>2228</v>
      </c>
      <c r="C5" s="641" t="s">
        <v>321</v>
      </c>
      <c r="D5" s="641" t="s">
        <v>2229</v>
      </c>
      <c r="E5" s="641" t="s">
        <v>2230</v>
      </c>
      <c r="F5" s="641" t="s">
        <v>2231</v>
      </c>
      <c r="G5" s="641" t="s">
        <v>2232</v>
      </c>
      <c r="H5" s="641" t="s">
        <v>2233</v>
      </c>
      <c r="I5" s="641" t="s">
        <v>2234</v>
      </c>
      <c r="J5" s="641" t="s">
        <v>2235</v>
      </c>
      <c r="K5" s="641" t="s">
        <v>1335</v>
      </c>
      <c r="L5" s="641" t="s">
        <v>2236</v>
      </c>
      <c r="M5" s="641" t="s">
        <v>2237</v>
      </c>
      <c r="N5" s="641" t="s">
        <v>2238</v>
      </c>
      <c r="O5" s="641" t="s">
        <v>2239</v>
      </c>
      <c r="P5" s="641" t="s">
        <v>1415</v>
      </c>
      <c r="Q5" s="641" t="s">
        <v>2240</v>
      </c>
      <c r="R5" s="641" t="s">
        <v>2241</v>
      </c>
      <c r="S5" s="641" t="s">
        <v>2185</v>
      </c>
      <c r="T5" s="641" t="s">
        <v>2242</v>
      </c>
    </row>
    <row r="6" spans="2:20" x14ac:dyDescent="0.25">
      <c r="B6" s="643">
        <v>1</v>
      </c>
      <c r="C6" s="643" t="s">
        <v>327</v>
      </c>
      <c r="D6" s="643" t="s">
        <v>664</v>
      </c>
      <c r="E6" s="642">
        <f>Geometria!$M$332</f>
        <v>1.0</v>
      </c>
      <c r="F6" s="646">
        <f>EXP(Fluência!$B$17*(1-(28/E6)^(1/2)))</f>
        <v>0.42388184737889384</v>
      </c>
      <c r="G6" s="642">
        <f>MAX(Geometria!$L$84,MIN(Geometria!$L$82,F6*Geometria!$L$82))</f>
        <v>35.0</v>
      </c>
      <c r="H6" s="646">
        <f t="shared" ref="H6:H12" si="0">IF(G6&lt;=50,0.3*G6^(2/3),2.12*LN(1+0.11*G6))</f>
        <v>3.209962441695238</v>
      </c>
      <c r="I6" s="642">
        <f ca="1">Geometria!$L$324</f>
        <v>131.73332881037422</v>
      </c>
      <c r="J6" s="642">
        <f ca="1">Geometria!$L$326</f>
        <v>145.80660584574528</v>
      </c>
      <c r="K6" s="642">
        <f ca="1">Geometria!$L$298*I6+Geometria!$L$300*J6</f>
        <v>1475.413282676191</v>
      </c>
      <c r="L6" s="642">
        <f ca="1">Geometria!$L$298*I6*Geometria!$L$299-Geometria!$L$300*J6*Geometria!$L$301</f>
        <v>27663.999050178583</v>
      </c>
      <c r="M6" s="642">
        <f ca="1">Geometria!$L$48</f>
        <v>1800.0</v>
      </c>
      <c r="N6" s="642">
        <f ca="1">Geometria!$L$53</f>
        <v>18000.0</v>
      </c>
      <c r="O6" s="642">
        <f ca="1">IF(D6="Composta",Geometria!$M$53,Geometria!$L$53)</f>
        <v>18000.0</v>
      </c>
      <c r="P6" s="642">
        <f>Geometria!$R$75</f>
        <v>1.5</v>
      </c>
      <c r="Q6" s="642">
        <f t="shared" ref="Q6:Q12" ca="1" si="1">P6*H6/10*O6+N6*K6/M6+L6</f>
        <v>51085.03046951764</v>
      </c>
      <c r="R6" s="642">
        <f>0</f>
        <v>0.0</v>
      </c>
      <c r="S6" s="645" t="str">
        <f ca="1">IF(Q6&gt;R6,"Estádio I","Estádio II")</f>
        <v>Estádio I</v>
      </c>
      <c r="T6" s="646">
        <f ca="1">IF(S6="Estádio I",1,1/Geometria!$L$1290)</f>
        <v>1.0</v>
      </c>
    </row>
    <row r="7" spans="2:20" x14ac:dyDescent="0.25">
      <c r="B7" s="643">
        <v>2</v>
      </c>
      <c r="C7" s="643" t="s">
        <v>2243</v>
      </c>
      <c r="D7" s="643" t="s">
        <v>664</v>
      </c>
      <c r="E7" s="642">
        <f>Geometria!$M$333</f>
        <v>1.0</v>
      </c>
      <c r="F7" s="646">
        <f>EXP(Fluência!$B$17*(1-(28/E7)^(1/2)))</f>
        <v>0.42388184737889384</v>
      </c>
      <c r="G7" s="642">
        <f>MAX(Geometria!$L$84,MIN(Geometria!$L$82,F7*Geometria!$L$82))</f>
        <v>35.0</v>
      </c>
      <c r="H7" s="646">
        <f t="shared" si="0"/>
        <v>3.209962441695238</v>
      </c>
      <c r="I7" s="642">
        <f ca="1">Geometria!$L$324</f>
        <v>131.73332881037422</v>
      </c>
      <c r="J7" s="642">
        <f ca="1">Geometria!$L$326</f>
        <v>145.80660584574528</v>
      </c>
      <c r="K7" s="642">
        <f ca="1">Geometria!$L$298*I7+Geometria!$L$300*J7</f>
        <v>1475.413282676191</v>
      </c>
      <c r="L7" s="642">
        <f ca="1">Geometria!$L$298*I7*Geometria!$L$299-Geometria!$L$300*J7*Geometria!$L$301</f>
        <v>27663.999050178583</v>
      </c>
      <c r="M7" s="642">
        <f ca="1">Geometria!$L$48</f>
        <v>1800.0</v>
      </c>
      <c r="N7" s="642">
        <f ca="1">Geometria!$L$53</f>
        <v>18000.0</v>
      </c>
      <c r="O7" s="642">
        <f ca="1">IF(D7="Composta",Geometria!$M$53,Geometria!$L$53)</f>
        <v>18000.0</v>
      </c>
      <c r="P7" s="642">
        <f>Geometria!$R$75</f>
        <v>1.5</v>
      </c>
      <c r="Q7" s="642">
        <f t="shared" ca="1" si="1"/>
        <v>51085.03046951764</v>
      </c>
      <c r="R7" s="642">
        <f ca="1">R6+Geometria!$M$206*100</f>
        <v>4101.74765625</v>
      </c>
      <c r="S7" s="645" t="str">
        <f t="shared" ref="S7:S12" ca="1" si="2">IF(S6="Estádio II","Estádio II",IF(Q7&gt;R7,"Estádio I","Estádio II"))</f>
        <v>Estádio I</v>
      </c>
      <c r="T7" s="646">
        <f ca="1">IF(S7="Estádio I",1,1/Geometria!$L$1290)</f>
        <v>1.0</v>
      </c>
    </row>
    <row r="8" spans="2:20" x14ac:dyDescent="0.25">
      <c r="B8" s="643">
        <v>3</v>
      </c>
      <c r="C8" s="643" t="s">
        <v>2244</v>
      </c>
      <c r="D8" s="643" t="s">
        <v>664</v>
      </c>
      <c r="E8" s="642">
        <f>Geometria!$M$334</f>
        <v>15.0</v>
      </c>
      <c r="F8" s="646">
        <f>EXP(Fluência!$B$17*(1-(28/E8)^(1/2)))</f>
        <v>0.9293665811479722</v>
      </c>
      <c r="G8" s="642">
        <f>MAX(Geometria!$L$84,MIN(Geometria!$L$82,F8*Geometria!$L$82))</f>
        <v>46.46832905739861</v>
      </c>
      <c r="H8" s="646">
        <f t="shared" si="0"/>
        <v>3.877566834227948</v>
      </c>
      <c r="I8" s="642">
        <f ca="1">Geometria!$L$324</f>
        <v>131.73332881037422</v>
      </c>
      <c r="J8" s="642">
        <f ca="1">Geometria!$L$326</f>
        <v>145.80660584574528</v>
      </c>
      <c r="K8" s="642">
        <f ca="1">Geometria!$L$298*I8+Geometria!$L$300*J8</f>
        <v>1475.413282676191</v>
      </c>
      <c r="L8" s="642">
        <f ca="1">Geometria!$L$298*I8*Geometria!$L$299-Geometria!$L$300*J8*Geometria!$L$301</f>
        <v>27663.999050178583</v>
      </c>
      <c r="M8" s="642">
        <f ca="1">Geometria!$L$48</f>
        <v>1800.0</v>
      </c>
      <c r="N8" s="642">
        <f ca="1">Geometria!$L$53</f>
        <v>18000.0</v>
      </c>
      <c r="O8" s="642">
        <f ca="1">IF(D8="Composta",Geometria!$M$53,Geometria!$L$53)</f>
        <v>18000.0</v>
      </c>
      <c r="P8" s="642">
        <f>Geometria!$R$75</f>
        <v>1.5</v>
      </c>
      <c r="Q8" s="642">
        <f t="shared" ca="1" si="1"/>
        <v>52887.562329355955</v>
      </c>
      <c r="R8" s="642">
        <f ca="1">R7+Geometria!$M$207*100</f>
        <v>19244.03275390625</v>
      </c>
      <c r="S8" s="645" t="str">
        <f t="shared" ca="1" si="2"/>
        <v>Estádio I</v>
      </c>
      <c r="T8" s="646">
        <f ca="1">IF(S8="Estádio I",1,1/Geometria!$L$1290)</f>
        <v>1.0</v>
      </c>
    </row>
    <row r="9" spans="2:20" x14ac:dyDescent="0.25">
      <c r="B9" s="643">
        <v>4</v>
      </c>
      <c r="C9" s="643" t="s">
        <v>2245</v>
      </c>
      <c r="D9" s="643" t="s">
        <v>664</v>
      </c>
      <c r="E9" s="642">
        <f>Geometria!$M$335</f>
        <v>30.0</v>
      </c>
      <c r="F9" s="646">
        <f>EXP(Fluência!$B$17*(1-(28/E9)^(1/2)))</f>
        <v>1.0068046907979593</v>
      </c>
      <c r="G9" s="642">
        <f>MAX(Geometria!$L$84,MIN(Geometria!$L$82,F9*Geometria!$L$82))</f>
        <v>50.0</v>
      </c>
      <c r="H9" s="646">
        <f t="shared" si="0"/>
        <v>4.071626424892359</v>
      </c>
      <c r="I9" s="642">
        <f ca="1">Geometria!$L$324</f>
        <v>131.73332881037422</v>
      </c>
      <c r="J9" s="642">
        <f ca="1">Geometria!$L$326</f>
        <v>145.80660584574528</v>
      </c>
      <c r="K9" s="642">
        <f ca="1">Geometria!$L$298*I9+Geometria!$L$300*J9</f>
        <v>1475.413282676191</v>
      </c>
      <c r="L9" s="642">
        <f ca="1">Geometria!$L$298*I9*Geometria!$L$299-Geometria!$L$300*J9*Geometria!$L$301</f>
        <v>27663.999050178583</v>
      </c>
      <c r="M9" s="642">
        <f ca="1">Geometria!$L$48</f>
        <v>1800.0</v>
      </c>
      <c r="N9" s="642">
        <f ca="1">Geometria!$L$53</f>
        <v>18000.0</v>
      </c>
      <c r="O9" s="642">
        <f ca="1">IF(D9="Composta",Geometria!$M$53,Geometria!$L$53)</f>
        <v>18000.0</v>
      </c>
      <c r="P9" s="642">
        <f>Geometria!$R$75</f>
        <v>1.5</v>
      </c>
      <c r="Q9" s="642">
        <f t="shared" ca="1" si="1"/>
        <v>53411.52322414986</v>
      </c>
      <c r="R9" s="642">
        <f ca="1">R8+Geometria!$M$208*100</f>
        <v>28913.56585546875</v>
      </c>
      <c r="S9" s="645" t="str">
        <f t="shared" ca="1" si="2"/>
        <v>Estádio I</v>
      </c>
      <c r="T9" s="646">
        <f ca="1">IF(S9="Estádio I",1,1/Geometria!$L$1290)</f>
        <v>1.0</v>
      </c>
    </row>
    <row r="10" spans="2:20" x14ac:dyDescent="0.25">
      <c r="B10" s="643">
        <v>5</v>
      </c>
      <c r="C10" s="643" t="s">
        <v>2246</v>
      </c>
      <c r="D10" s="643" t="str">
        <f>IF(Geometria!$M$18="1 - Sim","Composta","Pré-fabricada")</f>
        <v>Composta</v>
      </c>
      <c r="E10" s="642">
        <f>Geometria!$M$336</f>
        <v>45.0</v>
      </c>
      <c r="F10" s="646">
        <f>EXP(Fluência!$B$17*(1-(28/E10)^(1/2)))</f>
        <v>1.0431425841237678</v>
      </c>
      <c r="G10" s="642">
        <f>MAX(Geometria!$L$84,MIN(Geometria!$L$82,F10*Geometria!$L$82))</f>
        <v>50.0</v>
      </c>
      <c r="H10" s="646">
        <f t="shared" si="0"/>
        <v>4.071626424892359</v>
      </c>
      <c r="I10" s="642">
        <f ca="1">Geometria!$L$324</f>
        <v>131.73332881037422</v>
      </c>
      <c r="J10" s="642">
        <f ca="1">Geometria!$L$326</f>
        <v>145.80660584574528</v>
      </c>
      <c r="K10" s="642">
        <f ca="1">Geometria!$L$298*I10+Geometria!$L$300*J10</f>
        <v>1475.413282676191</v>
      </c>
      <c r="L10" s="642">
        <f ca="1">Geometria!$L$298*I10*Geometria!$L$299-Geometria!$L$300*J10*Geometria!$L$301</f>
        <v>27663.999050178583</v>
      </c>
      <c r="M10" s="642">
        <f ca="1">Geometria!$L$48</f>
        <v>1800.0</v>
      </c>
      <c r="N10" s="642">
        <f ca="1">Geometria!$L$53</f>
        <v>18000.0</v>
      </c>
      <c r="O10" s="642">
        <f ca="1">IF(D10="Composta",Geometria!$M$53,Geometria!$L$53)</f>
        <v>50593.02728612396</v>
      </c>
      <c r="P10" s="642">
        <f>Geometria!$R$75</f>
        <v>1.5</v>
      </c>
      <c r="Q10" s="642">
        <f t="shared" ca="1" si="1"/>
        <v>73317.51789896286</v>
      </c>
      <c r="R10" s="642">
        <f ca="1">R9+Geometria!$M$210*100</f>
        <v>28913.56585546875</v>
      </c>
      <c r="S10" s="645" t="str">
        <f t="shared" ca="1" si="2"/>
        <v>Estádio I</v>
      </c>
      <c r="T10" s="646">
        <f ca="1">IF(S10="Estádio I",1,1/Geometria!$L$1290)</f>
        <v>1.0</v>
      </c>
    </row>
    <row r="11" spans="2:20" x14ac:dyDescent="0.25">
      <c r="B11" s="643">
        <v>6</v>
      </c>
      <c r="C11" s="643" t="s">
        <v>2247</v>
      </c>
      <c r="D11" s="643" t="str">
        <f>IF(Geometria!$M$18="1 - Sim","Composta","Pré-fabricada")</f>
        <v>Composta</v>
      </c>
      <c r="E11" s="642">
        <f>Geometria!$M$337</f>
        <v>60.0</v>
      </c>
      <c r="F11" s="646">
        <f>EXP(Fluência!$B$17*(1-(28/E11)^(1/2)))</f>
        <v>1.0654252228833427</v>
      </c>
      <c r="G11" s="642">
        <f>MAX(Geometria!$L$84,MIN(Geometria!$L$82,F11*Geometria!$L$82))</f>
        <v>50.0</v>
      </c>
      <c r="H11" s="646">
        <f t="shared" si="0"/>
        <v>4.071626424892359</v>
      </c>
      <c r="I11" s="642">
        <f ca="1">Geometria!$L$324</f>
        <v>131.73332881037422</v>
      </c>
      <c r="J11" s="642">
        <f ca="1">Geometria!$L$326</f>
        <v>145.80660584574528</v>
      </c>
      <c r="K11" s="642">
        <f ca="1">Geometria!$L$298*I11+Geometria!$L$300*J11</f>
        <v>1475.413282676191</v>
      </c>
      <c r="L11" s="642">
        <f ca="1">Geometria!$L$298*I11*Geometria!$L$299-Geometria!$L$300*J11*Geometria!$L$301</f>
        <v>27663.999050178583</v>
      </c>
      <c r="M11" s="642">
        <f ca="1">Geometria!$L$48</f>
        <v>1800.0</v>
      </c>
      <c r="N11" s="642">
        <f ca="1">Geometria!$L$53</f>
        <v>18000.0</v>
      </c>
      <c r="O11" s="642">
        <f ca="1">IF(D11="Composta",Geometria!$M$53,Geometria!$L$53)</f>
        <v>50593.02728612396</v>
      </c>
      <c r="P11" s="642">
        <f>Geometria!$R$75</f>
        <v>1.5</v>
      </c>
      <c r="Q11" s="642">
        <f t="shared" ca="1" si="1"/>
        <v>73317.51789896286</v>
      </c>
      <c r="R11" s="642">
        <f ca="1">R10+Geometria!$M$209*100</f>
        <v>33410.08265234375</v>
      </c>
      <c r="S11" s="645" t="str">
        <f t="shared" ca="1" si="2"/>
        <v>Estádio I</v>
      </c>
      <c r="T11" s="646">
        <f ca="1">IF(S11="Estádio I",1,1/Geometria!$L$1290)</f>
        <v>1.0</v>
      </c>
    </row>
    <row r="12" spans="2:20" x14ac:dyDescent="0.25">
      <c r="B12" s="643">
        <v>7</v>
      </c>
      <c r="C12" s="643" t="s">
        <v>2248</v>
      </c>
      <c r="D12" s="643" t="str">
        <f>IF(Geometria!$M$18="1 - Sim","Composta","Pré-fabricada")</f>
        <v>Composta</v>
      </c>
      <c r="E12" s="642">
        <f>Geometria!$M$338</f>
        <v>75.0</v>
      </c>
      <c r="F12" s="646">
        <f>EXP(Fluência!$B$17*(1-(28/E12)^(1/2)))</f>
        <v>1.0809042739171246</v>
      </c>
      <c r="G12" s="642">
        <f>MAX(Geometria!$L$84,MIN(Geometria!$L$82,F12*Geometria!$L$82))</f>
        <v>50.0</v>
      </c>
      <c r="H12" s="646">
        <f t="shared" si="0"/>
        <v>4.071626424892359</v>
      </c>
      <c r="I12" s="642">
        <f ca="1">Geometria!$N$368</f>
        <v>111.03210918130361</v>
      </c>
      <c r="J12" s="642">
        <f ca="1">Geometria!$N$369</f>
        <v>123.20686130687182</v>
      </c>
      <c r="K12" s="642">
        <f ca="1">Geometria!$L$298*I12+Geometria!$L$300*J12</f>
        <v>1243.5596228306003</v>
      </c>
      <c r="L12" s="642">
        <f ca="1">Geometria!$L$298*I12*Geometria!$L$299-Geometria!$L$300*J12*Geometria!$L$301</f>
        <v>23316.742928073756</v>
      </c>
      <c r="M12" s="642">
        <f ca="1">Geometria!$L$48</f>
        <v>1800.0</v>
      </c>
      <c r="N12" s="642">
        <f ca="1">Geometria!$L$53</f>
        <v>18000.0</v>
      </c>
      <c r="O12" s="642">
        <f ca="1">IF(D12="Composta",Geometria!$M$53,Geometria!$L$53)</f>
        <v>50593.02728612396</v>
      </c>
      <c r="P12" s="642">
        <f>Geometria!$R$75</f>
        <v>1.5</v>
      </c>
      <c r="Q12" s="642">
        <f t="shared" ca="1" si="1"/>
        <v>66651.72517840212</v>
      </c>
      <c r="R12" s="642">
        <f ca="1">R11+Geometria!$M$211*100</f>
        <v>145823.0025742188</v>
      </c>
      <c r="S12" s="645" t="str">
        <f t="shared" ca="1" si="2"/>
        <v>Estádio II</v>
      </c>
      <c r="T12" s="646">
        <f ca="1">IF(S12="Estádio I",1,1/Geometria!$L$1290)</f>
        <v>2.5</v>
      </c>
    </row>
    <row r="14" spans="2:20" ht="18" x14ac:dyDescent="0.3">
      <c r="B14" s="644" t="s">
        <v>2249</v>
      </c>
    </row>
    <row r="15" spans="2:20" x14ac:dyDescent="0.25">
      <c r="B15" s="796" t="s">
        <v>2250</v>
      </c>
      <c r="C15" s="859"/>
      <c r="D15" s="859"/>
      <c r="E15" s="859"/>
      <c r="F15" s="859"/>
      <c r="G15" s="859"/>
      <c r="H15" s="859"/>
      <c r="I15" s="859"/>
      <c r="J15" s="859"/>
      <c r="K15" s="859"/>
      <c r="L15" s="859"/>
      <c r="M15" s="859"/>
      <c r="N15" s="859"/>
      <c r="O15" s="859"/>
      <c r="P15" s="859"/>
      <c r="Q15" s="859"/>
      <c r="R15" s="859"/>
      <c r="S15" s="859"/>
      <c r="T15" s="859"/>
    </row>
    <row r="16" spans="2:20" x14ac:dyDescent="0.25">
      <c r="B16" s="796" t="s">
        <v>2251</v>
      </c>
      <c r="C16" s="859"/>
      <c r="D16" s="859"/>
      <c r="E16" s="859"/>
      <c r="F16" s="859"/>
      <c r="G16" s="859"/>
      <c r="H16" s="859"/>
      <c r="I16" s="859"/>
      <c r="J16" s="859"/>
      <c r="K16" s="859"/>
      <c r="L16" s="859"/>
      <c r="M16" s="859"/>
      <c r="N16" s="859"/>
      <c r="O16" s="859"/>
      <c r="P16" s="859"/>
      <c r="Q16" s="859"/>
      <c r="R16" s="859"/>
      <c r="S16" s="859"/>
      <c r="T16" s="859"/>
    </row>
    <row r="17" spans="2:20" x14ac:dyDescent="0.25">
      <c r="B17" s="796" t="s">
        <v>2252</v>
      </c>
      <c r="C17" s="859"/>
      <c r="D17" s="859"/>
      <c r="E17" s="859"/>
      <c r="F17" s="859"/>
      <c r="G17" s="859"/>
      <c r="H17" s="859"/>
      <c r="I17" s="859"/>
      <c r="J17" s="859"/>
      <c r="K17" s="859"/>
      <c r="L17" s="859"/>
      <c r="M17" s="859"/>
      <c r="N17" s="859"/>
      <c r="O17" s="859"/>
      <c r="P17" s="859"/>
      <c r="Q17" s="859"/>
      <c r="R17" s="859"/>
      <c r="S17" s="859"/>
      <c r="T17" s="859"/>
    </row>
  </sheetData>
  <mergeCells count="6">
    <mergeCell ref="B17:T17"/>
    <mergeCell ref="B2:T2"/>
    <mergeCell ref="B3:T3"/>
    <mergeCell ref="B4:T4"/>
    <mergeCell ref="B15:T15"/>
    <mergeCell ref="B16:T16"/>
  </mergeCells>
  <pageMargins left="0.5" right="0.5" top="0.75" bottom="0.75" header="0.3" footer="0.3"/>
  <pageSetup paperSize="9"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4472C4"/>
    <pageSetUpPr fitToPage="1"/>
  </sheetPr>
  <dimension ref="A1:CP790"/>
  <sheetViews>
    <sheetView showGridLines="0" tabSelected="1" view="pageBreakPreview" zoomScale="85" zoomScaleNormal="100" zoomScaleSheetLayoutView="85" workbookViewId="0">
      <pane ySplit="10" topLeftCell="A11" activePane="bottomLeft" state="frozen"/>
      <selection pane="bottomLeft" activeCell="L7" sqref="L7"/>
    </sheetView>
  </sheetViews>
  <sheetFormatPr defaultRowHeight="15" x14ac:dyDescent="0.25"/>
  <cols>
    <col min="8" max="8" width="2" customWidth="1"/>
    <col min="9" max="9" width="20" customWidth="1"/>
    <col min="10" max="11" width="13" customWidth="1"/>
    <col min="12" max="12" width="22.140625" customWidth="1"/>
    <col min="13" max="17" width="12" customWidth="1"/>
    <col min="18" max="18" width="13" customWidth="1"/>
    <col min="19" max="20" width="12" customWidth="1"/>
    <col min="21" max="21" width="16" customWidth="1"/>
    <col min="22" max="22" width="14" customWidth="1"/>
    <col min="23" max="23" width="13" customWidth="1"/>
    <col min="24" max="24" width="13" customWidth="1"/>
    <col min="25" max="30" width="11" customWidth="1"/>
  </cols>
  <sheetData>
    <row r="1" spans="9:23" ht="18" x14ac:dyDescent="0.3">
      <c r="I1" s="644" t="s">
        <v>2525</v>
      </c>
    </row>
    <row r="2" spans="9:23" ht="30" customHeight="1" x14ac:dyDescent="0.25">
      <c r="I2" s="796" t="inlineStr">
        <is>
          <t>Cinza = entrada. "Até x" já vem com o limite MAIS ECONÔMICO (coluna ao lado) – digite outro valor se quiser forçar. x medido do eixo do apoio para o meio do vão; o trecho 3 vai até o meio do vão. Linha 7: estribo de ligação com a capa (Ø e ramos editáveis) – em cada trecho vale o MAIOR entre ele e o estribo da cortante (P7/R7 = estribos/peso de ligação já incluídos nos trechos).</t>
        </is>
      </c>
      <c r="J2" s="859"/>
      <c r="K2" s="859"/>
      <c r="L2" s="859"/>
      <c r="M2" s="859"/>
      <c r="N2" s="859"/>
      <c r="O2" s="859"/>
      <c r="P2" s="859"/>
      <c r="Q2" s="859"/>
      <c r="R2" s="859"/>
      <c r="S2" s="859"/>
      <c r="T2" s="859"/>
      <c r="U2" s="859"/>
      <c r="V2" s="859"/>
      <c r="W2" s="859"/>
    </row>
    <row r="3" spans="9:23" ht="32.1" customHeight="1" x14ac:dyDescent="0.25">
      <c r="I3" s="641" t="s">
        <v>186</v>
      </c>
      <c r="J3" s="641" t="s">
        <v>2527</v>
      </c>
      <c r="K3" s="641" t="s">
        <v>2528</v>
      </c>
      <c r="L3" s="641" t="s">
        <v>2318</v>
      </c>
      <c r="M3" s="641" t="s">
        <v>2319</v>
      </c>
      <c r="N3" s="641" t="s">
        <v>2320</v>
      </c>
      <c r="O3" s="641" t="s">
        <v>2322</v>
      </c>
      <c r="P3" s="641" t="s">
        <v>2324</v>
      </c>
      <c r="Q3" s="641" t="s">
        <v>2529</v>
      </c>
      <c r="R3" s="641" t="s">
        <v>2325</v>
      </c>
      <c r="S3" s="860" t="s">
        <v>2326</v>
      </c>
      <c r="T3" s="860"/>
      <c r="U3" s="860"/>
      <c r="V3" s="860"/>
    </row>
    <row r="4" spans="9:23" x14ac:dyDescent="0.25">
      <c r="I4" s="643" t="s">
        <v>2327</v>
      </c>
      <c r="J4" s="23">
        <f ca="1">$J$385</f>
        <v>85.0</v>
      </c>
      <c r="K4" s="642">
        <f ca="1">$J$385</f>
        <v>85.0</v>
      </c>
      <c r="L4" s="23">
        <v>10</v>
      </c>
      <c r="M4" s="23">
        <v>2</v>
      </c>
      <c r="N4" s="646">
        <f ca="1">$N$61</f>
        <v>0.18160273411086042</v>
      </c>
      <c r="O4" s="642">
        <f>$AB$61</f>
        <v>8.5</v>
      </c>
      <c r="P4" s="642">
        <f ca="1">$S$61</f>
        <v>24.0</v>
      </c>
      <c r="Q4" s="642">
        <f>$V$61</f>
        <v>364.0</v>
      </c>
      <c r="R4" s="642">
        <f ca="1">$T$61</f>
        <v>53.833416</v>
      </c>
      <c r="S4" s="861" t="str">
        <f>IF($U$61&lt;&gt;"Ok",$U$61,IF($Y$61="Ligação","Ok – ligação governa: Ø"&amp;$Z$61&amp;" "&amp;$AA$61&amp;"r c/"&amp;$AB$61,"Ok – cortante governa"))</f>
        <v>Ok – cortante governa</v>
      </c>
      <c r="T4" s="861"/>
      <c r="U4" s="861"/>
      <c r="V4" s="861"/>
    </row>
    <row r="5" spans="9:23" x14ac:dyDescent="0.25">
      <c r="I5" s="643" t="s">
        <v>2212</v>
      </c>
      <c r="J5" s="23">
        <f ca="1">$J$386</f>
        <v>165.0</v>
      </c>
      <c r="K5" s="642">
        <f ca="1">$J$386</f>
        <v>165.0</v>
      </c>
      <c r="L5" s="23">
        <v>10</v>
      </c>
      <c r="M5" s="23">
        <v>2</v>
      </c>
      <c r="N5" s="646">
        <f ca="1">$N$62</f>
        <v>0.1417185965745367</v>
      </c>
      <c r="O5" s="642">
        <f>$AB$62</f>
        <v>11.0</v>
      </c>
      <c r="P5" s="642">
        <f ca="1">$S$62</f>
        <v>16.0</v>
      </c>
      <c r="Q5" s="642">
        <f>$V$62</f>
        <v>364.0</v>
      </c>
      <c r="R5" s="642">
        <f ca="1">$T$62</f>
        <v>35.888944</v>
      </c>
      <c r="S5" s="861" t="str">
        <f>IF($U$62&lt;&gt;"Ok",$U$62,IF($Y$62="Ligação","Ok – ligação governa: Ø"&amp;$Z$62&amp;" "&amp;$AA$62&amp;"r c/"&amp;$AB$62,"Ok – cortante governa"))</f>
        <v>Ok – cortante governa</v>
      </c>
      <c r="T5" s="861"/>
      <c r="U5" s="861"/>
      <c r="V5" s="861"/>
    </row>
    <row r="6" spans="9:23" x14ac:dyDescent="0.25">
      <c r="I6" s="643" t="s">
        <v>2328</v>
      </c>
      <c r="J6" s="642">
        <f>$J$57/2</f>
        <v>392.5</v>
      </c>
      <c r="K6" s="643" t="s">
        <v>2530</v>
      </c>
      <c r="L6" s="23">
        <v>10</v>
      </c>
      <c r="M6" s="23">
        <v>2</v>
      </c>
      <c r="N6" s="646">
        <f ca="1">$N$63</f>
        <v>0.07507438427604855</v>
      </c>
      <c r="O6" s="642">
        <f>$AB$63</f>
        <v>7.5</v>
      </c>
      <c r="P6" s="642">
        <f ca="1">$S$63</f>
        <v>62.0</v>
      </c>
      <c r="Q6" s="642">
        <f>$V$63</f>
        <v>364.0</v>
      </c>
      <c r="R6" s="642">
        <f ca="1">$T$63</f>
        <v>89.00458112000003</v>
      </c>
      <c r="S6" s="861" t="str">
        <f>IF($U$63&lt;&gt;"Ok",$U$63,IF($Y$63="Ligação","Ok – ligação governa: Ø"&amp;$Z$63&amp;" "&amp;$AA$63&amp;"r c/"&amp;$AB$63,"Ok – cortante governa"))</f>
        <v>Ok – ligação governa: Ø8 2r c/7.5</v>
      </c>
      <c r="T6" s="861"/>
      <c r="U6" s="861"/>
      <c r="V6" s="861"/>
    </row>
    <row r="7" spans="9:23" ht="30" x14ac:dyDescent="0.25">
      <c r="I7" s="643" t="inlineStr">
        <is>
          <t>Estribo de ligação (interface)</t>
        </is>
      </c>
      <c r="J7" s="643" t="s">
        <v>2532</v>
      </c>
      <c r="K7" s="643" t="inlineStr">
        <is>
          <t>estribo c/ espera</t>
        </is>
      </c>
      <c r="L7" s="23">
        <v>8</v>
      </c>
      <c r="M7" s="23">
        <v>2</v>
      </c>
      <c r="N7" s="646">
        <f>$J$173</f>
        <v>0.1325878126199994</v>
      </c>
      <c r="O7" s="642">
        <f>$J$175</f>
        <v>7.5</v>
      </c>
      <c r="P7" s="642">
        <f>SUMPRODUCT(($Y$61:$Y$63="Ligação")*$S$61:$S$63)</f>
        <v>62.0</v>
      </c>
      <c r="Q7" s="642">
        <f>CHOOSE(MIN(MAX($M$7,2),4)-1,$J$76,$J$77,$J$78)</f>
        <v>364.0</v>
      </c>
      <c r="R7" s="642">
        <f>SUMPRODUCT(($Y$61:$Y$63="Ligação")*$T$61:$T$63)</f>
        <v>89.00458112000003</v>
      </c>
      <c r="S7" s="861" t="str">
        <f>IF($J$155&lt;&gt;"Sim","Não se aplica (sem solidarização)",$L$182&amp;" | governa em: "&amp;$J$177)</f>
        <v>Ok – seção composta | governa em: T3</v>
      </c>
      <c r="T7" s="861"/>
      <c r="U7" s="861"/>
      <c r="V7" s="861"/>
    </row>
    <row r="8" spans="9:23" x14ac:dyDescent="0.25">
      <c r="I8" s="647" t="s">
        <v>224</v>
      </c>
      <c r="P8" s="642">
        <f>SUM(P4:P6)</f>
        <v>102.0</v>
      </c>
      <c r="R8" s="642">
        <f>SUM(R4:R6)</f>
        <v>178.72694112000005</v>
      </c>
      <c r="S8" s="862" t="str">
        <f ca="1">"Com os limites econômicos: "&amp;TEXT($J$298,"0")&amp;" kg"</f>
        <v>Com os limites econômicos: 171 kg</v>
      </c>
      <c r="T8" s="859"/>
      <c r="U8" s="859"/>
      <c r="V8" s="859"/>
    </row>
    <row r="9" spans="9:23" x14ac:dyDescent="0.25">
      <c r="I9" s="647" t="s">
        <v>2534</v>
      </c>
      <c r="J9" s="861" t="str">
        <f ca="1">"Biela: "&amp;IF(COUNTIF($V$43:$V$53,"Ok")=11,"Ok","Não Ok")</f>
        <v>Biela: Ok</v>
      </c>
      <c r="K9" s="861"/>
      <c r="L9" s="861"/>
      <c r="M9" s="861" t="str">
        <f ca="1">"Interface: "&amp;$L$182</f>
        <v>Interface: Ok – seção composta</v>
      </c>
      <c r="N9" s="861"/>
      <c r="O9" s="861"/>
      <c r="P9" s="861"/>
      <c r="Q9" s="861"/>
      <c r="R9" s="862" t="str">
        <f>IF($J$13="Gerber","Dente: "&amp;$J$144&amp;" Ø"&amp;$J$108&amp;" + anc. "&amp;$J$251&amp;" Ø"&amp;$J$250,IF($J$254="Tirante do apoio","Apoio: tirante "&amp;$J$93&amp;" Ø"&amp;$J$92,"Apoio: anc. "&amp;$J$251&amp;" Ø"&amp;$J$250))&amp;" + susp. "&amp;$J$233&amp;" Ø"&amp;$J$231</f>
        <v>Apoio: tirante 10 Ø12.5 + susp. 5 Ø12.5</v>
      </c>
      <c r="S9" s="859"/>
      <c r="T9" s="859"/>
      <c r="U9" s="859"/>
      <c r="V9" s="859"/>
      <c r="W9" s="859"/>
    </row>
    <row r="10" spans="9:23" x14ac:dyDescent="0.25">
      <c r="I10" s="647" t="s">
        <v>2329</v>
      </c>
      <c r="J10" s="863" t="str">
        <f>"T1: "&amp;$S$61&amp;" Ø"&amp;$Z$61&amp;" c/"&amp;$AB$61&amp;"   |   T2: "&amp;$S$62&amp;" Ø"&amp;$Z$62&amp;" c/"&amp;$AB$62&amp;"   |   T3: "&amp;$S$63&amp;" Ø"&amp;$Z$63&amp;" c/"&amp;$AB$63&amp;"   |   Peso estribos: "&amp;TEXT($J$65,"0")&amp;" kg"</f>
        <v>T1: 24 Ø10 c/8.5   |   T2: 16 Ø10 c/11   |   T3: 62 Ø8 c/7.5   |   Peso estribos: 179 kg</v>
      </c>
      <c r="K10" s="859"/>
      <c r="L10" s="859"/>
      <c r="M10" s="859"/>
      <c r="N10" s="859"/>
      <c r="O10" s="859"/>
      <c r="P10" s="859"/>
      <c r="Q10" s="859"/>
      <c r="R10" s="859"/>
      <c r="S10" s="859"/>
      <c r="T10" s="859"/>
      <c r="U10" s="859"/>
      <c r="V10" s="859"/>
      <c r="W10" s="859"/>
    </row>
    <row r="12" spans="9:23" ht="18" x14ac:dyDescent="0.3">
      <c r="I12" s="644" t="s">
        <v>2253</v>
      </c>
    </row>
    <row r="13" spans="9:23" x14ac:dyDescent="0.25">
      <c r="I13" s="80" t="s">
        <v>2141</v>
      </c>
      <c r="J13" s="643" t="str">
        <f>Geometria!$L$34</f>
        <v>Chanfro</v>
      </c>
      <c r="K13" s="38" t="s">
        <v>93</v>
      </c>
      <c r="M13" s="46" t="s">
        <v>2254</v>
      </c>
    </row>
    <row r="14" spans="9:23" x14ac:dyDescent="0.25">
      <c r="I14" s="80" t="s">
        <v>135</v>
      </c>
      <c r="J14" s="642">
        <f>Taxas!$J$5</f>
        <v>30.0</v>
      </c>
      <c r="K14" s="38" t="s">
        <v>35</v>
      </c>
      <c r="M14" s="46" t="s">
        <v>2255</v>
      </c>
    </row>
    <row r="15" spans="9:23" x14ac:dyDescent="0.25">
      <c r="I15" s="80" t="s">
        <v>2256</v>
      </c>
      <c r="J15" s="642">
        <f>IF(Geometria!$M$19="2 - i",Geometria!$L$70,Geometria!$L$27)</f>
        <v>60.0</v>
      </c>
      <c r="K15" s="38" t="s">
        <v>35</v>
      </c>
      <c r="M15" s="46" t="s">
        <v>2257</v>
      </c>
    </row>
    <row r="16" spans="9:23" x14ac:dyDescent="0.25">
      <c r="I16" s="80" t="s">
        <v>2258</v>
      </c>
      <c r="J16" s="642">
        <f>Taxas!$J$6</f>
        <v>90.0</v>
      </c>
      <c r="K16" s="38" t="s">
        <v>35</v>
      </c>
      <c r="M16" s="46" t="s">
        <v>2259</v>
      </c>
    </row>
    <row r="17" spans="9:13" x14ac:dyDescent="0.25">
      <c r="I17" s="80" t="s">
        <v>156</v>
      </c>
      <c r="J17" s="642">
        <f>Geometria!$R$76</f>
        <v>3.0</v>
      </c>
      <c r="K17" s="38" t="s">
        <v>35</v>
      </c>
      <c r="M17" s="46" t="s">
        <v>2260</v>
      </c>
    </row>
    <row r="18" spans="9:13" x14ac:dyDescent="0.25">
      <c r="I18" s="80" t="s">
        <v>2261</v>
      </c>
      <c r="J18" s="642">
        <f>Taxas!$I$57</f>
        <v>16.0</v>
      </c>
      <c r="K18" s="38" t="s">
        <v>460</v>
      </c>
      <c r="M18" s="46" t="s">
        <v>2262</v>
      </c>
    </row>
    <row r="19" spans="9:13" x14ac:dyDescent="0.25">
      <c r="I19" s="80" t="s">
        <v>74</v>
      </c>
      <c r="J19" s="642">
        <f>$J$17+$L$4/10+$J$18/20</f>
        <v>4.8</v>
      </c>
      <c r="K19" s="38" t="s">
        <v>35</v>
      </c>
      <c r="M19" s="46" t="s">
        <v>2263</v>
      </c>
    </row>
    <row r="20" spans="9:13" x14ac:dyDescent="0.25">
      <c r="I20" s="80" t="s">
        <v>71</v>
      </c>
      <c r="J20" s="642">
        <f>$J$16-$J$19</f>
        <v>85.2</v>
      </c>
      <c r="K20" s="38" t="s">
        <v>35</v>
      </c>
      <c r="M20" s="46" t="s">
        <v>2264</v>
      </c>
    </row>
    <row r="21" spans="9:13" x14ac:dyDescent="0.25">
      <c r="I21" s="80" t="s">
        <v>2265</v>
      </c>
      <c r="J21" s="642">
        <f>$J$15-$J$19</f>
        <v>55.2</v>
      </c>
      <c r="K21" s="38" t="s">
        <v>35</v>
      </c>
      <c r="M21" s="46" t="s">
        <v>2266</v>
      </c>
    </row>
    <row r="22" spans="9:13" x14ac:dyDescent="0.25">
      <c r="I22" s="80" t="s">
        <v>1153</v>
      </c>
      <c r="J22" s="642">
        <f>Geometria!$L$82</f>
        <v>50.0</v>
      </c>
      <c r="K22" s="38" t="s">
        <v>160</v>
      </c>
      <c r="M22" s="46" t="s">
        <v>2267</v>
      </c>
    </row>
    <row r="23" spans="9:13" x14ac:dyDescent="0.25">
      <c r="I23" s="80" t="s">
        <v>2268</v>
      </c>
      <c r="J23" s="642">
        <f>Geometria!$O$78</f>
        <v>1.4</v>
      </c>
      <c r="K23" s="38" t="s">
        <v>93</v>
      </c>
      <c r="M23" s="46" t="s">
        <v>2269</v>
      </c>
    </row>
    <row r="24" spans="9:13" x14ac:dyDescent="0.25">
      <c r="I24" s="80" t="s">
        <v>2270</v>
      </c>
      <c r="J24" s="642">
        <f>Geometria!$O$76</f>
        <v>1.1</v>
      </c>
      <c r="K24" s="38" t="s">
        <v>93</v>
      </c>
      <c r="M24" s="46" t="s">
        <v>2271</v>
      </c>
    </row>
    <row r="25" spans="9:13" x14ac:dyDescent="0.25">
      <c r="I25" s="80" t="s">
        <v>501</v>
      </c>
      <c r="J25" s="642">
        <f>$J$22/$J$23</f>
        <v>35.714285714285715</v>
      </c>
      <c r="K25" s="38" t="s">
        <v>160</v>
      </c>
      <c r="M25" s="46" t="s">
        <v>2272</v>
      </c>
    </row>
    <row r="26" spans="9:13" x14ac:dyDescent="0.25">
      <c r="I26" s="80" t="s">
        <v>2273</v>
      </c>
      <c r="J26" s="642">
        <f>IF($J$22&lt;=50,0.21*$J$22^(2/3),0.7*2.12*LN(1+0.11*$J$22))/$J$23</f>
        <v>2.03581321244618</v>
      </c>
      <c r="K26" s="38" t="s">
        <v>160</v>
      </c>
      <c r="M26" s="46" t="s">
        <v>2274</v>
      </c>
    </row>
    <row r="27" spans="9:13" x14ac:dyDescent="0.25">
      <c r="I27" s="80" t="s">
        <v>2275</v>
      </c>
      <c r="J27" s="642">
        <f>Geometria!$L$81</f>
        <v>500.0</v>
      </c>
      <c r="K27" s="38" t="s">
        <v>160</v>
      </c>
      <c r="M27" s="46" t="s">
        <v>2276</v>
      </c>
    </row>
    <row r="28" spans="9:13" x14ac:dyDescent="0.25">
      <c r="I28" s="80" t="s">
        <v>2277</v>
      </c>
      <c r="J28" s="642">
        <f>MIN($J$27/$J$24,435)</f>
        <v>435.0</v>
      </c>
      <c r="K28" s="38" t="s">
        <v>160</v>
      </c>
      <c r="M28" s="46" t="s">
        <v>2278</v>
      </c>
    </row>
    <row r="29" spans="9:13" x14ac:dyDescent="0.25">
      <c r="I29" s="80" t="s">
        <v>2279</v>
      </c>
      <c r="J29" s="642">
        <f>MIN($J$27/$J$24,435)/10</f>
        <v>43.5</v>
      </c>
      <c r="K29" s="38" t="s">
        <v>241</v>
      </c>
      <c r="M29" s="46" t="s">
        <v>2280</v>
      </c>
    </row>
    <row r="30" spans="9:13" x14ac:dyDescent="0.25">
      <c r="I30" s="80" t="s">
        <v>2281</v>
      </c>
      <c r="J30" s="642">
        <f>1-$J$22/250</f>
        <v>0.8</v>
      </c>
      <c r="K30" s="38" t="s">
        <v>93</v>
      </c>
      <c r="M30" s="46" t="s">
        <v>2282</v>
      </c>
    </row>
    <row r="31" spans="9:13" x14ac:dyDescent="0.25">
      <c r="I31" s="80" t="s">
        <v>2283</v>
      </c>
      <c r="J31" s="642">
        <f>0.27*$J$30*$J$25/10*$J$14*$J$20</f>
        <v>1971.771428571429</v>
      </c>
      <c r="K31" s="38" t="s">
        <v>292</v>
      </c>
      <c r="M31" s="46" t="s">
        <v>2284</v>
      </c>
    </row>
    <row r="32" spans="9:13" x14ac:dyDescent="0.25">
      <c r="I32" s="80" t="s">
        <v>2285</v>
      </c>
      <c r="J32" s="642">
        <f>0.6*$J$26/10*$J$14*$J$20</f>
        <v>312.21231426074615</v>
      </c>
      <c r="K32" s="38" t="s">
        <v>292</v>
      </c>
      <c r="M32" s="46" t="s">
        <v>2286</v>
      </c>
    </row>
    <row r="33" spans="9:24" x14ac:dyDescent="0.25">
      <c r="I33" s="80" t="s">
        <v>2287</v>
      </c>
      <c r="J33" s="642">
        <f>0.6*$J$26/10*$J$14*$J$21</f>
        <v>202.27840078865245</v>
      </c>
      <c r="K33" s="38" t="s">
        <v>292</v>
      </c>
      <c r="M33" s="46" t="s">
        <v>2288</v>
      </c>
    </row>
    <row r="34" spans="9:24" x14ac:dyDescent="0.25">
      <c r="I34" s="80" t="s">
        <v>2289</v>
      </c>
      <c r="J34" s="642">
        <f>0.2*0.3*$J$22^(2/3)/$J$27*$J$14</f>
        <v>0.048859517098708304</v>
      </c>
      <c r="K34" s="38" t="s">
        <v>2087</v>
      </c>
      <c r="M34" s="46" t="s">
        <v>2290</v>
      </c>
    </row>
    <row r="35" spans="9:24" x14ac:dyDescent="0.25">
      <c r="I35" s="80" t="s">
        <v>2291</v>
      </c>
      <c r="J35" s="23" t="s">
        <v>1144</v>
      </c>
      <c r="K35" s="38" t="s">
        <v>93</v>
      </c>
      <c r="M35" s="46" t="s">
        <v>2292</v>
      </c>
    </row>
    <row r="36" spans="9:24" x14ac:dyDescent="0.25">
      <c r="I36" s="80" t="s">
        <v>2180</v>
      </c>
      <c r="J36" s="642">
        <f>Geometria!$R$77</f>
        <v>0.9</v>
      </c>
      <c r="K36" s="38" t="s">
        <v>93</v>
      </c>
      <c r="M36" s="46" t="s">
        <v>2293</v>
      </c>
    </row>
    <row r="37" spans="9:24" x14ac:dyDescent="0.25">
      <c r="I37" s="80" t="s">
        <v>2294</v>
      </c>
      <c r="J37" s="643" t="str">
        <f>IF($J$13="Gerber","Não – dente Gerber (apoio indireto)",IF(LEFT('Diagrama Cortante'!$P$34,3)="SIM","Sim – apoio direto","Não"))</f>
        <v>Sim – apoio direto</v>
      </c>
      <c r="K37" s="38" t="s">
        <v>93</v>
      </c>
      <c r="M37" s="46" t="s">
        <v>2295</v>
      </c>
    </row>
    <row r="38" spans="9:24" x14ac:dyDescent="0.25">
      <c r="I38" s="80" t="s">
        <v>2296</v>
      </c>
      <c r="J38" s="23">
        <v>7</v>
      </c>
      <c r="K38" s="38" t="s">
        <v>35</v>
      </c>
      <c r="M38" s="46" t="s">
        <v>2297</v>
      </c>
    </row>
    <row r="40" spans="9:24" ht="18" x14ac:dyDescent="0.3">
      <c r="I40" s="644" t="s">
        <v>2298</v>
      </c>
    </row>
    <row r="41" spans="9:24" ht="45" customHeight="1" x14ac:dyDescent="0.25">
      <c r="I41" s="796" t="s">
        <v>2299</v>
      </c>
      <c r="J41" s="859"/>
      <c r="K41" s="859"/>
      <c r="L41" s="859"/>
      <c r="M41" s="859"/>
      <c r="N41" s="859"/>
      <c r="O41" s="859"/>
      <c r="P41" s="859"/>
      <c r="Q41" s="859"/>
      <c r="R41" s="859"/>
      <c r="S41" s="859"/>
      <c r="T41" s="859"/>
      <c r="U41" s="859"/>
      <c r="V41" s="859"/>
      <c r="W41" s="859"/>
      <c r="X41" s="859"/>
    </row>
    <row r="42" spans="9:24" ht="45" customHeight="1" x14ac:dyDescent="0.25">
      <c r="I42" s="641" t="s">
        <v>42</v>
      </c>
      <c r="J42" s="641" t="s">
        <v>968</v>
      </c>
      <c r="K42" s="641" t="s">
        <v>2300</v>
      </c>
      <c r="L42" s="641" t="s">
        <v>2301</v>
      </c>
      <c r="M42" s="641" t="s">
        <v>2302</v>
      </c>
      <c r="N42" s="641" t="s">
        <v>2303</v>
      </c>
      <c r="O42" s="641" t="s">
        <v>1335</v>
      </c>
      <c r="P42" s="641" t="s">
        <v>2304</v>
      </c>
      <c r="Q42" s="641" t="s">
        <v>2305</v>
      </c>
      <c r="R42" s="641" t="s">
        <v>2306</v>
      </c>
      <c r="S42" s="641" t="s">
        <v>2307</v>
      </c>
      <c r="T42" s="641" t="s">
        <v>2308</v>
      </c>
      <c r="U42" s="641" t="s">
        <v>2309</v>
      </c>
      <c r="V42" s="641" t="s">
        <v>2310</v>
      </c>
      <c r="W42" s="641" t="s">
        <v>2311</v>
      </c>
    </row>
    <row r="43" spans="9:24" x14ac:dyDescent="0.25">
      <c r="I43" s="643" t="s">
        <v>404</v>
      </c>
      <c r="J43" s="642">
        <f>'Cargas adicionais'!L243</f>
        <v>0.0</v>
      </c>
      <c r="K43" s="642">
        <f ca="1">Geometria!$N$220*'Cargas adicionais'!N243+Geometria!$O$77*('Cargas adicionais'!Q243+'Cargas adicionais'!T243)</f>
        <v>1030.4601290625</v>
      </c>
      <c r="L43" s="642">
        <f ca="1">IF(LEFT($J$37,3)="Sim",MAX(ABS('Cargas adicionais'!P271),ABS('Cargas adicionais'!P272)),K43)</f>
        <v>917.9627621062501</v>
      </c>
      <c r="M43" s="642">
        <f ca="1">Geometria!$N$220*'Cargas adicionais'!N243</f>
        <v>196.45650406250002</v>
      </c>
      <c r="N43" s="642">
        <f ca="1">Geometria!$N$220*'Cargas adicionais'!O243+Geometria!$O$77*('Cargas adicionais'!R243+'Cargas adicionais'!U243)</f>
        <v>0.0</v>
      </c>
      <c r="O43" s="642">
        <f>'Isolamento de cabos'!AI101</f>
        <v>0.0</v>
      </c>
      <c r="P43" s="642">
        <f>'Isolamento de cabos'!AJ101</f>
        <v>0.0</v>
      </c>
      <c r="Q43" s="642">
        <f ca="1">$J$36*(O43*Geometria!$L$53/Geometria!$L$48/100+P43)</f>
        <v>0.0</v>
      </c>
      <c r="R43" s="642">
        <f t="shared" ref="R43:R53" ca="1" si="0">IF($J$35="Sim",IF(Q43&lt;=0,$J$32,MIN($J$32*(1+Q43/MAX($N$43:$N$53)),2*$J$32)),$J$32)</f>
        <v>312.21231426074615</v>
      </c>
      <c r="S43" s="646">
        <f t="shared" ref="S43:S53" ca="1" si="1">MAX(0,L43-R43)/(0.9*$J$20*$J$28/10)</f>
        <v>0.18160273411086042</v>
      </c>
      <c r="T43" s="646">
        <f t="shared" ref="T43:T53" ca="1" si="2">MAX(0,M43-$J$33)/(0.9*$J$21*$J$28/10)</f>
        <v>0.0</v>
      </c>
      <c r="U43" s="646">
        <f t="shared" ref="U43:U53" ca="1" si="3">MAX(S43,T43,$J$34)</f>
        <v>0.18160273411086042</v>
      </c>
      <c r="V43" s="645" t="str">
        <f t="shared" ref="V43:V53" ca="1" si="4">IF(K43&lt;=$J$31,"Ok","Aumentar bw ou fck")</f>
        <v>Ok</v>
      </c>
      <c r="W43" s="642">
        <f t="shared" ref="W43:W53" ca="1" si="5">IF(K43&lt;=0.67*$J$31,MIN(0.6*$J$20,30),MIN(0.3*$J$20,20))</f>
        <v>30.0</v>
      </c>
    </row>
    <row r="44" spans="9:24" x14ac:dyDescent="0.25">
      <c r="I44" s="643" t="s">
        <v>405</v>
      </c>
      <c r="J44" s="642">
        <f>'Cargas adicionais'!L244</f>
        <v>39.25</v>
      </c>
      <c r="K44" s="642">
        <f ca="1">Geometria!$N$220*'Cargas adicionais'!N244+Geometria!$O$77*('Cargas adicionais'!Q244+'Cargas adicionais'!T244)</f>
        <v>927.4141161562502</v>
      </c>
      <c r="L44" s="642">
        <f t="shared" ref="L44:L53" ca="1" si="6">K44</f>
        <v>927.4141161562502</v>
      </c>
      <c r="M44" s="642">
        <f ca="1">Geometria!$N$220*'Cargas adicionais'!N244</f>
        <v>176.81085365625</v>
      </c>
      <c r="N44" s="642">
        <f ca="1">Geometria!$N$220*'Cargas adicionais'!O244+Geometria!$O$77*('Cargas adicionais'!R244+'Cargas adicionais'!U244)</f>
        <v>384.2328206241798</v>
      </c>
      <c r="O44" s="642">
        <f ca="1">'Isolamento de cabos'!AI102</f>
        <v>193.1579859646002</v>
      </c>
      <c r="P44" s="642">
        <f ca="1">'Isolamento de cabos'!AJ102</f>
        <v>55.05002599991105</v>
      </c>
      <c r="Q44" s="642">
        <f ca="1">$J$36*(O44*Geometria!$L$53/Geometria!$L$48/100+P44)</f>
        <v>66.92924213673396</v>
      </c>
      <c r="R44" s="642">
        <f t="shared" ca="1" si="0"/>
        <v>322.5452821045748</v>
      </c>
      <c r="S44" s="646">
        <f t="shared" ca="1" si="1"/>
        <v>0.1813384281149531</v>
      </c>
      <c r="T44" s="646">
        <f t="shared" ca="1" si="2"/>
        <v>0.0</v>
      </c>
      <c r="U44" s="646">
        <f t="shared" ca="1" si="3"/>
        <v>0.1813384281149531</v>
      </c>
      <c r="V44" s="645" t="str">
        <f t="shared" ca="1" si="4"/>
        <v>Ok</v>
      </c>
      <c r="W44" s="642">
        <f t="shared" ca="1" si="5"/>
        <v>30.0</v>
      </c>
    </row>
    <row r="45" spans="9:24" x14ac:dyDescent="0.25">
      <c r="I45" s="643" t="s">
        <v>406</v>
      </c>
      <c r="J45" s="642">
        <f>'Cargas adicionais'!L245</f>
        <v>78.5</v>
      </c>
      <c r="K45" s="642">
        <f ca="1">Geometria!$N$220*'Cargas adicionais'!N245+Geometria!$O$77*('Cargas adicionais'!Q245+'Cargas adicionais'!T245)</f>
        <v>824.3681032500001</v>
      </c>
      <c r="L45" s="642">
        <f t="shared" ca="1" si="6"/>
        <v>824.3681032500001</v>
      </c>
      <c r="M45" s="642">
        <f ca="1">Geometria!$N$220*'Cargas adicionais'!N245</f>
        <v>157.16520325000002</v>
      </c>
      <c r="N45" s="642">
        <f ca="1">Geometria!$N$220*'Cargas adicionais'!O245+Geometria!$O$77*('Cargas adicionais'!R245+'Cargas adicionais'!U245)</f>
        <v>728.0200811826564</v>
      </c>
      <c r="O45" s="642">
        <f ca="1">'Isolamento de cabos'!AI103</f>
        <v>386.3159719292004</v>
      </c>
      <c r="P45" s="642">
        <f ca="1">'Isolamento de cabos'!AJ103</f>
        <v>110.1000519998221</v>
      </c>
      <c r="Q45" s="642">
        <f ca="1">$J$36*(O45*Geometria!$L$53/Geometria!$L$48/100+P45)</f>
        <v>133.85848427346792</v>
      </c>
      <c r="R45" s="642">
        <f t="shared" ca="1" si="0"/>
        <v>332.8782499484035</v>
      </c>
      <c r="S45" s="646">
        <f t="shared" ca="1" si="1"/>
        <v>0.14734764367863956</v>
      </c>
      <c r="T45" s="646">
        <f t="shared" ca="1" si="2"/>
        <v>0.0</v>
      </c>
      <c r="U45" s="646">
        <f t="shared" ca="1" si="3"/>
        <v>0.14734764367863956</v>
      </c>
      <c r="V45" s="645" t="str">
        <f t="shared" ca="1" si="4"/>
        <v>Ok</v>
      </c>
      <c r="W45" s="642">
        <f t="shared" ca="1" si="5"/>
        <v>30.0</v>
      </c>
    </row>
    <row r="46" spans="9:24" x14ac:dyDescent="0.25">
      <c r="I46" s="643" t="s">
        <v>407</v>
      </c>
      <c r="J46" s="642">
        <f>'Cargas adicionais'!L246</f>
        <v>117.75</v>
      </c>
      <c r="K46" s="642">
        <f ca="1">Geometria!$N$220*'Cargas adicionais'!N246+Geometria!$O$77*('Cargas adicionais'!Q246+'Cargas adicionais'!T246)</f>
        <v>721.3220903437502</v>
      </c>
      <c r="L46" s="642">
        <f t="shared" ca="1" si="6"/>
        <v>721.3220903437502</v>
      </c>
      <c r="M46" s="642">
        <f ca="1">Geometria!$N$220*'Cargas adicionais'!N246</f>
        <v>137.51955284375</v>
      </c>
      <c r="N46" s="642">
        <f ca="1">Geometria!$N$220*'Cargas adicionais'!O246+Geometria!$O$77*('Cargas adicionais'!R246+'Cargas adicionais'!U246)</f>
        <v>1031.36178167543</v>
      </c>
      <c r="O46" s="642">
        <f ca="1">'Isolamento de cabos'!AI104</f>
        <v>579.4739578938005</v>
      </c>
      <c r="P46" s="642">
        <f ca="1">'Isolamento de cabos'!AJ104</f>
        <v>165.15007799973316</v>
      </c>
      <c r="Q46" s="642">
        <f ca="1">$J$36*(O46*Geometria!$L$53/Geometria!$L$48/100+P46)</f>
        <v>200.7877264102019</v>
      </c>
      <c r="R46" s="642">
        <f t="shared" ca="1" si="0"/>
        <v>343.21121779223216</v>
      </c>
      <c r="S46" s="646">
        <f t="shared" ca="1" si="1"/>
        <v>0.11335685924232608</v>
      </c>
      <c r="T46" s="646">
        <f t="shared" ca="1" si="2"/>
        <v>0.0</v>
      </c>
      <c r="U46" s="646">
        <f t="shared" ca="1" si="3"/>
        <v>0.11335685924232608</v>
      </c>
      <c r="V46" s="645" t="str">
        <f t="shared" ca="1" si="4"/>
        <v>Ok</v>
      </c>
      <c r="W46" s="642">
        <f t="shared" ca="1" si="5"/>
        <v>30.0</v>
      </c>
    </row>
    <row r="47" spans="9:24" x14ac:dyDescent="0.25">
      <c r="I47" s="643" t="s">
        <v>408</v>
      </c>
      <c r="J47" s="642">
        <f>'Cargas adicionais'!L247</f>
        <v>157.0</v>
      </c>
      <c r="K47" s="642">
        <f ca="1">Geometria!$N$220*'Cargas adicionais'!N247+Geometria!$O$77*('Cargas adicionais'!Q247+'Cargas adicionais'!T247)</f>
        <v>618.2760774375001</v>
      </c>
      <c r="L47" s="642">
        <f t="shared" ca="1" si="6"/>
        <v>618.2760774375001</v>
      </c>
      <c r="M47" s="642">
        <f ca="1">Geometria!$N$220*'Cargas adicionais'!N247</f>
        <v>117.8739024375</v>
      </c>
      <c r="N47" s="642">
        <f ca="1">Geometria!$N$220*'Cargas adicionais'!O247+Geometria!$O$77*('Cargas adicionais'!R247+'Cargas adicionais'!U247)</f>
        <v>1294.2579221025</v>
      </c>
      <c r="O47" s="642">
        <f ca="1">'Isolamento de cabos'!AI105</f>
        <v>621.7798114153002</v>
      </c>
      <c r="P47" s="642">
        <f ca="1">'Isolamento de cabos'!AJ105</f>
        <v>177.20724625336052</v>
      </c>
      <c r="Q47" s="642">
        <f ca="1">$J$36*(O47*Geometria!$L$53/Geometria!$L$48/100+P47)</f>
        <v>215.44670465540148</v>
      </c>
      <c r="R47" s="642">
        <f t="shared" ca="1" si="0"/>
        <v>345.4743653491936</v>
      </c>
      <c r="S47" s="646">
        <f t="shared" ca="1" si="1"/>
        <v>0.08178539027344765</v>
      </c>
      <c r="T47" s="646">
        <f t="shared" ca="1" si="2"/>
        <v>0.0</v>
      </c>
      <c r="U47" s="646">
        <f t="shared" ca="1" si="3"/>
        <v>0.08178539027344765</v>
      </c>
      <c r="V47" s="645" t="str">
        <f t="shared" ca="1" si="4"/>
        <v>Ok</v>
      </c>
      <c r="W47" s="642">
        <f t="shared" ca="1" si="5"/>
        <v>30.0</v>
      </c>
    </row>
    <row r="48" spans="9:24" x14ac:dyDescent="0.25">
      <c r="I48" s="643" t="s">
        <v>409</v>
      </c>
      <c r="J48" s="642">
        <f>'Cargas adicionais'!L248</f>
        <v>196.25</v>
      </c>
      <c r="K48" s="642">
        <f ca="1">Geometria!$N$220*'Cargas adicionais'!N248+Geometria!$O$77*('Cargas adicionais'!Q248+'Cargas adicionais'!T248)</f>
        <v>515.23006453125</v>
      </c>
      <c r="L48" s="642">
        <f t="shared" ca="1" si="6"/>
        <v>515.23006453125</v>
      </c>
      <c r="M48" s="642">
        <f ca="1">Geometria!$N$220*'Cargas adicionais'!N248</f>
        <v>98.22825203125001</v>
      </c>
      <c r="N48" s="642">
        <f ca="1">Geometria!$N$220*'Cargas adicionais'!O248+Geometria!$O$77*('Cargas adicionais'!R248+'Cargas adicionais'!U248)</f>
        <v>1516.7085024638675</v>
      </c>
      <c r="O48" s="642">
        <f ca="1">'Isolamento de cabos'!AI106</f>
        <v>1243.5596228306003</v>
      </c>
      <c r="P48" s="642">
        <f ca="1">'Isolamento de cabos'!AJ106</f>
        <v>233.16742928073757</v>
      </c>
      <c r="Q48" s="642">
        <f ca="1">$J$36*(O48*Geometria!$L$53/Geometria!$L$48/100+P48)</f>
        <v>321.7710524074178</v>
      </c>
      <c r="R48" s="642">
        <f t="shared" ca="1" si="0"/>
        <v>361.88940354868714</v>
      </c>
      <c r="S48" s="646">
        <f t="shared" ca="1" si="1"/>
        <v>0.04597121369673726</v>
      </c>
      <c r="T48" s="646">
        <f t="shared" ca="1" si="2"/>
        <v>0.0</v>
      </c>
      <c r="U48" s="646">
        <f t="shared" ca="1" si="3"/>
        <v>0.048859517098708304</v>
      </c>
      <c r="V48" s="645" t="str">
        <f t="shared" ca="1" si="4"/>
        <v>Ok</v>
      </c>
      <c r="W48" s="642">
        <f t="shared" ca="1" si="5"/>
        <v>30.0</v>
      </c>
    </row>
    <row r="49" spans="9:24" x14ac:dyDescent="0.25">
      <c r="I49" s="643" t="s">
        <v>410</v>
      </c>
      <c r="J49" s="642">
        <f>'Cargas adicionais'!L249</f>
        <v>235.5</v>
      </c>
      <c r="K49" s="642">
        <f ca="1">Geometria!$N$220*'Cargas adicionais'!N249+Geometria!$O$77*('Cargas adicionais'!Q249+'Cargas adicionais'!T249)</f>
        <v>412.1840516250001</v>
      </c>
      <c r="L49" s="642">
        <f t="shared" ca="1" si="6"/>
        <v>412.1840516250001</v>
      </c>
      <c r="M49" s="642">
        <f ca="1">Geometria!$N$220*'Cargas adicionais'!N249</f>
        <v>78.58260162500001</v>
      </c>
      <c r="N49" s="642">
        <f ca="1">Geometria!$N$220*'Cargas adicionais'!O249+Geometria!$O$77*('Cargas adicionais'!R249+'Cargas adicionais'!U249)</f>
        <v>1698.7135227595315</v>
      </c>
      <c r="O49" s="642">
        <f ca="1">'Isolamento de cabos'!AI107</f>
        <v>1243.5596228306003</v>
      </c>
      <c r="P49" s="642">
        <f ca="1">'Isolamento de cabos'!AJ107</f>
        <v>233.16742928073757</v>
      </c>
      <c r="Q49" s="642">
        <f ca="1">$J$36*(O49*Geometria!$L$53/Geometria!$L$48/100+P49)</f>
        <v>321.7710524074178</v>
      </c>
      <c r="R49" s="642">
        <f t="shared" ca="1" si="0"/>
        <v>361.88940354868714</v>
      </c>
      <c r="S49" s="646">
        <f t="shared" ca="1" si="1"/>
        <v>0.01507823169473164</v>
      </c>
      <c r="T49" s="646">
        <f t="shared" ca="1" si="2"/>
        <v>0.0</v>
      </c>
      <c r="U49" s="646">
        <f t="shared" ca="1" si="3"/>
        <v>0.048859517098708304</v>
      </c>
      <c r="V49" s="645" t="str">
        <f t="shared" ca="1" si="4"/>
        <v>Ok</v>
      </c>
      <c r="W49" s="642">
        <f t="shared" ca="1" si="5"/>
        <v>30.0</v>
      </c>
    </row>
    <row r="50" spans="9:24" x14ac:dyDescent="0.25">
      <c r="I50" s="643" t="s">
        <v>411</v>
      </c>
      <c r="J50" s="642">
        <f>'Cargas adicionais'!L250</f>
        <v>274.75</v>
      </c>
      <c r="K50" s="642">
        <f ca="1">Geometria!$N$220*'Cargas adicionais'!N250+Geometria!$O$77*('Cargas adicionais'!Q250+'Cargas adicionais'!T250)</f>
        <v>309.1380387187501</v>
      </c>
      <c r="L50" s="642">
        <f t="shared" ca="1" si="6"/>
        <v>309.1380387187501</v>
      </c>
      <c r="M50" s="642">
        <f ca="1">Geometria!$N$220*'Cargas adicionais'!N250</f>
        <v>58.93695121875</v>
      </c>
      <c r="N50" s="642">
        <f ca="1">Geometria!$N$220*'Cargas adicionais'!O250+Geometria!$O$77*('Cargas adicionais'!R250+'Cargas adicionais'!U250)</f>
        <v>1840.2729829894924</v>
      </c>
      <c r="O50" s="642">
        <f ca="1">'Isolamento de cabos'!AI108</f>
        <v>1243.5596228306003</v>
      </c>
      <c r="P50" s="642">
        <f ca="1">'Isolamento de cabos'!AJ108</f>
        <v>233.16742928073757</v>
      </c>
      <c r="Q50" s="642">
        <f ca="1">$J$36*(O50*Geometria!$L$53/Geometria!$L$48/100+P50)</f>
        <v>321.7710524074178</v>
      </c>
      <c r="R50" s="642">
        <f t="shared" ca="1" si="0"/>
        <v>361.88940354868714</v>
      </c>
      <c r="S50" s="646">
        <f t="shared" ca="1" si="1"/>
        <v>0.0</v>
      </c>
      <c r="T50" s="646">
        <f t="shared" ca="1" si="2"/>
        <v>0.0</v>
      </c>
      <c r="U50" s="646">
        <f t="shared" ca="1" si="3"/>
        <v>0.048859517098708304</v>
      </c>
      <c r="V50" s="645" t="str">
        <f t="shared" ca="1" si="4"/>
        <v>Ok</v>
      </c>
      <c r="W50" s="642">
        <f t="shared" ca="1" si="5"/>
        <v>30.0</v>
      </c>
    </row>
    <row r="51" spans="9:24" x14ac:dyDescent="0.25">
      <c r="I51" s="643" t="s">
        <v>412</v>
      </c>
      <c r="J51" s="642">
        <f>'Cargas adicionais'!L251</f>
        <v>314.0</v>
      </c>
      <c r="K51" s="642">
        <f ca="1">Geometria!$N$220*'Cargas adicionais'!N251+Geometria!$O$77*('Cargas adicionais'!Q251+'Cargas adicionais'!T251)</f>
        <v>206.09202581250008</v>
      </c>
      <c r="L51" s="642">
        <f t="shared" ca="1" si="6"/>
        <v>206.09202581250008</v>
      </c>
      <c r="M51" s="642">
        <f ca="1">Geometria!$N$220*'Cargas adicionais'!N251</f>
        <v>39.29130081249998</v>
      </c>
      <c r="N51" s="642">
        <f ca="1">Geometria!$N$220*'Cargas adicionais'!O251+Geometria!$O$77*('Cargas adicionais'!R251+'Cargas adicionais'!U251)</f>
        <v>1941.3868831537504</v>
      </c>
      <c r="O51" s="642">
        <f ca="1">'Isolamento de cabos'!AI109</f>
        <v>1243.5596228306003</v>
      </c>
      <c r="P51" s="642">
        <f ca="1">'Isolamento de cabos'!AJ109</f>
        <v>233.16742928073757</v>
      </c>
      <c r="Q51" s="642">
        <f ca="1">$J$36*(O51*Geometria!$L$53/Geometria!$L$48/100+P51)</f>
        <v>321.7710524074178</v>
      </c>
      <c r="R51" s="642">
        <f t="shared" ca="1" si="0"/>
        <v>361.88940354868714</v>
      </c>
      <c r="S51" s="646">
        <f t="shared" ca="1" si="1"/>
        <v>0.0</v>
      </c>
      <c r="T51" s="646">
        <f t="shared" ca="1" si="2"/>
        <v>0.0</v>
      </c>
      <c r="U51" s="646">
        <f t="shared" ca="1" si="3"/>
        <v>0.048859517098708304</v>
      </c>
      <c r="V51" s="645" t="str">
        <f t="shared" ca="1" si="4"/>
        <v>Ok</v>
      </c>
      <c r="W51" s="642">
        <f t="shared" ca="1" si="5"/>
        <v>30.0</v>
      </c>
    </row>
    <row r="52" spans="9:24" x14ac:dyDescent="0.25">
      <c r="I52" s="643" t="s">
        <v>413</v>
      </c>
      <c r="J52" s="642">
        <f>'Cargas adicionais'!L252</f>
        <v>353.25</v>
      </c>
      <c r="K52" s="642">
        <f ca="1">Geometria!$N$220*'Cargas adicionais'!N252+Geometria!$O$77*('Cargas adicionais'!Q252+'Cargas adicionais'!T252)</f>
        <v>103.04601290625008</v>
      </c>
      <c r="L52" s="642">
        <f t="shared" ca="1" si="6"/>
        <v>103.04601290625008</v>
      </c>
      <c r="M52" s="642">
        <f ca="1">Geometria!$N$220*'Cargas adicionais'!N252</f>
        <v>19.645650406250002</v>
      </c>
      <c r="N52" s="642">
        <f ca="1">Geometria!$N$220*'Cargas adicionais'!O252+Geometria!$O$77*('Cargas adicionais'!R252+'Cargas adicionais'!U252)</f>
        <v>2002.0552232523053</v>
      </c>
      <c r="O52" s="642">
        <f ca="1">'Isolamento de cabos'!AI110</f>
        <v>1243.5596228306003</v>
      </c>
      <c r="P52" s="642">
        <f ca="1">'Isolamento de cabos'!AJ110</f>
        <v>233.16742928073757</v>
      </c>
      <c r="Q52" s="642">
        <f ca="1">$J$36*(O52*Geometria!$L$53/Geometria!$L$48/100+P52)</f>
        <v>321.7710524074178</v>
      </c>
      <c r="R52" s="642">
        <f t="shared" ca="1" si="0"/>
        <v>361.88940354868714</v>
      </c>
      <c r="S52" s="646">
        <f t="shared" ca="1" si="1"/>
        <v>0.0</v>
      </c>
      <c r="T52" s="646">
        <f t="shared" ca="1" si="2"/>
        <v>0.0</v>
      </c>
      <c r="U52" s="646">
        <f t="shared" ca="1" si="3"/>
        <v>0.048859517098708304</v>
      </c>
      <c r="V52" s="645" t="str">
        <f t="shared" ca="1" si="4"/>
        <v>Ok</v>
      </c>
      <c r="W52" s="642">
        <f t="shared" ca="1" si="5"/>
        <v>30.0</v>
      </c>
    </row>
    <row r="53" spans="9:24" x14ac:dyDescent="0.25">
      <c r="I53" s="643" t="s">
        <v>414</v>
      </c>
      <c r="J53" s="642">
        <f>'Cargas adicionais'!L253</f>
        <v>392.5</v>
      </c>
      <c r="K53" s="642">
        <f ca="1">Geometria!$N$220*'Cargas adicionais'!N253+Geometria!$O$77*('Cargas adicionais'!Q253+'Cargas adicionais'!T253)</f>
        <v>0.0</v>
      </c>
      <c r="L53" s="642">
        <f t="shared" ca="1" si="6"/>
        <v>0.0</v>
      </c>
      <c r="M53" s="642">
        <f ca="1">Geometria!$N$220*'Cargas adicionais'!N253</f>
        <v>0.0</v>
      </c>
      <c r="N53" s="642">
        <f ca="1">Geometria!$N$220*'Cargas adicionais'!O253+Geometria!$O$77*('Cargas adicionais'!R253+'Cargas adicionais'!U253)</f>
        <v>2022.278003285157</v>
      </c>
      <c r="O53" s="642">
        <f ca="1">'Isolamento de cabos'!AI111</f>
        <v>1243.5596228306003</v>
      </c>
      <c r="P53" s="642">
        <f ca="1">'Isolamento de cabos'!AJ111</f>
        <v>233.16742928073757</v>
      </c>
      <c r="Q53" s="642">
        <f ca="1">$J$36*(O53*Geometria!$L$53/Geometria!$L$48/100+P53)</f>
        <v>321.7710524074178</v>
      </c>
      <c r="R53" s="642">
        <f t="shared" ca="1" si="0"/>
        <v>361.88940354868714</v>
      </c>
      <c r="S53" s="646">
        <f t="shared" ca="1" si="1"/>
        <v>0.0</v>
      </c>
      <c r="T53" s="646">
        <f t="shared" ca="1" si="2"/>
        <v>0.0</v>
      </c>
      <c r="U53" s="646">
        <f t="shared" ca="1" si="3"/>
        <v>0.048859517098708304</v>
      </c>
      <c r="V53" s="645" t="str">
        <f t="shared" ca="1" si="4"/>
        <v>Ok</v>
      </c>
      <c r="W53" s="642">
        <f t="shared" ca="1" si="5"/>
        <v>30.0</v>
      </c>
    </row>
    <row r="55" spans="9:24" ht="18" x14ac:dyDescent="0.3">
      <c r="I55" s="644" t="s">
        <v>2535</v>
      </c>
    </row>
    <row r="56" spans="9:24" ht="32.1" customHeight="1" x14ac:dyDescent="0.25">
      <c r="I56" s="796" t="inlineStr">
        <is>
          <t>Cada trecho é dimensionado pela armadura necessária no seu INÍCIO (interpolada na tabela do item 2 – é a maior dentro do trecho). Espaçamento = arredondado para baixo de 0,5 cm e limitado ao smáx. Depois compara-se com o ESTRIBO DE LIGAÇÃO da interface (item 6): no trecho em que o estribo de ligação dá Asw/s maior, ele é o adotado (colunas W a AD). Quantidade: trechos 1 e 2 contam as duas extremidades; o trecho 3 é o miolo.</t>
        </is>
      </c>
      <c r="J56" s="859"/>
      <c r="K56" s="859"/>
      <c r="L56" s="859"/>
      <c r="M56" s="859"/>
      <c r="N56" s="859"/>
      <c r="O56" s="859"/>
      <c r="P56" s="859"/>
      <c r="Q56" s="859"/>
      <c r="R56" s="859"/>
      <c r="S56" s="859"/>
      <c r="T56" s="859"/>
      <c r="U56" s="859"/>
      <c r="V56" s="859"/>
      <c r="W56" s="859"/>
      <c r="X56" s="859"/>
    </row>
    <row r="57" spans="9:24" x14ac:dyDescent="0.25">
      <c r="I57" s="80" t="s">
        <v>2312</v>
      </c>
      <c r="J57" s="642">
        <f>Geometria!$L$29</f>
        <v>785.0</v>
      </c>
      <c r="K57" s="38" t="s">
        <v>35</v>
      </c>
      <c r="M57" s="46" t="s">
        <v>2313</v>
      </c>
    </row>
    <row r="58" spans="9:24" x14ac:dyDescent="0.25">
      <c r="I58" s="80" t="s">
        <v>2314</v>
      </c>
      <c r="J58" s="642">
        <f>(Geometria!$L$25-Geometria!$L$29)/2</f>
        <v>15.0</v>
      </c>
      <c r="K58" s="38" t="s">
        <v>35</v>
      </c>
      <c r="M58" s="46" t="s">
        <v>2315</v>
      </c>
    </row>
    <row r="59" spans="9:24" x14ac:dyDescent="0.25">
      <c r="I59" s="80" t="s">
        <v>2537</v>
      </c>
      <c r="J59" s="23">
        <v>80</v>
      </c>
      <c r="K59" s="38" t="s">
        <v>35</v>
      </c>
      <c r="M59" s="46" t="s">
        <v>2538</v>
      </c>
    </row>
    <row r="60" ht="45" customHeight="1" x14ac:dyDescent="0.25">
      <c r="I60" s="641" t="s">
        <v>186</v>
      </c>
      <c r="J60" s="641" t="s">
        <v>2316</v>
      </c>
      <c r="K60" s="641" t="s">
        <v>2317</v>
      </c>
      <c r="L60" s="641" t="s">
        <v>2318</v>
      </c>
      <c r="M60" s="641" t="s">
        <v>2319</v>
      </c>
      <c r="N60" s="641" t="s">
        <v>2320</v>
      </c>
      <c r="O60" s="641" t="s">
        <v>2311</v>
      </c>
      <c r="P60" s="641" t="s">
        <v>2321</v>
      </c>
      <c r="Q60" s="641" t="s">
        <v>2322</v>
      </c>
      <c r="R60" s="641" t="s">
        <v>2323</v>
      </c>
      <c r="S60" s="641" t="s">
        <v>2324</v>
      </c>
      <c r="T60" s="641" t="s">
        <v>2325</v>
      </c>
      <c r="U60" s="641" t="s">
        <v>2326</v>
      </c>
      <c r="V60" s="641" t="s">
        <v>2529</v>
      </c>
      <c r="W60" s="641" t="inlineStr">
        <is>
          <t>Asw/s cortante (cm²/cm)</t>
        </is>
      </c>
      <c r="X60" s="641" t="inlineStr">
        <is>
          <t>Asw/s ligação (cm²/cm)</t>
        </is>
      </c>
      <c r="Y60" s="641" t="inlineStr">
        <is>
          <t>Governa</t>
        </is>
      </c>
      <c r="Z60" s="641" t="inlineStr">
        <is>
          <t>Ø final (mm)</t>
        </is>
      </c>
      <c r="AA60" s="641" t="inlineStr">
        <is>
          <t>Ramos final</t>
        </is>
      </c>
      <c r="AB60" s="641" t="inlineStr">
        <is>
          <t>s final (cm)</t>
        </is>
      </c>
      <c r="AC60" s="641" t="inlineStr">
        <is>
          <t>Asw/s final (cm²/cm)</t>
        </is>
      </c>
      <c r="AD60" s="641" t="inlineStr">
        <is>
          <t>kg/cm</t>
        </is>
      </c>
    </row>
    <row r="61" x14ac:dyDescent="0.25">
      <c r="I61" s="643" t="s">
        <v>2327</v>
      </c>
      <c r="J61" s="642">
        <f>0</f>
        <v>0.0</v>
      </c>
      <c r="K61" s="642">
        <f ca="1">$J$4</f>
        <v>85.0</v>
      </c>
      <c r="L61" s="642">
        <f>$L$4</f>
        <v>10.0</v>
      </c>
      <c r="M61" s="642">
        <f>$M$4</f>
        <v>2.0</v>
      </c>
      <c r="N61" s="646">
        <f ca="1">IF(J61&gt;=INDEX($J$43:$J$53,11),INDEX($U$43:$U$53,11),INDEX($U$43:$U$53,MIN(MATCH(J61,$J$43:$J$53,1),10))+(J61-INDEX($J$43:$J$53,MIN(MATCH(J61,$J$43:$J$53,1),10)))*(INDEX($U$43:$U$53,MIN(MATCH(J61,$J$43:$J$53,1),10)+1)-INDEX($U$43:$U$53,MIN(MATCH(J61,$J$43:$J$53,1),10)))/(INDEX($J$43:$J$53,MIN(MATCH(J61,$J$43:$J$53,1),10)+1)-INDEX($J$43:$J$53,MIN(MATCH(J61,$J$43:$J$53,1),10))))</f>
        <v>0.18160273411086042</v>
      </c>
      <c r="O61" s="642">
        <f ca="1">INDEX($W$43:$W$53,MIN(MATCH(J61,$J$43:$J$53,1),11))</f>
        <v>30.0</v>
      </c>
      <c r="P61" s="642">
        <f ca="1">M61*VLOOKUP(L61,Taxas!$V$22:$W$30,2)/N61</f>
        <v>8.645244289337542</v>
      </c>
      <c r="Q61" s="642">
        <f ca="1">MIN(ROUNDDOWN(P61*2,0)/2,O61)</f>
        <v>8.5</v>
      </c>
      <c r="R61" s="642">
        <f ca="1">2*MAX(0,$J$58+$J$4-$J$64)</f>
        <v>194.0</v>
      </c>
      <c r="S61" s="642">
        <f>2*ROUNDUP(R61/2/AB61,0)</f>
        <v>24.0</v>
      </c>
      <c r="T61" s="642">
        <f>S61*VLOOKUP(Z61,Taxas!$V$22:$Y$30,4)*V61/100</f>
        <v>53.833416</v>
      </c>
      <c r="U61" s="645" t="str">
        <f>IF(AB61&lt;$J$38,"s &lt; s,mín: aumente Ø ou ramos","Ok")</f>
        <v>Ok</v>
      </c>
      <c r="V61" s="642">
        <f>CHOOSE(MIN(MAX(AA61,2),4)-1,$J$76,$J$77,$J$78)</f>
        <v>364.0</v>
      </c>
      <c r="W61" s="646">
        <f>M61*VLOOKUP(L61,Taxas!$V$22:$W$30,2)/Q61</f>
        <v>0.1847058823529412</v>
      </c>
      <c r="X61" s="646">
        <f>IF($J$175&gt;0,$J$392/MIN($J$175,O61),0)</f>
        <v>0.13397333333333336</v>
      </c>
      <c r="Y61" s="643" t="str">
        <f>IF(X61&gt;W61*1.0001,"Ligação","Cortante")</f>
        <v>Cortante</v>
      </c>
      <c r="Z61" s="642">
        <f>IF(Y61="Ligação",$L$7,L61)</f>
        <v>10.0</v>
      </c>
      <c r="AA61" s="642">
        <f>IF(Y61="Ligação",$M$7,M61)</f>
        <v>2.0</v>
      </c>
      <c r="AB61" s="642">
        <f>IF(Y61="Ligação",MIN($J$175,O61),Q61)</f>
        <v>8.5</v>
      </c>
      <c r="AC61" s="646">
        <f>AA61*VLOOKUP(Z61,Taxas!$V$22:$W$30,2)/AB61</f>
        <v>0.1847058823529412</v>
      </c>
      <c r="AD61" s="646">
        <f>VLOOKUP(Z61,Taxas!$V$22:$Y$30,4)*CHOOSE(MIN(MAX(AA61,2),4)-1,$J$76,$J$77,$J$78)/100/AB61</f>
        <v>0.26388929411764706</v>
      </c>
    </row>
    <row r="62" x14ac:dyDescent="0.25">
      <c r="I62" s="643" t="s">
        <v>2212</v>
      </c>
      <c r="J62" s="642">
        <f ca="1">$J$4</f>
        <v>85.0</v>
      </c>
      <c r="K62" s="642">
        <f ca="1">$J$5</f>
        <v>165.0</v>
      </c>
      <c r="L62" s="642">
        <f>$L$5</f>
        <v>10.0</v>
      </c>
      <c r="M62" s="642">
        <f>$M$5</f>
        <v>2.0</v>
      </c>
      <c r="N62" s="646">
        <f ca="1">IF(J62&gt;=INDEX($J$43:$J$53,11),INDEX($U$43:$U$53,11),INDEX($U$43:$U$53,MIN(MATCH(J62,$J$43:$J$53,1),10))+(J62-INDEX($J$43:$J$53,MIN(MATCH(J62,$J$43:$J$53,1),10)))*(INDEX($U$43:$U$53,MIN(MATCH(J62,$J$43:$J$53,1),10)+1)-INDEX($U$43:$U$53,MIN(MATCH(J62,$J$43:$J$53,1),10)))/(INDEX($J$43:$J$53,MIN(MATCH(J62,$J$43:$J$53,1),10)+1)-INDEX($J$43:$J$53,MIN(MATCH(J62,$J$43:$J$53,1),10))))</f>
        <v>0.1417185965745367</v>
      </c>
      <c r="O62" s="642">
        <f ca="1">INDEX($W$43:$W$53,MIN(MATCH(J62,$J$43:$J$53,1),11))</f>
        <v>30.0</v>
      </c>
      <c r="P62" s="642">
        <f ca="1">M62*VLOOKUP(L62,Taxas!$V$22:$W$30,2)/N62</f>
        <v>11.078292037518596</v>
      </c>
      <c r="Q62" s="642">
        <f ca="1">MIN(ROUNDDOWN(P62*2,0)/2,O62)</f>
        <v>11.0</v>
      </c>
      <c r="R62" s="642">
        <f ca="1">2*($J$5-$J$4)</f>
        <v>160.0</v>
      </c>
      <c r="S62" s="642">
        <f>2*ROUNDUP(R62/2/AB62,0)</f>
        <v>16.0</v>
      </c>
      <c r="T62" s="642">
        <f>S62*VLOOKUP(Z62,Taxas!$V$22:$Y$30,4)*V62/100</f>
        <v>35.888944</v>
      </c>
      <c r="U62" s="645" t="str">
        <f>IF(AB62&lt;$J$38,"s &lt; s,mín: aumente Ø ou ramos","Ok")</f>
        <v>Ok</v>
      </c>
      <c r="V62" s="642">
        <f>CHOOSE(MIN(MAX(AA62,2),4)-1,$J$76,$J$77,$J$78)</f>
        <v>364.0</v>
      </c>
      <c r="W62" s="646">
        <f>M62*VLOOKUP(L62,Taxas!$V$22:$W$30,2)/Q62</f>
        <v>0.14272727272727273</v>
      </c>
      <c r="X62" s="646">
        <f>IF($J$175&gt;0,$J$392/MIN($J$175,O62),0)</f>
        <v>0.13397333333333336</v>
      </c>
      <c r="Y62" s="643" t="str">
        <f>IF(X62&gt;W62*1.0001,"Ligação","Cortante")</f>
        <v>Cortante</v>
      </c>
      <c r="Z62" s="642">
        <f>IF(Y62="Ligação",$L$7,L62)</f>
        <v>10.0</v>
      </c>
      <c r="AA62" s="642">
        <f>IF(Y62="Ligação",$M$7,M62)</f>
        <v>2.0</v>
      </c>
      <c r="AB62" s="642">
        <f>IF(Y62="Ligação",MIN($J$175,O62),Q62)</f>
        <v>11.0</v>
      </c>
      <c r="AC62" s="646">
        <f>AA62*VLOOKUP(Z62,Taxas!$V$22:$W$30,2)/AB62</f>
        <v>0.14272727272727273</v>
      </c>
      <c r="AD62" s="646">
        <f>VLOOKUP(Z62,Taxas!$V$22:$Y$30,4)*CHOOSE(MIN(MAX(AA62,2),4)-1,$J$76,$J$77,$J$78)/100/AB62</f>
        <v>0.20391445454545457</v>
      </c>
    </row>
    <row r="63" x14ac:dyDescent="0.25">
      <c r="I63" s="643" t="s">
        <v>2328</v>
      </c>
      <c r="J63" s="642">
        <f ca="1">$J$5</f>
        <v>165.0</v>
      </c>
      <c r="K63" s="642">
        <f>$J$57/2</f>
        <v>392.5</v>
      </c>
      <c r="L63" s="642">
        <f>$L$6</f>
        <v>10.0</v>
      </c>
      <c r="M63" s="642">
        <f>$M$6</f>
        <v>2.0</v>
      </c>
      <c r="N63" s="646">
        <f ca="1">IF(J63&gt;=INDEX($J$43:$J$53,11),INDEX($U$43:$U$53,11),INDEX($U$43:$U$53,MIN(MATCH(J63,$J$43:$J$53,1),10))+(J63-INDEX($J$43:$J$53,MIN(MATCH(J63,$J$43:$J$53,1),10)))*(INDEX($U$43:$U$53,MIN(MATCH(J63,$J$43:$J$53,1),10)+1)-INDEX($U$43:$U$53,MIN(MATCH(J63,$J$43:$J$53,1),10)))/(INDEX($J$43:$J$53,MIN(MATCH(J63,$J$43:$J$53,1),10)+1)-INDEX($J$43:$J$53,MIN(MATCH(J63,$J$43:$J$53,1),10))))</f>
        <v>0.07507438427604855</v>
      </c>
      <c r="O63" s="642">
        <f ca="1">INDEX($W$43:$W$53,MIN(MATCH(J63,$J$43:$J$53,1),11))</f>
        <v>30.0</v>
      </c>
      <c r="P63" s="642">
        <f ca="1">M63*VLOOKUP(L63,Taxas!$V$22:$W$30,2)/N63</f>
        <v>20.91259242602789</v>
      </c>
      <c r="Q63" s="642">
        <f ca="1">MIN(ROUNDDOWN(P63*2,0)/2,O63)</f>
        <v>20.5</v>
      </c>
      <c r="R63" s="642">
        <f ca="1">Geometria!$L$25-2*($J$58+$J$5)</f>
        <v>455.0</v>
      </c>
      <c r="S63" s="642">
        <f>ROUNDUP(R63/AB63,0)+1</f>
        <v>62.0</v>
      </c>
      <c r="T63" s="642">
        <f>S63*VLOOKUP(Z63,Taxas!$V$22:$Y$30,4)*V63/100</f>
        <v>89.00458112000003</v>
      </c>
      <c r="U63" s="645" t="str">
        <f>IF(AB63&lt;$J$38,"s &lt; s,mín: aumente Ø ou ramos","Ok")</f>
        <v>Ok</v>
      </c>
      <c r="V63" s="642">
        <f>CHOOSE(MIN(MAX(AA63,2),4)-1,$J$76,$J$77,$J$78)</f>
        <v>364.0</v>
      </c>
      <c r="W63" s="646">
        <f>M63*VLOOKUP(L63,Taxas!$V$22:$W$30,2)/Q63</f>
        <v>0.07658536585365854</v>
      </c>
      <c r="X63" s="646">
        <f>IF($J$175&gt;0,$J$392/MIN($J$175,O63),0)</f>
        <v>0.13397333333333336</v>
      </c>
      <c r="Y63" s="643" t="str">
        <f>IF(X63&gt;W63*1.0001,"Ligação","Cortante")</f>
        <v>Ligação</v>
      </c>
      <c r="Z63" s="642">
        <f>IF(Y63="Ligação",$L$7,L63)</f>
        <v>8.0</v>
      </c>
      <c r="AA63" s="642">
        <f>IF(Y63="Ligação",$M$7,M63)</f>
        <v>2.0</v>
      </c>
      <c r="AB63" s="642">
        <f>IF(Y63="Ligação",MIN($J$175,O63),Q63)</f>
        <v>7.5</v>
      </c>
      <c r="AC63" s="646">
        <f>AA63*VLOOKUP(Z63,Taxas!$V$22:$W$30,2)/AB63</f>
        <v>0.13397333333333336</v>
      </c>
      <c r="AD63" s="646">
        <f>VLOOKUP(Z63,Taxas!$V$22:$Y$30,4)*CHOOSE(MIN(MAX(AA63,2),4)-1,$J$76,$J$77,$J$78)/100/AB63</f>
        <v>0.1914077013333334</v>
      </c>
    </row>
    <row r="64" spans="9:24" x14ac:dyDescent="0.25">
      <c r="I64" s="80" t="s">
        <v>2539</v>
      </c>
      <c r="J64" s="642">
        <f>IF($J$13="Gerber",$J$106+$J$117,$J$17)</f>
        <v>3.0</v>
      </c>
      <c r="K64" s="38" t="s">
        <v>35</v>
      </c>
      <c r="M64" s="46" t="s">
        <v>2540</v>
      </c>
    </row>
    <row r="65" spans="9:24" x14ac:dyDescent="0.25">
      <c r="I65" s="80" t="s">
        <v>2330</v>
      </c>
      <c r="J65" s="642">
        <f ca="1">SUM($T$61:$T$63)</f>
        <v>178.72694112000005</v>
      </c>
      <c r="K65" s="38" t="s">
        <v>1252</v>
      </c>
      <c r="M65" s="46" t="s">
        <v>2331</v>
      </c>
    </row>
    <row r="67" spans="9:24" ht="18" x14ac:dyDescent="0.3">
      <c r="I67" s="644" t="s">
        <v>2541</v>
      </c>
    </row>
    <row r="68" spans="9:24" ht="45" customHeight="1" x14ac:dyDescent="0.25">
      <c r="I68" s="796" t="s">
        <v>2542</v>
      </c>
      <c r="J68" s="859"/>
      <c r="K68" s="859"/>
      <c r="L68" s="859"/>
      <c r="M68" s="859"/>
      <c r="N68" s="859"/>
      <c r="O68" s="859"/>
      <c r="P68" s="859"/>
      <c r="Q68" s="859"/>
      <c r="R68" s="859"/>
      <c r="S68" s="859"/>
      <c r="T68" s="859"/>
      <c r="U68" s="859"/>
      <c r="V68" s="859"/>
      <c r="W68" s="859"/>
      <c r="X68" s="859"/>
    </row>
    <row r="69" spans="9:24" x14ac:dyDescent="0.25">
      <c r="I69" s="80" t="s">
        <v>2543</v>
      </c>
      <c r="J69" s="23">
        <v>7</v>
      </c>
      <c r="K69" s="38" t="s">
        <v>35</v>
      </c>
      <c r="M69" s="46" t="s">
        <v>2544</v>
      </c>
    </row>
    <row r="70" spans="9:24" x14ac:dyDescent="0.25">
      <c r="I70" s="80" t="s">
        <v>2545</v>
      </c>
      <c r="J70" s="23">
        <f>IF(Geometria!$M$18="1 - Sim",Geometria!$L$42+Geometria!$L$45-$J$17,0)</f>
        <v>27.0</v>
      </c>
      <c r="K70" s="38" t="s">
        <v>35</v>
      </c>
      <c r="M70" s="46" t="s">
        <v>2546</v>
      </c>
    </row>
    <row r="71" spans="9:24" x14ac:dyDescent="0.25">
      <c r="I71" s="80" t="s">
        <v>2547</v>
      </c>
      <c r="J71" s="23">
        <v>12</v>
      </c>
      <c r="K71" s="38" t="s">
        <v>35</v>
      </c>
      <c r="M71" s="46" t="s">
        <v>2548</v>
      </c>
    </row>
    <row r="72" spans="9:24" x14ac:dyDescent="0.25">
      <c r="I72" s="80" t="s">
        <v>299</v>
      </c>
      <c r="J72" s="642">
        <f>$J$14-2*$J$17</f>
        <v>24.0</v>
      </c>
      <c r="K72" s="38" t="s">
        <v>35</v>
      </c>
      <c r="M72" s="46" t="s">
        <v>2549</v>
      </c>
    </row>
    <row r="73" spans="9:24" x14ac:dyDescent="0.25">
      <c r="I73" s="80" t="s">
        <v>2550</v>
      </c>
      <c r="J73" s="642">
        <f>$J$15-2*$J$17</f>
        <v>54.0</v>
      </c>
      <c r="K73" s="38" t="s">
        <v>35</v>
      </c>
      <c r="M73" s="46" t="s">
        <v>2551</v>
      </c>
    </row>
    <row r="74" spans="9:24" x14ac:dyDescent="0.25">
      <c r="I74" s="80" t="s">
        <v>2552</v>
      </c>
      <c r="J74" s="642">
        <f>IF($J$70&gt;0,$J$15-$J$17+$J$70,$J$73)</f>
        <v>84.0</v>
      </c>
      <c r="K74" s="38" t="s">
        <v>35</v>
      </c>
      <c r="M74" s="46" t="s">
        <v>2553</v>
      </c>
    </row>
    <row r="75" spans="9:24" x14ac:dyDescent="0.25">
      <c r="I75" s="80" t="s">
        <v>2554</v>
      </c>
      <c r="J75" s="643" t="str">
        <f>IF(Geometria!$M$19="2 - i","i",IF(Geometria!$M$20="2 - T","T",IF(Geometria!$M$20="3 - R/A","R/A","R")))</f>
        <v>R/A</v>
      </c>
      <c r="K75" s="38" t="s">
        <v>93</v>
      </c>
      <c r="M75" s="46" t="s">
        <v>2555</v>
      </c>
    </row>
    <row r="76" spans="9:24" x14ac:dyDescent="0.25">
      <c r="I76" s="80" t="s">
        <v>2556</v>
      </c>
      <c r="J76" s="642">
        <f>IF($J$75="T",2*$J$69+2*$J$74+4*$J$72+($J$70+Geometria!$L$37-$J$17)+2*(Geometria!$L$37-2*$J$17)+2*SQRT((Geometria!$L$36-$J$17)^2+(Geometria!$L$38-Geometria!$L$37)^2)+$J$73,IF($J$75="R/A",$J$69+$J$70+2*($J$15+Geometria!$L$42-2*$J$17)+2*($J$14-2*$J$17)+2*$J$73+(Geometria!$L$39-2*$J$17)+$J$71,IF($J$75="i",Geometria!$U$13,2*$J$74+2*$J$72+2*$J$69)))</f>
        <v>364.0</v>
      </c>
      <c r="K76" s="38" t="s">
        <v>35</v>
      </c>
      <c r="M76" s="46" t="s">
        <v>2557</v>
      </c>
    </row>
    <row r="77" spans="9:24" x14ac:dyDescent="0.25">
      <c r="I77" s="80" t="s">
        <v>2558</v>
      </c>
      <c r="J77" s="642">
        <f>$J$76+$J$73+2*$J$69</f>
        <v>432.0</v>
      </c>
      <c r="K77" s="38" t="s">
        <v>35</v>
      </c>
      <c r="M77" s="46" t="s">
        <v>2559</v>
      </c>
    </row>
    <row r="78" spans="9:24" x14ac:dyDescent="0.25">
      <c r="I78" s="80" t="s">
        <v>2560</v>
      </c>
      <c r="J78" s="642">
        <f>$J$76+2*$J$73+2*$J$72/3+2*$J$69</f>
        <v>502.0</v>
      </c>
      <c r="K78" s="38" t="s">
        <v>35</v>
      </c>
      <c r="M78" s="46" t="s">
        <v>2561</v>
      </c>
    </row>
    <row r="80" spans="9:24" ht="18" x14ac:dyDescent="0.3">
      <c r="I80" s="644" t="s">
        <v>2332</v>
      </c>
    </row>
    <row r="81" spans="9:13" x14ac:dyDescent="0.25">
      <c r="I81" s="80" t="s">
        <v>2333</v>
      </c>
      <c r="J81" s="643" t="str">
        <f>IF($J$13="Gerber","Não se aplica (dente Gerber)","Sim")</f>
        <v>Sim</v>
      </c>
      <c r="K81" s="38" t="s">
        <v>93</v>
      </c>
      <c r="M81" s="46" t="s">
        <v>2334</v>
      </c>
    </row>
    <row r="82" spans="9:13" x14ac:dyDescent="0.25">
      <c r="I82" s="80" t="s">
        <v>2335</v>
      </c>
      <c r="J82" s="642">
        <f ca="1">Geometria!$N$220*'Cargas adicionais'!N243+Geometria!$O$77*('Cargas adicionais'!Q243+'Cargas adicionais'!T243)</f>
        <v>1030.4601290625</v>
      </c>
      <c r="K82" s="38" t="s">
        <v>292</v>
      </c>
      <c r="M82" s="46" t="s">
        <v>2336</v>
      </c>
    </row>
    <row r="83" spans="9:13" x14ac:dyDescent="0.25">
      <c r="I83" s="80" t="s">
        <v>2337</v>
      </c>
      <c r="J83" s="23">
        <v>0.16</v>
      </c>
      <c r="K83" s="38" t="s">
        <v>93</v>
      </c>
      <c r="M83" s="46" t="s">
        <v>2338</v>
      </c>
    </row>
    <row r="84" spans="9:13" x14ac:dyDescent="0.25">
      <c r="I84" s="80" t="s">
        <v>1326</v>
      </c>
      <c r="J84" s="642">
        <f ca="1">$J$83*$J$82</f>
        <v>164.87362065000002</v>
      </c>
      <c r="K84" s="38" t="s">
        <v>292</v>
      </c>
      <c r="M84" s="46" t="s">
        <v>2339</v>
      </c>
    </row>
    <row r="85" spans="9:13" x14ac:dyDescent="0.25">
      <c r="I85" s="80" t="s">
        <v>2340</v>
      </c>
      <c r="J85" s="642">
        <f ca="1">($J$82/1.2+$J$84)/$J$29</f>
        <v>23.53081367514368</v>
      </c>
      <c r="K85" s="38" t="s">
        <v>247</v>
      </c>
      <c r="M85" s="46" t="s">
        <v>2341</v>
      </c>
    </row>
    <row r="86" spans="9:13" x14ac:dyDescent="0.25">
      <c r="I86" s="80" t="s">
        <v>2342</v>
      </c>
      <c r="J86" s="646">
        <f ca="1">IF($J$82&lt;=$R$43,0.5,MAX(0.5,$J$82/(2*($J$82-$R$43))))</f>
        <v>0.717343031072723</v>
      </c>
      <c r="K86" s="38" t="s">
        <v>93</v>
      </c>
      <c r="M86" s="46" t="s">
        <v>2343</v>
      </c>
    </row>
    <row r="87" spans="9:13" x14ac:dyDescent="0.25">
      <c r="I87" s="80" t="s">
        <v>2344</v>
      </c>
      <c r="J87" s="642">
        <f ca="1">($J$86*$J$82+$J$84)/$J$29</f>
        <v>20.783149724857086</v>
      </c>
      <c r="K87" s="38" t="s">
        <v>247</v>
      </c>
      <c r="M87" s="46" t="s">
        <v>2345</v>
      </c>
    </row>
    <row r="88" spans="9:13" x14ac:dyDescent="0.25">
      <c r="I88" s="80" t="s">
        <v>2346</v>
      </c>
      <c r="J88" s="23" t="s">
        <v>1145</v>
      </c>
      <c r="K88" s="38" t="s">
        <v>93</v>
      </c>
      <c r="M88" s="46" t="s">
        <v>2347</v>
      </c>
    </row>
    <row r="89" spans="9:13" x14ac:dyDescent="0.25">
      <c r="I89" s="80" t="s">
        <v>2348</v>
      </c>
      <c r="J89" s="642">
        <f ca="1">Geometria!$L$706*MIN(1,$J$58/Geometria!$N$1307)</f>
        <v>159.64399784409062</v>
      </c>
      <c r="K89" s="38" t="s">
        <v>292</v>
      </c>
      <c r="M89" s="46" t="s">
        <v>2349</v>
      </c>
    </row>
    <row r="90" spans="9:13" x14ac:dyDescent="0.25">
      <c r="I90" s="80" t="s">
        <v>2350</v>
      </c>
      <c r="J90" s="23">
        <v>0</v>
      </c>
      <c r="K90" s="38" t="s">
        <v>818</v>
      </c>
      <c r="M90" s="46" t="s">
        <v>2351</v>
      </c>
    </row>
    <row r="91" spans="9:13" x14ac:dyDescent="0.25">
      <c r="I91" s="80" t="s">
        <v>2352</v>
      </c>
      <c r="J91" s="642">
        <f ca="1">IF($J$81="Sim",MAX(0,MAX($J$85,$J$87)-IF($J$88="Sim",$J$89/$J$29,0)-$J$90*VLOOKUP($J$18,Taxas!$V$22:$W$30,2)),0)</f>
        <v>23.53081367514368</v>
      </c>
      <c r="K91" s="38" t="s">
        <v>247</v>
      </c>
      <c r="M91" s="46" t="s">
        <v>2353</v>
      </c>
    </row>
    <row r="92" spans="9:13" x14ac:dyDescent="0.25">
      <c r="I92" s="80" t="s">
        <v>2354</v>
      </c>
      <c r="J92" s="23">
        <v>12.5</v>
      </c>
      <c r="K92" s="38" t="s">
        <v>460</v>
      </c>
      <c r="M92" s="46" t="s">
        <v>2355</v>
      </c>
    </row>
    <row r="93" spans="9:13" x14ac:dyDescent="0.25">
      <c r="I93" s="80" t="s">
        <v>2356</v>
      </c>
      <c r="J93" s="642">
        <f ca="1">ROUNDUP($J$91/(2*VLOOKUP($J$92,Taxas!$V$22:$W$30,2)),0)</f>
        <v>10.0</v>
      </c>
      <c r="K93" s="38" t="s">
        <v>818</v>
      </c>
      <c r="M93" s="46" t="s">
        <v>2357</v>
      </c>
    </row>
    <row r="94" spans="9:13" x14ac:dyDescent="0.25">
      <c r="I94" s="80" t="s">
        <v>2358</v>
      </c>
      <c r="J94" s="642">
        <f>2.25*1*IF($J$92&lt;32,1,(132-$J$92)/100)*$J$26</f>
        <v>4.5805797280039044</v>
      </c>
      <c r="K94" s="38" t="s">
        <v>160</v>
      </c>
      <c r="M94" s="46" t="s">
        <v>2359</v>
      </c>
    </row>
    <row r="95" spans="9:13" x14ac:dyDescent="0.25">
      <c r="I95" s="80" t="s">
        <v>2360</v>
      </c>
      <c r="J95" s="642">
        <f>MAX($J$92/10/4*$J$29*10/$J$94,25*$J$92/10)</f>
        <v>31.25</v>
      </c>
      <c r="K95" s="38" t="s">
        <v>35</v>
      </c>
      <c r="M95" s="46" t="s">
        <v>2361</v>
      </c>
    </row>
    <row r="96" spans="9:13" x14ac:dyDescent="0.25">
      <c r="I96" s="80" t="s">
        <v>2362</v>
      </c>
      <c r="J96" s="642">
        <f>2*$J$95</f>
        <v>62.5</v>
      </c>
      <c r="K96" s="38" t="s">
        <v>35</v>
      </c>
      <c r="M96" s="46" t="s">
        <v>2363</v>
      </c>
    </row>
    <row r="97" spans="9:13" x14ac:dyDescent="0.25">
      <c r="I97" s="80" t="s">
        <v>2364</v>
      </c>
      <c r="J97" s="642">
        <f ca="1">IF($J$81="Sim",$J$82/(8*$J$29),0)</f>
        <v>2.9610923248922414</v>
      </c>
      <c r="K97" s="38" t="s">
        <v>247</v>
      </c>
      <c r="M97" s="46" t="inlineStr">
        <is>
          <t>Costura horizontal: Vd/(8·fyd), distribuída em 2d/3 a partir do tirante (só entra se o TIRANTE DO APOIO for o considerado – item 10).</t>
        </is>
      </c>
    </row>
    <row r="98" spans="9:13" x14ac:dyDescent="0.25">
      <c r="I98" s="80" t="s">
        <v>2366</v>
      </c>
      <c r="J98" s="23">
        <v>8</v>
      </c>
      <c r="K98" s="38" t="s">
        <v>460</v>
      </c>
      <c r="M98" s="46" t="s">
        <v>2367</v>
      </c>
    </row>
    <row r="99" spans="9:13" x14ac:dyDescent="0.25">
      <c r="I99" s="80" t="s">
        <v>2319</v>
      </c>
      <c r="J99" s="23">
        <v>2</v>
      </c>
      <c r="K99" s="38" t="s">
        <v>93</v>
      </c>
      <c r="M99" s="46" t="s">
        <v>2368</v>
      </c>
    </row>
    <row r="100" spans="9:13" x14ac:dyDescent="0.25">
      <c r="I100" s="80" t="s">
        <v>2369</v>
      </c>
      <c r="J100" s="642">
        <f ca="1">IF($J$97=0,0,ROUNDUP($J$97/($J$99*VLOOKUP($J$98,Taxas!$V$22:$W$30,2)),0))</f>
        <v>3.0</v>
      </c>
      <c r="K100" s="38" t="s">
        <v>818</v>
      </c>
      <c r="M100" s="46" t="s">
        <v>2370</v>
      </c>
    </row>
    <row r="101" spans="9:13" x14ac:dyDescent="0.25">
      <c r="I101" s="80" t="s">
        <v>2371</v>
      </c>
      <c r="J101" s="642">
        <f ca="1">IF($J$100=0,0,ROUNDDOWN(2*$J$21/3/$J$100,0))</f>
        <v>12.0</v>
      </c>
      <c r="K101" s="38" t="s">
        <v>35</v>
      </c>
      <c r="M101" s="46" t="s">
        <v>2372</v>
      </c>
    </row>
    <row r="102" spans="9:13" x14ac:dyDescent="0.25">
      <c r="I102" s="80" t="s">
        <v>2373</v>
      </c>
      <c r="J102" s="642">
        <f ca="1">2*($J$93*VLOOKUP($J$92,Taxas!$V$22:$Y$30,4)*(4*$J$95+$J$14-2*$J$17)/100+$J$100*VLOOKUP($J$98,Taxas!$V$22:$Y$30,4)*$J$76/100)</f>
        <v>37.3063231225</v>
      </c>
      <c r="K102" s="38" t="s">
        <v>1252</v>
      </c>
      <c r="M102" s="46" t="s">
        <v>2374</v>
      </c>
    </row>
    <row r="104" spans="9:13" ht="18" x14ac:dyDescent="0.3">
      <c r="I104" s="644" t="s">
        <v>2375</v>
      </c>
    </row>
    <row r="105" spans="9:13" x14ac:dyDescent="0.25">
      <c r="I105" s="80" t="s">
        <v>2333</v>
      </c>
      <c r="J105" s="643" t="str">
        <f>IF($J$13="Gerber","Sim","Não se aplica (sem dente)")</f>
        <v>Não se aplica (sem dente)</v>
      </c>
      <c r="K105" s="38" t="s">
        <v>93</v>
      </c>
      <c r="M105" s="46" t="s">
        <v>2376</v>
      </c>
    </row>
    <row r="106" spans="9:13" x14ac:dyDescent="0.25">
      <c r="I106" s="80" t="s">
        <v>2377</v>
      </c>
      <c r="J106" s="23">
        <f>Taxas!$H$5</f>
        <v>30.0</v>
      </c>
      <c r="K106" s="38" t="s">
        <v>35</v>
      </c>
      <c r="M106" s="46" t="s">
        <v>2378</v>
      </c>
    </row>
    <row r="107" spans="9:13" x14ac:dyDescent="0.25">
      <c r="I107" s="80" t="s">
        <v>2379</v>
      </c>
      <c r="J107" s="23">
        <f>IF($J$15&gt;69,35,$J$15/2)</f>
        <v>30.0</v>
      </c>
      <c r="K107" s="38" t="s">
        <v>35</v>
      </c>
      <c r="M107" s="46" t="s">
        <v>2380</v>
      </c>
    </row>
    <row r="108" spans="9:13" x14ac:dyDescent="0.25">
      <c r="I108" s="80" t="s">
        <v>2381</v>
      </c>
      <c r="J108" s="23">
        <v>16</v>
      </c>
      <c r="K108" s="38" t="s">
        <v>460</v>
      </c>
      <c r="M108" s="46" t="s">
        <v>2382</v>
      </c>
    </row>
    <row r="109" spans="9:13" x14ac:dyDescent="0.25">
      <c r="I109" s="80" t="inlineStr">
        <is>
          <t>cg tirante</t>
        </is>
      </c>
      <c r="J109" s="642">
        <f>$J$17+$J$108/20</f>
        <v>3.8</v>
      </c>
      <c r="K109" s="38" t="s">
        <v>35</v>
      </c>
      <c r="M109" s="46" t="inlineStr">
        <is>
          <t>Posição do tirante medida da FACE INFERIOR do dente (logo acima do aparelho): c + Ø/2. O tirante é um laço horizontal (U em planta), sem dobra vertical.</t>
        </is>
      </c>
    </row>
    <row r="110" spans="9:13" x14ac:dyDescent="0.25">
      <c r="I110" s="80" t="s">
        <v>2385</v>
      </c>
      <c r="J110" s="23">
        <v>1</v>
      </c>
      <c r="K110" s="38" t="s">
        <v>35</v>
      </c>
      <c r="M110" s="46" t="s">
        <v>2386</v>
      </c>
    </row>
    <row r="111" spans="9:13" x14ac:dyDescent="0.25">
      <c r="I111" s="80" t="s">
        <v>2387</v>
      </c>
      <c r="J111" s="23">
        <v>1</v>
      </c>
      <c r="K111" s="38" t="s">
        <v>35</v>
      </c>
      <c r="M111" s="46" t="s">
        <v>2388</v>
      </c>
    </row>
    <row r="112" spans="9:13" x14ac:dyDescent="0.25">
      <c r="I112" s="80" t="s">
        <v>2389</v>
      </c>
      <c r="J112" s="23">
        <v>2.5</v>
      </c>
      <c r="K112" s="38" t="s">
        <v>35</v>
      </c>
      <c r="M112" s="46" t="s">
        <v>2390</v>
      </c>
    </row>
    <row r="113" spans="9:13" x14ac:dyDescent="0.25">
      <c r="I113" s="80" t="s">
        <v>2391</v>
      </c>
      <c r="J113" s="642">
        <f>$J$106-$J$110-2*$J$112</f>
        <v>24.0</v>
      </c>
      <c r="K113" s="38" t="s">
        <v>35</v>
      </c>
      <c r="M113" s="46" t="s">
        <v>2392</v>
      </c>
    </row>
    <row r="114" spans="9:13" x14ac:dyDescent="0.25">
      <c r="I114" s="80" t="s">
        <v>2393</v>
      </c>
      <c r="J114" s="642">
        <f>$J$14-2*$J$17</f>
        <v>24.0</v>
      </c>
      <c r="K114" s="38" t="s">
        <v>35</v>
      </c>
      <c r="M114" s="46" t="s">
        <v>2394</v>
      </c>
    </row>
    <row r="115" spans="9:13" x14ac:dyDescent="0.25">
      <c r="I115" s="80" t="s">
        <v>2395</v>
      </c>
      <c r="J115" s="642">
        <f>$J$15-$J$109</f>
        <v>56.2</v>
      </c>
      <c r="K115" s="38" t="s">
        <v>35</v>
      </c>
      <c r="M115" s="46" t="s">
        <v>2396</v>
      </c>
    </row>
    <row r="116" spans="9:13" x14ac:dyDescent="0.25">
      <c r="I116" s="80" t="s">
        <v>2397</v>
      </c>
      <c r="J116" s="642">
        <f>$J$107-$J$109</f>
        <v>26.2</v>
      </c>
      <c r="K116" s="38" t="s">
        <v>35</v>
      </c>
      <c r="M116" s="46" t="s">
        <v>2398</v>
      </c>
    </row>
    <row r="117" spans="9:13" x14ac:dyDescent="0.25">
      <c r="I117" s="80" t="s">
        <v>2399</v>
      </c>
      <c r="J117" s="642">
        <f>$J$115/4</f>
        <v>14.05</v>
      </c>
      <c r="K117" s="38" t="s">
        <v>35</v>
      </c>
      <c r="M117" s="46" t="s">
        <v>2400</v>
      </c>
    </row>
    <row r="118" spans="9:13" x14ac:dyDescent="0.25">
      <c r="I118" s="80" t="s">
        <v>2401</v>
      </c>
      <c r="J118" s="23">
        <v>1.2</v>
      </c>
      <c r="K118" s="38" t="s">
        <v>93</v>
      </c>
      <c r="M118" s="46" t="s">
        <v>2402</v>
      </c>
    </row>
    <row r="119" spans="9:13" x14ac:dyDescent="0.25">
      <c r="I119" s="80" t="s">
        <v>2337</v>
      </c>
      <c r="J119" s="23">
        <v>0.16</v>
      </c>
      <c r="K119" s="38" t="s">
        <v>93</v>
      </c>
      <c r="M119" s="46" t="s">
        <v>2403</v>
      </c>
    </row>
    <row r="120" spans="9:13" x14ac:dyDescent="0.25">
      <c r="I120" s="80" t="s">
        <v>2335</v>
      </c>
      <c r="J120" s="642">
        <f ca="1">$J$118*$J$82</f>
        <v>1236.552154875</v>
      </c>
      <c r="K120" s="38" t="s">
        <v>292</v>
      </c>
      <c r="M120" s="46" t="s">
        <v>2404</v>
      </c>
    </row>
    <row r="121" spans="9:13" x14ac:dyDescent="0.25">
      <c r="I121" s="80" t="s">
        <v>1326</v>
      </c>
      <c r="J121" s="642">
        <f ca="1">$J$119*$J$120</f>
        <v>197.84834478000002</v>
      </c>
      <c r="K121" s="38" t="s">
        <v>292</v>
      </c>
      <c r="M121" s="46" t="s">
        <v>2405</v>
      </c>
    </row>
    <row r="122" spans="9:13" x14ac:dyDescent="0.25">
      <c r="I122" s="80" t="s">
        <v>893</v>
      </c>
      <c r="J122" s="642">
        <f ca="1">$J$117/2+$J$17+($J$106-$J$112)-$J$113/2+$J$121*($J$109+$J$111)/$J$120</f>
        <v>26.293</v>
      </c>
      <c r="K122" s="38" t="s">
        <v>35</v>
      </c>
      <c r="M122" s="46" t="s">
        <v>2406</v>
      </c>
    </row>
    <row r="123" spans="9:13" x14ac:dyDescent="0.25">
      <c r="I123" s="80" t="s">
        <v>2407</v>
      </c>
      <c r="J123" s="646">
        <f ca="1">$J$122/$J$116</f>
        <v>1.0035496183206107</v>
      </c>
      <c r="K123" s="38" t="s">
        <v>93</v>
      </c>
      <c r="M123" s="46" t="s">
        <v>2408</v>
      </c>
    </row>
    <row r="124" spans="9:13" x14ac:dyDescent="0.25">
      <c r="I124" s="80" t="s">
        <v>2409</v>
      </c>
      <c r="J124" s="643" t="str">
        <f ca="1">IF($J$123&lt;=0.5,"Muito curto",IF($J$123&lt;=1,"Curto","Viga em balanço"))</f>
        <v>Viga em balanço</v>
      </c>
      <c r="K124" s="38" t="s">
        <v>93</v>
      </c>
      <c r="M124" s="46" t="s">
        <v>2410</v>
      </c>
    </row>
    <row r="125" spans="9:13" x14ac:dyDescent="0.25">
      <c r="I125" s="80" t="s">
        <v>2411</v>
      </c>
      <c r="J125" s="642">
        <f>0.72*$J$30*$J$25/10</f>
        <v>2.057142857142857</v>
      </c>
      <c r="K125" s="38" t="s">
        <v>241</v>
      </c>
      <c r="M125" s="46" t="s">
        <v>2412</v>
      </c>
    </row>
    <row r="126" spans="9:13" x14ac:dyDescent="0.25">
      <c r="I126" s="80" t="s">
        <v>2413</v>
      </c>
      <c r="J126" s="642">
        <f>0.6*$J$30*$J$25/10</f>
        <v>1.7142857142857142</v>
      </c>
      <c r="K126" s="38" t="s">
        <v>241</v>
      </c>
      <c r="M126" s="46" t="s">
        <v>2414</v>
      </c>
    </row>
    <row r="127" spans="9:13" x14ac:dyDescent="0.25">
      <c r="I127" s="80" t="s">
        <v>499</v>
      </c>
      <c r="J127" s="642">
        <f ca="1">$J$116-SQRT(MAX(0,$J$116^2-2*$J$120*$J$122/($J$114*$J$125)))</f>
        <v>26.2</v>
      </c>
      <c r="K127" s="38" t="s">
        <v>35</v>
      </c>
      <c r="M127" s="46" t="s">
        <v>2415</v>
      </c>
    </row>
    <row r="128" spans="9:13" x14ac:dyDescent="0.25">
      <c r="I128" s="80" t="s">
        <v>2416</v>
      </c>
      <c r="J128" s="642">
        <f ca="1">$J$116-$J$127/2</f>
        <v>13.1</v>
      </c>
      <c r="K128" s="38" t="s">
        <v>35</v>
      </c>
      <c r="M128" s="46" t="s">
        <v>2417</v>
      </c>
    </row>
    <row r="129" spans="9:13" x14ac:dyDescent="0.25">
      <c r="I129" s="80" t="s">
        <v>2418</v>
      </c>
      <c r="J129" s="642">
        <f ca="1">$J$115-$J$127/2</f>
        <v>43.1</v>
      </c>
      <c r="K129" s="38" t="s">
        <v>35</v>
      </c>
      <c r="M129" s="46" t="s">
        <v>2419</v>
      </c>
    </row>
    <row r="130" spans="9:13" x14ac:dyDescent="0.25">
      <c r="I130" s="80" t="s">
        <v>2420</v>
      </c>
      <c r="J130" s="642">
        <f ca="1">DEGREES(ATAN($J$128/$J$122))</f>
        <v>26.483930330409393</v>
      </c>
      <c r="K130" s="38" t="s">
        <v>2421</v>
      </c>
      <c r="M130" s="46" t="s">
        <v>2422</v>
      </c>
    </row>
    <row r="131" spans="9:13" x14ac:dyDescent="0.25">
      <c r="I131" s="80" t="s">
        <v>2423</v>
      </c>
      <c r="J131" s="642">
        <f ca="1">$J$120/TAN(RADIANS($J$130))+$J$121</f>
        <v>2679.73123089667</v>
      </c>
      <c r="K131" s="38" t="s">
        <v>292</v>
      </c>
      <c r="M131" s="46" t="s">
        <v>2424</v>
      </c>
    </row>
    <row r="132" spans="9:13" x14ac:dyDescent="0.25">
      <c r="I132" s="80" t="s">
        <v>2425</v>
      </c>
      <c r="J132" s="642">
        <f ca="1">$J$120/TAN(RADIANS($J$130))+$J$121*$J$128/$J$129</f>
        <v>2542.0177658525863</v>
      </c>
      <c r="K132" s="38" t="s">
        <v>292</v>
      </c>
      <c r="M132" s="46" t="s">
        <v>2426</v>
      </c>
    </row>
    <row r="133" spans="9:13" x14ac:dyDescent="0.25">
      <c r="I133" s="80" t="s">
        <v>2427</v>
      </c>
      <c r="J133" s="642">
        <f ca="1">$J$132*TAN(RADIANS($J$130))</f>
        <v>1266.5132443109908</v>
      </c>
      <c r="K133" s="38" t="s">
        <v>292</v>
      </c>
      <c r="M133" s="46" t="s">
        <v>2428</v>
      </c>
    </row>
    <row r="134" spans="9:13" x14ac:dyDescent="0.25">
      <c r="I134" s="80" t="s">
        <v>2429</v>
      </c>
      <c r="J134" s="642">
        <f>IF($J$105="Sim",$J$133/$J$29,0)</f>
        <v>0.0</v>
      </c>
      <c r="K134" s="38" t="s">
        <v>247</v>
      </c>
      <c r="M134" s="46" t="s">
        <v>2430</v>
      </c>
    </row>
    <row r="135" spans="9:13" x14ac:dyDescent="0.25">
      <c r="I135" s="80" t="s">
        <v>2431</v>
      </c>
      <c r="J135" s="642">
        <f>$J$231</f>
        <v>12.5</v>
      </c>
      <c r="K135" s="38" t="s">
        <v>460</v>
      </c>
      <c r="M135" s="46" t="inlineStr">
        <is>
          <t>Bitola da suspensão (definida no item 9).</t>
        </is>
      </c>
    </row>
    <row r="136" spans="9:13" x14ac:dyDescent="0.25">
      <c r="I136" s="80" t="s">
        <v>2319</v>
      </c>
      <c r="J136" s="642">
        <f>$J$232</f>
        <v>4.0</v>
      </c>
      <c r="K136" s="38" t="s">
        <v>93</v>
      </c>
      <c r="M136" s="46" t="inlineStr">
        <is>
          <t>Ramos dos estribos de suspensão (definidos no item 9).</t>
        </is>
      </c>
    </row>
    <row r="137" spans="9:13" x14ac:dyDescent="0.25">
      <c r="I137" s="80" t="s">
        <v>2434</v>
      </c>
      <c r="J137" s="642">
        <f>IF($J$134=0,0,ROUNDUP($J$134/($J$136*VLOOKUP($J$135,Taxas!$V$22:$W$30,2)),0))</f>
        <v>0.0</v>
      </c>
      <c r="K137" s="38" t="s">
        <v>818</v>
      </c>
      <c r="M137" s="46" t="s">
        <v>2435</v>
      </c>
    </row>
    <row r="138" spans="9:13" x14ac:dyDescent="0.25">
      <c r="I138" s="80" t="s">
        <v>2436</v>
      </c>
      <c r="J138" s="642">
        <f ca="1">(0.1+$J$123)*$J$120/$J$29+$J$121/$J$29</f>
        <v>35.91827593852495</v>
      </c>
      <c r="K138" s="38" t="s">
        <v>247</v>
      </c>
      <c r="M138" s="46" t="s">
        <v>2437</v>
      </c>
    </row>
    <row r="139" spans="9:13" x14ac:dyDescent="0.25">
      <c r="I139" s="80" t="s">
        <v>2438</v>
      </c>
      <c r="J139" s="642">
        <f ca="1">0.8*$J$120/($J$29*1.4)+$J$121/$J$29</f>
        <v>20.791944279014782</v>
      </c>
      <c r="K139" s="38" t="s">
        <v>247</v>
      </c>
      <c r="M139" s="46" t="s">
        <v>2439</v>
      </c>
    </row>
    <row r="140" spans="9:13" x14ac:dyDescent="0.25">
      <c r="I140" s="80" t="s">
        <v>2440</v>
      </c>
      <c r="J140" s="642">
        <f ca="1">$J$131/$J$29</f>
        <v>61.60301680222229</v>
      </c>
      <c r="K140" s="38" t="s">
        <v>247</v>
      </c>
      <c r="M140" s="46" t="s">
        <v>2441</v>
      </c>
    </row>
    <row r="141" spans="9:13" x14ac:dyDescent="0.25">
      <c r="I141" s="80" t="s">
        <v>2442</v>
      </c>
      <c r="J141" s="642">
        <f ca="1">($J$120*$J$122/(0.85*$J$116)+1.2*$J$121)/$J$29</f>
        <v>39.01952007394009</v>
      </c>
      <c r="K141" s="38" t="s">
        <v>247</v>
      </c>
      <c r="M141" s="46" t="s">
        <v>2443</v>
      </c>
    </row>
    <row r="142" spans="9:13" x14ac:dyDescent="0.25">
      <c r="I142" s="80" t="s">
        <v>2444</v>
      </c>
      <c r="J142" s="642">
        <f>0.04*$J$25/10/$J$29*$J$14*$J$116</f>
        <v>2.5812807881773394</v>
      </c>
      <c r="K142" s="38" t="s">
        <v>247</v>
      </c>
      <c r="M142" s="46" t="s">
        <v>2445</v>
      </c>
    </row>
    <row r="143" spans="9:13" x14ac:dyDescent="0.25">
      <c r="I143" s="80" t="s">
        <v>2446</v>
      </c>
      <c r="J143" s="642">
        <f>IF($J$105="Sim",MAX(IF($J$123&lt;=0.5,$J$139,$J$138),$J$140,$J$141,$J$142),0)</f>
        <v>0.0</v>
      </c>
      <c r="K143" s="38" t="s">
        <v>247</v>
      </c>
      <c r="M143" s="46" t="s">
        <v>2447</v>
      </c>
    </row>
    <row r="144" spans="9:13" x14ac:dyDescent="0.25">
      <c r="I144" s="80" t="s">
        <v>2448</v>
      </c>
      <c r="J144" s="642">
        <f>ROUNDUP($J$143/VLOOKUP($J$108,Taxas!$V$22:$W$30,2),0)</f>
        <v>0.0</v>
      </c>
      <c r="K144" s="38" t="s">
        <v>818</v>
      </c>
      <c r="M144" s="46" t="s">
        <v>2449</v>
      </c>
    </row>
    <row r="145" spans="9:13" x14ac:dyDescent="0.25">
      <c r="I145" s="80" t="s">
        <v>2450</v>
      </c>
      <c r="J145" s="642">
        <f>IF($J$105="Sim",($J$120/SIN(RADIANS($J$130)))/($J$114*$J$113*SIN(RADIANS($J$130))),0)</f>
        <v>0.0</v>
      </c>
      <c r="K145" s="38" t="s">
        <v>241</v>
      </c>
      <c r="L145" s="645" t="str">
        <f>IF($J$145&lt;=MIN($J$125,0.85*$J$25/10),"Ok","Aumentar aparelho/dente")</f>
        <v>Ok</v>
      </c>
      <c r="M145" s="46" t="s">
        <v>2451</v>
      </c>
    </row>
    <row r="146" spans="9:13" x14ac:dyDescent="0.25">
      <c r="I146" s="80" t="s">
        <v>2452</v>
      </c>
      <c r="J146" s="642">
        <f>IF($J$105="Sim",($J$133/SIN(RADIANS($J$130)))/($J$14*$J$117*SIN(RADIANS($J$130))),0)</f>
        <v>0.0</v>
      </c>
      <c r="K146" s="38" t="s">
        <v>241</v>
      </c>
      <c r="L146" s="645" t="str">
        <f>IF($J$146&lt;=$J$126,"Ok","Aumentar dente/bw")</f>
        <v>Ok</v>
      </c>
      <c r="M146" s="46" t="s">
        <v>2453</v>
      </c>
    </row>
    <row r="147" spans="9:13" x14ac:dyDescent="0.25">
      <c r="I147" s="80" t="s">
        <v>2454</v>
      </c>
      <c r="J147" s="642">
        <f>IF($J$105="Sim",$J$120/($J$14*$J$116),0)</f>
        <v>0.0</v>
      </c>
      <c r="K147" s="38" t="s">
        <v>241</v>
      </c>
      <c r="L147" s="645" t="str">
        <f ca="1">IF(OR($J$123&gt;0.5,$J$147&lt;=MIN((3+0.9*$J$143/($J$14*$J$116)*$J$29*10)/10,0.27*$J$30*$J$25/10,0.8)),"Ok","Aumentar dente")</f>
        <v>Ok</v>
      </c>
      <c r="M147" s="46" t="s">
        <v>2455</v>
      </c>
    </row>
    <row r="148" spans="9:13" x14ac:dyDescent="0.25">
      <c r="I148" s="80" t="s">
        <v>2364</v>
      </c>
      <c r="J148" s="642">
        <f>IF($J$105="Sim",IF($J$123&lt;=0.5,0.5,0.4)*$J$143,0)</f>
        <v>0.0</v>
      </c>
      <c r="K148" s="38" t="s">
        <v>247</v>
      </c>
      <c r="M148" s="46" t="inlineStr">
        <is>
          <t>Costura NBR 9062: 0,4·As,tir (curto) ou 0,5·As,tir (muito curto), distribuída em 2d1/3 ACIMA do tirante.</t>
        </is>
      </c>
    </row>
    <row r="149" spans="9:13" x14ac:dyDescent="0.25">
      <c r="I149" s="80" t="s">
        <v>2366</v>
      </c>
      <c r="J149" s="23">
        <v>10</v>
      </c>
      <c r="K149" s="38" t="s">
        <v>460</v>
      </c>
      <c r="M149" s="46" t="s">
        <v>2457</v>
      </c>
    </row>
    <row r="150" spans="9:13" x14ac:dyDescent="0.25">
      <c r="I150" s="80" t="s">
        <v>2319</v>
      </c>
      <c r="J150" s="23">
        <v>2</v>
      </c>
      <c r="K150" s="38" t="s">
        <v>93</v>
      </c>
      <c r="M150" s="46" t="s">
        <v>2458</v>
      </c>
    </row>
    <row r="151" spans="9:13" x14ac:dyDescent="0.25">
      <c r="I151" s="80" t="s">
        <v>2369</v>
      </c>
      <c r="J151" s="642">
        <f>IF($J$148=0,0,ROUNDUP($J$148/($J$150*VLOOKUP($J$149,Taxas!$V$22:$W$30,2)),0))</f>
        <v>0.0</v>
      </c>
      <c r="K151" s="38" t="s">
        <v>818</v>
      </c>
      <c r="M151" s="46" t="s">
        <v>2459</v>
      </c>
    </row>
    <row r="152" spans="9:13" x14ac:dyDescent="0.25">
      <c r="I152" s="80" t="s">
        <v>2460</v>
      </c>
      <c r="J152" s="642">
        <f>IF($J$105="Sim",2*($J$144*VLOOKUP($J$108,Taxas!$V$22:$Y$30,4)*($J$106+4*MAX($J$108/10/4*$J$29*10/(2.25*$J$26),25*$J$108/10))/100+$J$137*VLOOKUP($J$135,Taxas!$V$22:$Y$30,4)*CHOOSE(MIN(MAX($J$136,2),4)-1,$J$76,$J$77,$J$78)/100+$J$151*VLOOKUP($J$149,Taxas!$V$22:$Y$30,4)*$J$76/100),0)</f>
        <v>0.0</v>
      </c>
      <c r="K152" s="38" t="s">
        <v>1252</v>
      </c>
      <c r="M152" s="46" t="inlineStr">
        <is>
          <t>Dois apoios: tirante (L1 + 2 × 2ℓb do Ø do tirante) + suspensão + costura do dente.</t>
        </is>
      </c>
    </row>
    <row r="154" spans="9:13" ht="18" x14ac:dyDescent="0.3">
      <c r="I154" s="644" t="s">
        <v>2462</v>
      </c>
    </row>
    <row r="155" spans="9:13" x14ac:dyDescent="0.25">
      <c r="I155" s="80" t="s">
        <v>2333</v>
      </c>
      <c r="J155" s="643" t="str">
        <f>IF(Geometria!$M$18="1 - Sim","Sim","Não se aplica (sem solidarização)")</f>
        <v>Sim</v>
      </c>
      <c r="K155" s="38" t="s">
        <v>93</v>
      </c>
      <c r="M155" s="46" t="s">
        <v>2463</v>
      </c>
    </row>
    <row r="156" spans="9:13" x14ac:dyDescent="0.25">
      <c r="I156" s="80" t="s">
        <v>2464</v>
      </c>
      <c r="J156" s="642">
        <f>Geometria!$L$44</f>
        <v>30.0</v>
      </c>
      <c r="K156" s="38" t="s">
        <v>35</v>
      </c>
      <c r="M156" s="46" t="s">
        <v>2465</v>
      </c>
    </row>
    <row r="157" spans="9:13" x14ac:dyDescent="0.25">
      <c r="I157" s="80" t="s">
        <v>2466</v>
      </c>
      <c r="J157" s="642">
        <f>MIN(Geometria!$L$82,Geometria!$L$83)</f>
        <v>30.0</v>
      </c>
      <c r="K157" s="38" t="s">
        <v>160</v>
      </c>
      <c r="M157" s="46" t="s">
        <v>2467</v>
      </c>
    </row>
    <row r="158" spans="9:13" x14ac:dyDescent="0.25">
      <c r="I158" s="80" t="s">
        <v>2468</v>
      </c>
      <c r="J158" s="646">
        <f>($AC$61*$J$4+$AC$62*($J$5-$J$4)+$AC$63*($J$57/2-$J$5))/($J$57/2)</f>
        <v>0.14674424242424244</v>
      </c>
      <c r="K158" s="38" t="s">
        <v>2087</v>
      </c>
      <c r="M158" s="46" t="inlineStr">
        <is>
          <t>Estribos ADOTADOS (cortante ou ligação, o que governar em cada trecho) que atravessam a interface: média ponderada ao longo de av (apoio → meio do vão).</t>
        </is>
      </c>
    </row>
    <row r="159" spans="9:13" x14ac:dyDescent="0.25">
      <c r="I159" s="80" t="s">
        <v>2470</v>
      </c>
      <c r="J159" s="642">
        <f ca="1">MAX($N$43:$N$53)-Geometria!$N$220*'Cargas adicionais'!O253</f>
        <v>1636.7321140625006</v>
      </c>
      <c r="K159" s="38" t="s">
        <v>1729</v>
      </c>
      <c r="M159" s="46" t="s">
        <v>2471</v>
      </c>
    </row>
    <row r="160" spans="9:13" x14ac:dyDescent="0.25">
      <c r="I160" s="80" t="s">
        <v>2472</v>
      </c>
      <c r="J160" s="646">
        <f ca="1">$J$158/$J$156</f>
        <v>0.004891474747474748</v>
      </c>
      <c r="K160" s="38" t="s">
        <v>93</v>
      </c>
      <c r="M160" s="46" t="s">
        <v>2473</v>
      </c>
    </row>
    <row r="161" spans="9:13" x14ac:dyDescent="0.25">
      <c r="I161" s="80" t="s">
        <v>2474</v>
      </c>
      <c r="J161" s="646">
        <f ca="1">IF($J$160&lt;=0.002,0,IF($J$160&gt;=0.005,0.9,(0.9*$J$160*100-0.18)/0.3))</f>
        <v>0.8674424242424245</v>
      </c>
      <c r="K161" s="38" t="s">
        <v>93</v>
      </c>
      <c r="M161" s="46" t="s">
        <v>2475</v>
      </c>
    </row>
    <row r="162" spans="9:13" x14ac:dyDescent="0.25">
      <c r="I162" s="80" t="s">
        <v>2476</v>
      </c>
      <c r="J162" s="646">
        <f ca="1">IF($J$160&lt;=0.002,0.3,IF($J$160&gt;=0.005,0.6,0.3+(0.3*$J$160*100-0.06)/0.3))</f>
        <v>0.5891474747474748</v>
      </c>
      <c r="K162" s="38" t="s">
        <v>93</v>
      </c>
      <c r="M162" s="46" t="s">
        <v>2477</v>
      </c>
    </row>
    <row r="163" spans="9:13" x14ac:dyDescent="0.25">
      <c r="I163" s="80" t="s">
        <v>2478</v>
      </c>
      <c r="J163" s="646">
        <f>0.7*0.3*$J$157^(2/3)/1.4/10</f>
        <v>0.14482340769084445</v>
      </c>
      <c r="K163" s="38" t="s">
        <v>241</v>
      </c>
      <c r="M163" s="46" t="s">
        <v>2479</v>
      </c>
    </row>
    <row r="164" spans="9:13" x14ac:dyDescent="0.25">
      <c r="I164" s="80" t="s">
        <v>2480</v>
      </c>
      <c r="J164" s="642">
        <f>($J$15-Geometria!$L$277)+(Geometria!$L$42+Geometria!$L$45)/2</f>
        <v>63.75</v>
      </c>
      <c r="K164" s="38" t="s">
        <v>35</v>
      </c>
      <c r="M164" s="46" t="s">
        <v>2481</v>
      </c>
    </row>
    <row r="165" spans="9:13" x14ac:dyDescent="0.25">
      <c r="I165" s="80" t="s">
        <v>2482</v>
      </c>
      <c r="J165" s="642">
        <f ca="1">$J$159/($J$164/100)</f>
        <v>2567.422924019609</v>
      </c>
      <c r="K165" s="38" t="s">
        <v>292</v>
      </c>
      <c r="M165" s="46" t="s">
        <v>2483</v>
      </c>
    </row>
    <row r="166" spans="9:13" x14ac:dyDescent="0.25">
      <c r="I166" s="80" t="s">
        <v>2484</v>
      </c>
      <c r="J166" s="642">
        <f>$J$57/2</f>
        <v>392.5</v>
      </c>
      <c r="K166" s="38" t="s">
        <v>35</v>
      </c>
      <c r="M166" s="46" t="s">
        <v>2485</v>
      </c>
    </row>
    <row r="167" spans="9:13" x14ac:dyDescent="0.25">
      <c r="I167" s="80" t="s">
        <v>2486</v>
      </c>
      <c r="J167" s="646">
        <f ca="1">$J$165/($J$166*$J$156)</f>
        <v>0.21804016339869292</v>
      </c>
      <c r="K167" s="38" t="s">
        <v>241</v>
      </c>
      <c r="M167" s="46" t="s">
        <v>2487</v>
      </c>
    </row>
    <row r="168" spans="9:13" x14ac:dyDescent="0.25">
      <c r="I168" s="80" t="s">
        <v>2562</v>
      </c>
      <c r="J168" s="646">
        <f>3*$J$29/100</f>
        <v>1.305</v>
      </c>
      <c r="K168" s="38" t="s">
        <v>93</v>
      </c>
      <c r="M168" s="46" t="s">
        <v>2563</v>
      </c>
    </row>
    <row r="169" spans="9:13" x14ac:dyDescent="0.25">
      <c r="I169" s="80" t="s">
        <v>2564</v>
      </c>
      <c r="J169" s="646">
        <f>-0.6*$J$29/100+$J$163</f>
        <v>-0.1161765923091555</v>
      </c>
      <c r="K169" s="38" t="s">
        <v>93</v>
      </c>
      <c r="M169" s="46" t="s">
        <v>2565</v>
      </c>
    </row>
    <row r="170" spans="9:13" x14ac:dyDescent="0.25">
      <c r="I170" s="80" t="s">
        <v>2566</v>
      </c>
      <c r="J170" s="646">
        <f ca="1">0.1*$J$163-$J$167</f>
        <v>-0.20355782262960848</v>
      </c>
      <c r="K170" s="38" t="s">
        <v>93</v>
      </c>
      <c r="M170" s="46" t="s">
        <v>2565</v>
      </c>
    </row>
    <row r="171" spans="9:13" x14ac:dyDescent="0.25">
      <c r="I171" s="80" t="s">
        <v>2567</v>
      </c>
      <c r="J171" s="646">
        <f ca="1">IF($J$167&lt;=0.3*$J$163,0,IF((-$J$169+SQRT($J$169^2-4*$J$168*$J$170))/(2*$J$168)&lt;=0.5,MAX((-$J$169+SQRT($J$169^2-4*$J$168*$J$170))/(2*$J$168),0.2)/100,($J$167-0.6*$J$163)/(0.9*$J$29)))</f>
        <v>0.004419593753999981</v>
      </c>
      <c r="K171" s="38" t="s">
        <v>93</v>
      </c>
      <c r="M171" s="46" t="s">
        <v>2568</v>
      </c>
    </row>
    <row r="172" spans="9:13" x14ac:dyDescent="0.25">
      <c r="I172" s="80" t="s">
        <v>2569</v>
      </c>
      <c r="J172" s="646">
        <f ca="1">$J$171*$J$156</f>
        <v>0.1325878126199994</v>
      </c>
      <c r="K172" s="38" t="s">
        <v>2087</v>
      </c>
      <c r="M172" s="46" t="s">
        <v>2570</v>
      </c>
    </row>
    <row r="173" spans="9:13" x14ac:dyDescent="0.25">
      <c r="I173" s="80" t="inlineStr">
        <is>
          <t>As/s ligação nec.</t>
        </is>
      </c>
      <c r="J173" s="646">
        <f>IF($J$155&lt;&gt;"Sim",0,$J$172)</f>
        <v>0.1325878126199994</v>
      </c>
      <c r="K173" s="38" t="s">
        <v>2087</v>
      </c>
      <c r="M173" s="46" t="inlineStr">
        <is>
          <t>Taxa que precisa atravessar a interface (estribos com espera subindo para a capa).</t>
        </is>
      </c>
    </row>
    <row r="174" spans="9:13" x14ac:dyDescent="0.25">
      <c r="I174" s="80" t="inlineStr">
        <is>
          <t>s,lig desejado</t>
        </is>
      </c>
      <c r="J174" s="23">
        <v>0</v>
      </c>
      <c r="K174" s="38" t="inlineStr">
        <is>
          <t>cm</t>
        </is>
      </c>
      <c r="M174" s="46" t="inlineStr">
        <is>
          <t>0 = automático (maior espaçamento que atende a interface, máx. 30 cm). Digite um valor para forçar o espaçamento do estribo de ligação.</t>
        </is>
      </c>
    </row>
    <row r="175" spans="9:13" x14ac:dyDescent="0.25">
      <c r="I175" s="80" t="inlineStr">
        <is>
          <t>s ligação</t>
        </is>
      </c>
      <c r="J175" s="642">
        <f>IF($J$155&lt;&gt;"Sim",0,IF($J$174&gt;0,$J$174,IF($J$173=0,0,MIN(ROUNDDOWN($J$392/$J$173*2,0)/2,30))))</f>
        <v>7.5</v>
      </c>
      <c r="K175" s="38" t="inlineStr">
        <is>
          <t>cm</t>
        </is>
      </c>
      <c r="M175" s="46" t="inlineStr">
        <is>
          <t>Espaçamento do estribo de ligação (Ø e ramos escolhidos no painel, linha 7). Em cada trecho fica limitado também ao smáx da cortante.</t>
        </is>
      </c>
    </row>
    <row r="176" spans="9:13" x14ac:dyDescent="0.25">
      <c r="I176" s="80" t="inlineStr">
        <is>
          <t>As/s ligação</t>
        </is>
      </c>
      <c r="J176" s="646">
        <f>IF($J$175=0,0,$J$392/$J$175)</f>
        <v>0.13397333333333336</v>
      </c>
      <c r="K176" s="38" t="inlineStr">
        <is>
          <t>cm²/cm</t>
        </is>
      </c>
      <c r="M176" s="46" t="inlineStr">
        <is>
          <t>Taxa fornecida pelo estribo de ligação.</t>
        </is>
      </c>
    </row>
    <row r="177" spans="9:13" x14ac:dyDescent="0.25">
      <c r="I177" s="80" t="inlineStr">
        <is>
          <t>Governa em</t>
        </is>
      </c>
      <c r="J177" s="643" t="str">
        <f>IF(COUNTIF($Y$61:$Y$63,"Ligação")=0,"nenhum trecho (cortante governa)",TRIM(IF($Y$61="Ligação","T1 ","")&amp;IF($Y$62="Ligação","T2 ","")&amp;IF($Y$63="Ligação","T3","")))</f>
        <v>T3</v>
      </c>
      <c r="K177" s="38" t="inlineStr">
        <is>
          <t>-</t>
        </is>
      </c>
      <c r="M177" s="46" t="inlineStr">
        <is>
          <t>Trechos em que o estribo de ligação é MAIOR que o da cortante e passa a ser o estribo adotado (quantidade, peso e desenho).</t>
        </is>
      </c>
    </row>
    <row r="178" spans="9:13" x14ac:dyDescent="0.25">
      <c r="I178" s="80" t="inlineStr">
        <is>
          <t>Acréscimo de peso</t>
        </is>
      </c>
      <c r="J178" s="642">
        <f>IF($Y$61="Ligação",$T$61-2*ROUNDUP($R$61/2/$Q$61,0)*VLOOKUP($L$61,Taxas!$V$22:$Y$30,4)*CHOOSE(MIN(MAX($M$61,2),4)-1,$J$76,$J$77,$J$78)/100,0)+IF($Y$62="Ligação",$T$62-2*ROUNDUP($R$62/2/$Q$62,0)*VLOOKUP($L$62,Taxas!$V$22:$Y$30,4)*CHOOSE(MIN(MAX($M$62,2),4)-1,$J$76,$J$77,$J$78)/100,0)+IF($Y$63="Ligação",$T$63-(ROUNDUP($R$63/$Q$63,0)+1)*VLOOKUP($L$63,Taxas!$V$22:$Y$30,4)*CHOOSE(MIN(MAX($M$63,2),4)-1,$J$76,$J$77,$J$78)/100,0)</f>
        <v>35.171165120000026</v>
      </c>
      <c r="K178" s="38" t="s">
        <v>1252</v>
      </c>
      <c r="M178" s="46" t="inlineStr">
        <is>
          <t>Aumento de peso dos estribos por causa da ligação (já incluído no peso dos trechos e na taxa).</t>
        </is>
      </c>
    </row>
    <row r="179" spans="9:13" x14ac:dyDescent="0.25">
      <c r="I179" s="80" t="s">
        <v>2583</v>
      </c>
      <c r="J179" s="646">
        <f>$J$158/$J$156</f>
        <v>0.004891474747474748</v>
      </c>
      <c r="K179" s="38" t="s">
        <v>93</v>
      </c>
      <c r="M179" s="46" t="inlineStr">
        <is>
          <t>Estribos adotados (cortante/ligação) que atravessam a interface.</t>
        </is>
      </c>
    </row>
    <row r="180" spans="9:13" x14ac:dyDescent="0.25">
      <c r="I180" s="80" t="s">
        <v>2474</v>
      </c>
      <c r="J180" s="646">
        <f ca="1">IF($J$179&lt;=0.002,0,IF($J$179&gt;=0.005,0.9,(0.9*$J$179*100-0.18)/0.3))</f>
        <v>0.8674424242424245</v>
      </c>
      <c r="K180" s="38" t="s">
        <v>93</v>
      </c>
      <c r="M180" s="46" t="s">
        <v>2585</v>
      </c>
    </row>
    <row r="181" spans="9:13" x14ac:dyDescent="0.25">
      <c r="I181" s="80" t="s">
        <v>2476</v>
      </c>
      <c r="J181" s="646">
        <f ca="1">IF($J$179&lt;=0.002,0.3,IF($J$179&gt;=0.005,0.6,0.3+(0.3*$J$179*100-0.06)/0.3))</f>
        <v>0.5891474747474748</v>
      </c>
      <c r="K181" s="38" t="s">
        <v>93</v>
      </c>
      <c r="M181" s="46" t="s">
        <v>2585</v>
      </c>
    </row>
    <row r="182" spans="9:13" x14ac:dyDescent="0.25">
      <c r="I182" s="80" t="s">
        <v>2488</v>
      </c>
      <c r="J182" s="646">
        <f ca="1">MIN($J$180*$J$29*$J$179+$J$181*$J$163,0.25*$J$157/1.4/10)</f>
        <v>0.2698960079439342</v>
      </c>
      <c r="K182" s="38" t="s">
        <v>241</v>
      </c>
      <c r="L182" s="645" t="str">
        <f>IF($J$155&lt;&gt;"Sim","Não se aplica",IF($J$167&gt;0.25*$J$157/1.4/10,"Não Ok – τ &gt; 0,25fcd: aumentar bc",IF($J$167&lt;=$J$182*1.0001,"Ok – seção composta","Não Ok – aumentar estribo de ligação")))</f>
        <v>Ok – seção composta</v>
      </c>
      <c r="M182" s="46" t="inlineStr">
        <is>
          <t>Limite com os estribos adotados: βs·fyd·ρ + βc·fctd ≤ 0,25·fcd.</t>
        </is>
      </c>
    </row>
    <row r="184" spans="9:13" ht="18" x14ac:dyDescent="0.3">
      <c r="I184" s="644" t="s">
        <v>2489</v>
      </c>
    </row>
    <row r="185" spans="9:13" x14ac:dyDescent="0.25">
      <c r="I185" s="80" t="s">
        <v>2490</v>
      </c>
      <c r="J185" s="642">
        <f ca="1">Geometria!$N$1307</f>
        <v>116.84369343265905</v>
      </c>
      <c r="K185" s="38" t="s">
        <v>35</v>
      </c>
      <c r="M185" s="46" t="s">
        <v>2491</v>
      </c>
    </row>
    <row r="186" spans="9:13" x14ac:dyDescent="0.25">
      <c r="I186" s="80" t="s">
        <v>2492</v>
      </c>
      <c r="J186" s="642">
        <f>Geometria!$L$307</f>
        <v>1595.9857012798152</v>
      </c>
      <c r="K186" s="38" t="s">
        <v>292</v>
      </c>
      <c r="M186" s="46" t="s">
        <v>2493</v>
      </c>
    </row>
    <row r="187" spans="9:13" x14ac:dyDescent="0.25">
      <c r="I187" s="80" t="s">
        <v>2494</v>
      </c>
      <c r="J187" s="642">
        <f ca="1">0.021*$J$186*$J$15/(13.8*$J$185)</f>
        <v>1.2471399124258011</v>
      </c>
      <c r="K187" s="38" t="s">
        <v>247</v>
      </c>
      <c r="M187" s="46" t="s">
        <v>2587</v>
      </c>
    </row>
    <row r="188" spans="9:13" x14ac:dyDescent="0.25">
      <c r="I188" s="80" t="s">
        <v>2588</v>
      </c>
      <c r="J188" s="23">
        <v>10</v>
      </c>
      <c r="K188" s="38" t="s">
        <v>460</v>
      </c>
      <c r="M188" s="46" t="s">
        <v>2589</v>
      </c>
    </row>
    <row r="189" spans="9:13" x14ac:dyDescent="0.25">
      <c r="I189" s="80" t="s">
        <v>2590</v>
      </c>
      <c r="J189" s="642">
        <f ca="1">MAX(2,ROUNDUP($J$187/(2*VLOOKUP($J$188,Taxas!$V$22:$W$30,2)),0))</f>
        <v>2.0</v>
      </c>
      <c r="K189" s="38" t="s">
        <v>818</v>
      </c>
      <c r="M189" s="46" t="s">
        <v>2591</v>
      </c>
    </row>
    <row r="190" spans="9:13" x14ac:dyDescent="0.25">
      <c r="I190" s="80" t="s">
        <v>2592</v>
      </c>
      <c r="J190" s="23">
        <v>5</v>
      </c>
      <c r="K190" s="38" t="s">
        <v>35</v>
      </c>
      <c r="M190" s="46" t="s">
        <v>2593</v>
      </c>
    </row>
    <row r="191" spans="9:13" x14ac:dyDescent="0.25">
      <c r="I191" s="80" t="s">
        <v>2594</v>
      </c>
      <c r="J191" s="642">
        <f>MAX($J$188/10/4*$J$29*10/(2.25*$J$26),25*$J$188/10)</f>
        <v>25.0</v>
      </c>
      <c r="K191" s="38" t="s">
        <v>35</v>
      </c>
      <c r="M191" s="46" t="s">
        <v>2595</v>
      </c>
    </row>
    <row r="192" spans="9:13" x14ac:dyDescent="0.25">
      <c r="I192" s="80" t="s">
        <v>2596</v>
      </c>
      <c r="J192" s="642">
        <f>$J$14-2*$J$17-2*$L$4/10</f>
        <v>22.0</v>
      </c>
      <c r="K192" s="38" t="s">
        <v>35</v>
      </c>
      <c r="M192" s="46" t="s">
        <v>2597</v>
      </c>
    </row>
    <row r="193" spans="9:24" x14ac:dyDescent="0.25">
      <c r="I193" s="80" t="s">
        <v>2598</v>
      </c>
      <c r="J193" s="23">
        <v>70</v>
      </c>
      <c r="K193" s="38" t="s">
        <v>35</v>
      </c>
      <c r="L193" s="645" t="str">
        <f>IF($J$193&gt;=$J$191,"Ok – perna ≥ ℓb","Aumentar a perna (menor que ℓb)")</f>
        <v>Ok – perna ≥ ℓb</v>
      </c>
      <c r="M193" s="46" t="s">
        <v>2599</v>
      </c>
    </row>
    <row r="194" spans="9:24" x14ac:dyDescent="0.25">
      <c r="I194" s="80" t="s">
        <v>2600</v>
      </c>
      <c r="J194" s="642">
        <f>2*$J$193+$J$192</f>
        <v>162.0</v>
      </c>
      <c r="K194" s="38" t="s">
        <v>35</v>
      </c>
      <c r="M194" s="46" t="s">
        <v>2601</v>
      </c>
    </row>
    <row r="195" spans="9:24" x14ac:dyDescent="0.25">
      <c r="I195" s="80" t="s">
        <v>2602</v>
      </c>
      <c r="J195" s="642">
        <f ca="1">2*$J$189*VLOOKUP($J$188,Taxas!$V$22:$Y$30,4)*$J$194/100</f>
        <v>3.993138</v>
      </c>
      <c r="K195" s="38" t="s">
        <v>1252</v>
      </c>
      <c r="M195" s="46" t="s">
        <v>2603</v>
      </c>
    </row>
    <row r="196" spans="9:24" x14ac:dyDescent="0.25">
      <c r="I196" s="80" t="s">
        <v>2495</v>
      </c>
      <c r="J196" s="642">
        <f>$J$65+$J$257+$J$195</f>
        <v>268.36155068</v>
      </c>
      <c r="K196" s="38" t="s">
        <v>1252</v>
      </c>
      <c r="M196" s="46" t="inlineStr">
        <is>
          <t>Estribos (cortante/ligação) + armaduras do apoio consideradas (item 10) + laços (vai para a aba Taxas).</t>
        </is>
      </c>
    </row>
    <row r="198" spans="9:24" ht="18" x14ac:dyDescent="0.3">
      <c r="I198" s="644" t="s">
        <v>2604</v>
      </c>
    </row>
    <row r="199" spans="9:24" ht="32.1" customHeight="1" x14ac:dyDescent="0.25">
      <c r="I199" s="796" t="inlineStr">
        <is>
          <t>Elevação da ponta até o meio do vão: contorno (com o recorte do dente Gerber quando houver), laje/capa, eixo do apoio, aparelho, cordoalhas, estribos de cada trecho (cor por trecho), suspensão (sempre), armadura inferior considerada no item 10 (tirante do apoio + costura OU grampos de ancoragem; no Gerber: tirante e costura do dente + grampos de ancoragem), laços de fendilhamento e as marcas x1, x2 e d/2. Os desenhos explicativos estão no item 11, no fim da aba.</t>
        </is>
      </c>
      <c r="J199" s="859"/>
      <c r="K199" s="859"/>
      <c r="L199" s="859"/>
      <c r="M199" s="859"/>
      <c r="N199" s="859"/>
      <c r="O199" s="859"/>
      <c r="P199" s="859"/>
      <c r="Q199" s="859"/>
      <c r="R199" s="859"/>
      <c r="S199" s="859"/>
      <c r="T199" s="859"/>
      <c r="U199" s="859"/>
      <c r="V199" s="859"/>
      <c r="W199" s="859"/>
      <c r="X199" s="859"/>
    </row>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spans="9:9" x14ac:dyDescent="0.3" ht="18" customHeight="1">
      <c r="I226" s="644" t="inlineStr">
        <is>
          <t>9 . ARMADURA DE SUSPENSÃO JUNTO AO APOIO</t>
        </is>
      </c>
    </row>
    <row r="227" ht="45" customHeight="1">
      <c r="I227" s="796" t="inlineStr">
        <is>
          <t>A suspensão é SEMPRE considerada (com ou sem dente). Sem dente Gerber: a reação de cálculo é "pendurada" por estribos concentrados junto ao apoio (critério da planilha antiga, bloco "Suspensão"). Com dente Gerber: a força Rsus vem das bielas e tirantes do item 5, com os estribos logo após o dente.</t>
        </is>
      </c>
    </row>
    <row r="228">
      <c r="I228" s="80" t="inlineStr">
        <is>
          <t>Caso</t>
        </is>
      </c>
      <c r="J228" s="642" t="str">
        <f>IF($J$13="Gerber","Dente Gerber (item 5)","Apoio direto sem dente")</f>
        <v>Apoio direto sem dente</v>
      </c>
      <c r="K228" s="38" t="inlineStr">
        <is>
          <t>-</t>
        </is>
      </c>
      <c r="M228" s="46" t="inlineStr">
        <is>
          <t>Define a força e a faixa da suspensão.</t>
        </is>
      </c>
    </row>
    <row r="229">
      <c r="I229" s="80" t="inlineStr">
        <is>
          <t>Fd,susp</t>
        </is>
      </c>
      <c r="J229" s="642">
        <f>IF($J$13="Gerber",$J$133,$J$82)</f>
        <v>1030.4601290625</v>
      </c>
      <c r="K229" s="38" t="inlineStr">
        <is>
          <t>kN</t>
        </is>
      </c>
      <c r="M229" s="46" t="inlineStr">
        <is>
          <t>Sem dente: Vd do apoio. Com dente: Rsus das bielas e tirantes (item 5).</t>
        </is>
      </c>
    </row>
    <row r="230">
      <c r="I230" s="80" t="inlineStr">
        <is>
          <t>As,susp</t>
        </is>
      </c>
      <c r="J230" s="642">
        <f>$J$229/$J$29</f>
        <v>23.68873859913793</v>
      </c>
      <c r="K230" s="38" t="inlineStr">
        <is>
          <t>cm²</t>
        </is>
      </c>
      <c r="M230" s="46" t="inlineStr">
        <is>
          <t>Armadura de suspensão = Fd,susp / fyd.</t>
        </is>
      </c>
    </row>
    <row r="231">
      <c r="I231" s="80" t="inlineStr">
        <is>
          <t>Ø susp.</t>
        </is>
      </c>
      <c r="J231" s="23">
        <v>12.5</v>
      </c>
      <c r="K231" s="38" t="inlineStr">
        <is>
          <t>mm</t>
        </is>
      </c>
      <c r="M231" s="46" t="inlineStr">
        <is>
          <t>Bitola dos estribos de suspensão (vale também para o dente Gerber).</t>
        </is>
      </c>
    </row>
    <row r="232">
      <c r="I232" s="80" t="inlineStr">
        <is>
          <t>Ramos</t>
        </is>
      </c>
      <c r="J232" s="23">
        <v>4</v>
      </c>
      <c r="K232" s="38" t="inlineStr">
        <is>
          <t>-</t>
        </is>
      </c>
      <c r="M232" s="46" t="inlineStr">
        <is>
          <t>Ramos de cada estribo de suspensão (2, 3 ou 4).</t>
        </is>
      </c>
    </row>
    <row r="233">
      <c r="I233" s="80" t="inlineStr">
        <is>
          <t>Estribos susp.</t>
        </is>
      </c>
      <c r="J233" s="642">
        <f>IF($J$230=0,0,ROUNDUP($J$230/($J$232*VLOOKUP($J$231,Taxas!$V$22:$W$30,2)),0))</f>
        <v>5.0</v>
      </c>
      <c r="K233" s="38" t="inlineStr">
        <is>
          <t>un</t>
        </is>
      </c>
      <c r="M233" s="46" t="inlineStr">
        <is>
          <t>Quantidade por apoio.</t>
        </is>
      </c>
    </row>
    <row r="234">
      <c r="I234" s="80" t="inlineStr">
        <is>
          <t>Faixa</t>
        </is>
      </c>
      <c r="J234" s="642">
        <f>IF($J$13="Gerber",$J$117,$J$15/2)</f>
        <v>30.0</v>
      </c>
      <c r="K234" s="38" t="inlineStr">
        <is>
          <t>cm</t>
        </is>
      </c>
      <c r="M234" s="46" t="inlineStr">
        <is>
          <t>Sem dente: h/2 junto à ponta. Com dente: a1 = d/4 logo após o dente.</t>
        </is>
      </c>
    </row>
    <row r="235">
      <c r="I235" s="80" t="inlineStr">
        <is>
          <t>Início da faixa</t>
        </is>
      </c>
      <c r="J235" s="642">
        <f>IF($J$13="Gerber",$J$106,$J$17)</f>
        <v>3.0</v>
      </c>
      <c r="K235" s="38" t="inlineStr">
        <is>
          <t>cm</t>
        </is>
      </c>
      <c r="M235" s="46" t="inlineStr">
        <is>
          <t>Distância da ponta da viga ao primeiro estribo de suspensão.</t>
        </is>
      </c>
    </row>
    <row r="236">
      <c r="I236" s="80" t="inlineStr">
        <is>
          <t>s susp.</t>
        </is>
      </c>
      <c r="J236" s="642">
        <f>IF($J$233=0,0,ROUNDDOWN($J$234/$J$233*2,0)/2)</f>
        <v>6.0</v>
      </c>
      <c r="K236" s="38" t="inlineStr">
        <is>
          <t>cm</t>
        </is>
      </c>
      <c r="M236" s="46" t="inlineStr">
        <is>
          <t>Espaçamento dentro da faixa.</t>
        </is>
      </c>
    </row>
    <row r="237">
      <c r="I237" s="80" t="inlineStr">
        <is>
          <t>Compr. estribo</t>
        </is>
      </c>
      <c r="J237" s="642">
        <f>CHOOSE(MIN(MAX($J$232,2),4)-1,$J$76,$J$77,$J$78)</f>
        <v>502.0</v>
      </c>
      <c r="K237" s="38" t="inlineStr">
        <is>
          <t>cm</t>
        </is>
      </c>
      <c r="M237" s="46" t="inlineStr">
        <is>
          <t>Mesma forma dos estribos da viga (item 3b).</t>
        </is>
      </c>
    </row>
    <row r="238">
      <c r="I238" s="80" t="inlineStr">
        <is>
          <t>Peso suspensão</t>
        </is>
      </c>
      <c r="J238" s="642">
        <f>2*$J$233*VLOOKUP($J$231,Taxas!$V$22:$Y$30,4)*$J$237/100</f>
        <v>48.335148437499996</v>
      </c>
      <c r="K238" s="38" t="inlineStr">
        <is>
          <t>kg</t>
        </is>
      </c>
      <c r="M238" s="46" t="inlineStr">
        <is>
          <t>Dois apoios.</t>
        </is>
      </c>
    </row>
    <row r="239">
      <c r="I239" s="80" t="inlineStr">
        <is>
          <t>Status</t>
        </is>
      </c>
      <c r="J239" s="645" t="str">
        <f>IF($J$233=0,"Não necessária",IF($J$236&lt;5,"Atenção: s &lt; 5 cm – aumente Ø ou ramos","Ok"))</f>
        <v>Ok</v>
      </c>
      <c r="K239" s="38" t="inlineStr">
        <is>
          <t>-</t>
        </is>
      </c>
      <c r="M239" s="46" t="inlineStr">
        <is>
          <t>Espaçamento mínimo prático de 5 cm entre estribos de suspensão.</t>
        </is>
      </c>
    </row>
    <row r="240"/>
    <row r="241" ht="18" customHeight="1">
      <c r="I241" s="644" t="inlineStr">
        <is>
          <t>10 . ARMADURA INFERIOR NO APOIO – GRAMPOS DE ANCORAGEM × TIRANTE</t>
        </is>
      </c>
    </row>
    <row r="242" ht="32" customHeight="1">
      <c r="I242" s="796" t="inlineStr">
        <is>
          <t>A suspensão (item 9) é SEMPRE considerada. Na parte de baixo da viga: sem dente Gerber, calcula-se os grampos de ancoragem da diagonal de compressão (bloco "Grampos de ancoragem" da aba Taxas) e o tirante do apoio (item 4) e vale o MAIOR (cálculo, peso/taxa e desenho). Com dente Gerber: tirante do dente (item 5) + grampos de ancoragem embaixo + suspensão.</t>
        </is>
      </c>
    </row>
    <row r="243">
      <c r="I243" s="80" t="inlineStr">
        <is>
          <t>Vd</t>
        </is>
      </c>
      <c r="J243" s="642">
        <f>$J$82</f>
        <v>1030.4601290625</v>
      </c>
      <c r="K243" s="38" t="inlineStr">
        <is>
          <t>kN</t>
        </is>
      </c>
      <c r="M243" s="46" t="inlineStr">
        <is>
          <t>Reação de cálculo no apoio.</t>
        </is>
      </c>
    </row>
    <row r="244">
      <c r="I244" s="80" t="inlineStr">
        <is>
          <t>Rs</t>
        </is>
      </c>
      <c r="J244" s="642">
        <f>0.5*(1/TAN(RADIANS(30))-1/TAN(RADIANS(90)))*$J$243</f>
        <v>892.4046493551165</v>
      </c>
      <c r="K244" s="38" t="inlineStr">
        <is>
          <t>kN</t>
        </is>
      </c>
      <c r="M244" s="46" t="inlineStr">
        <is>
          <t>Resultante de ancoragem da diagonal comprimida (θ = 30°, estribos a 90°) – mesma fórmula da aba Taxas.</t>
        </is>
      </c>
    </row>
    <row r="245">
      <c r="I245" s="80" t="inlineStr">
        <is>
          <t>L,anc</t>
        </is>
      </c>
      <c r="J245" s="23">
        <v>0</v>
      </c>
      <c r="K245" s="38" t="inlineStr">
        <is>
          <t>cm</t>
        </is>
      </c>
      <c r="M245" s="46" t="inlineStr">
        <is>
          <t>Comprimento de início da ancoragem: &gt; 0 considera Np reduzido pelo comprimento de transferência (aba Taxas H79 aponta para cá).</t>
        </is>
      </c>
    </row>
    <row r="246">
      <c r="I246" s="80" t="inlineStr">
        <is>
          <t>Np,2</t>
        </is>
      </c>
      <c r="J246" s="642">
        <f>Geometria!$L$706*MIN(1,$J$245/Geometria!$N$1307)</f>
        <v>0.0</v>
      </c>
      <c r="K246" s="38" t="inlineStr">
        <is>
          <t>kN</t>
        </is>
      </c>
      <c r="M246" s="46" t="inlineStr">
        <is>
          <t>Força de protensão já transferida no início da ancoragem (Np∞·L,anc/ℓbpt).</t>
        </is>
      </c>
    </row>
    <row r="247">
      <c r="I247" s="80" t="inlineStr">
        <is>
          <t>Auxílio As long.?</t>
        </is>
      </c>
      <c r="J247" s="23" t="inlineStr">
        <is>
          <t>Sim</t>
        </is>
      </c>
      <c r="K247" s="38" t="inlineStr">
        <is>
          <t>-</t>
        </is>
      </c>
      <c r="M247" s="46" t="inlineStr">
        <is>
          <t>Descontar a armadura longitudinal inferior (deve ser soldada/ancorada)? (aba Taxas H81 aponta para cá).</t>
        </is>
      </c>
    </row>
    <row r="248">
      <c r="I248" s="80" t="inlineStr">
        <is>
          <t>As long. inferior</t>
        </is>
      </c>
      <c r="J248" s="642">
        <f>Taxas!$K$58</f>
        <v>24.1152</v>
      </c>
      <c r="K248" s="38" t="inlineStr">
        <is>
          <t>cm²</t>
        </is>
      </c>
      <c r="M248" s="46" t="inlineStr">
        <is>
          <t>Armadura longitudinal inferior (aba Taxas).</t>
        </is>
      </c>
    </row>
    <row r="249">
      <c r="I249" s="80" t="inlineStr">
        <is>
          <t>As,ancoragem</t>
        </is>
      </c>
      <c r="J249" s="642">
        <f>MAX(0,IF($J$246&lt;$J$244,($J$244-$J$246)/$J$29,0)-IF($J$247="Sim",$J$248,0))</f>
        <v>0.0</v>
      </c>
      <c r="K249" s="38" t="inlineStr">
        <is>
          <t>cm²</t>
        </is>
      </c>
      <c r="M249" s="46" t="inlineStr">
        <is>
          <t>Grampos de ancoragem necessários na parte de baixo.</t>
        </is>
      </c>
    </row>
    <row r="250">
      <c r="I250" s="80" t="inlineStr">
        <is>
          <t>Ø grampo anc.</t>
        </is>
      </c>
      <c r="J250" s="23">
        <v>12.5</v>
      </c>
      <c r="K250" s="38" t="inlineStr">
        <is>
          <t>mm</t>
        </is>
      </c>
      <c r="M250" s="46" t="inlineStr">
        <is>
          <t>Bitola dos grampos de ancoragem (aba Taxas H95 aponta para cá).</t>
        </is>
      </c>
    </row>
    <row r="251">
      <c r="I251" s="80" t="inlineStr">
        <is>
          <t>Grampos anc.</t>
        </is>
      </c>
      <c r="J251" s="642">
        <f>IF($J$249=0,0,ROUNDUP($J$249/VLOOKUP($J$250,Taxas!$V$22:$W$30,2),0))</f>
        <v>0.0</v>
      </c>
      <c r="K251" s="38" t="inlineStr">
        <is>
          <t>un</t>
        </is>
      </c>
      <c r="M251" s="46" t="inlineStr">
        <is>
          <t>Quantidade por apoio.</t>
        </is>
      </c>
    </row>
    <row r="252">
      <c r="I252" s="80" t="inlineStr">
        <is>
          <t>Compr. grampo anc.</t>
        </is>
      </c>
      <c r="J252" s="642">
        <f>Taxas!$I$95*100</f>
        <v>140.0</v>
      </c>
      <c r="K252" s="38" t="inlineStr">
        <is>
          <t>cm</t>
        </is>
      </c>
      <c r="M252" s="46" t="inlineStr">
        <is>
          <t>Comprimento do grampo (aba Taxas, com/sem gancho conforme Taxas H80).</t>
        </is>
      </c>
    </row>
    <row r="253">
      <c r="I253" s="80" t="inlineStr">
        <is>
          <t>As,tirante apoio</t>
        </is>
      </c>
      <c r="J253" s="642">
        <f>$J$91</f>
        <v>23.53081367514368</v>
      </c>
      <c r="K253" s="38" t="inlineStr">
        <is>
          <t>cm²</t>
        </is>
      </c>
      <c r="M253" s="46" t="inlineStr">
        <is>
          <t>Tirante do apoio direto (item 4); zero quando há dente Gerber.</t>
        </is>
      </c>
    </row>
    <row r="254">
      <c r="I254" s="80" t="inlineStr">
        <is>
          <t>Considerado</t>
        </is>
      </c>
      <c r="J254" s="645" t="str">
        <f>IF($J$13="Gerber","Grampos de ancoragem + tirante do dente",IF($J$249&gt;$J$253,"Grampos de ancoragem","Tirante do apoio"))</f>
        <v>Tirante do apoio</v>
      </c>
      <c r="K254" s="38" t="inlineStr">
        <is>
          <t>-</t>
        </is>
      </c>
      <c r="M254" s="46" t="inlineStr">
        <is>
          <t>Armadura inferior considerada (a suspensão entra sempre).</t>
        </is>
      </c>
    </row>
    <row r="255" ht="45" customHeight="1">
      <c r="I255" s="80" t="inlineStr">
        <is>
          <t>Mensagem</t>
        </is>
      </c>
      <c r="J255" s="864" t="str">
        <f>IF($J$13="Gerber","Viga COM dente Gerber: considerados o TIRANTE DO DENTE "&amp;TEXT($J$143,"0.00")&amp;" cm² ("&amp;$J$144&amp;" Ø"&amp;$J$108&amp;") e os GRAMPOS DE ANCORAGEM embaixo "&amp;TEXT($J$249,"0.00")&amp;" cm²"&amp;IF($J$251&gt;0," ("&amp;$J$251&amp;" Ø"&amp;$J$250&amp;" por apoio)"," (não necessários – protensão/As long. absorvem Rs)")&amp;", mais a costura do dente.","Viga SEM dente Gerber: "&amp;IF($J$254="Tirante do apoio","considerado o TIRANTE DO APOIO","considerados os GRAMPOS DE ANCORAGEM")&amp;" (maior área embaixo) – grampos de ancoragem "&amp;TEXT($J$249,"0.00")&amp;" cm² × tirante "&amp;TEXT($J$253,"0.00")&amp;" cm²"&amp;IF($J$254="Tirante do apoio"," → "&amp;$J$93&amp;" grampos Ø"&amp;$J$92&amp;" + costura "&amp;$J$100&amp;" Ø"&amp;$J$98&amp;" por apoio."," → "&amp;$J$251&amp;" grampos Ø"&amp;$J$250&amp;" por apoio."))&amp;" Suspensão (sempre): "&amp;$J$233&amp;" estribos Ø"&amp;$J$231&amp;" "&amp;$J$232&amp;"r por apoio ("&amp;TEXT($J$230,"0.00")&amp;" cm²)."</f>
        <v>Viga SEM dente Gerber: considerado o TIRANTE DO APOIO (maior área embaixo) – grampos de ancoragem 0.00 cm² × tirante 23.53 cm² → 10 grampos Ø12.5 + costura 3 Ø8 por apoio. Suspensão (sempre): 5 estribos Ø12.5 4r por apoio (23.69 cm²).</v>
      </c>
      <c r="K255" s="864"/>
      <c r="L255" s="864"/>
      <c r="M255" s="864"/>
      <c r="N255" s="864"/>
      <c r="O255" s="864"/>
      <c r="P255" s="864"/>
      <c r="Q255" s="864"/>
      <c r="R255" s="864"/>
      <c r="S255" s="864"/>
      <c r="T255" s="864"/>
      <c r="U255" s="864"/>
      <c r="V255" s="864"/>
      <c r="W255" s="864"/>
      <c r="X255" s="864"/>
    </row>
    <row r="256">
      <c r="I256" s="80" t="inlineStr">
        <is>
          <t>Peso grampos anc.</t>
        </is>
      </c>
      <c r="J256" s="642">
        <f>2*$J$251*VLOOKUP($J$250,Taxas!$V$22:$Y$30,4)*$J$252/100</f>
        <v>0.0</v>
      </c>
      <c r="K256" s="38" t="inlineStr">
        <is>
          <t>kg</t>
        </is>
      </c>
      <c r="M256" s="46" t="inlineStr">
        <is>
          <t>Dois apoios.</t>
        </is>
      </c>
    </row>
    <row r="257">
      <c r="I257" s="80" t="inlineStr">
        <is>
          <t>Peso do apoio</t>
        </is>
      </c>
      <c r="J257" s="642">
        <f>IF($J$13="Gerber",$J$152+$J$256,$J$238+IF($J$254="Tirante do apoio",$J$102,$J$256))</f>
        <v>85.64147155999999</v>
      </c>
      <c r="K257" s="38" t="inlineStr">
        <is>
          <t>kg</t>
        </is>
      </c>
      <c r="M257" s="46" t="inlineStr">
        <is>
          <t>Suspensão + armadura inferior considerada (+ tirante e costura do dente no Gerber), dois apoios – vai para o PESO TOTAL (item 7) e para a taxa.</t>
        </is>
      </c>
    </row>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spans="9:94" x14ac:dyDescent="0.25">
      <c r="I298" s="80" t="s">
        <v>2607</v>
      </c>
      <c r="J298" s="642">
        <f ca="1">$J$382</f>
        <v>170.91133989276295</v>
      </c>
      <c r="K298" s="38" t="s">
        <v>1252</v>
      </c>
      <c r="M298" s="46" t="s">
        <v>2608</v>
      </c>
    </row>
    <row r="299" spans="9:94" hidden="1" x14ac:dyDescent="0.25">
      <c r="N299" s="641" t="s">
        <v>2609</v>
      </c>
    </row>
    <row r="300" spans="9:94" hidden="1" x14ac:dyDescent="0.25">
      <c r="I300" s="647" t="s">
        <v>2610</v>
      </c>
    </row>
    <row r="301" spans="9:94" hidden="1" x14ac:dyDescent="0.25">
      <c r="N301" s="642">
        <f>IF($J$175&gt;0,IF($J$392/MIN($J$175,K303)&gt;$M$6*VLOOKUP($L$6,Taxas!$V$22:$W$30,2)/M303,$J$391/MIN($J$175,K303),$J$390/M303),$J$390/M303)*MAX(0,Geometria!$L$25-2*($J$58+I303))+IF(M303&lt;$J$38,1000000,0)</f>
        <v>204.51420294117648</v>
      </c>
      <c r="O301" s="642">
        <f>IF($J$175&gt;0,IF($J$392/MIN($J$175,K304)&gt;$M$6*VLOOKUP($L$6,Taxas!$V$22:$W$30,2)/M304,$J$391/MIN($J$175,K304),$J$390/M304),$J$390/M304)*MAX(0,Geometria!$L$25-2*($J$58+I304))+IF(M304&lt;$J$38,1000000,0)</f>
        <v>201.87530999999998</v>
      </c>
      <c r="P301" s="642">
        <f>IF($J$175&gt;0,IF($J$392/MIN($J$175,K305)&gt;$M$6*VLOOKUP($L$6,Taxas!$V$22:$W$30,2)/M305,$J$391/MIN($J$175,K305),$J$390/M305),$J$390/M305)*MAX(0,Geometria!$L$25-2*($J$58+I305))+IF(M305&lt;$J$38,1000000,0)</f>
        <v>199.23641705882352</v>
      </c>
      <c r="Q301" s="642">
        <f>IF($J$175&gt;0,IF($J$392/MIN($J$175,K306)&gt;$M$6*VLOOKUP($L$6,Taxas!$V$22:$W$30,2)/M306,$J$391/MIN($J$175,K306),$J$390/M306),$J$390/M306)*MAX(0,Geometria!$L$25-2*($J$58+I306))+IF(M306&lt;$J$38,1000000,0)</f>
        <v>196.59752411764705</v>
      </c>
      <c r="R301" s="642">
        <f>IF($J$175&gt;0,IF($J$392/MIN($J$175,K307)&gt;$M$6*VLOOKUP($L$6,Taxas!$V$22:$W$30,2)/M307,$J$391/MIN($J$175,K307),$J$390/M307),$J$390/M307)*MAX(0,Geometria!$L$25-2*($J$58+I307))+IF(M307&lt;$J$38,1000000,0)</f>
        <v>193.9586311764706</v>
      </c>
      <c r="S301" s="642">
        <f>IF($J$175&gt;0,IF($J$392/MIN($J$175,K308)&gt;$M$6*VLOOKUP($L$6,Taxas!$V$22:$W$30,2)/M308,$J$391/MIN($J$175,K308),$J$390/M308),$J$390/M308)*MAX(0,Geometria!$L$25-2*($J$58+I308))+IF(M308&lt;$J$38,1000000,0)</f>
        <v>191.31973823529412</v>
      </c>
      <c r="T301" s="642">
        <f>IF($J$175&gt;0,IF($J$392/MIN($J$175,K309)&gt;$M$6*VLOOKUP($L$6,Taxas!$V$22:$W$30,2)/M309,$J$391/MIN($J$175,K309),$J$390/M309),$J$390/M309)*MAX(0,Geometria!$L$25-2*($J$58+I309))+IF(M309&lt;$J$38,1000000,0)</f>
        <v>188.68084529411763</v>
      </c>
      <c r="U301" s="642">
        <f>IF($J$175&gt;0,IF($J$392/MIN($J$175,K310)&gt;$M$6*VLOOKUP($L$6,Taxas!$V$22:$W$30,2)/M310,$J$391/MIN($J$175,K310),$J$390/M310),$J$390/M310)*MAX(0,Geometria!$L$25-2*($J$58+I310))+IF(M310&lt;$J$38,1000000,0)</f>
        <v>186.04195235294117</v>
      </c>
      <c r="V301" s="642">
        <f>IF($J$175&gt;0,IF($J$392/MIN($J$175,K311)&gt;$M$6*VLOOKUP($L$6,Taxas!$V$22:$W$30,2)/M311,$J$391/MIN($J$175,K311),$J$390/M311),$J$390/M311)*MAX(0,Geometria!$L$25-2*($J$58+I311))+IF(M311&lt;$J$38,1000000,0)</f>
        <v>183.4030594117647</v>
      </c>
      <c r="W301" s="642">
        <f>IF($J$175&gt;0,IF($J$392/MIN($J$175,K312)&gt;$M$6*VLOOKUP($L$6,Taxas!$V$22:$W$30,2)/M312,$J$391/MIN($J$175,K312),$J$390/M312),$J$390/M312)*MAX(0,Geometria!$L$25-2*($J$58+I312))+IF(M312&lt;$J$38,1000000,0)</f>
        <v>170.72171277777778</v>
      </c>
      <c r="X301" s="642">
        <f>IF($J$175&gt;0,IF($J$392/MIN($J$175,K313)&gt;$M$6*VLOOKUP($L$6,Taxas!$V$22:$W$30,2)/M313,$J$391/MIN($J$175,K313),$J$390/M313),$J$390/M313)*MAX(0,Geometria!$L$25-2*($J$58+I313))+IF(M313&lt;$J$38,1000000,0)</f>
        <v>168.22942500000002</v>
      </c>
      <c r="Y301" s="642">
        <f>IF($J$175&gt;0,IF($J$392/MIN($J$175,K314)&gt;$M$6*VLOOKUP($L$6,Taxas!$V$22:$W$30,2)/M314,$J$391/MIN($J$175,K314),$J$390/M314),$J$390/M314)*MAX(0,Geometria!$L$25-2*($J$58+I314))+IF(M314&lt;$J$38,1000000,0)</f>
        <v>157.01413</v>
      </c>
      <c r="Z301" s="642">
        <f>IF($J$175&gt;0,IF($J$392/MIN($J$175,K315)&gt;$M$6*VLOOKUP($L$6,Taxas!$V$22:$W$30,2)/M315,$J$391/MIN($J$175,K315),$J$390/M315),$J$390/M315)*MAX(0,Geometria!$L$25-2*($J$58+I315))+IF(M315&lt;$J$38,1000000,0)</f>
        <v>154.6530152631579</v>
      </c>
      <c r="AA301" s="642">
        <f>IF($J$175&gt;0,IF($J$392/MIN($J$175,K316)&gt;$M$6*VLOOKUP($L$6,Taxas!$V$22:$W$30,2)/M316,$J$391/MIN($J$175,K316),$J$390/M316),$J$390/M316)*MAX(0,Geometria!$L$25-2*($J$58+I316))+IF(M316&lt;$J$38,1000000,0)</f>
        <v>144.6773055</v>
      </c>
      <c r="AB301" s="642">
        <f>IF($J$175&gt;0,IF($J$392/MIN($J$175,K317)&gt;$M$6*VLOOKUP($L$6,Taxas!$V$22:$W$30,2)/M317,$J$391/MIN($J$175,K317),$J$390/M317),$J$390/M317)*MAX(0,Geometria!$L$25-2*($J$58+I317))+IF(M317&lt;$J$38,1000000,0)</f>
        <v>142.4342465</v>
      </c>
      <c r="AC301" s="642">
        <f>IF($J$175&gt;0,IF($J$392/MIN($J$175,K318)&gt;$M$6*VLOOKUP($L$6,Taxas!$V$22:$W$30,2)/M318,$J$391/MIN($J$175,K318),$J$390/M318),$J$390/M318)*MAX(0,Geometria!$L$25-2*($J$58+I318))+IF(M318&lt;$J$38,1000000,0)</f>
        <v>133.51541666666668</v>
      </c>
      <c r="AD301" s="642">
        <f>IF($J$175&gt;0,IF($J$392/MIN($J$175,K319)&gt;$M$6*VLOOKUP($L$6,Taxas!$V$22:$W$30,2)/M319,$J$391/MIN($J$175,K319),$J$390/M319),$J$390/M319)*MAX(0,Geometria!$L$25-2*($J$58+I319))+IF(M319&lt;$J$38,1000000,0)</f>
        <v>125.40738954545456</v>
      </c>
      <c r="AE301" s="642">
        <f>IF($J$175&gt;0,IF($J$392/MIN($J$175,K320)&gt;$M$6*VLOOKUP($L$6,Taxas!$V$22:$W$30,2)/M320,$J$391/MIN($J$175,K320),$J$390/M320),$J$390/M320)*MAX(0,Geometria!$L$25-2*($J$58+I320))+IF(M320&lt;$J$38,1000000,0)</f>
        <v>123.36824500000002</v>
      </c>
      <c r="AF301" s="642">
        <f>IF($J$175&gt;0,IF($J$392/MIN($J$175,K321)&gt;$M$6*VLOOKUP($L$6,Taxas!$V$22:$W$30,2)/M321,$J$391/MIN($J$175,K321),$J$390/M321),$J$390/M321)*MAX(0,Geometria!$L$25-2*($J$58+I321))+IF(M321&lt;$J$38,1000000,0)</f>
        <v>116.05392217391305</v>
      </c>
      <c r="AG301" s="642">
        <f>IF($J$175&gt;0,IF($J$392/MIN($J$175,K322)&gt;$M$6*VLOOKUP($L$6,Taxas!$V$22:$W$30,2)/M322,$J$391/MIN($J$175,K322),$J$390/M322),$J$390/M322)*MAX(0,Geometria!$L$25-2*($J$58+I322))+IF(M322&lt;$J$38,1000000,0)</f>
        <v>111.97350528000004</v>
      </c>
      <c r="AH301" s="642">
        <f>IF($J$175&gt;0,IF($J$392/MIN($J$175,K323)&gt;$M$6*VLOOKUP($L$6,Taxas!$V$22:$W$30,2)/M323,$J$391/MIN($J$175,K323),$J$390/M323),$J$390/M323)*MAX(0,Geometria!$L$25-2*($J$58+I323))+IF(M323&lt;$J$38,1000000,0)</f>
        <v>110.0594282666667</v>
      </c>
      <c r="AI301" s="642">
        <f>IF($J$175&gt;0,IF($J$392/MIN($J$175,K324)&gt;$M$6*VLOOKUP($L$6,Taxas!$V$22:$W$30,2)/M324,$J$391/MIN($J$175,K324),$J$390/M324),$J$390/M324)*MAX(0,Geometria!$L$25-2*($J$58+I324))+IF(M324&lt;$J$38,1000000,0)</f>
        <v>108.14535125333337</v>
      </c>
      <c r="AJ301" s="642">
        <f>IF($J$175&gt;0,IF($J$392/MIN($J$175,K325)&gt;$M$6*VLOOKUP($L$6,Taxas!$V$22:$W$30,2)/M325,$J$391/MIN($J$175,K325),$J$390/M325),$J$390/M325)*MAX(0,Geometria!$L$25-2*($J$58+I325))+IF(M325&lt;$J$38,1000000,0)</f>
        <v>106.23127424000003</v>
      </c>
      <c r="AK301" s="642">
        <f>IF($J$175&gt;0,IF($J$392/MIN($J$175,K326)&gt;$M$6*VLOOKUP($L$6,Taxas!$V$22:$W$30,2)/M326,$J$391/MIN($J$175,K326),$J$390/M326),$J$390/M326)*MAX(0,Geometria!$L$25-2*($J$58+I326))+IF(M326&lt;$J$38,1000000,0)</f>
        <v>104.3171972266667</v>
      </c>
      <c r="AL301" s="642">
        <f>IF($J$175&gt;0,IF($J$392/MIN($J$175,K327)&gt;$M$6*VLOOKUP($L$6,Taxas!$V$22:$W$30,2)/M327,$J$391/MIN($J$175,K327),$J$390/M327),$J$390/M327)*MAX(0,Geometria!$L$25-2*($J$58+I327))+IF(M327&lt;$J$38,1000000,0)</f>
        <v>102.40312021333337</v>
      </c>
      <c r="AM301" s="642">
        <f>IF($J$175&gt;0,IF($J$392/MIN($J$175,K328)&gt;$M$6*VLOOKUP($L$6,Taxas!$V$22:$W$30,2)/M328,$J$391/MIN($J$175,K328),$J$390/M328),$J$390/M328)*MAX(0,Geometria!$L$25-2*($J$58+I328))+IF(M328&lt;$J$38,1000000,0)</f>
        <v>100.48904320000004</v>
      </c>
      <c r="AN301" s="642">
        <f>IF($J$175&gt;0,IF($J$392/MIN($J$175,K329)&gt;$M$6*VLOOKUP($L$6,Taxas!$V$22:$W$30,2)/M329,$J$391/MIN($J$175,K329),$J$390/M329),$J$390/M329)*MAX(0,Geometria!$L$25-2*($J$58+I329))+IF(M329&lt;$J$38,1000000,0)</f>
        <v>98.5749661866667</v>
      </c>
      <c r="AO301" s="642">
        <f>IF($J$175&gt;0,IF($J$392/MIN($J$175,K330)&gt;$M$6*VLOOKUP($L$6,Taxas!$V$22:$W$30,2)/M330,$J$391/MIN($J$175,K330),$J$390/M330),$J$390/M330)*MAX(0,Geometria!$L$25-2*($J$58+I330))+IF(M330&lt;$J$38,1000000,0)</f>
        <v>96.66088917333337</v>
      </c>
      <c r="AP301" s="642">
        <f>IF($J$175&gt;0,IF($J$392/MIN($J$175,K331)&gt;$M$6*VLOOKUP($L$6,Taxas!$V$22:$W$30,2)/M331,$J$391/MIN($J$175,K331),$J$390/M331),$J$390/M331)*MAX(0,Geometria!$L$25-2*($J$58+I331))+IF(M331&lt;$J$38,1000000,0)</f>
        <v>94.74681216000003</v>
      </c>
      <c r="AQ301" s="642">
        <f>IF($J$175&gt;0,IF($J$392/MIN($J$175,K332)&gt;$M$6*VLOOKUP($L$6,Taxas!$V$22:$W$30,2)/M332,$J$391/MIN($J$175,K332),$J$390/M332),$J$390/M332)*MAX(0,Geometria!$L$25-2*($J$58+I332))+IF(M332&lt;$J$38,1000000,0)</f>
        <v>92.8327351466667</v>
      </c>
      <c r="AR301" s="642">
        <f>IF($J$175&gt;0,IF($J$392/MIN($J$175,K333)&gt;$M$6*VLOOKUP($L$6,Taxas!$V$22:$W$30,2)/M333,$J$391/MIN($J$175,K333),$J$390/M333),$J$390/M333)*MAX(0,Geometria!$L$25-2*($J$58+I333))+IF(M333&lt;$J$38,1000000,0)</f>
        <v>90.91865813333337</v>
      </c>
      <c r="AS301" s="642">
        <f>IF($J$175&gt;0,IF($J$392/MIN($J$175,K334)&gt;$M$6*VLOOKUP($L$6,Taxas!$V$22:$W$30,2)/M334,$J$391/MIN($J$175,K334),$J$390/M334),$J$390/M334)*MAX(0,Geometria!$L$25-2*($J$58+I334))+IF(M334&lt;$J$38,1000000,0)</f>
        <v>89.00458112000003</v>
      </c>
      <c r="AT301" s="642">
        <f>IF($J$175&gt;0,IF($J$392/MIN($J$175,K335)&gt;$M$6*VLOOKUP($L$6,Taxas!$V$22:$W$30,2)/M335,$J$391/MIN($J$175,K335),$J$390/M335),$J$390/M335)*MAX(0,Geometria!$L$25-2*($J$58+I335))+IF(M335&lt;$J$38,1000000,0)</f>
        <v>87.0905041066667</v>
      </c>
      <c r="AU301" s="642">
        <f>IF($J$175&gt;0,IF($J$392/MIN($J$175,K336)&gt;$M$6*VLOOKUP($L$6,Taxas!$V$22:$W$30,2)/M336,$J$391/MIN($J$175,K336),$J$390/M336),$J$390/M336)*MAX(0,Geometria!$L$25-2*($J$58+I336))+IF(M336&lt;$J$38,1000000,0)</f>
        <v>85.17642709333336</v>
      </c>
      <c r="AV301" s="642">
        <f>IF($J$175&gt;0,IF($J$392/MIN($J$175,K337)&gt;$M$6*VLOOKUP($L$6,Taxas!$V$22:$W$30,2)/M337,$J$391/MIN($J$175,K337),$J$390/M337),$J$390/M337)*MAX(0,Geometria!$L$25-2*($J$58+I337))+IF(M337&lt;$J$38,1000000,0)</f>
        <v>83.26235008000003</v>
      </c>
      <c r="AW301" s="642">
        <f>IF($J$175&gt;0,IF($J$392/MIN($J$175,K338)&gt;$M$6*VLOOKUP($L$6,Taxas!$V$22:$W$30,2)/M338,$J$391/MIN($J$175,K338),$J$390/M338),$J$390/M338)*MAX(0,Geometria!$L$25-2*($J$58+I338))+IF(M338&lt;$J$38,1000000,0)</f>
        <v>81.34827306666669</v>
      </c>
      <c r="AX301" s="642">
        <f>IF($J$175&gt;0,IF($J$392/MIN($J$175,K339)&gt;$M$6*VLOOKUP($L$6,Taxas!$V$22:$W$30,2)/M339,$J$391/MIN($J$175,K339),$J$390/M339),$J$390/M339)*MAX(0,Geometria!$L$25-2*($J$58+I339))+IF(M339&lt;$J$38,1000000,0)</f>
        <v>79.43419605333337</v>
      </c>
      <c r="AY301" s="642">
        <f>IF($J$175&gt;0,IF($J$392/MIN($J$175,K340)&gt;$M$6*VLOOKUP($L$6,Taxas!$V$22:$W$30,2)/M340,$J$391/MIN($J$175,K340),$J$390/M340),$J$390/M340)*MAX(0,Geometria!$L$25-2*($J$58+I340))+IF(M340&lt;$J$38,1000000,0)</f>
        <v>77.52011904000003</v>
      </c>
      <c r="AZ301" s="642">
        <f>IF($J$175&gt;0,IF($J$392/MIN($J$175,K341)&gt;$M$6*VLOOKUP($L$6,Taxas!$V$22:$W$30,2)/M341,$J$391/MIN($J$175,K341),$J$390/M341),$J$390/M341)*MAX(0,Geometria!$L$25-2*($J$58+I341))+IF(M341&lt;$J$38,1000000,0)</f>
        <v>75.6060420266667</v>
      </c>
      <c r="BA301" s="642">
        <f>IF($J$175&gt;0,IF($J$392/MIN($J$175,K342)&gt;$M$6*VLOOKUP($L$6,Taxas!$V$22:$W$30,2)/M342,$J$391/MIN($J$175,K342),$J$390/M342),$J$390/M342)*MAX(0,Geometria!$L$25-2*($J$58+I342))+IF(M342&lt;$J$38,1000000,0)</f>
        <v>73.69196501333336</v>
      </c>
      <c r="BB301" s="642">
        <f>IF($J$175&gt;0,IF($J$392/MIN($J$175,K343)&gt;$M$6*VLOOKUP($L$6,Taxas!$V$22:$W$30,2)/M343,$J$391/MIN($J$175,K343),$J$390/M343),$J$390/M343)*MAX(0,Geometria!$L$25-2*($J$58+I343))+IF(M343&lt;$J$38,1000000,0)</f>
        <v>71.77788800000003</v>
      </c>
      <c r="BC301" s="642">
        <f>IF($J$175&gt;0,IF($J$392/MIN($J$175,K344)&gt;$M$6*VLOOKUP($L$6,Taxas!$V$22:$W$30,2)/M344,$J$391/MIN($J$175,K344),$J$390/M344),$J$390/M344)*MAX(0,Geometria!$L$25-2*($J$58+I344))+IF(M344&lt;$J$38,1000000,0)</f>
        <v>69.86381098666669</v>
      </c>
      <c r="BD301" s="642">
        <f>IF($J$175&gt;0,IF($J$392/MIN($J$175,K345)&gt;$M$6*VLOOKUP($L$6,Taxas!$V$22:$W$30,2)/M345,$J$391/MIN($J$175,K345),$J$390/M345),$J$390/M345)*MAX(0,Geometria!$L$25-2*($J$58+I345))+IF(M345&lt;$J$38,1000000,0)</f>
        <v>67.94973397333335</v>
      </c>
      <c r="BE301" s="642">
        <f>IF($J$175&gt;0,IF($J$392/MIN($J$175,K346)&gt;$M$6*VLOOKUP($L$6,Taxas!$V$22:$W$30,2)/M346,$J$391/MIN($J$175,K346),$J$390/M346),$J$390/M346)*MAX(0,Geometria!$L$25-2*($J$58+I346))+IF(M346&lt;$J$38,1000000,0)</f>
        <v>66.03565696000003</v>
      </c>
      <c r="BF301" s="642">
        <f>IF($J$175&gt;0,IF($J$392/MIN($J$175,K347)&gt;$M$6*VLOOKUP($L$6,Taxas!$V$22:$W$30,2)/M347,$J$391/MIN($J$175,K347),$J$390/M347),$J$390/M347)*MAX(0,Geometria!$L$25-2*($J$58+I347))+IF(M347&lt;$J$38,1000000,0)</f>
        <v>64.12157994666669</v>
      </c>
      <c r="BG301" s="642">
        <f>IF($J$175&gt;0,IF($J$392/MIN($J$175,K348)&gt;$M$6*VLOOKUP($L$6,Taxas!$V$22:$W$30,2)/M348,$J$391/MIN($J$175,K348),$J$390/M348),$J$390/M348)*MAX(0,Geometria!$L$25-2*($J$58+I348))+IF(M348&lt;$J$38,1000000,0)</f>
        <v>62.20750293333336</v>
      </c>
      <c r="BH301" s="642">
        <f>IF($J$175&gt;0,IF($J$392/MIN($J$175,K349)&gt;$M$6*VLOOKUP($L$6,Taxas!$V$22:$W$30,2)/M349,$J$391/MIN($J$175,K349),$J$390/M349),$J$390/M349)*MAX(0,Geometria!$L$25-2*($J$58+I349))+IF(M349&lt;$J$38,1000000,0)</f>
        <v>60.29342592000002</v>
      </c>
      <c r="BI301" s="642">
        <f>IF($J$175&gt;0,IF($J$392/MIN($J$175,K350)&gt;$M$6*VLOOKUP($L$6,Taxas!$V$22:$W$30,2)/M350,$J$391/MIN($J$175,K350),$J$390/M350),$J$390/M350)*MAX(0,Geometria!$L$25-2*($J$58+I350))+IF(M350&lt;$J$38,1000000,0)</f>
        <v>58.379348906666685</v>
      </c>
      <c r="BJ301" s="642">
        <f>IF($J$175&gt;0,IF($J$392/MIN($J$175,K351)&gt;$M$6*VLOOKUP($L$6,Taxas!$V$22:$W$30,2)/M351,$J$391/MIN($J$175,K351),$J$390/M351),$J$390/M351)*MAX(0,Geometria!$L$25-2*($J$58+I351))+IF(M351&lt;$J$38,1000000,0)</f>
        <v>56.46527189333335</v>
      </c>
      <c r="BK301" s="642">
        <f>IF($J$175&gt;0,IF($J$392/MIN($J$175,K352)&gt;$M$6*VLOOKUP($L$6,Taxas!$V$22:$W$30,2)/M352,$J$391/MIN($J$175,K352),$J$390/M352),$J$390/M352)*MAX(0,Geometria!$L$25-2*($J$58+I352))+IF(M352&lt;$J$38,1000000,0)</f>
        <v>54.55119488000002</v>
      </c>
      <c r="BL301" s="642">
        <f>IF($J$175&gt;0,IF($J$392/MIN($J$175,K353)&gt;$M$6*VLOOKUP($L$6,Taxas!$V$22:$W$30,2)/M353,$J$391/MIN($J$175,K353),$J$390/M353),$J$390/M353)*MAX(0,Geometria!$L$25-2*($J$58+I353))+IF(M353&lt;$J$38,1000000,0)</f>
        <v>52.637117866666685</v>
      </c>
      <c r="BM301" s="642">
        <f>IF($J$175&gt;0,IF($J$392/MIN($J$175,K354)&gt;$M$6*VLOOKUP($L$6,Taxas!$V$22:$W$30,2)/M354,$J$391/MIN($J$175,K354),$J$390/M354),$J$390/M354)*MAX(0,Geometria!$L$25-2*($J$58+I354))+IF(M354&lt;$J$38,1000000,0)</f>
        <v>50.72304085333335</v>
      </c>
      <c r="BN301" s="642">
        <f>IF($J$175&gt;0,IF($J$392/MIN($J$175,K355)&gt;$M$6*VLOOKUP($L$6,Taxas!$V$22:$W$30,2)/M355,$J$391/MIN($J$175,K355),$J$390/M355),$J$390/M355)*MAX(0,Geometria!$L$25-2*($J$58+I355))+IF(M355&lt;$J$38,1000000,0)</f>
        <v>48.80896384000002</v>
      </c>
      <c r="BO301" s="642">
        <f>IF($J$175&gt;0,IF($J$392/MIN($J$175,K356)&gt;$M$6*VLOOKUP($L$6,Taxas!$V$22:$W$30,2)/M356,$J$391/MIN($J$175,K356),$J$390/M356),$J$390/M356)*MAX(0,Geometria!$L$25-2*($J$58+I356))+IF(M356&lt;$J$38,1000000,0)</f>
        <v>46.894886826666685</v>
      </c>
      <c r="BP301" s="642">
        <f>IF($J$175&gt;0,IF($J$392/MIN($J$175,K357)&gt;$M$6*VLOOKUP($L$6,Taxas!$V$22:$W$30,2)/M357,$J$391/MIN($J$175,K357),$J$390/M357),$J$390/M357)*MAX(0,Geometria!$L$25-2*($J$58+I357))+IF(M357&lt;$J$38,1000000,0)</f>
        <v>44.98080981333335</v>
      </c>
      <c r="BQ301" s="642">
        <f>IF($J$175&gt;0,IF($J$392/MIN($J$175,K358)&gt;$M$6*VLOOKUP($L$6,Taxas!$V$22:$W$30,2)/M358,$J$391/MIN($J$175,K358),$J$390/M358),$J$390/M358)*MAX(0,Geometria!$L$25-2*($J$58+I358))+IF(M358&lt;$J$38,1000000,0)</f>
        <v>43.06673280000002</v>
      </c>
      <c r="BR301" s="642">
        <f>IF($J$175&gt;0,IF($J$392/MIN($J$175,K359)&gt;$M$6*VLOOKUP($L$6,Taxas!$V$22:$W$30,2)/M359,$J$391/MIN($J$175,K359),$J$390/M359),$J$390/M359)*MAX(0,Geometria!$L$25-2*($J$58+I359))+IF(M359&lt;$J$38,1000000,0)</f>
        <v>41.152655786666685</v>
      </c>
      <c r="BS301" s="642">
        <f>IF($J$175&gt;0,IF($J$392/MIN($J$175,K360)&gt;$M$6*VLOOKUP($L$6,Taxas!$V$22:$W$30,2)/M360,$J$391/MIN($J$175,K360),$J$390/M360),$J$390/M360)*MAX(0,Geometria!$L$25-2*($J$58+I360))+IF(M360&lt;$J$38,1000000,0)</f>
        <v>39.238578773333344</v>
      </c>
      <c r="BT301" s="642">
        <f>IF($J$175&gt;0,IF($J$392/MIN($J$175,K361)&gt;$M$6*VLOOKUP($L$6,Taxas!$V$22:$W$30,2)/M361,$J$391/MIN($J$175,K361),$J$390/M361),$J$390/M361)*MAX(0,Geometria!$L$25-2*($J$58+I361))+IF(M361&lt;$J$38,1000000,0)</f>
        <v>37.32450176000001</v>
      </c>
      <c r="BU301" s="642">
        <f>IF($J$175&gt;0,IF($J$392/MIN($J$175,K362)&gt;$M$6*VLOOKUP($L$6,Taxas!$V$22:$W$30,2)/M362,$J$391/MIN($J$175,K362),$J$390/M362),$J$390/M362)*MAX(0,Geometria!$L$25-2*($J$58+I362))+IF(M362&lt;$J$38,1000000,0)</f>
        <v>35.41042474666668</v>
      </c>
      <c r="BV301" s="642">
        <f>IF($J$175&gt;0,IF($J$392/MIN($J$175,K363)&gt;$M$6*VLOOKUP($L$6,Taxas!$V$22:$W$30,2)/M363,$J$391/MIN($J$175,K363),$J$390/M363),$J$390/M363)*MAX(0,Geometria!$L$25-2*($J$58+I363))+IF(M363&lt;$J$38,1000000,0)</f>
        <v>33.496347733333344</v>
      </c>
      <c r="BW301" s="642">
        <f>IF($J$175&gt;0,IF($J$392/MIN($J$175,K364)&gt;$M$6*VLOOKUP($L$6,Taxas!$V$22:$W$30,2)/M364,$J$391/MIN($J$175,K364),$J$390/M364),$J$390/M364)*MAX(0,Geometria!$L$25-2*($J$58+I364))+IF(M364&lt;$J$38,1000000,0)</f>
        <v>31.58227072000001</v>
      </c>
      <c r="BX301" s="642">
        <f>IF($J$175&gt;0,IF($J$392/MIN($J$175,K365)&gt;$M$6*VLOOKUP($L$6,Taxas!$V$22:$W$30,2)/M365,$J$391/MIN($J$175,K365),$J$390/M365),$J$390/M365)*MAX(0,Geometria!$L$25-2*($J$58+I365))+IF(M365&lt;$J$38,1000000,0)</f>
        <v>29.668193706666678</v>
      </c>
      <c r="BY301" s="642">
        <f>IF($J$175&gt;0,IF($J$392/MIN($J$175,K366)&gt;$M$6*VLOOKUP($L$6,Taxas!$V$22:$W$30,2)/M366,$J$391/MIN($J$175,K366),$J$390/M366),$J$390/M366)*MAX(0,Geometria!$L$25-2*($J$58+I366))+IF(M366&lt;$J$38,1000000,0)</f>
        <v>27.754116693333344</v>
      </c>
      <c r="BZ301" s="642">
        <f>IF($J$175&gt;0,IF($J$392/MIN($J$175,K367)&gt;$M$6*VLOOKUP($L$6,Taxas!$V$22:$W$30,2)/M367,$J$391/MIN($J$175,K367),$J$390/M367),$J$390/M367)*MAX(0,Geometria!$L$25-2*($J$58+I367))+IF(M367&lt;$J$38,1000000,0)</f>
        <v>25.84003968000001</v>
      </c>
      <c r="CA301" s="642">
        <f>IF($J$175&gt;0,IF($J$392/MIN($J$175,K368)&gt;$M$6*VLOOKUP($L$6,Taxas!$V$22:$W$30,2)/M368,$J$391/MIN($J$175,K368),$J$390/M368),$J$390/M368)*MAX(0,Geometria!$L$25-2*($J$58+I368))+IF(M368&lt;$J$38,1000000,0)</f>
        <v>23.925962666666674</v>
      </c>
      <c r="CB301" s="642">
        <f>IF($J$175&gt;0,IF($J$392/MIN($J$175,K369)&gt;$M$6*VLOOKUP($L$6,Taxas!$V$22:$W$30,2)/M369,$J$391/MIN($J$175,K369),$J$390/M369),$J$390/M369)*MAX(0,Geometria!$L$25-2*($J$58+I369))+IF(M369&lt;$J$38,1000000,0)</f>
        <v>22.01188565333334</v>
      </c>
      <c r="CC301" s="642">
        <f>IF($J$175&gt;0,IF($J$392/MIN($J$175,K370)&gt;$M$6*VLOOKUP($L$6,Taxas!$V$22:$W$30,2)/M370,$J$391/MIN($J$175,K370),$J$390/M370),$J$390/M370)*MAX(0,Geometria!$L$25-2*($J$58+I370))+IF(M370&lt;$J$38,1000000,0)</f>
        <v>20.097808640000007</v>
      </c>
      <c r="CD301" s="642">
        <f>IF($J$175&gt;0,IF($J$392/MIN($J$175,K371)&gt;$M$6*VLOOKUP($L$6,Taxas!$V$22:$W$30,2)/M371,$J$391/MIN($J$175,K371),$J$390/M371),$J$390/M371)*MAX(0,Geometria!$L$25-2*($J$58+I371))+IF(M371&lt;$J$38,1000000,0)</f>
        <v>18.183731626666674</v>
      </c>
      <c r="CE301" s="642">
        <f>IF($J$175&gt;0,IF($J$392/MIN($J$175,K372)&gt;$M$6*VLOOKUP($L$6,Taxas!$V$22:$W$30,2)/M372,$J$391/MIN($J$175,K372),$J$390/M372),$J$390/M372)*MAX(0,Geometria!$L$25-2*($J$58+I372))+IF(M372&lt;$J$38,1000000,0)</f>
        <v>16.26965461333334</v>
      </c>
      <c r="CF301" s="642">
        <f>IF($J$175&gt;0,IF($J$392/MIN($J$175,K373)&gt;$M$6*VLOOKUP($L$6,Taxas!$V$22:$W$30,2)/M373,$J$391/MIN($J$175,K373),$J$390/M373),$J$390/M373)*MAX(0,Geometria!$L$25-2*($J$58+I373))+IF(M373&lt;$J$38,1000000,0)</f>
        <v>14.355577600000005</v>
      </c>
      <c r="CG301" s="642">
        <f>IF($J$175&gt;0,IF($J$392/MIN($J$175,K374)&gt;$M$6*VLOOKUP($L$6,Taxas!$V$22:$W$30,2)/M374,$J$391/MIN($J$175,K374),$J$390/M374),$J$390/M374)*MAX(0,Geometria!$L$25-2*($J$58+I374))+IF(M374&lt;$J$38,1000000,0)</f>
        <v>12.44150058666667</v>
      </c>
      <c r="CH301" s="642">
        <f>IF($J$175&gt;0,IF($J$392/MIN($J$175,K375)&gt;$M$6*VLOOKUP($L$6,Taxas!$V$22:$W$30,2)/M375,$J$391/MIN($J$175,K375),$J$390/M375),$J$390/M375)*MAX(0,Geometria!$L$25-2*($J$58+I375))+IF(M375&lt;$J$38,1000000,0)</f>
        <v>10.527423573333337</v>
      </c>
      <c r="CI301" s="642">
        <f>IF($J$175&gt;0,IF($J$392/MIN($J$175,K376)&gt;$M$6*VLOOKUP($L$6,Taxas!$V$22:$W$30,2)/M376,$J$391/MIN($J$175,K376),$J$390/M376),$J$390/M376)*MAX(0,Geometria!$L$25-2*($J$58+I376))+IF(M376&lt;$J$38,1000000,0)</f>
        <v>8.613346560000004</v>
      </c>
      <c r="CJ301" s="642">
        <f>IF($J$175&gt;0,IF($J$392/MIN($J$175,K377)&gt;$M$6*VLOOKUP($L$6,Taxas!$V$22:$W$30,2)/M377,$J$391/MIN($J$175,K377),$J$390/M377),$J$390/M377)*MAX(0,Geometria!$L$25-2*($J$58+I377))+IF(M377&lt;$J$38,1000000,0)</f>
        <v>6.699269546666669</v>
      </c>
      <c r="CK301" s="642">
        <f>IF($J$175&gt;0,IF($J$392/MIN($J$175,K378)&gt;$M$6*VLOOKUP($L$6,Taxas!$V$22:$W$30,2)/M378,$J$391/MIN($J$175,K378),$J$390/M378),$J$390/M378)*MAX(0,Geometria!$L$25-2*($J$58+I378))+IF(M378&lt;$J$38,1000000,0)</f>
        <v>4.785192533333335</v>
      </c>
      <c r="CL301" s="642">
        <f>IF($J$175&gt;0,IF($J$392/MIN($J$175,K379)&gt;$M$6*VLOOKUP($L$6,Taxas!$V$22:$W$30,2)/M379,$J$391/MIN($J$175,K379),$J$390/M379),$J$390/M379)*MAX(0,Geometria!$L$25-2*($J$58+I379))+IF(M379&lt;$J$38,1000000,0)</f>
        <v>2.871115520000001</v>
      </c>
      <c r="CM301" s="642">
        <f>IF($J$175&gt;0,IF($J$392/MIN($J$175,K380)&gt;$M$6*VLOOKUP($L$6,Taxas!$V$22:$W$30,2)/M380,$J$391/MIN($J$175,K380),$J$390/M380),$J$390/M380)*MAX(0,Geometria!$L$25-2*($J$58+I380))+IF(M380&lt;$J$38,1000000,0)</f>
        <v>0.957038506666667</v>
      </c>
    </row>
    <row r="302" spans="9:94" hidden="1" x14ac:dyDescent="0.25">
      <c r="I302" s="641" t="s">
        <v>968</v>
      </c>
      <c r="J302" s="641" t="s">
        <v>2611</v>
      </c>
      <c r="K302" s="641" t="s">
        <v>2612</v>
      </c>
      <c r="L302" s="641" t="s">
        <v>2613</v>
      </c>
      <c r="M302" s="641" t="s">
        <v>2614</v>
      </c>
      <c r="N302" s="642">
        <f>I303</f>
        <v>5.0</v>
      </c>
      <c r="O302" s="642">
        <f>I304</f>
        <v>10.0</v>
      </c>
      <c r="P302" s="642">
        <f>I305</f>
        <v>15.0</v>
      </c>
      <c r="Q302" s="642">
        <f>I306</f>
        <v>20.0</v>
      </c>
      <c r="R302" s="642">
        <f>I307</f>
        <v>25.0</v>
      </c>
      <c r="S302" s="642">
        <f>I308</f>
        <v>30.0</v>
      </c>
      <c r="T302" s="642">
        <f>I309</f>
        <v>35.0</v>
      </c>
      <c r="U302" s="642">
        <f>I310</f>
        <v>40.0</v>
      </c>
      <c r="V302" s="642">
        <f>I311</f>
        <v>45.0</v>
      </c>
      <c r="W302" s="642">
        <f>I312</f>
        <v>50.0</v>
      </c>
      <c r="X302" s="642">
        <f>I313</f>
        <v>55.0</v>
      </c>
      <c r="Y302" s="642">
        <f>I314</f>
        <v>60.0</v>
      </c>
      <c r="Z302" s="642">
        <f>I315</f>
        <v>65.0</v>
      </c>
      <c r="AA302" s="642">
        <f>I316</f>
        <v>70.0</v>
      </c>
      <c r="AB302" s="642">
        <f>I317</f>
        <v>75.0</v>
      </c>
      <c r="AC302" s="642">
        <f>I318</f>
        <v>80.0</v>
      </c>
      <c r="AD302" s="642">
        <f>I319</f>
        <v>85.0</v>
      </c>
      <c r="AE302" s="642">
        <f>I320</f>
        <v>90.0</v>
      </c>
      <c r="AF302" s="642">
        <f>I321</f>
        <v>95.0</v>
      </c>
      <c r="AG302" s="642">
        <f>I322</f>
        <v>100.0</v>
      </c>
      <c r="AH302" s="642">
        <f>I323</f>
        <v>105.0</v>
      </c>
      <c r="AI302" s="642">
        <f>I324</f>
        <v>110.0</v>
      </c>
      <c r="AJ302" s="642">
        <f>I325</f>
        <v>115.0</v>
      </c>
      <c r="AK302" s="642">
        <f>I326</f>
        <v>120.0</v>
      </c>
      <c r="AL302" s="642">
        <f>I327</f>
        <v>125.0</v>
      </c>
      <c r="AM302" s="642">
        <f>I328</f>
        <v>130.0</v>
      </c>
      <c r="AN302" s="642">
        <f>I329</f>
        <v>135.0</v>
      </c>
      <c r="AO302" s="642">
        <f>I330</f>
        <v>140.0</v>
      </c>
      <c r="AP302" s="642">
        <f>I331</f>
        <v>145.0</v>
      </c>
      <c r="AQ302" s="642">
        <f>I332</f>
        <v>150.0</v>
      </c>
      <c r="AR302" s="642">
        <f>I333</f>
        <v>155.0</v>
      </c>
      <c r="AS302" s="642">
        <f>I334</f>
        <v>160.0</v>
      </c>
      <c r="AT302" s="642">
        <f>I335</f>
        <v>165.0</v>
      </c>
      <c r="AU302" s="642">
        <f>I336</f>
        <v>170.0</v>
      </c>
      <c r="AV302" s="642">
        <f>I337</f>
        <v>175.0</v>
      </c>
      <c r="AW302" s="642">
        <f>I338</f>
        <v>180.0</v>
      </c>
      <c r="AX302" s="642">
        <f>I339</f>
        <v>185.0</v>
      </c>
      <c r="AY302" s="642">
        <f>I340</f>
        <v>190.0</v>
      </c>
      <c r="AZ302" s="642">
        <f>I341</f>
        <v>195.0</v>
      </c>
      <c r="BA302" s="642">
        <f>I342</f>
        <v>200.0</v>
      </c>
      <c r="BB302" s="642">
        <f>I343</f>
        <v>205.0</v>
      </c>
      <c r="BC302" s="642">
        <f>I344</f>
        <v>210.0</v>
      </c>
      <c r="BD302" s="642">
        <f>I345</f>
        <v>215.0</v>
      </c>
      <c r="BE302" s="642">
        <f>I346</f>
        <v>220.0</v>
      </c>
      <c r="BF302" s="642">
        <f>I347</f>
        <v>225.0</v>
      </c>
      <c r="BG302" s="642">
        <f>I348</f>
        <v>230.0</v>
      </c>
      <c r="BH302" s="642">
        <f>I349</f>
        <v>235.0</v>
      </c>
      <c r="BI302" s="642">
        <f>I350</f>
        <v>240.0</v>
      </c>
      <c r="BJ302" s="642">
        <f>I351</f>
        <v>245.0</v>
      </c>
      <c r="BK302" s="642">
        <f>I352</f>
        <v>250.0</v>
      </c>
      <c r="BL302" s="642">
        <f>I353</f>
        <v>255.0</v>
      </c>
      <c r="BM302" s="642">
        <f>I354</f>
        <v>260.0</v>
      </c>
      <c r="BN302" s="642">
        <f>I355</f>
        <v>265.0</v>
      </c>
      <c r="BO302" s="642">
        <f>I356</f>
        <v>270.0</v>
      </c>
      <c r="BP302" s="642">
        <f>I357</f>
        <v>275.0</v>
      </c>
      <c r="BQ302" s="642">
        <f>I358</f>
        <v>280.0</v>
      </c>
      <c r="BR302" s="642">
        <f>I359</f>
        <v>285.0</v>
      </c>
      <c r="BS302" s="642">
        <f>I360</f>
        <v>290.0</v>
      </c>
      <c r="BT302" s="642">
        <f>I361</f>
        <v>295.0</v>
      </c>
      <c r="BU302" s="642">
        <f>I362</f>
        <v>300.0</v>
      </c>
      <c r="BV302" s="642">
        <f>I363</f>
        <v>305.0</v>
      </c>
      <c r="BW302" s="642">
        <f>I364</f>
        <v>310.0</v>
      </c>
      <c r="BX302" s="642">
        <f>I365</f>
        <v>315.0</v>
      </c>
      <c r="BY302" s="642">
        <f>I366</f>
        <v>320.0</v>
      </c>
      <c r="BZ302" s="642">
        <f>I367</f>
        <v>325.0</v>
      </c>
      <c r="CA302" s="642">
        <f>I368</f>
        <v>330.0</v>
      </c>
      <c r="CB302" s="642">
        <f>I369</f>
        <v>335.0</v>
      </c>
      <c r="CC302" s="642">
        <f>I370</f>
        <v>340.0</v>
      </c>
      <c r="CD302" s="642">
        <f>I371</f>
        <v>345.0</v>
      </c>
      <c r="CE302" s="642">
        <f>I372</f>
        <v>350.0</v>
      </c>
      <c r="CF302" s="642">
        <f>I373</f>
        <v>355.0</v>
      </c>
      <c r="CG302" s="642">
        <f>I374</f>
        <v>360.0</v>
      </c>
      <c r="CH302" s="642">
        <f>I375</f>
        <v>365.0</v>
      </c>
      <c r="CI302" s="642">
        <f>I376</f>
        <v>370.0</v>
      </c>
      <c r="CJ302" s="642">
        <f>I377</f>
        <v>375.0</v>
      </c>
      <c r="CK302" s="642">
        <f>I378</f>
        <v>380.0</v>
      </c>
      <c r="CL302" s="642">
        <f>I379</f>
        <v>385.0</v>
      </c>
      <c r="CM302" s="642">
        <f>I380</f>
        <v>390.0</v>
      </c>
    </row>
    <row r="303" spans="9:94" hidden="1" x14ac:dyDescent="0.25">
      <c r="I303" s="642">
        <f>MIN(5*1,$J$57/2)</f>
        <v>5.0</v>
      </c>
      <c r="J303" s="646">
        <f t="shared" ref="J303:J334" ca="1" si="7">IF(I303&gt;=INDEX($J$43:$J$53,11),INDEX($U$43:$U$53,11),INDEX($U$43:$U$53,MIN(MATCH(I303,$J$43:$J$53,1),10))+(I303-INDEX($J$43:$J$53,MIN(MATCH(I303,$J$43:$J$53,1),10)))*(INDEX($U$43:$U$53,MIN(MATCH(I303,$J$43:$J$53,1),10)+1)-INDEX($U$43:$U$53,MIN(MATCH(I303,$J$43:$J$53,1),10)))/(INDEX($J$43:$J$53,MIN(MATCH(I303,$J$43:$J$53,1),10)+1)-INDEX($J$43:$J$53,MIN(MATCH(I303,$J$43:$J$53,1),10))))</f>
        <v>0.18156906455724164</v>
      </c>
      <c r="K303" s="642">
        <f t="shared" ref="K303:K334" ca="1" si="8">INDEX($W$43:$W$53,MIN(MATCH(I303,$J$43:$J$53,1),11))</f>
        <v>30.0</v>
      </c>
      <c r="L303" s="642">
        <f ca="1">MIN(ROUNDDOWN($M$5*VLOOKUP($L$5,Taxas!$V$22:$W$30,2)/J303*2,0)/2,K303)</f>
        <v>8.5</v>
      </c>
      <c r="M303" s="642">
        <f ca="1">MIN(ROUNDDOWN($M$6*VLOOKUP($L$6,Taxas!$V$22:$W$30,2)/J303*2,0)/2,K303)</f>
        <v>8.5</v>
      </c>
      <c r="N303" s="642">
        <f t="shared" ref="N303:W312" si="9">IF(OR($I303&lt;$J$59,N$302-$I303&lt;$J$59),1000000000,$CO303+N$301+$CP303*(N$302-$I303))</f>
        <v>1000000000.0</v>
      </c>
      <c r="O303" s="642">
        <f t="shared" si="9"/>
        <v>1000000000.0</v>
      </c>
      <c r="P303" s="642">
        <f t="shared" si="9"/>
        <v>1000000000.0</v>
      </c>
      <c r="Q303" s="642">
        <f t="shared" si="9"/>
        <v>1000000000.0</v>
      </c>
      <c r="R303" s="642">
        <f t="shared" si="9"/>
        <v>1000000000.0</v>
      </c>
      <c r="S303" s="642">
        <f t="shared" si="9"/>
        <v>1000000000.0</v>
      </c>
      <c r="T303" s="642">
        <f t="shared" si="9"/>
        <v>1000000000.0</v>
      </c>
      <c r="U303" s="642">
        <f t="shared" si="9"/>
        <v>1000000000.0</v>
      </c>
      <c r="V303" s="642">
        <f t="shared" si="9"/>
        <v>1000000000.0</v>
      </c>
      <c r="W303" s="642">
        <f t="shared" si="9"/>
        <v>1000000000.0</v>
      </c>
      <c r="X303" s="642">
        <f t="shared" ref="X303:AG312" si="10">IF(OR($I303&lt;$J$59,X$302-$I303&lt;$J$59),1000000000,$CO303+X$301+$CP303*(X$302-$I303))</f>
        <v>1000000000.0</v>
      </c>
      <c r="Y303" s="642">
        <f t="shared" si="10"/>
        <v>1000000000.0</v>
      </c>
      <c r="Z303" s="642">
        <f t="shared" si="10"/>
        <v>1000000000.0</v>
      </c>
      <c r="AA303" s="642">
        <f t="shared" si="10"/>
        <v>1000000000.0</v>
      </c>
      <c r="AB303" s="642">
        <f t="shared" si="10"/>
        <v>1000000000.0</v>
      </c>
      <c r="AC303" s="642">
        <f t="shared" si="10"/>
        <v>1000000000.0</v>
      </c>
      <c r="AD303" s="642">
        <f t="shared" si="10"/>
        <v>1000000000.0</v>
      </c>
      <c r="AE303" s="642">
        <f t="shared" si="10"/>
        <v>1000000000.0</v>
      </c>
      <c r="AF303" s="642">
        <f t="shared" si="10"/>
        <v>1000000000.0</v>
      </c>
      <c r="AG303" s="642">
        <f t="shared" si="10"/>
        <v>1000000000.0</v>
      </c>
      <c r="AH303" s="642">
        <f t="shared" ref="AH303:AQ312" si="11">IF(OR($I303&lt;$J$59,AH$302-$I303&lt;$J$59),1000000000,$CO303+AH$301+$CP303*(AH$302-$I303))</f>
        <v>1000000000.0</v>
      </c>
      <c r="AI303" s="642">
        <f t="shared" si="11"/>
        <v>1000000000.0</v>
      </c>
      <c r="AJ303" s="642">
        <f t="shared" si="11"/>
        <v>1000000000.0</v>
      </c>
      <c r="AK303" s="642">
        <f t="shared" si="11"/>
        <v>1000000000.0</v>
      </c>
      <c r="AL303" s="642">
        <f t="shared" si="11"/>
        <v>1000000000.0</v>
      </c>
      <c r="AM303" s="642">
        <f t="shared" si="11"/>
        <v>1000000000.0</v>
      </c>
      <c r="AN303" s="642">
        <f t="shared" si="11"/>
        <v>1000000000.0</v>
      </c>
      <c r="AO303" s="642">
        <f t="shared" si="11"/>
        <v>1000000000.0</v>
      </c>
      <c r="AP303" s="642">
        <f t="shared" si="11"/>
        <v>1000000000.0</v>
      </c>
      <c r="AQ303" s="642">
        <f t="shared" si="11"/>
        <v>1000000000.0</v>
      </c>
      <c r="AR303" s="642">
        <f t="shared" ref="AR303:BA312" si="12">IF(OR($I303&lt;$J$59,AR$302-$I303&lt;$J$59),1000000000,$CO303+AR$301+$CP303*(AR$302-$I303))</f>
        <v>1000000000.0</v>
      </c>
      <c r="AS303" s="642">
        <f t="shared" si="12"/>
        <v>1000000000.0</v>
      </c>
      <c r="AT303" s="642">
        <f t="shared" si="12"/>
        <v>1000000000.0</v>
      </c>
      <c r="AU303" s="642">
        <f t="shared" si="12"/>
        <v>1000000000.0</v>
      </c>
      <c r="AV303" s="642">
        <f t="shared" si="12"/>
        <v>1000000000.0</v>
      </c>
      <c r="AW303" s="642">
        <f t="shared" si="12"/>
        <v>1000000000.0</v>
      </c>
      <c r="AX303" s="642">
        <f t="shared" si="12"/>
        <v>1000000000.0</v>
      </c>
      <c r="AY303" s="642">
        <f t="shared" si="12"/>
        <v>1000000000.0</v>
      </c>
      <c r="AZ303" s="642">
        <f t="shared" si="12"/>
        <v>1000000000.0</v>
      </c>
      <c r="BA303" s="642">
        <f t="shared" si="12"/>
        <v>1000000000.0</v>
      </c>
      <c r="BB303" s="642">
        <f t="shared" ref="BB303:BK312" si="13">IF(OR($I303&lt;$J$59,BB$302-$I303&lt;$J$59),1000000000,$CO303+BB$301+$CP303*(BB$302-$I303))</f>
        <v>1000000000.0</v>
      </c>
      <c r="BC303" s="642">
        <f t="shared" si="13"/>
        <v>1000000000.0</v>
      </c>
      <c r="BD303" s="642">
        <f t="shared" si="13"/>
        <v>1000000000.0</v>
      </c>
      <c r="BE303" s="642">
        <f t="shared" si="13"/>
        <v>1000000000.0</v>
      </c>
      <c r="BF303" s="642">
        <f t="shared" si="13"/>
        <v>1000000000.0</v>
      </c>
      <c r="BG303" s="642">
        <f t="shared" si="13"/>
        <v>1000000000.0</v>
      </c>
      <c r="BH303" s="642">
        <f t="shared" si="13"/>
        <v>1000000000.0</v>
      </c>
      <c r="BI303" s="642">
        <f t="shared" si="13"/>
        <v>1000000000.0</v>
      </c>
      <c r="BJ303" s="642">
        <f t="shared" si="13"/>
        <v>1000000000.0</v>
      </c>
      <c r="BK303" s="642">
        <f t="shared" si="13"/>
        <v>1000000000.0</v>
      </c>
      <c r="BL303" s="642">
        <f t="shared" ref="BL303:BU312" si="14">IF(OR($I303&lt;$J$59,BL$302-$I303&lt;$J$59),1000000000,$CO303+BL$301+$CP303*(BL$302-$I303))</f>
        <v>1000000000.0</v>
      </c>
      <c r="BM303" s="642">
        <f t="shared" si="14"/>
        <v>1000000000.0</v>
      </c>
      <c r="BN303" s="642">
        <f t="shared" si="14"/>
        <v>1000000000.0</v>
      </c>
      <c r="BO303" s="642">
        <f t="shared" si="14"/>
        <v>1000000000.0</v>
      </c>
      <c r="BP303" s="642">
        <f t="shared" si="14"/>
        <v>1000000000.0</v>
      </c>
      <c r="BQ303" s="642">
        <f t="shared" si="14"/>
        <v>1000000000.0</v>
      </c>
      <c r="BR303" s="642">
        <f t="shared" si="14"/>
        <v>1000000000.0</v>
      </c>
      <c r="BS303" s="642">
        <f t="shared" si="14"/>
        <v>1000000000.0</v>
      </c>
      <c r="BT303" s="642">
        <f t="shared" si="14"/>
        <v>1000000000.0</v>
      </c>
      <c r="BU303" s="642">
        <f t="shared" si="14"/>
        <v>1000000000.0</v>
      </c>
      <c r="BV303" s="642">
        <f t="shared" ref="BV303:CE312" si="15">IF(OR($I303&lt;$J$59,BV$302-$I303&lt;$J$59),1000000000,$CO303+BV$301+$CP303*(BV$302-$I303))</f>
        <v>1000000000.0</v>
      </c>
      <c r="BW303" s="642">
        <f t="shared" si="15"/>
        <v>1000000000.0</v>
      </c>
      <c r="BX303" s="642">
        <f t="shared" si="15"/>
        <v>1000000000.0</v>
      </c>
      <c r="BY303" s="642">
        <f t="shared" si="15"/>
        <v>1000000000.0</v>
      </c>
      <c r="BZ303" s="642">
        <f t="shared" si="15"/>
        <v>1000000000.0</v>
      </c>
      <c r="CA303" s="642">
        <f t="shared" si="15"/>
        <v>1000000000.0</v>
      </c>
      <c r="CB303" s="642">
        <f t="shared" si="15"/>
        <v>1000000000.0</v>
      </c>
      <c r="CC303" s="642">
        <f t="shared" si="15"/>
        <v>1000000000.0</v>
      </c>
      <c r="CD303" s="642">
        <f t="shared" si="15"/>
        <v>1000000000.0</v>
      </c>
      <c r="CE303" s="642">
        <f t="shared" si="15"/>
        <v>1000000000.0</v>
      </c>
      <c r="CF303" s="642">
        <f t="shared" ref="CF303:CM312" si="16">IF(OR($I303&lt;$J$59,CF$302-$I303&lt;$J$59),1000000000,$CO303+CF$301+$CP303*(CF$302-$I303))</f>
        <v>1000000000.0</v>
      </c>
      <c r="CG303" s="642">
        <f t="shared" si="16"/>
        <v>1000000000.0</v>
      </c>
      <c r="CH303" s="642">
        <f t="shared" si="16"/>
        <v>1000000000.0</v>
      </c>
      <c r="CI303" s="642">
        <f t="shared" si="16"/>
        <v>1000000000.0</v>
      </c>
      <c r="CJ303" s="642">
        <f t="shared" si="16"/>
        <v>1000000000.0</v>
      </c>
      <c r="CK303" s="642">
        <f t="shared" si="16"/>
        <v>1000000000.0</v>
      </c>
      <c r="CL303" s="642">
        <f t="shared" si="16"/>
        <v>1000000000.0</v>
      </c>
      <c r="CM303" s="642">
        <f t="shared" si="16"/>
        <v>1000000000.0</v>
      </c>
      <c r="CN303" s="642">
        <f t="shared" ref="CN303:CN334" si="17">MIN(N303:CM303)</f>
        <v>1000000000.0</v>
      </c>
      <c r="CO303" s="642">
        <f>2*$AD$61*MAX(0,$J$58+I303-$J$64)+IF(L303&lt;$J$38,1000000,0)</f>
        <v>8.972236</v>
      </c>
      <c r="CP303" s="642">
        <f>2*IF($J$175&gt;0,IF($J$392/MIN($J$175,K303)&gt;$M$5*VLOOKUP($L$5,Taxas!$V$22:$W$30,2)/L303,$J$391/MIN($J$175,K303),$J$389/L303),$J$389/L303)</f>
        <v>0.5277785882352941</v>
      </c>
    </row>
    <row r="304" spans="9:94" hidden="1" x14ac:dyDescent="0.25">
      <c r="I304" s="642">
        <f>MIN(5*2,$J$57/2)</f>
        <v>10.0</v>
      </c>
      <c r="J304" s="646">
        <f t="shared" ca="1" si="7"/>
        <v>0.1815353950036229</v>
      </c>
      <c r="K304" s="642">
        <f t="shared" ca="1" si="8"/>
        <v>30.0</v>
      </c>
      <c r="L304" s="642">
        <f ca="1">MIN(ROUNDDOWN($M$5*VLOOKUP($L$5,Taxas!$V$22:$W$30,2)/J304*2,0)/2,K304)</f>
        <v>8.5</v>
      </c>
      <c r="M304" s="642">
        <f ca="1">MIN(ROUNDDOWN($M$6*VLOOKUP($L$6,Taxas!$V$22:$W$30,2)/J304*2,0)/2,K304)</f>
        <v>8.5</v>
      </c>
      <c r="N304" s="642">
        <f t="shared" si="9"/>
        <v>1000000000.0</v>
      </c>
      <c r="O304" s="642">
        <f t="shared" si="9"/>
        <v>1000000000.0</v>
      </c>
      <c r="P304" s="642">
        <f t="shared" si="9"/>
        <v>1000000000.0</v>
      </c>
      <c r="Q304" s="642">
        <f t="shared" si="9"/>
        <v>1000000000.0</v>
      </c>
      <c r="R304" s="642">
        <f t="shared" si="9"/>
        <v>1000000000.0</v>
      </c>
      <c r="S304" s="642">
        <f t="shared" si="9"/>
        <v>1000000000.0</v>
      </c>
      <c r="T304" s="642">
        <f t="shared" si="9"/>
        <v>1000000000.0</v>
      </c>
      <c r="U304" s="642">
        <f t="shared" si="9"/>
        <v>1000000000.0</v>
      </c>
      <c r="V304" s="642">
        <f t="shared" si="9"/>
        <v>1000000000.0</v>
      </c>
      <c r="W304" s="642">
        <f t="shared" si="9"/>
        <v>1000000000.0</v>
      </c>
      <c r="X304" s="642">
        <f t="shared" si="10"/>
        <v>1000000000.0</v>
      </c>
      <c r="Y304" s="642">
        <f t="shared" si="10"/>
        <v>1000000000.0</v>
      </c>
      <c r="Z304" s="642">
        <f t="shared" si="10"/>
        <v>1000000000.0</v>
      </c>
      <c r="AA304" s="642">
        <f t="shared" si="10"/>
        <v>1000000000.0</v>
      </c>
      <c r="AB304" s="642">
        <f t="shared" si="10"/>
        <v>1000000000.0</v>
      </c>
      <c r="AC304" s="642">
        <f t="shared" si="10"/>
        <v>1000000000.0</v>
      </c>
      <c r="AD304" s="642">
        <f t="shared" si="10"/>
        <v>1000000000.0</v>
      </c>
      <c r="AE304" s="642">
        <f t="shared" si="10"/>
        <v>1000000000.0</v>
      </c>
      <c r="AF304" s="642">
        <f t="shared" si="10"/>
        <v>1000000000.0</v>
      </c>
      <c r="AG304" s="642">
        <f t="shared" si="10"/>
        <v>1000000000.0</v>
      </c>
      <c r="AH304" s="642">
        <f t="shared" si="11"/>
        <v>1000000000.0</v>
      </c>
      <c r="AI304" s="642">
        <f t="shared" si="11"/>
        <v>1000000000.0</v>
      </c>
      <c r="AJ304" s="642">
        <f t="shared" si="11"/>
        <v>1000000000.0</v>
      </c>
      <c r="AK304" s="642">
        <f t="shared" si="11"/>
        <v>1000000000.0</v>
      </c>
      <c r="AL304" s="642">
        <f t="shared" si="11"/>
        <v>1000000000.0</v>
      </c>
      <c r="AM304" s="642">
        <f t="shared" si="11"/>
        <v>1000000000.0</v>
      </c>
      <c r="AN304" s="642">
        <f t="shared" si="11"/>
        <v>1000000000.0</v>
      </c>
      <c r="AO304" s="642">
        <f t="shared" si="11"/>
        <v>1000000000.0</v>
      </c>
      <c r="AP304" s="642">
        <f t="shared" si="11"/>
        <v>1000000000.0</v>
      </c>
      <c r="AQ304" s="642">
        <f t="shared" si="11"/>
        <v>1000000000.0</v>
      </c>
      <c r="AR304" s="642">
        <f t="shared" si="12"/>
        <v>1000000000.0</v>
      </c>
      <c r="AS304" s="642">
        <f t="shared" si="12"/>
        <v>1000000000.0</v>
      </c>
      <c r="AT304" s="642">
        <f t="shared" si="12"/>
        <v>1000000000.0</v>
      </c>
      <c r="AU304" s="642">
        <f t="shared" si="12"/>
        <v>1000000000.0</v>
      </c>
      <c r="AV304" s="642">
        <f t="shared" si="12"/>
        <v>1000000000.0</v>
      </c>
      <c r="AW304" s="642">
        <f t="shared" si="12"/>
        <v>1000000000.0</v>
      </c>
      <c r="AX304" s="642">
        <f t="shared" si="12"/>
        <v>1000000000.0</v>
      </c>
      <c r="AY304" s="642">
        <f t="shared" si="12"/>
        <v>1000000000.0</v>
      </c>
      <c r="AZ304" s="642">
        <f t="shared" si="12"/>
        <v>1000000000.0</v>
      </c>
      <c r="BA304" s="642">
        <f t="shared" si="12"/>
        <v>1000000000.0</v>
      </c>
      <c r="BB304" s="642">
        <f t="shared" si="13"/>
        <v>1000000000.0</v>
      </c>
      <c r="BC304" s="642">
        <f t="shared" si="13"/>
        <v>1000000000.0</v>
      </c>
      <c r="BD304" s="642">
        <f t="shared" si="13"/>
        <v>1000000000.0</v>
      </c>
      <c r="BE304" s="642">
        <f t="shared" si="13"/>
        <v>1000000000.0</v>
      </c>
      <c r="BF304" s="642">
        <f t="shared" si="13"/>
        <v>1000000000.0</v>
      </c>
      <c r="BG304" s="642">
        <f t="shared" si="13"/>
        <v>1000000000.0</v>
      </c>
      <c r="BH304" s="642">
        <f t="shared" si="13"/>
        <v>1000000000.0</v>
      </c>
      <c r="BI304" s="642">
        <f t="shared" si="13"/>
        <v>1000000000.0</v>
      </c>
      <c r="BJ304" s="642">
        <f t="shared" si="13"/>
        <v>1000000000.0</v>
      </c>
      <c r="BK304" s="642">
        <f t="shared" si="13"/>
        <v>1000000000.0</v>
      </c>
      <c r="BL304" s="642">
        <f t="shared" si="14"/>
        <v>1000000000.0</v>
      </c>
      <c r="BM304" s="642">
        <f t="shared" si="14"/>
        <v>1000000000.0</v>
      </c>
      <c r="BN304" s="642">
        <f t="shared" si="14"/>
        <v>1000000000.0</v>
      </c>
      <c r="BO304" s="642">
        <f t="shared" si="14"/>
        <v>1000000000.0</v>
      </c>
      <c r="BP304" s="642">
        <f t="shared" si="14"/>
        <v>1000000000.0</v>
      </c>
      <c r="BQ304" s="642">
        <f t="shared" si="14"/>
        <v>1000000000.0</v>
      </c>
      <c r="BR304" s="642">
        <f t="shared" si="14"/>
        <v>1000000000.0</v>
      </c>
      <c r="BS304" s="642">
        <f t="shared" si="14"/>
        <v>1000000000.0</v>
      </c>
      <c r="BT304" s="642">
        <f t="shared" si="14"/>
        <v>1000000000.0</v>
      </c>
      <c r="BU304" s="642">
        <f t="shared" si="14"/>
        <v>1000000000.0</v>
      </c>
      <c r="BV304" s="642">
        <f t="shared" si="15"/>
        <v>1000000000.0</v>
      </c>
      <c r="BW304" s="642">
        <f t="shared" si="15"/>
        <v>1000000000.0</v>
      </c>
      <c r="BX304" s="642">
        <f t="shared" si="15"/>
        <v>1000000000.0</v>
      </c>
      <c r="BY304" s="642">
        <f t="shared" si="15"/>
        <v>1000000000.0</v>
      </c>
      <c r="BZ304" s="642">
        <f t="shared" si="15"/>
        <v>1000000000.0</v>
      </c>
      <c r="CA304" s="642">
        <f t="shared" si="15"/>
        <v>1000000000.0</v>
      </c>
      <c r="CB304" s="642">
        <f t="shared" si="15"/>
        <v>1000000000.0</v>
      </c>
      <c r="CC304" s="642">
        <f t="shared" si="15"/>
        <v>1000000000.0</v>
      </c>
      <c r="CD304" s="642">
        <f t="shared" si="15"/>
        <v>1000000000.0</v>
      </c>
      <c r="CE304" s="642">
        <f t="shared" si="15"/>
        <v>1000000000.0</v>
      </c>
      <c r="CF304" s="642">
        <f t="shared" si="16"/>
        <v>1000000000.0</v>
      </c>
      <c r="CG304" s="642">
        <f t="shared" si="16"/>
        <v>1000000000.0</v>
      </c>
      <c r="CH304" s="642">
        <f t="shared" si="16"/>
        <v>1000000000.0</v>
      </c>
      <c r="CI304" s="642">
        <f t="shared" si="16"/>
        <v>1000000000.0</v>
      </c>
      <c r="CJ304" s="642">
        <f t="shared" si="16"/>
        <v>1000000000.0</v>
      </c>
      <c r="CK304" s="642">
        <f t="shared" si="16"/>
        <v>1000000000.0</v>
      </c>
      <c r="CL304" s="642">
        <f t="shared" si="16"/>
        <v>1000000000.0</v>
      </c>
      <c r="CM304" s="642">
        <f t="shared" si="16"/>
        <v>1000000000.0</v>
      </c>
      <c r="CN304" s="642">
        <f t="shared" si="17"/>
        <v>1000000000.0</v>
      </c>
      <c r="CO304" s="642">
        <f>2*$AD$61*MAX(0,$J$58+I304-$J$64)+IF(L304&lt;$J$38,1000000,0)</f>
        <v>11.61112894117647</v>
      </c>
      <c r="CP304" s="642">
        <f>2*IF($J$175&gt;0,IF($J$392/MIN($J$175,K304)&gt;$M$5*VLOOKUP($L$5,Taxas!$V$22:$W$30,2)/L304,$J$391/MIN($J$175,K304),$J$389/L304),$J$389/L304)</f>
        <v>0.5277785882352941</v>
      </c>
    </row>
    <row r="305" spans="9:94" hidden="1" x14ac:dyDescent="0.25">
      <c r="I305" s="642">
        <f>MIN(5*3,$J$57/2)</f>
        <v>15.0</v>
      </c>
      <c r="J305" s="646">
        <f t="shared" ca="1" si="7"/>
        <v>0.18150172545000412</v>
      </c>
      <c r="K305" s="642">
        <f t="shared" ca="1" si="8"/>
        <v>30.0</v>
      </c>
      <c r="L305" s="642">
        <f ca="1">MIN(ROUNDDOWN($M$5*VLOOKUP($L$5,Taxas!$V$22:$W$30,2)/J305*2,0)/2,K305)</f>
        <v>8.5</v>
      </c>
      <c r="M305" s="642">
        <f ca="1">MIN(ROUNDDOWN($M$6*VLOOKUP($L$6,Taxas!$V$22:$W$30,2)/J305*2,0)/2,K305)</f>
        <v>8.5</v>
      </c>
      <c r="N305" s="642">
        <f t="shared" si="9"/>
        <v>1000000000.0</v>
      </c>
      <c r="O305" s="642">
        <f t="shared" si="9"/>
        <v>1000000000.0</v>
      </c>
      <c r="P305" s="642">
        <f t="shared" si="9"/>
        <v>1000000000.0</v>
      </c>
      <c r="Q305" s="642">
        <f t="shared" si="9"/>
        <v>1000000000.0</v>
      </c>
      <c r="R305" s="642">
        <f t="shared" si="9"/>
        <v>1000000000.0</v>
      </c>
      <c r="S305" s="642">
        <f t="shared" si="9"/>
        <v>1000000000.0</v>
      </c>
      <c r="T305" s="642">
        <f t="shared" si="9"/>
        <v>1000000000.0</v>
      </c>
      <c r="U305" s="642">
        <f t="shared" si="9"/>
        <v>1000000000.0</v>
      </c>
      <c r="V305" s="642">
        <f t="shared" si="9"/>
        <v>1000000000.0</v>
      </c>
      <c r="W305" s="642">
        <f t="shared" si="9"/>
        <v>1000000000.0</v>
      </c>
      <c r="X305" s="642">
        <f t="shared" si="10"/>
        <v>1000000000.0</v>
      </c>
      <c r="Y305" s="642">
        <f t="shared" si="10"/>
        <v>1000000000.0</v>
      </c>
      <c r="Z305" s="642">
        <f t="shared" si="10"/>
        <v>1000000000.0</v>
      </c>
      <c r="AA305" s="642">
        <f t="shared" si="10"/>
        <v>1000000000.0</v>
      </c>
      <c r="AB305" s="642">
        <f t="shared" si="10"/>
        <v>1000000000.0</v>
      </c>
      <c r="AC305" s="642">
        <f t="shared" si="10"/>
        <v>1000000000.0</v>
      </c>
      <c r="AD305" s="642">
        <f t="shared" si="10"/>
        <v>1000000000.0</v>
      </c>
      <c r="AE305" s="642">
        <f t="shared" si="10"/>
        <v>1000000000.0</v>
      </c>
      <c r="AF305" s="642">
        <f t="shared" si="10"/>
        <v>1000000000.0</v>
      </c>
      <c r="AG305" s="642">
        <f t="shared" si="10"/>
        <v>1000000000.0</v>
      </c>
      <c r="AH305" s="642">
        <f t="shared" si="11"/>
        <v>1000000000.0</v>
      </c>
      <c r="AI305" s="642">
        <f t="shared" si="11"/>
        <v>1000000000.0</v>
      </c>
      <c r="AJ305" s="642">
        <f t="shared" si="11"/>
        <v>1000000000.0</v>
      </c>
      <c r="AK305" s="642">
        <f t="shared" si="11"/>
        <v>1000000000.0</v>
      </c>
      <c r="AL305" s="642">
        <f t="shared" si="11"/>
        <v>1000000000.0</v>
      </c>
      <c r="AM305" s="642">
        <f t="shared" si="11"/>
        <v>1000000000.0</v>
      </c>
      <c r="AN305" s="642">
        <f t="shared" si="11"/>
        <v>1000000000.0</v>
      </c>
      <c r="AO305" s="642">
        <f t="shared" si="11"/>
        <v>1000000000.0</v>
      </c>
      <c r="AP305" s="642">
        <f t="shared" si="11"/>
        <v>1000000000.0</v>
      </c>
      <c r="AQ305" s="642">
        <f t="shared" si="11"/>
        <v>1000000000.0</v>
      </c>
      <c r="AR305" s="642">
        <f t="shared" si="12"/>
        <v>1000000000.0</v>
      </c>
      <c r="AS305" s="642">
        <f t="shared" si="12"/>
        <v>1000000000.0</v>
      </c>
      <c r="AT305" s="642">
        <f t="shared" si="12"/>
        <v>1000000000.0</v>
      </c>
      <c r="AU305" s="642">
        <f t="shared" si="12"/>
        <v>1000000000.0</v>
      </c>
      <c r="AV305" s="642">
        <f t="shared" si="12"/>
        <v>1000000000.0</v>
      </c>
      <c r="AW305" s="642">
        <f t="shared" si="12"/>
        <v>1000000000.0</v>
      </c>
      <c r="AX305" s="642">
        <f t="shared" si="12"/>
        <v>1000000000.0</v>
      </c>
      <c r="AY305" s="642">
        <f t="shared" si="12"/>
        <v>1000000000.0</v>
      </c>
      <c r="AZ305" s="642">
        <f t="shared" si="12"/>
        <v>1000000000.0</v>
      </c>
      <c r="BA305" s="642">
        <f t="shared" si="12"/>
        <v>1000000000.0</v>
      </c>
      <c r="BB305" s="642">
        <f t="shared" si="13"/>
        <v>1000000000.0</v>
      </c>
      <c r="BC305" s="642">
        <f t="shared" si="13"/>
        <v>1000000000.0</v>
      </c>
      <c r="BD305" s="642">
        <f t="shared" si="13"/>
        <v>1000000000.0</v>
      </c>
      <c r="BE305" s="642">
        <f t="shared" si="13"/>
        <v>1000000000.0</v>
      </c>
      <c r="BF305" s="642">
        <f t="shared" si="13"/>
        <v>1000000000.0</v>
      </c>
      <c r="BG305" s="642">
        <f t="shared" si="13"/>
        <v>1000000000.0</v>
      </c>
      <c r="BH305" s="642">
        <f t="shared" si="13"/>
        <v>1000000000.0</v>
      </c>
      <c r="BI305" s="642">
        <f t="shared" si="13"/>
        <v>1000000000.0</v>
      </c>
      <c r="BJ305" s="642">
        <f t="shared" si="13"/>
        <v>1000000000.0</v>
      </c>
      <c r="BK305" s="642">
        <f t="shared" si="13"/>
        <v>1000000000.0</v>
      </c>
      <c r="BL305" s="642">
        <f t="shared" si="14"/>
        <v>1000000000.0</v>
      </c>
      <c r="BM305" s="642">
        <f t="shared" si="14"/>
        <v>1000000000.0</v>
      </c>
      <c r="BN305" s="642">
        <f t="shared" si="14"/>
        <v>1000000000.0</v>
      </c>
      <c r="BO305" s="642">
        <f t="shared" si="14"/>
        <v>1000000000.0</v>
      </c>
      <c r="BP305" s="642">
        <f t="shared" si="14"/>
        <v>1000000000.0</v>
      </c>
      <c r="BQ305" s="642">
        <f t="shared" si="14"/>
        <v>1000000000.0</v>
      </c>
      <c r="BR305" s="642">
        <f t="shared" si="14"/>
        <v>1000000000.0</v>
      </c>
      <c r="BS305" s="642">
        <f t="shared" si="14"/>
        <v>1000000000.0</v>
      </c>
      <c r="BT305" s="642">
        <f t="shared" si="14"/>
        <v>1000000000.0</v>
      </c>
      <c r="BU305" s="642">
        <f t="shared" si="14"/>
        <v>1000000000.0</v>
      </c>
      <c r="BV305" s="642">
        <f t="shared" si="15"/>
        <v>1000000000.0</v>
      </c>
      <c r="BW305" s="642">
        <f t="shared" si="15"/>
        <v>1000000000.0</v>
      </c>
      <c r="BX305" s="642">
        <f t="shared" si="15"/>
        <v>1000000000.0</v>
      </c>
      <c r="BY305" s="642">
        <f t="shared" si="15"/>
        <v>1000000000.0</v>
      </c>
      <c r="BZ305" s="642">
        <f t="shared" si="15"/>
        <v>1000000000.0</v>
      </c>
      <c r="CA305" s="642">
        <f t="shared" si="15"/>
        <v>1000000000.0</v>
      </c>
      <c r="CB305" s="642">
        <f t="shared" si="15"/>
        <v>1000000000.0</v>
      </c>
      <c r="CC305" s="642">
        <f t="shared" si="15"/>
        <v>1000000000.0</v>
      </c>
      <c r="CD305" s="642">
        <f t="shared" si="15"/>
        <v>1000000000.0</v>
      </c>
      <c r="CE305" s="642">
        <f t="shared" si="15"/>
        <v>1000000000.0</v>
      </c>
      <c r="CF305" s="642">
        <f t="shared" si="16"/>
        <v>1000000000.0</v>
      </c>
      <c r="CG305" s="642">
        <f t="shared" si="16"/>
        <v>1000000000.0</v>
      </c>
      <c r="CH305" s="642">
        <f t="shared" si="16"/>
        <v>1000000000.0</v>
      </c>
      <c r="CI305" s="642">
        <f t="shared" si="16"/>
        <v>1000000000.0</v>
      </c>
      <c r="CJ305" s="642">
        <f t="shared" si="16"/>
        <v>1000000000.0</v>
      </c>
      <c r="CK305" s="642">
        <f t="shared" si="16"/>
        <v>1000000000.0</v>
      </c>
      <c r="CL305" s="642">
        <f t="shared" si="16"/>
        <v>1000000000.0</v>
      </c>
      <c r="CM305" s="642">
        <f t="shared" si="16"/>
        <v>1000000000.0</v>
      </c>
      <c r="CN305" s="642">
        <f t="shared" si="17"/>
        <v>1000000000.0</v>
      </c>
      <c r="CO305" s="642">
        <f>2*$AD$61*MAX(0,$J$58+I305-$J$64)+IF(L305&lt;$J$38,1000000,0)</f>
        <v>14.250021882352941</v>
      </c>
      <c r="CP305" s="642">
        <f>2*IF($J$175&gt;0,IF($J$392/MIN($J$175,K305)&gt;$M$5*VLOOKUP($L$5,Taxas!$V$22:$W$30,2)/L305,$J$391/MIN($J$175,K305),$J$389/L305),$J$389/L305)</f>
        <v>0.5277785882352941</v>
      </c>
    </row>
    <row r="306" spans="9:94" hidden="1" x14ac:dyDescent="0.25">
      <c r="I306" s="642">
        <f>MIN(5*4,$J$57/2)</f>
        <v>20.0</v>
      </c>
      <c r="J306" s="646">
        <f t="shared" ca="1" si="7"/>
        <v>0.18146805589638534</v>
      </c>
      <c r="K306" s="642">
        <f t="shared" ca="1" si="8"/>
        <v>30.0</v>
      </c>
      <c r="L306" s="642">
        <f ca="1">MIN(ROUNDDOWN($M$5*VLOOKUP($L$5,Taxas!$V$22:$W$30,2)/J306*2,0)/2,K306)</f>
        <v>8.5</v>
      </c>
      <c r="M306" s="642">
        <f ca="1">MIN(ROUNDDOWN($M$6*VLOOKUP($L$6,Taxas!$V$22:$W$30,2)/J306*2,0)/2,K306)</f>
        <v>8.5</v>
      </c>
      <c r="N306" s="642">
        <f t="shared" si="9"/>
        <v>1000000000.0</v>
      </c>
      <c r="O306" s="642">
        <f t="shared" si="9"/>
        <v>1000000000.0</v>
      </c>
      <c r="P306" s="642">
        <f t="shared" si="9"/>
        <v>1000000000.0</v>
      </c>
      <c r="Q306" s="642">
        <f t="shared" si="9"/>
        <v>1000000000.0</v>
      </c>
      <c r="R306" s="642">
        <f t="shared" si="9"/>
        <v>1000000000.0</v>
      </c>
      <c r="S306" s="642">
        <f t="shared" si="9"/>
        <v>1000000000.0</v>
      </c>
      <c r="T306" s="642">
        <f t="shared" si="9"/>
        <v>1000000000.0</v>
      </c>
      <c r="U306" s="642">
        <f t="shared" si="9"/>
        <v>1000000000.0</v>
      </c>
      <c r="V306" s="642">
        <f t="shared" si="9"/>
        <v>1000000000.0</v>
      </c>
      <c r="W306" s="642">
        <f t="shared" si="9"/>
        <v>1000000000.0</v>
      </c>
      <c r="X306" s="642">
        <f t="shared" si="10"/>
        <v>1000000000.0</v>
      </c>
      <c r="Y306" s="642">
        <f t="shared" si="10"/>
        <v>1000000000.0</v>
      </c>
      <c r="Z306" s="642">
        <f t="shared" si="10"/>
        <v>1000000000.0</v>
      </c>
      <c r="AA306" s="642">
        <f t="shared" si="10"/>
        <v>1000000000.0</v>
      </c>
      <c r="AB306" s="642">
        <f t="shared" si="10"/>
        <v>1000000000.0</v>
      </c>
      <c r="AC306" s="642">
        <f t="shared" si="10"/>
        <v>1000000000.0</v>
      </c>
      <c r="AD306" s="642">
        <f t="shared" si="10"/>
        <v>1000000000.0</v>
      </c>
      <c r="AE306" s="642">
        <f t="shared" si="10"/>
        <v>1000000000.0</v>
      </c>
      <c r="AF306" s="642">
        <f t="shared" si="10"/>
        <v>1000000000.0</v>
      </c>
      <c r="AG306" s="642">
        <f t="shared" si="10"/>
        <v>1000000000.0</v>
      </c>
      <c r="AH306" s="642">
        <f t="shared" si="11"/>
        <v>1000000000.0</v>
      </c>
      <c r="AI306" s="642">
        <f t="shared" si="11"/>
        <v>1000000000.0</v>
      </c>
      <c r="AJ306" s="642">
        <f t="shared" si="11"/>
        <v>1000000000.0</v>
      </c>
      <c r="AK306" s="642">
        <f t="shared" si="11"/>
        <v>1000000000.0</v>
      </c>
      <c r="AL306" s="642">
        <f t="shared" si="11"/>
        <v>1000000000.0</v>
      </c>
      <c r="AM306" s="642">
        <f t="shared" si="11"/>
        <v>1000000000.0</v>
      </c>
      <c r="AN306" s="642">
        <f t="shared" si="11"/>
        <v>1000000000.0</v>
      </c>
      <c r="AO306" s="642">
        <f t="shared" si="11"/>
        <v>1000000000.0</v>
      </c>
      <c r="AP306" s="642">
        <f t="shared" si="11"/>
        <v>1000000000.0</v>
      </c>
      <c r="AQ306" s="642">
        <f t="shared" si="11"/>
        <v>1000000000.0</v>
      </c>
      <c r="AR306" s="642">
        <f t="shared" si="12"/>
        <v>1000000000.0</v>
      </c>
      <c r="AS306" s="642">
        <f t="shared" si="12"/>
        <v>1000000000.0</v>
      </c>
      <c r="AT306" s="642">
        <f t="shared" si="12"/>
        <v>1000000000.0</v>
      </c>
      <c r="AU306" s="642">
        <f t="shared" si="12"/>
        <v>1000000000.0</v>
      </c>
      <c r="AV306" s="642">
        <f t="shared" si="12"/>
        <v>1000000000.0</v>
      </c>
      <c r="AW306" s="642">
        <f t="shared" si="12"/>
        <v>1000000000.0</v>
      </c>
      <c r="AX306" s="642">
        <f t="shared" si="12"/>
        <v>1000000000.0</v>
      </c>
      <c r="AY306" s="642">
        <f t="shared" si="12"/>
        <v>1000000000.0</v>
      </c>
      <c r="AZ306" s="642">
        <f t="shared" si="12"/>
        <v>1000000000.0</v>
      </c>
      <c r="BA306" s="642">
        <f t="shared" si="12"/>
        <v>1000000000.0</v>
      </c>
      <c r="BB306" s="642">
        <f t="shared" si="13"/>
        <v>1000000000.0</v>
      </c>
      <c r="BC306" s="642">
        <f t="shared" si="13"/>
        <v>1000000000.0</v>
      </c>
      <c r="BD306" s="642">
        <f t="shared" si="13"/>
        <v>1000000000.0</v>
      </c>
      <c r="BE306" s="642">
        <f t="shared" si="13"/>
        <v>1000000000.0</v>
      </c>
      <c r="BF306" s="642">
        <f t="shared" si="13"/>
        <v>1000000000.0</v>
      </c>
      <c r="BG306" s="642">
        <f t="shared" si="13"/>
        <v>1000000000.0</v>
      </c>
      <c r="BH306" s="642">
        <f t="shared" si="13"/>
        <v>1000000000.0</v>
      </c>
      <c r="BI306" s="642">
        <f t="shared" si="13"/>
        <v>1000000000.0</v>
      </c>
      <c r="BJ306" s="642">
        <f t="shared" si="13"/>
        <v>1000000000.0</v>
      </c>
      <c r="BK306" s="642">
        <f t="shared" si="13"/>
        <v>1000000000.0</v>
      </c>
      <c r="BL306" s="642">
        <f t="shared" si="14"/>
        <v>1000000000.0</v>
      </c>
      <c r="BM306" s="642">
        <f t="shared" si="14"/>
        <v>1000000000.0</v>
      </c>
      <c r="BN306" s="642">
        <f t="shared" si="14"/>
        <v>1000000000.0</v>
      </c>
      <c r="BO306" s="642">
        <f t="shared" si="14"/>
        <v>1000000000.0</v>
      </c>
      <c r="BP306" s="642">
        <f t="shared" si="14"/>
        <v>1000000000.0</v>
      </c>
      <c r="BQ306" s="642">
        <f t="shared" si="14"/>
        <v>1000000000.0</v>
      </c>
      <c r="BR306" s="642">
        <f t="shared" si="14"/>
        <v>1000000000.0</v>
      </c>
      <c r="BS306" s="642">
        <f t="shared" si="14"/>
        <v>1000000000.0</v>
      </c>
      <c r="BT306" s="642">
        <f t="shared" si="14"/>
        <v>1000000000.0</v>
      </c>
      <c r="BU306" s="642">
        <f t="shared" si="14"/>
        <v>1000000000.0</v>
      </c>
      <c r="BV306" s="642">
        <f t="shared" si="15"/>
        <v>1000000000.0</v>
      </c>
      <c r="BW306" s="642">
        <f t="shared" si="15"/>
        <v>1000000000.0</v>
      </c>
      <c r="BX306" s="642">
        <f t="shared" si="15"/>
        <v>1000000000.0</v>
      </c>
      <c r="BY306" s="642">
        <f t="shared" si="15"/>
        <v>1000000000.0</v>
      </c>
      <c r="BZ306" s="642">
        <f t="shared" si="15"/>
        <v>1000000000.0</v>
      </c>
      <c r="CA306" s="642">
        <f t="shared" si="15"/>
        <v>1000000000.0</v>
      </c>
      <c r="CB306" s="642">
        <f t="shared" si="15"/>
        <v>1000000000.0</v>
      </c>
      <c r="CC306" s="642">
        <f t="shared" si="15"/>
        <v>1000000000.0</v>
      </c>
      <c r="CD306" s="642">
        <f t="shared" si="15"/>
        <v>1000000000.0</v>
      </c>
      <c r="CE306" s="642">
        <f t="shared" si="15"/>
        <v>1000000000.0</v>
      </c>
      <c r="CF306" s="642">
        <f t="shared" si="16"/>
        <v>1000000000.0</v>
      </c>
      <c r="CG306" s="642">
        <f t="shared" si="16"/>
        <v>1000000000.0</v>
      </c>
      <c r="CH306" s="642">
        <f t="shared" si="16"/>
        <v>1000000000.0</v>
      </c>
      <c r="CI306" s="642">
        <f t="shared" si="16"/>
        <v>1000000000.0</v>
      </c>
      <c r="CJ306" s="642">
        <f t="shared" si="16"/>
        <v>1000000000.0</v>
      </c>
      <c r="CK306" s="642">
        <f t="shared" si="16"/>
        <v>1000000000.0</v>
      </c>
      <c r="CL306" s="642">
        <f t="shared" si="16"/>
        <v>1000000000.0</v>
      </c>
      <c r="CM306" s="642">
        <f t="shared" si="16"/>
        <v>1000000000.0</v>
      </c>
      <c r="CN306" s="642">
        <f t="shared" si="17"/>
        <v>1000000000.0</v>
      </c>
      <c r="CO306" s="642">
        <f>2*$AD$61*MAX(0,$J$58+I306-$J$64)+IF(L306&lt;$J$38,1000000,0)</f>
        <v>16.88891482352941</v>
      </c>
      <c r="CP306" s="642">
        <f>2*IF($J$175&gt;0,IF($J$392/MIN($J$175,K306)&gt;$M$5*VLOOKUP($L$5,Taxas!$V$22:$W$30,2)/L306,$J$391/MIN($J$175,K306),$J$389/L306),$J$389/L306)</f>
        <v>0.5277785882352941</v>
      </c>
    </row>
    <row r="307" spans="9:94" hidden="1" x14ac:dyDescent="0.25">
      <c r="I307" s="642">
        <f>MIN(5*5,$J$57/2)</f>
        <v>25.0</v>
      </c>
      <c r="J307" s="646">
        <f t="shared" ca="1" si="7"/>
        <v>0.1814343863427666</v>
      </c>
      <c r="K307" s="642">
        <f t="shared" ca="1" si="8"/>
        <v>30.0</v>
      </c>
      <c r="L307" s="642">
        <f ca="1">MIN(ROUNDDOWN($M$5*VLOOKUP($L$5,Taxas!$V$22:$W$30,2)/J307*2,0)/2,K307)</f>
        <v>8.5</v>
      </c>
      <c r="M307" s="642">
        <f ca="1">MIN(ROUNDDOWN($M$6*VLOOKUP($L$6,Taxas!$V$22:$W$30,2)/J307*2,0)/2,K307)</f>
        <v>8.5</v>
      </c>
      <c r="N307" s="642">
        <f t="shared" si="9"/>
        <v>1000000000.0</v>
      </c>
      <c r="O307" s="642">
        <f t="shared" si="9"/>
        <v>1000000000.0</v>
      </c>
      <c r="P307" s="642">
        <f t="shared" si="9"/>
        <v>1000000000.0</v>
      </c>
      <c r="Q307" s="642">
        <f t="shared" si="9"/>
        <v>1000000000.0</v>
      </c>
      <c r="R307" s="642">
        <f t="shared" si="9"/>
        <v>1000000000.0</v>
      </c>
      <c r="S307" s="642">
        <f t="shared" si="9"/>
        <v>1000000000.0</v>
      </c>
      <c r="T307" s="642">
        <f t="shared" si="9"/>
        <v>1000000000.0</v>
      </c>
      <c r="U307" s="642">
        <f t="shared" si="9"/>
        <v>1000000000.0</v>
      </c>
      <c r="V307" s="642">
        <f t="shared" si="9"/>
        <v>1000000000.0</v>
      </c>
      <c r="W307" s="642">
        <f t="shared" si="9"/>
        <v>1000000000.0</v>
      </c>
      <c r="X307" s="642">
        <f t="shared" si="10"/>
        <v>1000000000.0</v>
      </c>
      <c r="Y307" s="642">
        <f t="shared" si="10"/>
        <v>1000000000.0</v>
      </c>
      <c r="Z307" s="642">
        <f t="shared" si="10"/>
        <v>1000000000.0</v>
      </c>
      <c r="AA307" s="642">
        <f t="shared" si="10"/>
        <v>1000000000.0</v>
      </c>
      <c r="AB307" s="642">
        <f t="shared" si="10"/>
        <v>1000000000.0</v>
      </c>
      <c r="AC307" s="642">
        <f t="shared" si="10"/>
        <v>1000000000.0</v>
      </c>
      <c r="AD307" s="642">
        <f t="shared" si="10"/>
        <v>1000000000.0</v>
      </c>
      <c r="AE307" s="642">
        <f t="shared" si="10"/>
        <v>1000000000.0</v>
      </c>
      <c r="AF307" s="642">
        <f t="shared" si="10"/>
        <v>1000000000.0</v>
      </c>
      <c r="AG307" s="642">
        <f t="shared" si="10"/>
        <v>1000000000.0</v>
      </c>
      <c r="AH307" s="642">
        <f t="shared" si="11"/>
        <v>1000000000.0</v>
      </c>
      <c r="AI307" s="642">
        <f t="shared" si="11"/>
        <v>1000000000.0</v>
      </c>
      <c r="AJ307" s="642">
        <f t="shared" si="11"/>
        <v>1000000000.0</v>
      </c>
      <c r="AK307" s="642">
        <f t="shared" si="11"/>
        <v>1000000000.0</v>
      </c>
      <c r="AL307" s="642">
        <f t="shared" si="11"/>
        <v>1000000000.0</v>
      </c>
      <c r="AM307" s="642">
        <f t="shared" si="11"/>
        <v>1000000000.0</v>
      </c>
      <c r="AN307" s="642">
        <f t="shared" si="11"/>
        <v>1000000000.0</v>
      </c>
      <c r="AO307" s="642">
        <f t="shared" si="11"/>
        <v>1000000000.0</v>
      </c>
      <c r="AP307" s="642">
        <f t="shared" si="11"/>
        <v>1000000000.0</v>
      </c>
      <c r="AQ307" s="642">
        <f t="shared" si="11"/>
        <v>1000000000.0</v>
      </c>
      <c r="AR307" s="642">
        <f t="shared" si="12"/>
        <v>1000000000.0</v>
      </c>
      <c r="AS307" s="642">
        <f t="shared" si="12"/>
        <v>1000000000.0</v>
      </c>
      <c r="AT307" s="642">
        <f t="shared" si="12"/>
        <v>1000000000.0</v>
      </c>
      <c r="AU307" s="642">
        <f t="shared" si="12"/>
        <v>1000000000.0</v>
      </c>
      <c r="AV307" s="642">
        <f t="shared" si="12"/>
        <v>1000000000.0</v>
      </c>
      <c r="AW307" s="642">
        <f t="shared" si="12"/>
        <v>1000000000.0</v>
      </c>
      <c r="AX307" s="642">
        <f t="shared" si="12"/>
        <v>1000000000.0</v>
      </c>
      <c r="AY307" s="642">
        <f t="shared" si="12"/>
        <v>1000000000.0</v>
      </c>
      <c r="AZ307" s="642">
        <f t="shared" si="12"/>
        <v>1000000000.0</v>
      </c>
      <c r="BA307" s="642">
        <f t="shared" si="12"/>
        <v>1000000000.0</v>
      </c>
      <c r="BB307" s="642">
        <f t="shared" si="13"/>
        <v>1000000000.0</v>
      </c>
      <c r="BC307" s="642">
        <f t="shared" si="13"/>
        <v>1000000000.0</v>
      </c>
      <c r="BD307" s="642">
        <f t="shared" si="13"/>
        <v>1000000000.0</v>
      </c>
      <c r="BE307" s="642">
        <f t="shared" si="13"/>
        <v>1000000000.0</v>
      </c>
      <c r="BF307" s="642">
        <f t="shared" si="13"/>
        <v>1000000000.0</v>
      </c>
      <c r="BG307" s="642">
        <f t="shared" si="13"/>
        <v>1000000000.0</v>
      </c>
      <c r="BH307" s="642">
        <f t="shared" si="13"/>
        <v>1000000000.0</v>
      </c>
      <c r="BI307" s="642">
        <f t="shared" si="13"/>
        <v>1000000000.0</v>
      </c>
      <c r="BJ307" s="642">
        <f t="shared" si="13"/>
        <v>1000000000.0</v>
      </c>
      <c r="BK307" s="642">
        <f t="shared" si="13"/>
        <v>1000000000.0</v>
      </c>
      <c r="BL307" s="642">
        <f t="shared" si="14"/>
        <v>1000000000.0</v>
      </c>
      <c r="BM307" s="642">
        <f t="shared" si="14"/>
        <v>1000000000.0</v>
      </c>
      <c r="BN307" s="642">
        <f t="shared" si="14"/>
        <v>1000000000.0</v>
      </c>
      <c r="BO307" s="642">
        <f t="shared" si="14"/>
        <v>1000000000.0</v>
      </c>
      <c r="BP307" s="642">
        <f t="shared" si="14"/>
        <v>1000000000.0</v>
      </c>
      <c r="BQ307" s="642">
        <f t="shared" si="14"/>
        <v>1000000000.0</v>
      </c>
      <c r="BR307" s="642">
        <f t="shared" si="14"/>
        <v>1000000000.0</v>
      </c>
      <c r="BS307" s="642">
        <f t="shared" si="14"/>
        <v>1000000000.0</v>
      </c>
      <c r="BT307" s="642">
        <f t="shared" si="14"/>
        <v>1000000000.0</v>
      </c>
      <c r="BU307" s="642">
        <f t="shared" si="14"/>
        <v>1000000000.0</v>
      </c>
      <c r="BV307" s="642">
        <f t="shared" si="15"/>
        <v>1000000000.0</v>
      </c>
      <c r="BW307" s="642">
        <f t="shared" si="15"/>
        <v>1000000000.0</v>
      </c>
      <c r="BX307" s="642">
        <f t="shared" si="15"/>
        <v>1000000000.0</v>
      </c>
      <c r="BY307" s="642">
        <f t="shared" si="15"/>
        <v>1000000000.0</v>
      </c>
      <c r="BZ307" s="642">
        <f t="shared" si="15"/>
        <v>1000000000.0</v>
      </c>
      <c r="CA307" s="642">
        <f t="shared" si="15"/>
        <v>1000000000.0</v>
      </c>
      <c r="CB307" s="642">
        <f t="shared" si="15"/>
        <v>1000000000.0</v>
      </c>
      <c r="CC307" s="642">
        <f t="shared" si="15"/>
        <v>1000000000.0</v>
      </c>
      <c r="CD307" s="642">
        <f t="shared" si="15"/>
        <v>1000000000.0</v>
      </c>
      <c r="CE307" s="642">
        <f t="shared" si="15"/>
        <v>1000000000.0</v>
      </c>
      <c r="CF307" s="642">
        <f t="shared" si="16"/>
        <v>1000000000.0</v>
      </c>
      <c r="CG307" s="642">
        <f t="shared" si="16"/>
        <v>1000000000.0</v>
      </c>
      <c r="CH307" s="642">
        <f t="shared" si="16"/>
        <v>1000000000.0</v>
      </c>
      <c r="CI307" s="642">
        <f t="shared" si="16"/>
        <v>1000000000.0</v>
      </c>
      <c r="CJ307" s="642">
        <f t="shared" si="16"/>
        <v>1000000000.0</v>
      </c>
      <c r="CK307" s="642">
        <f t="shared" si="16"/>
        <v>1000000000.0</v>
      </c>
      <c r="CL307" s="642">
        <f t="shared" si="16"/>
        <v>1000000000.0</v>
      </c>
      <c r="CM307" s="642">
        <f t="shared" si="16"/>
        <v>1000000000.0</v>
      </c>
      <c r="CN307" s="642">
        <f t="shared" si="17"/>
        <v>1000000000.0</v>
      </c>
      <c r="CO307" s="642">
        <f>2*$AD$61*MAX(0,$J$58+I307-$J$64)+IF(L307&lt;$J$38,1000000,0)</f>
        <v>19.527807764705884</v>
      </c>
      <c r="CP307" s="642">
        <f>2*IF($J$175&gt;0,IF($J$392/MIN($J$175,K307)&gt;$M$5*VLOOKUP($L$5,Taxas!$V$22:$W$30,2)/L307,$J$391/MIN($J$175,K307),$J$389/L307),$J$389/L307)</f>
        <v>0.5277785882352941</v>
      </c>
    </row>
    <row r="308" spans="9:94" hidden="1" x14ac:dyDescent="0.25">
      <c r="I308" s="642">
        <f>MIN(5*6,$J$57/2)</f>
        <v>30.0</v>
      </c>
      <c r="J308" s="646">
        <f t="shared" ca="1" si="7"/>
        <v>0.18140071678914782</v>
      </c>
      <c r="K308" s="642">
        <f t="shared" ca="1" si="8"/>
        <v>30.0</v>
      </c>
      <c r="L308" s="642">
        <f ca="1">MIN(ROUNDDOWN($M$5*VLOOKUP($L$5,Taxas!$V$22:$W$30,2)/J308*2,0)/2,K308)</f>
        <v>8.5</v>
      </c>
      <c r="M308" s="642">
        <f ca="1">MIN(ROUNDDOWN($M$6*VLOOKUP($L$6,Taxas!$V$22:$W$30,2)/J308*2,0)/2,K308)</f>
        <v>8.5</v>
      </c>
      <c r="N308" s="642">
        <f t="shared" si="9"/>
        <v>1000000000.0</v>
      </c>
      <c r="O308" s="642">
        <f t="shared" si="9"/>
        <v>1000000000.0</v>
      </c>
      <c r="P308" s="642">
        <f t="shared" si="9"/>
        <v>1000000000.0</v>
      </c>
      <c r="Q308" s="642">
        <f t="shared" si="9"/>
        <v>1000000000.0</v>
      </c>
      <c r="R308" s="642">
        <f t="shared" si="9"/>
        <v>1000000000.0</v>
      </c>
      <c r="S308" s="642">
        <f t="shared" si="9"/>
        <v>1000000000.0</v>
      </c>
      <c r="T308" s="642">
        <f t="shared" si="9"/>
        <v>1000000000.0</v>
      </c>
      <c r="U308" s="642">
        <f t="shared" si="9"/>
        <v>1000000000.0</v>
      </c>
      <c r="V308" s="642">
        <f t="shared" si="9"/>
        <v>1000000000.0</v>
      </c>
      <c r="W308" s="642">
        <f t="shared" si="9"/>
        <v>1000000000.0</v>
      </c>
      <c r="X308" s="642">
        <f t="shared" si="10"/>
        <v>1000000000.0</v>
      </c>
      <c r="Y308" s="642">
        <f t="shared" si="10"/>
        <v>1000000000.0</v>
      </c>
      <c r="Z308" s="642">
        <f t="shared" si="10"/>
        <v>1000000000.0</v>
      </c>
      <c r="AA308" s="642">
        <f t="shared" si="10"/>
        <v>1000000000.0</v>
      </c>
      <c r="AB308" s="642">
        <f t="shared" si="10"/>
        <v>1000000000.0</v>
      </c>
      <c r="AC308" s="642">
        <f t="shared" si="10"/>
        <v>1000000000.0</v>
      </c>
      <c r="AD308" s="642">
        <f t="shared" si="10"/>
        <v>1000000000.0</v>
      </c>
      <c r="AE308" s="642">
        <f t="shared" si="10"/>
        <v>1000000000.0</v>
      </c>
      <c r="AF308" s="642">
        <f t="shared" si="10"/>
        <v>1000000000.0</v>
      </c>
      <c r="AG308" s="642">
        <f t="shared" si="10"/>
        <v>1000000000.0</v>
      </c>
      <c r="AH308" s="642">
        <f t="shared" si="11"/>
        <v>1000000000.0</v>
      </c>
      <c r="AI308" s="642">
        <f t="shared" si="11"/>
        <v>1000000000.0</v>
      </c>
      <c r="AJ308" s="642">
        <f t="shared" si="11"/>
        <v>1000000000.0</v>
      </c>
      <c r="AK308" s="642">
        <f t="shared" si="11"/>
        <v>1000000000.0</v>
      </c>
      <c r="AL308" s="642">
        <f t="shared" si="11"/>
        <v>1000000000.0</v>
      </c>
      <c r="AM308" s="642">
        <f t="shared" si="11"/>
        <v>1000000000.0</v>
      </c>
      <c r="AN308" s="642">
        <f t="shared" si="11"/>
        <v>1000000000.0</v>
      </c>
      <c r="AO308" s="642">
        <f t="shared" si="11"/>
        <v>1000000000.0</v>
      </c>
      <c r="AP308" s="642">
        <f t="shared" si="11"/>
        <v>1000000000.0</v>
      </c>
      <c r="AQ308" s="642">
        <f t="shared" si="11"/>
        <v>1000000000.0</v>
      </c>
      <c r="AR308" s="642">
        <f t="shared" si="12"/>
        <v>1000000000.0</v>
      </c>
      <c r="AS308" s="642">
        <f t="shared" si="12"/>
        <v>1000000000.0</v>
      </c>
      <c r="AT308" s="642">
        <f t="shared" si="12"/>
        <v>1000000000.0</v>
      </c>
      <c r="AU308" s="642">
        <f t="shared" si="12"/>
        <v>1000000000.0</v>
      </c>
      <c r="AV308" s="642">
        <f t="shared" si="12"/>
        <v>1000000000.0</v>
      </c>
      <c r="AW308" s="642">
        <f t="shared" si="12"/>
        <v>1000000000.0</v>
      </c>
      <c r="AX308" s="642">
        <f t="shared" si="12"/>
        <v>1000000000.0</v>
      </c>
      <c r="AY308" s="642">
        <f t="shared" si="12"/>
        <v>1000000000.0</v>
      </c>
      <c r="AZ308" s="642">
        <f t="shared" si="12"/>
        <v>1000000000.0</v>
      </c>
      <c r="BA308" s="642">
        <f t="shared" si="12"/>
        <v>1000000000.0</v>
      </c>
      <c r="BB308" s="642">
        <f t="shared" si="13"/>
        <v>1000000000.0</v>
      </c>
      <c r="BC308" s="642">
        <f t="shared" si="13"/>
        <v>1000000000.0</v>
      </c>
      <c r="BD308" s="642">
        <f t="shared" si="13"/>
        <v>1000000000.0</v>
      </c>
      <c r="BE308" s="642">
        <f t="shared" si="13"/>
        <v>1000000000.0</v>
      </c>
      <c r="BF308" s="642">
        <f t="shared" si="13"/>
        <v>1000000000.0</v>
      </c>
      <c r="BG308" s="642">
        <f t="shared" si="13"/>
        <v>1000000000.0</v>
      </c>
      <c r="BH308" s="642">
        <f t="shared" si="13"/>
        <v>1000000000.0</v>
      </c>
      <c r="BI308" s="642">
        <f t="shared" si="13"/>
        <v>1000000000.0</v>
      </c>
      <c r="BJ308" s="642">
        <f t="shared" si="13"/>
        <v>1000000000.0</v>
      </c>
      <c r="BK308" s="642">
        <f t="shared" si="13"/>
        <v>1000000000.0</v>
      </c>
      <c r="BL308" s="642">
        <f t="shared" si="14"/>
        <v>1000000000.0</v>
      </c>
      <c r="BM308" s="642">
        <f t="shared" si="14"/>
        <v>1000000000.0</v>
      </c>
      <c r="BN308" s="642">
        <f t="shared" si="14"/>
        <v>1000000000.0</v>
      </c>
      <c r="BO308" s="642">
        <f t="shared" si="14"/>
        <v>1000000000.0</v>
      </c>
      <c r="BP308" s="642">
        <f t="shared" si="14"/>
        <v>1000000000.0</v>
      </c>
      <c r="BQ308" s="642">
        <f t="shared" si="14"/>
        <v>1000000000.0</v>
      </c>
      <c r="BR308" s="642">
        <f t="shared" si="14"/>
        <v>1000000000.0</v>
      </c>
      <c r="BS308" s="642">
        <f t="shared" si="14"/>
        <v>1000000000.0</v>
      </c>
      <c r="BT308" s="642">
        <f t="shared" si="14"/>
        <v>1000000000.0</v>
      </c>
      <c r="BU308" s="642">
        <f t="shared" si="14"/>
        <v>1000000000.0</v>
      </c>
      <c r="BV308" s="642">
        <f t="shared" si="15"/>
        <v>1000000000.0</v>
      </c>
      <c r="BW308" s="642">
        <f t="shared" si="15"/>
        <v>1000000000.0</v>
      </c>
      <c r="BX308" s="642">
        <f t="shared" si="15"/>
        <v>1000000000.0</v>
      </c>
      <c r="BY308" s="642">
        <f t="shared" si="15"/>
        <v>1000000000.0</v>
      </c>
      <c r="BZ308" s="642">
        <f t="shared" si="15"/>
        <v>1000000000.0</v>
      </c>
      <c r="CA308" s="642">
        <f t="shared" si="15"/>
        <v>1000000000.0</v>
      </c>
      <c r="CB308" s="642">
        <f t="shared" si="15"/>
        <v>1000000000.0</v>
      </c>
      <c r="CC308" s="642">
        <f t="shared" si="15"/>
        <v>1000000000.0</v>
      </c>
      <c r="CD308" s="642">
        <f t="shared" si="15"/>
        <v>1000000000.0</v>
      </c>
      <c r="CE308" s="642">
        <f t="shared" si="15"/>
        <v>1000000000.0</v>
      </c>
      <c r="CF308" s="642">
        <f t="shared" si="16"/>
        <v>1000000000.0</v>
      </c>
      <c r="CG308" s="642">
        <f t="shared" si="16"/>
        <v>1000000000.0</v>
      </c>
      <c r="CH308" s="642">
        <f t="shared" si="16"/>
        <v>1000000000.0</v>
      </c>
      <c r="CI308" s="642">
        <f t="shared" si="16"/>
        <v>1000000000.0</v>
      </c>
      <c r="CJ308" s="642">
        <f t="shared" si="16"/>
        <v>1000000000.0</v>
      </c>
      <c r="CK308" s="642">
        <f t="shared" si="16"/>
        <v>1000000000.0</v>
      </c>
      <c r="CL308" s="642">
        <f t="shared" si="16"/>
        <v>1000000000.0</v>
      </c>
      <c r="CM308" s="642">
        <f t="shared" si="16"/>
        <v>1000000000.0</v>
      </c>
      <c r="CN308" s="642">
        <f t="shared" si="17"/>
        <v>1000000000.0</v>
      </c>
      <c r="CO308" s="642">
        <f>2*$AD$61*MAX(0,$J$58+I308-$J$64)+IF(L308&lt;$J$38,1000000,0)</f>
        <v>22.166700705882352</v>
      </c>
      <c r="CP308" s="642">
        <f>2*IF($J$175&gt;0,IF($J$392/MIN($J$175,K308)&gt;$M$5*VLOOKUP($L$5,Taxas!$V$22:$W$30,2)/L308,$J$391/MIN($J$175,K308),$J$389/L308),$J$389/L308)</f>
        <v>0.5277785882352941</v>
      </c>
    </row>
    <row r="309" spans="9:94" hidden="1" x14ac:dyDescent="0.25">
      <c r="I309" s="642">
        <f>MIN(5*7,$J$57/2)</f>
        <v>35.0</v>
      </c>
      <c r="J309" s="646">
        <f t="shared" ca="1" si="7"/>
        <v>0.18136704723552904</v>
      </c>
      <c r="K309" s="642">
        <f t="shared" ca="1" si="8"/>
        <v>30.0</v>
      </c>
      <c r="L309" s="642">
        <f ca="1">MIN(ROUNDDOWN($M$5*VLOOKUP($L$5,Taxas!$V$22:$W$30,2)/J309*2,0)/2,K309)</f>
        <v>8.5</v>
      </c>
      <c r="M309" s="642">
        <f ca="1">MIN(ROUNDDOWN($M$6*VLOOKUP($L$6,Taxas!$V$22:$W$30,2)/J309*2,0)/2,K309)</f>
        <v>8.5</v>
      </c>
      <c r="N309" s="642">
        <f t="shared" si="9"/>
        <v>1000000000.0</v>
      </c>
      <c r="O309" s="642">
        <f t="shared" si="9"/>
        <v>1000000000.0</v>
      </c>
      <c r="P309" s="642">
        <f t="shared" si="9"/>
        <v>1000000000.0</v>
      </c>
      <c r="Q309" s="642">
        <f t="shared" si="9"/>
        <v>1000000000.0</v>
      </c>
      <c r="R309" s="642">
        <f t="shared" si="9"/>
        <v>1000000000.0</v>
      </c>
      <c r="S309" s="642">
        <f t="shared" si="9"/>
        <v>1000000000.0</v>
      </c>
      <c r="T309" s="642">
        <f t="shared" si="9"/>
        <v>1000000000.0</v>
      </c>
      <c r="U309" s="642">
        <f t="shared" si="9"/>
        <v>1000000000.0</v>
      </c>
      <c r="V309" s="642">
        <f t="shared" si="9"/>
        <v>1000000000.0</v>
      </c>
      <c r="W309" s="642">
        <f t="shared" si="9"/>
        <v>1000000000.0</v>
      </c>
      <c r="X309" s="642">
        <f t="shared" si="10"/>
        <v>1000000000.0</v>
      </c>
      <c r="Y309" s="642">
        <f t="shared" si="10"/>
        <v>1000000000.0</v>
      </c>
      <c r="Z309" s="642">
        <f t="shared" si="10"/>
        <v>1000000000.0</v>
      </c>
      <c r="AA309" s="642">
        <f t="shared" si="10"/>
        <v>1000000000.0</v>
      </c>
      <c r="AB309" s="642">
        <f t="shared" si="10"/>
        <v>1000000000.0</v>
      </c>
      <c r="AC309" s="642">
        <f t="shared" si="10"/>
        <v>1000000000.0</v>
      </c>
      <c r="AD309" s="642">
        <f t="shared" si="10"/>
        <v>1000000000.0</v>
      </c>
      <c r="AE309" s="642">
        <f t="shared" si="10"/>
        <v>1000000000.0</v>
      </c>
      <c r="AF309" s="642">
        <f t="shared" si="10"/>
        <v>1000000000.0</v>
      </c>
      <c r="AG309" s="642">
        <f t="shared" si="10"/>
        <v>1000000000.0</v>
      </c>
      <c r="AH309" s="642">
        <f t="shared" si="11"/>
        <v>1000000000.0</v>
      </c>
      <c r="AI309" s="642">
        <f t="shared" si="11"/>
        <v>1000000000.0</v>
      </c>
      <c r="AJ309" s="642">
        <f t="shared" si="11"/>
        <v>1000000000.0</v>
      </c>
      <c r="AK309" s="642">
        <f t="shared" si="11"/>
        <v>1000000000.0</v>
      </c>
      <c r="AL309" s="642">
        <f t="shared" si="11"/>
        <v>1000000000.0</v>
      </c>
      <c r="AM309" s="642">
        <f t="shared" si="11"/>
        <v>1000000000.0</v>
      </c>
      <c r="AN309" s="642">
        <f t="shared" si="11"/>
        <v>1000000000.0</v>
      </c>
      <c r="AO309" s="642">
        <f t="shared" si="11"/>
        <v>1000000000.0</v>
      </c>
      <c r="AP309" s="642">
        <f t="shared" si="11"/>
        <v>1000000000.0</v>
      </c>
      <c r="AQ309" s="642">
        <f t="shared" si="11"/>
        <v>1000000000.0</v>
      </c>
      <c r="AR309" s="642">
        <f t="shared" si="12"/>
        <v>1000000000.0</v>
      </c>
      <c r="AS309" s="642">
        <f t="shared" si="12"/>
        <v>1000000000.0</v>
      </c>
      <c r="AT309" s="642">
        <f t="shared" si="12"/>
        <v>1000000000.0</v>
      </c>
      <c r="AU309" s="642">
        <f t="shared" si="12"/>
        <v>1000000000.0</v>
      </c>
      <c r="AV309" s="642">
        <f t="shared" si="12"/>
        <v>1000000000.0</v>
      </c>
      <c r="AW309" s="642">
        <f t="shared" si="12"/>
        <v>1000000000.0</v>
      </c>
      <c r="AX309" s="642">
        <f t="shared" si="12"/>
        <v>1000000000.0</v>
      </c>
      <c r="AY309" s="642">
        <f t="shared" si="12"/>
        <v>1000000000.0</v>
      </c>
      <c r="AZ309" s="642">
        <f t="shared" si="12"/>
        <v>1000000000.0</v>
      </c>
      <c r="BA309" s="642">
        <f t="shared" si="12"/>
        <v>1000000000.0</v>
      </c>
      <c r="BB309" s="642">
        <f t="shared" si="13"/>
        <v>1000000000.0</v>
      </c>
      <c r="BC309" s="642">
        <f t="shared" si="13"/>
        <v>1000000000.0</v>
      </c>
      <c r="BD309" s="642">
        <f t="shared" si="13"/>
        <v>1000000000.0</v>
      </c>
      <c r="BE309" s="642">
        <f t="shared" si="13"/>
        <v>1000000000.0</v>
      </c>
      <c r="BF309" s="642">
        <f t="shared" si="13"/>
        <v>1000000000.0</v>
      </c>
      <c r="BG309" s="642">
        <f t="shared" si="13"/>
        <v>1000000000.0</v>
      </c>
      <c r="BH309" s="642">
        <f t="shared" si="13"/>
        <v>1000000000.0</v>
      </c>
      <c r="BI309" s="642">
        <f t="shared" si="13"/>
        <v>1000000000.0</v>
      </c>
      <c r="BJ309" s="642">
        <f t="shared" si="13"/>
        <v>1000000000.0</v>
      </c>
      <c r="BK309" s="642">
        <f t="shared" si="13"/>
        <v>1000000000.0</v>
      </c>
      <c r="BL309" s="642">
        <f t="shared" si="14"/>
        <v>1000000000.0</v>
      </c>
      <c r="BM309" s="642">
        <f t="shared" si="14"/>
        <v>1000000000.0</v>
      </c>
      <c r="BN309" s="642">
        <f t="shared" si="14"/>
        <v>1000000000.0</v>
      </c>
      <c r="BO309" s="642">
        <f t="shared" si="14"/>
        <v>1000000000.0</v>
      </c>
      <c r="BP309" s="642">
        <f t="shared" si="14"/>
        <v>1000000000.0</v>
      </c>
      <c r="BQ309" s="642">
        <f t="shared" si="14"/>
        <v>1000000000.0</v>
      </c>
      <c r="BR309" s="642">
        <f t="shared" si="14"/>
        <v>1000000000.0</v>
      </c>
      <c r="BS309" s="642">
        <f t="shared" si="14"/>
        <v>1000000000.0</v>
      </c>
      <c r="BT309" s="642">
        <f t="shared" si="14"/>
        <v>1000000000.0</v>
      </c>
      <c r="BU309" s="642">
        <f t="shared" si="14"/>
        <v>1000000000.0</v>
      </c>
      <c r="BV309" s="642">
        <f t="shared" si="15"/>
        <v>1000000000.0</v>
      </c>
      <c r="BW309" s="642">
        <f t="shared" si="15"/>
        <v>1000000000.0</v>
      </c>
      <c r="BX309" s="642">
        <f t="shared" si="15"/>
        <v>1000000000.0</v>
      </c>
      <c r="BY309" s="642">
        <f t="shared" si="15"/>
        <v>1000000000.0</v>
      </c>
      <c r="BZ309" s="642">
        <f t="shared" si="15"/>
        <v>1000000000.0</v>
      </c>
      <c r="CA309" s="642">
        <f t="shared" si="15"/>
        <v>1000000000.0</v>
      </c>
      <c r="CB309" s="642">
        <f t="shared" si="15"/>
        <v>1000000000.0</v>
      </c>
      <c r="CC309" s="642">
        <f t="shared" si="15"/>
        <v>1000000000.0</v>
      </c>
      <c r="CD309" s="642">
        <f t="shared" si="15"/>
        <v>1000000000.0</v>
      </c>
      <c r="CE309" s="642">
        <f t="shared" si="15"/>
        <v>1000000000.0</v>
      </c>
      <c r="CF309" s="642">
        <f t="shared" si="16"/>
        <v>1000000000.0</v>
      </c>
      <c r="CG309" s="642">
        <f t="shared" si="16"/>
        <v>1000000000.0</v>
      </c>
      <c r="CH309" s="642">
        <f t="shared" si="16"/>
        <v>1000000000.0</v>
      </c>
      <c r="CI309" s="642">
        <f t="shared" si="16"/>
        <v>1000000000.0</v>
      </c>
      <c r="CJ309" s="642">
        <f t="shared" si="16"/>
        <v>1000000000.0</v>
      </c>
      <c r="CK309" s="642">
        <f t="shared" si="16"/>
        <v>1000000000.0</v>
      </c>
      <c r="CL309" s="642">
        <f t="shared" si="16"/>
        <v>1000000000.0</v>
      </c>
      <c r="CM309" s="642">
        <f t="shared" si="16"/>
        <v>1000000000.0</v>
      </c>
      <c r="CN309" s="642">
        <f t="shared" si="17"/>
        <v>1000000000.0</v>
      </c>
      <c r="CO309" s="642">
        <f>2*$AD$61*MAX(0,$J$58+I309-$J$64)+IF(L309&lt;$J$38,1000000,0)</f>
        <v>24.805593647058824</v>
      </c>
      <c r="CP309" s="642">
        <f>2*IF($J$175&gt;0,IF($J$392/MIN($J$175,K309)&gt;$M$5*VLOOKUP($L$5,Taxas!$V$22:$W$30,2)/L309,$J$391/MIN($J$175,K309),$J$389/L309),$J$389/L309)</f>
        <v>0.5277785882352941</v>
      </c>
    </row>
    <row r="310" spans="9:94" hidden="1" x14ac:dyDescent="0.25">
      <c r="I310" s="642">
        <f>MIN(5*8,$J$57/2)</f>
        <v>40.0</v>
      </c>
      <c r="J310" s="646">
        <f t="shared" ca="1" si="7"/>
        <v>0.1806889226798643</v>
      </c>
      <c r="K310" s="642">
        <f t="shared" ca="1" si="8"/>
        <v>30.0</v>
      </c>
      <c r="L310" s="642">
        <f ca="1">MIN(ROUNDDOWN($M$5*VLOOKUP($L$5,Taxas!$V$22:$W$30,2)/J310*2,0)/2,K310)</f>
        <v>8.5</v>
      </c>
      <c r="M310" s="642">
        <f ca="1">MIN(ROUNDDOWN($M$6*VLOOKUP($L$6,Taxas!$V$22:$W$30,2)/J310*2,0)/2,K310)</f>
        <v>8.5</v>
      </c>
      <c r="N310" s="642">
        <f t="shared" si="9"/>
        <v>1000000000.0</v>
      </c>
      <c r="O310" s="642">
        <f t="shared" si="9"/>
        <v>1000000000.0</v>
      </c>
      <c r="P310" s="642">
        <f t="shared" si="9"/>
        <v>1000000000.0</v>
      </c>
      <c r="Q310" s="642">
        <f t="shared" si="9"/>
        <v>1000000000.0</v>
      </c>
      <c r="R310" s="642">
        <f t="shared" si="9"/>
        <v>1000000000.0</v>
      </c>
      <c r="S310" s="642">
        <f t="shared" si="9"/>
        <v>1000000000.0</v>
      </c>
      <c r="T310" s="642">
        <f t="shared" si="9"/>
        <v>1000000000.0</v>
      </c>
      <c r="U310" s="642">
        <f t="shared" si="9"/>
        <v>1000000000.0</v>
      </c>
      <c r="V310" s="642">
        <f t="shared" si="9"/>
        <v>1000000000.0</v>
      </c>
      <c r="W310" s="642">
        <f t="shared" si="9"/>
        <v>1000000000.0</v>
      </c>
      <c r="X310" s="642">
        <f t="shared" si="10"/>
        <v>1000000000.0</v>
      </c>
      <c r="Y310" s="642">
        <f t="shared" si="10"/>
        <v>1000000000.0</v>
      </c>
      <c r="Z310" s="642">
        <f t="shared" si="10"/>
        <v>1000000000.0</v>
      </c>
      <c r="AA310" s="642">
        <f t="shared" si="10"/>
        <v>1000000000.0</v>
      </c>
      <c r="AB310" s="642">
        <f t="shared" si="10"/>
        <v>1000000000.0</v>
      </c>
      <c r="AC310" s="642">
        <f t="shared" si="10"/>
        <v>1000000000.0</v>
      </c>
      <c r="AD310" s="642">
        <f t="shared" si="10"/>
        <v>1000000000.0</v>
      </c>
      <c r="AE310" s="642">
        <f t="shared" si="10"/>
        <v>1000000000.0</v>
      </c>
      <c r="AF310" s="642">
        <f t="shared" si="10"/>
        <v>1000000000.0</v>
      </c>
      <c r="AG310" s="642">
        <f t="shared" si="10"/>
        <v>1000000000.0</v>
      </c>
      <c r="AH310" s="642">
        <f t="shared" si="11"/>
        <v>1000000000.0</v>
      </c>
      <c r="AI310" s="642">
        <f t="shared" si="11"/>
        <v>1000000000.0</v>
      </c>
      <c r="AJ310" s="642">
        <f t="shared" si="11"/>
        <v>1000000000.0</v>
      </c>
      <c r="AK310" s="642">
        <f t="shared" si="11"/>
        <v>1000000000.0</v>
      </c>
      <c r="AL310" s="642">
        <f t="shared" si="11"/>
        <v>1000000000.0</v>
      </c>
      <c r="AM310" s="642">
        <f t="shared" si="11"/>
        <v>1000000000.0</v>
      </c>
      <c r="AN310" s="642">
        <f t="shared" si="11"/>
        <v>1000000000.0</v>
      </c>
      <c r="AO310" s="642">
        <f t="shared" si="11"/>
        <v>1000000000.0</v>
      </c>
      <c r="AP310" s="642">
        <f t="shared" si="11"/>
        <v>1000000000.0</v>
      </c>
      <c r="AQ310" s="642">
        <f t="shared" si="11"/>
        <v>1000000000.0</v>
      </c>
      <c r="AR310" s="642">
        <f t="shared" si="12"/>
        <v>1000000000.0</v>
      </c>
      <c r="AS310" s="642">
        <f t="shared" si="12"/>
        <v>1000000000.0</v>
      </c>
      <c r="AT310" s="642">
        <f t="shared" si="12"/>
        <v>1000000000.0</v>
      </c>
      <c r="AU310" s="642">
        <f t="shared" si="12"/>
        <v>1000000000.0</v>
      </c>
      <c r="AV310" s="642">
        <f t="shared" si="12"/>
        <v>1000000000.0</v>
      </c>
      <c r="AW310" s="642">
        <f t="shared" si="12"/>
        <v>1000000000.0</v>
      </c>
      <c r="AX310" s="642">
        <f t="shared" si="12"/>
        <v>1000000000.0</v>
      </c>
      <c r="AY310" s="642">
        <f t="shared" si="12"/>
        <v>1000000000.0</v>
      </c>
      <c r="AZ310" s="642">
        <f t="shared" si="12"/>
        <v>1000000000.0</v>
      </c>
      <c r="BA310" s="642">
        <f t="shared" si="12"/>
        <v>1000000000.0</v>
      </c>
      <c r="BB310" s="642">
        <f t="shared" si="13"/>
        <v>1000000000.0</v>
      </c>
      <c r="BC310" s="642">
        <f t="shared" si="13"/>
        <v>1000000000.0</v>
      </c>
      <c r="BD310" s="642">
        <f t="shared" si="13"/>
        <v>1000000000.0</v>
      </c>
      <c r="BE310" s="642">
        <f t="shared" si="13"/>
        <v>1000000000.0</v>
      </c>
      <c r="BF310" s="642">
        <f t="shared" si="13"/>
        <v>1000000000.0</v>
      </c>
      <c r="BG310" s="642">
        <f t="shared" si="13"/>
        <v>1000000000.0</v>
      </c>
      <c r="BH310" s="642">
        <f t="shared" si="13"/>
        <v>1000000000.0</v>
      </c>
      <c r="BI310" s="642">
        <f t="shared" si="13"/>
        <v>1000000000.0</v>
      </c>
      <c r="BJ310" s="642">
        <f t="shared" si="13"/>
        <v>1000000000.0</v>
      </c>
      <c r="BK310" s="642">
        <f t="shared" si="13"/>
        <v>1000000000.0</v>
      </c>
      <c r="BL310" s="642">
        <f t="shared" si="14"/>
        <v>1000000000.0</v>
      </c>
      <c r="BM310" s="642">
        <f t="shared" si="14"/>
        <v>1000000000.0</v>
      </c>
      <c r="BN310" s="642">
        <f t="shared" si="14"/>
        <v>1000000000.0</v>
      </c>
      <c r="BO310" s="642">
        <f t="shared" si="14"/>
        <v>1000000000.0</v>
      </c>
      <c r="BP310" s="642">
        <f t="shared" si="14"/>
        <v>1000000000.0</v>
      </c>
      <c r="BQ310" s="642">
        <f t="shared" si="14"/>
        <v>1000000000.0</v>
      </c>
      <c r="BR310" s="642">
        <f t="shared" si="14"/>
        <v>1000000000.0</v>
      </c>
      <c r="BS310" s="642">
        <f t="shared" si="14"/>
        <v>1000000000.0</v>
      </c>
      <c r="BT310" s="642">
        <f t="shared" si="14"/>
        <v>1000000000.0</v>
      </c>
      <c r="BU310" s="642">
        <f t="shared" si="14"/>
        <v>1000000000.0</v>
      </c>
      <c r="BV310" s="642">
        <f t="shared" si="15"/>
        <v>1000000000.0</v>
      </c>
      <c r="BW310" s="642">
        <f t="shared" si="15"/>
        <v>1000000000.0</v>
      </c>
      <c r="BX310" s="642">
        <f t="shared" si="15"/>
        <v>1000000000.0</v>
      </c>
      <c r="BY310" s="642">
        <f t="shared" si="15"/>
        <v>1000000000.0</v>
      </c>
      <c r="BZ310" s="642">
        <f t="shared" si="15"/>
        <v>1000000000.0</v>
      </c>
      <c r="CA310" s="642">
        <f t="shared" si="15"/>
        <v>1000000000.0</v>
      </c>
      <c r="CB310" s="642">
        <f t="shared" si="15"/>
        <v>1000000000.0</v>
      </c>
      <c r="CC310" s="642">
        <f t="shared" si="15"/>
        <v>1000000000.0</v>
      </c>
      <c r="CD310" s="642">
        <f t="shared" si="15"/>
        <v>1000000000.0</v>
      </c>
      <c r="CE310" s="642">
        <f t="shared" si="15"/>
        <v>1000000000.0</v>
      </c>
      <c r="CF310" s="642">
        <f t="shared" si="16"/>
        <v>1000000000.0</v>
      </c>
      <c r="CG310" s="642">
        <f t="shared" si="16"/>
        <v>1000000000.0</v>
      </c>
      <c r="CH310" s="642">
        <f t="shared" si="16"/>
        <v>1000000000.0</v>
      </c>
      <c r="CI310" s="642">
        <f t="shared" si="16"/>
        <v>1000000000.0</v>
      </c>
      <c r="CJ310" s="642">
        <f t="shared" si="16"/>
        <v>1000000000.0</v>
      </c>
      <c r="CK310" s="642">
        <f t="shared" si="16"/>
        <v>1000000000.0</v>
      </c>
      <c r="CL310" s="642">
        <f t="shared" si="16"/>
        <v>1000000000.0</v>
      </c>
      <c r="CM310" s="642">
        <f t="shared" si="16"/>
        <v>1000000000.0</v>
      </c>
      <c r="CN310" s="642">
        <f t="shared" si="17"/>
        <v>1000000000.0</v>
      </c>
      <c r="CO310" s="642">
        <f>2*$AD$61*MAX(0,$J$58+I310-$J$64)+IF(L310&lt;$J$38,1000000,0)</f>
        <v>27.444486588235293</v>
      </c>
      <c r="CP310" s="642">
        <f>2*IF($J$175&gt;0,IF($J$392/MIN($J$175,K310)&gt;$M$5*VLOOKUP($L$5,Taxas!$V$22:$W$30,2)/L310,$J$391/MIN($J$175,K310),$J$389/L310),$J$389/L310)</f>
        <v>0.5277785882352941</v>
      </c>
    </row>
    <row r="311" spans="9:94" hidden="1" x14ac:dyDescent="0.25">
      <c r="I311" s="642">
        <f>MIN(5*9,$J$57/2)</f>
        <v>45.0</v>
      </c>
      <c r="J311" s="646">
        <f t="shared" ca="1" si="7"/>
        <v>0.176358886445939</v>
      </c>
      <c r="K311" s="642">
        <f t="shared" ca="1" si="8"/>
        <v>30.0</v>
      </c>
      <c r="L311" s="642">
        <f ca="1">MIN(ROUNDDOWN($M$5*VLOOKUP($L$5,Taxas!$V$22:$W$30,2)/J311*2,0)/2,K311)</f>
        <v>8.5</v>
      </c>
      <c r="M311" s="642">
        <f ca="1">MIN(ROUNDDOWN($M$6*VLOOKUP($L$6,Taxas!$V$22:$W$30,2)/J311*2,0)/2,K311)</f>
        <v>8.5</v>
      </c>
      <c r="N311" s="642">
        <f t="shared" si="9"/>
        <v>1000000000.0</v>
      </c>
      <c r="O311" s="642">
        <f t="shared" si="9"/>
        <v>1000000000.0</v>
      </c>
      <c r="P311" s="642">
        <f t="shared" si="9"/>
        <v>1000000000.0</v>
      </c>
      <c r="Q311" s="642">
        <f t="shared" si="9"/>
        <v>1000000000.0</v>
      </c>
      <c r="R311" s="642">
        <f t="shared" si="9"/>
        <v>1000000000.0</v>
      </c>
      <c r="S311" s="642">
        <f t="shared" si="9"/>
        <v>1000000000.0</v>
      </c>
      <c r="T311" s="642">
        <f t="shared" si="9"/>
        <v>1000000000.0</v>
      </c>
      <c r="U311" s="642">
        <f t="shared" si="9"/>
        <v>1000000000.0</v>
      </c>
      <c r="V311" s="642">
        <f t="shared" si="9"/>
        <v>1000000000.0</v>
      </c>
      <c r="W311" s="642">
        <f t="shared" si="9"/>
        <v>1000000000.0</v>
      </c>
      <c r="X311" s="642">
        <f t="shared" si="10"/>
        <v>1000000000.0</v>
      </c>
      <c r="Y311" s="642">
        <f t="shared" si="10"/>
        <v>1000000000.0</v>
      </c>
      <c r="Z311" s="642">
        <f t="shared" si="10"/>
        <v>1000000000.0</v>
      </c>
      <c r="AA311" s="642">
        <f t="shared" si="10"/>
        <v>1000000000.0</v>
      </c>
      <c r="AB311" s="642">
        <f t="shared" si="10"/>
        <v>1000000000.0</v>
      </c>
      <c r="AC311" s="642">
        <f t="shared" si="10"/>
        <v>1000000000.0</v>
      </c>
      <c r="AD311" s="642">
        <f t="shared" si="10"/>
        <v>1000000000.0</v>
      </c>
      <c r="AE311" s="642">
        <f t="shared" si="10"/>
        <v>1000000000.0</v>
      </c>
      <c r="AF311" s="642">
        <f t="shared" si="10"/>
        <v>1000000000.0</v>
      </c>
      <c r="AG311" s="642">
        <f t="shared" si="10"/>
        <v>1000000000.0</v>
      </c>
      <c r="AH311" s="642">
        <f t="shared" si="11"/>
        <v>1000000000.0</v>
      </c>
      <c r="AI311" s="642">
        <f t="shared" si="11"/>
        <v>1000000000.0</v>
      </c>
      <c r="AJ311" s="642">
        <f t="shared" si="11"/>
        <v>1000000000.0</v>
      </c>
      <c r="AK311" s="642">
        <f t="shared" si="11"/>
        <v>1000000000.0</v>
      </c>
      <c r="AL311" s="642">
        <f t="shared" si="11"/>
        <v>1000000000.0</v>
      </c>
      <c r="AM311" s="642">
        <f t="shared" si="11"/>
        <v>1000000000.0</v>
      </c>
      <c r="AN311" s="642">
        <f t="shared" si="11"/>
        <v>1000000000.0</v>
      </c>
      <c r="AO311" s="642">
        <f t="shared" si="11"/>
        <v>1000000000.0</v>
      </c>
      <c r="AP311" s="642">
        <f t="shared" si="11"/>
        <v>1000000000.0</v>
      </c>
      <c r="AQ311" s="642">
        <f t="shared" si="11"/>
        <v>1000000000.0</v>
      </c>
      <c r="AR311" s="642">
        <f t="shared" si="12"/>
        <v>1000000000.0</v>
      </c>
      <c r="AS311" s="642">
        <f t="shared" si="12"/>
        <v>1000000000.0</v>
      </c>
      <c r="AT311" s="642">
        <f t="shared" si="12"/>
        <v>1000000000.0</v>
      </c>
      <c r="AU311" s="642">
        <f t="shared" si="12"/>
        <v>1000000000.0</v>
      </c>
      <c r="AV311" s="642">
        <f t="shared" si="12"/>
        <v>1000000000.0</v>
      </c>
      <c r="AW311" s="642">
        <f t="shared" si="12"/>
        <v>1000000000.0</v>
      </c>
      <c r="AX311" s="642">
        <f t="shared" si="12"/>
        <v>1000000000.0</v>
      </c>
      <c r="AY311" s="642">
        <f t="shared" si="12"/>
        <v>1000000000.0</v>
      </c>
      <c r="AZ311" s="642">
        <f t="shared" si="12"/>
        <v>1000000000.0</v>
      </c>
      <c r="BA311" s="642">
        <f t="shared" si="12"/>
        <v>1000000000.0</v>
      </c>
      <c r="BB311" s="642">
        <f t="shared" si="13"/>
        <v>1000000000.0</v>
      </c>
      <c r="BC311" s="642">
        <f t="shared" si="13"/>
        <v>1000000000.0</v>
      </c>
      <c r="BD311" s="642">
        <f t="shared" si="13"/>
        <v>1000000000.0</v>
      </c>
      <c r="BE311" s="642">
        <f t="shared" si="13"/>
        <v>1000000000.0</v>
      </c>
      <c r="BF311" s="642">
        <f t="shared" si="13"/>
        <v>1000000000.0</v>
      </c>
      <c r="BG311" s="642">
        <f t="shared" si="13"/>
        <v>1000000000.0</v>
      </c>
      <c r="BH311" s="642">
        <f t="shared" si="13"/>
        <v>1000000000.0</v>
      </c>
      <c r="BI311" s="642">
        <f t="shared" si="13"/>
        <v>1000000000.0</v>
      </c>
      <c r="BJ311" s="642">
        <f t="shared" si="13"/>
        <v>1000000000.0</v>
      </c>
      <c r="BK311" s="642">
        <f t="shared" si="13"/>
        <v>1000000000.0</v>
      </c>
      <c r="BL311" s="642">
        <f t="shared" si="14"/>
        <v>1000000000.0</v>
      </c>
      <c r="BM311" s="642">
        <f t="shared" si="14"/>
        <v>1000000000.0</v>
      </c>
      <c r="BN311" s="642">
        <f t="shared" si="14"/>
        <v>1000000000.0</v>
      </c>
      <c r="BO311" s="642">
        <f t="shared" si="14"/>
        <v>1000000000.0</v>
      </c>
      <c r="BP311" s="642">
        <f t="shared" si="14"/>
        <v>1000000000.0</v>
      </c>
      <c r="BQ311" s="642">
        <f t="shared" si="14"/>
        <v>1000000000.0</v>
      </c>
      <c r="BR311" s="642">
        <f t="shared" si="14"/>
        <v>1000000000.0</v>
      </c>
      <c r="BS311" s="642">
        <f t="shared" si="14"/>
        <v>1000000000.0</v>
      </c>
      <c r="BT311" s="642">
        <f t="shared" si="14"/>
        <v>1000000000.0</v>
      </c>
      <c r="BU311" s="642">
        <f t="shared" si="14"/>
        <v>1000000000.0</v>
      </c>
      <c r="BV311" s="642">
        <f t="shared" si="15"/>
        <v>1000000000.0</v>
      </c>
      <c r="BW311" s="642">
        <f t="shared" si="15"/>
        <v>1000000000.0</v>
      </c>
      <c r="BX311" s="642">
        <f t="shared" si="15"/>
        <v>1000000000.0</v>
      </c>
      <c r="BY311" s="642">
        <f t="shared" si="15"/>
        <v>1000000000.0</v>
      </c>
      <c r="BZ311" s="642">
        <f t="shared" si="15"/>
        <v>1000000000.0</v>
      </c>
      <c r="CA311" s="642">
        <f t="shared" si="15"/>
        <v>1000000000.0</v>
      </c>
      <c r="CB311" s="642">
        <f t="shared" si="15"/>
        <v>1000000000.0</v>
      </c>
      <c r="CC311" s="642">
        <f t="shared" si="15"/>
        <v>1000000000.0</v>
      </c>
      <c r="CD311" s="642">
        <f t="shared" si="15"/>
        <v>1000000000.0</v>
      </c>
      <c r="CE311" s="642">
        <f t="shared" si="15"/>
        <v>1000000000.0</v>
      </c>
      <c r="CF311" s="642">
        <f t="shared" si="16"/>
        <v>1000000000.0</v>
      </c>
      <c r="CG311" s="642">
        <f t="shared" si="16"/>
        <v>1000000000.0</v>
      </c>
      <c r="CH311" s="642">
        <f t="shared" si="16"/>
        <v>1000000000.0</v>
      </c>
      <c r="CI311" s="642">
        <f t="shared" si="16"/>
        <v>1000000000.0</v>
      </c>
      <c r="CJ311" s="642">
        <f t="shared" si="16"/>
        <v>1000000000.0</v>
      </c>
      <c r="CK311" s="642">
        <f t="shared" si="16"/>
        <v>1000000000.0</v>
      </c>
      <c r="CL311" s="642">
        <f t="shared" si="16"/>
        <v>1000000000.0</v>
      </c>
      <c r="CM311" s="642">
        <f t="shared" si="16"/>
        <v>1000000000.0</v>
      </c>
      <c r="CN311" s="642">
        <f t="shared" si="17"/>
        <v>1000000000.0</v>
      </c>
      <c r="CO311" s="642">
        <f>2*$AD$61*MAX(0,$J$58+I311-$J$64)+IF(L311&lt;$J$38,1000000,0)</f>
        <v>30.083379529411765</v>
      </c>
      <c r="CP311" s="642">
        <f>2*IF($J$175&gt;0,IF($J$392/MIN($J$175,K311)&gt;$M$5*VLOOKUP($L$5,Taxas!$V$22:$W$30,2)/L311,$J$391/MIN($J$175,K311),$J$389/L311),$J$389/L311)</f>
        <v>0.5277785882352941</v>
      </c>
    </row>
    <row r="312" spans="9:94" hidden="1" x14ac:dyDescent="0.25">
      <c r="I312" s="642">
        <f>MIN(5*10,$J$57/2)</f>
        <v>50.0</v>
      </c>
      <c r="J312" s="646">
        <f t="shared" ca="1" si="7"/>
        <v>0.17202885021201372</v>
      </c>
      <c r="K312" s="642">
        <f t="shared" ca="1" si="8"/>
        <v>30.0</v>
      </c>
      <c r="L312" s="642">
        <f ca="1">MIN(ROUNDDOWN($M$5*VLOOKUP($L$5,Taxas!$V$22:$W$30,2)/J312*2,0)/2,K312)</f>
        <v>9.0</v>
      </c>
      <c r="M312" s="642">
        <f ca="1">MIN(ROUNDDOWN($M$6*VLOOKUP($L$6,Taxas!$V$22:$W$30,2)/J312*2,0)/2,K312)</f>
        <v>9.0</v>
      </c>
      <c r="N312" s="642">
        <f t="shared" si="9"/>
        <v>1000000000.0</v>
      </c>
      <c r="O312" s="642">
        <f t="shared" si="9"/>
        <v>1000000000.0</v>
      </c>
      <c r="P312" s="642">
        <f t="shared" si="9"/>
        <v>1000000000.0</v>
      </c>
      <c r="Q312" s="642">
        <f t="shared" si="9"/>
        <v>1000000000.0</v>
      </c>
      <c r="R312" s="642">
        <f t="shared" si="9"/>
        <v>1000000000.0</v>
      </c>
      <c r="S312" s="642">
        <f t="shared" si="9"/>
        <v>1000000000.0</v>
      </c>
      <c r="T312" s="642">
        <f t="shared" si="9"/>
        <v>1000000000.0</v>
      </c>
      <c r="U312" s="642">
        <f t="shared" si="9"/>
        <v>1000000000.0</v>
      </c>
      <c r="V312" s="642">
        <f t="shared" si="9"/>
        <v>1000000000.0</v>
      </c>
      <c r="W312" s="642">
        <f t="shared" si="9"/>
        <v>1000000000.0</v>
      </c>
      <c r="X312" s="642">
        <f t="shared" si="10"/>
        <v>1000000000.0</v>
      </c>
      <c r="Y312" s="642">
        <f t="shared" si="10"/>
        <v>1000000000.0</v>
      </c>
      <c r="Z312" s="642">
        <f t="shared" si="10"/>
        <v>1000000000.0</v>
      </c>
      <c r="AA312" s="642">
        <f t="shared" si="10"/>
        <v>1000000000.0</v>
      </c>
      <c r="AB312" s="642">
        <f t="shared" si="10"/>
        <v>1000000000.0</v>
      </c>
      <c r="AC312" s="642">
        <f t="shared" si="10"/>
        <v>1000000000.0</v>
      </c>
      <c r="AD312" s="642">
        <f t="shared" si="10"/>
        <v>1000000000.0</v>
      </c>
      <c r="AE312" s="642">
        <f t="shared" si="10"/>
        <v>1000000000.0</v>
      </c>
      <c r="AF312" s="642">
        <f t="shared" si="10"/>
        <v>1000000000.0</v>
      </c>
      <c r="AG312" s="642">
        <f t="shared" si="10"/>
        <v>1000000000.0</v>
      </c>
      <c r="AH312" s="642">
        <f t="shared" si="11"/>
        <v>1000000000.0</v>
      </c>
      <c r="AI312" s="642">
        <f t="shared" si="11"/>
        <v>1000000000.0</v>
      </c>
      <c r="AJ312" s="642">
        <f t="shared" si="11"/>
        <v>1000000000.0</v>
      </c>
      <c r="AK312" s="642">
        <f t="shared" si="11"/>
        <v>1000000000.0</v>
      </c>
      <c r="AL312" s="642">
        <f t="shared" si="11"/>
        <v>1000000000.0</v>
      </c>
      <c r="AM312" s="642">
        <f t="shared" si="11"/>
        <v>1000000000.0</v>
      </c>
      <c r="AN312" s="642">
        <f t="shared" si="11"/>
        <v>1000000000.0</v>
      </c>
      <c r="AO312" s="642">
        <f t="shared" si="11"/>
        <v>1000000000.0</v>
      </c>
      <c r="AP312" s="642">
        <f t="shared" si="11"/>
        <v>1000000000.0</v>
      </c>
      <c r="AQ312" s="642">
        <f t="shared" si="11"/>
        <v>1000000000.0</v>
      </c>
      <c r="AR312" s="642">
        <f t="shared" si="12"/>
        <v>1000000000.0</v>
      </c>
      <c r="AS312" s="642">
        <f t="shared" si="12"/>
        <v>1000000000.0</v>
      </c>
      <c r="AT312" s="642">
        <f t="shared" si="12"/>
        <v>1000000000.0</v>
      </c>
      <c r="AU312" s="642">
        <f t="shared" si="12"/>
        <v>1000000000.0</v>
      </c>
      <c r="AV312" s="642">
        <f t="shared" si="12"/>
        <v>1000000000.0</v>
      </c>
      <c r="AW312" s="642">
        <f t="shared" si="12"/>
        <v>1000000000.0</v>
      </c>
      <c r="AX312" s="642">
        <f t="shared" si="12"/>
        <v>1000000000.0</v>
      </c>
      <c r="AY312" s="642">
        <f t="shared" si="12"/>
        <v>1000000000.0</v>
      </c>
      <c r="AZ312" s="642">
        <f t="shared" si="12"/>
        <v>1000000000.0</v>
      </c>
      <c r="BA312" s="642">
        <f t="shared" si="12"/>
        <v>1000000000.0</v>
      </c>
      <c r="BB312" s="642">
        <f t="shared" si="13"/>
        <v>1000000000.0</v>
      </c>
      <c r="BC312" s="642">
        <f t="shared" si="13"/>
        <v>1000000000.0</v>
      </c>
      <c r="BD312" s="642">
        <f t="shared" si="13"/>
        <v>1000000000.0</v>
      </c>
      <c r="BE312" s="642">
        <f t="shared" si="13"/>
        <v>1000000000.0</v>
      </c>
      <c r="BF312" s="642">
        <f t="shared" si="13"/>
        <v>1000000000.0</v>
      </c>
      <c r="BG312" s="642">
        <f t="shared" si="13"/>
        <v>1000000000.0</v>
      </c>
      <c r="BH312" s="642">
        <f t="shared" si="13"/>
        <v>1000000000.0</v>
      </c>
      <c r="BI312" s="642">
        <f t="shared" si="13"/>
        <v>1000000000.0</v>
      </c>
      <c r="BJ312" s="642">
        <f t="shared" si="13"/>
        <v>1000000000.0</v>
      </c>
      <c r="BK312" s="642">
        <f t="shared" si="13"/>
        <v>1000000000.0</v>
      </c>
      <c r="BL312" s="642">
        <f t="shared" si="14"/>
        <v>1000000000.0</v>
      </c>
      <c r="BM312" s="642">
        <f t="shared" si="14"/>
        <v>1000000000.0</v>
      </c>
      <c r="BN312" s="642">
        <f t="shared" si="14"/>
        <v>1000000000.0</v>
      </c>
      <c r="BO312" s="642">
        <f t="shared" si="14"/>
        <v>1000000000.0</v>
      </c>
      <c r="BP312" s="642">
        <f t="shared" si="14"/>
        <v>1000000000.0</v>
      </c>
      <c r="BQ312" s="642">
        <f t="shared" si="14"/>
        <v>1000000000.0</v>
      </c>
      <c r="BR312" s="642">
        <f t="shared" si="14"/>
        <v>1000000000.0</v>
      </c>
      <c r="BS312" s="642">
        <f t="shared" si="14"/>
        <v>1000000000.0</v>
      </c>
      <c r="BT312" s="642">
        <f t="shared" si="14"/>
        <v>1000000000.0</v>
      </c>
      <c r="BU312" s="642">
        <f t="shared" si="14"/>
        <v>1000000000.0</v>
      </c>
      <c r="BV312" s="642">
        <f t="shared" si="15"/>
        <v>1000000000.0</v>
      </c>
      <c r="BW312" s="642">
        <f t="shared" si="15"/>
        <v>1000000000.0</v>
      </c>
      <c r="BX312" s="642">
        <f t="shared" si="15"/>
        <v>1000000000.0</v>
      </c>
      <c r="BY312" s="642">
        <f t="shared" si="15"/>
        <v>1000000000.0</v>
      </c>
      <c r="BZ312" s="642">
        <f t="shared" si="15"/>
        <v>1000000000.0</v>
      </c>
      <c r="CA312" s="642">
        <f t="shared" si="15"/>
        <v>1000000000.0</v>
      </c>
      <c r="CB312" s="642">
        <f t="shared" si="15"/>
        <v>1000000000.0</v>
      </c>
      <c r="CC312" s="642">
        <f t="shared" si="15"/>
        <v>1000000000.0</v>
      </c>
      <c r="CD312" s="642">
        <f t="shared" si="15"/>
        <v>1000000000.0</v>
      </c>
      <c r="CE312" s="642">
        <f t="shared" si="15"/>
        <v>1000000000.0</v>
      </c>
      <c r="CF312" s="642">
        <f t="shared" si="16"/>
        <v>1000000000.0</v>
      </c>
      <c r="CG312" s="642">
        <f t="shared" si="16"/>
        <v>1000000000.0</v>
      </c>
      <c r="CH312" s="642">
        <f t="shared" si="16"/>
        <v>1000000000.0</v>
      </c>
      <c r="CI312" s="642">
        <f t="shared" si="16"/>
        <v>1000000000.0</v>
      </c>
      <c r="CJ312" s="642">
        <f t="shared" si="16"/>
        <v>1000000000.0</v>
      </c>
      <c r="CK312" s="642">
        <f t="shared" si="16"/>
        <v>1000000000.0</v>
      </c>
      <c r="CL312" s="642">
        <f t="shared" si="16"/>
        <v>1000000000.0</v>
      </c>
      <c r="CM312" s="642">
        <f t="shared" si="16"/>
        <v>1000000000.0</v>
      </c>
      <c r="CN312" s="642">
        <f t="shared" si="17"/>
        <v>1000000000.0</v>
      </c>
      <c r="CO312" s="642">
        <f>2*$AD$61*MAX(0,$J$58+I312-$J$64)+IF(L312&lt;$J$38,1000000,0)</f>
        <v>32.72227247058824</v>
      </c>
      <c r="CP312" s="642">
        <f>2*IF($J$175&gt;0,IF($J$392/MIN($J$175,K312)&gt;$M$5*VLOOKUP($L$5,Taxas!$V$22:$W$30,2)/L312,$J$391/MIN($J$175,K312),$J$389/L312),$J$389/L312)</f>
        <v>0.4984575555555556</v>
      </c>
    </row>
    <row r="313" spans="9:94" hidden="1" x14ac:dyDescent="0.25">
      <c r="I313" s="642">
        <f>MIN(5*11,$J$57/2)</f>
        <v>55.0</v>
      </c>
      <c r="J313" s="646">
        <f t="shared" ca="1" si="7"/>
        <v>0.16769881397808842</v>
      </c>
      <c r="K313" s="642">
        <f t="shared" ca="1" si="8"/>
        <v>30.0</v>
      </c>
      <c r="L313" s="642">
        <f ca="1">MIN(ROUNDDOWN($M$5*VLOOKUP($L$5,Taxas!$V$22:$W$30,2)/J313*2,0)/2,K313)</f>
        <v>9.0</v>
      </c>
      <c r="M313" s="642">
        <f ca="1">MIN(ROUNDDOWN($M$6*VLOOKUP($L$6,Taxas!$V$22:$W$30,2)/J313*2,0)/2,K313)</f>
        <v>9.0</v>
      </c>
      <c r="N313" s="642">
        <f t="shared" ref="N313:W322" si="20">IF(OR($I313&lt;$J$59,N$302-$I313&lt;$J$59),1000000000,$CO313+N$301+$CP313*(N$302-$I313))</f>
        <v>1000000000.0</v>
      </c>
      <c r="O313" s="642">
        <f t="shared" si="20"/>
        <v>1000000000.0</v>
      </c>
      <c r="P313" s="642">
        <f t="shared" si="20"/>
        <v>1000000000.0</v>
      </c>
      <c r="Q313" s="642">
        <f t="shared" si="20"/>
        <v>1000000000.0</v>
      </c>
      <c r="R313" s="642">
        <f t="shared" si="20"/>
        <v>1000000000.0</v>
      </c>
      <c r="S313" s="642">
        <f t="shared" si="20"/>
        <v>1000000000.0</v>
      </c>
      <c r="T313" s="642">
        <f t="shared" si="20"/>
        <v>1000000000.0</v>
      </c>
      <c r="U313" s="642">
        <f t="shared" si="20"/>
        <v>1000000000.0</v>
      </c>
      <c r="V313" s="642">
        <f t="shared" si="20"/>
        <v>1000000000.0</v>
      </c>
      <c r="W313" s="642">
        <f t="shared" si="20"/>
        <v>1000000000.0</v>
      </c>
      <c r="X313" s="642">
        <f t="shared" ref="X313:AG322" si="21">IF(OR($I313&lt;$J$59,X$302-$I313&lt;$J$59),1000000000,$CO313+X$301+$CP313*(X$302-$I313))</f>
        <v>1000000000.0</v>
      </c>
      <c r="Y313" s="642">
        <f t="shared" si="21"/>
        <v>1000000000.0</v>
      </c>
      <c r="Z313" s="642">
        <f t="shared" si="21"/>
        <v>1000000000.0</v>
      </c>
      <c r="AA313" s="642">
        <f t="shared" si="21"/>
        <v>1000000000.0</v>
      </c>
      <c r="AB313" s="642">
        <f t="shared" si="21"/>
        <v>1000000000.0</v>
      </c>
      <c r="AC313" s="642">
        <f t="shared" si="21"/>
        <v>1000000000.0</v>
      </c>
      <c r="AD313" s="642">
        <f t="shared" si="21"/>
        <v>1000000000.0</v>
      </c>
      <c r="AE313" s="642">
        <f t="shared" si="21"/>
        <v>1000000000.0</v>
      </c>
      <c r="AF313" s="642">
        <f t="shared" si="21"/>
        <v>1000000000.0</v>
      </c>
      <c r="AG313" s="642">
        <f t="shared" si="21"/>
        <v>1000000000.0</v>
      </c>
      <c r="AH313" s="642">
        <f t="shared" ref="AH313:AQ322" si="22">IF(OR($I313&lt;$J$59,AH$302-$I313&lt;$J$59),1000000000,$CO313+AH$301+$CP313*(AH$302-$I313))</f>
        <v>1000000000.0</v>
      </c>
      <c r="AI313" s="642">
        <f t="shared" si="22"/>
        <v>1000000000.0</v>
      </c>
      <c r="AJ313" s="642">
        <f t="shared" si="22"/>
        <v>1000000000.0</v>
      </c>
      <c r="AK313" s="642">
        <f t="shared" si="22"/>
        <v>1000000000.0</v>
      </c>
      <c r="AL313" s="642">
        <f t="shared" si="22"/>
        <v>1000000000.0</v>
      </c>
      <c r="AM313" s="642">
        <f t="shared" si="22"/>
        <v>1000000000.0</v>
      </c>
      <c r="AN313" s="642">
        <f t="shared" si="22"/>
        <v>1000000000.0</v>
      </c>
      <c r="AO313" s="642">
        <f t="shared" si="22"/>
        <v>1000000000.0</v>
      </c>
      <c r="AP313" s="642">
        <f t="shared" si="22"/>
        <v>1000000000.0</v>
      </c>
      <c r="AQ313" s="642">
        <f t="shared" si="22"/>
        <v>1000000000.0</v>
      </c>
      <c r="AR313" s="642">
        <f t="shared" ref="AR313:BA322" si="23">IF(OR($I313&lt;$J$59,AR$302-$I313&lt;$J$59),1000000000,$CO313+AR$301+$CP313*(AR$302-$I313))</f>
        <v>1000000000.0</v>
      </c>
      <c r="AS313" s="642">
        <f t="shared" si="23"/>
        <v>1000000000.0</v>
      </c>
      <c r="AT313" s="642">
        <f t="shared" si="23"/>
        <v>1000000000.0</v>
      </c>
      <c r="AU313" s="642">
        <f t="shared" si="23"/>
        <v>1000000000.0</v>
      </c>
      <c r="AV313" s="642">
        <f t="shared" si="23"/>
        <v>1000000000.0</v>
      </c>
      <c r="AW313" s="642">
        <f t="shared" si="23"/>
        <v>1000000000.0</v>
      </c>
      <c r="AX313" s="642">
        <f t="shared" si="23"/>
        <v>1000000000.0</v>
      </c>
      <c r="AY313" s="642">
        <f t="shared" si="23"/>
        <v>1000000000.0</v>
      </c>
      <c r="AZ313" s="642">
        <f t="shared" si="23"/>
        <v>1000000000.0</v>
      </c>
      <c r="BA313" s="642">
        <f t="shared" si="23"/>
        <v>1000000000.0</v>
      </c>
      <c r="BB313" s="642">
        <f t="shared" ref="BB313:BK322" si="24">IF(OR($I313&lt;$J$59,BB$302-$I313&lt;$J$59),1000000000,$CO313+BB$301+$CP313*(BB$302-$I313))</f>
        <v>1000000000.0</v>
      </c>
      <c r="BC313" s="642">
        <f t="shared" si="24"/>
        <v>1000000000.0</v>
      </c>
      <c r="BD313" s="642">
        <f t="shared" si="24"/>
        <v>1000000000.0</v>
      </c>
      <c r="BE313" s="642">
        <f t="shared" si="24"/>
        <v>1000000000.0</v>
      </c>
      <c r="BF313" s="642">
        <f t="shared" si="24"/>
        <v>1000000000.0</v>
      </c>
      <c r="BG313" s="642">
        <f t="shared" si="24"/>
        <v>1000000000.0</v>
      </c>
      <c r="BH313" s="642">
        <f t="shared" si="24"/>
        <v>1000000000.0</v>
      </c>
      <c r="BI313" s="642">
        <f t="shared" si="24"/>
        <v>1000000000.0</v>
      </c>
      <c r="BJ313" s="642">
        <f t="shared" si="24"/>
        <v>1000000000.0</v>
      </c>
      <c r="BK313" s="642">
        <f t="shared" si="24"/>
        <v>1000000000.0</v>
      </c>
      <c r="BL313" s="642">
        <f t="shared" ref="BL313:BU322" si="25">IF(OR($I313&lt;$J$59,BL$302-$I313&lt;$J$59),1000000000,$CO313+BL$301+$CP313*(BL$302-$I313))</f>
        <v>1000000000.0</v>
      </c>
      <c r="BM313" s="642">
        <f t="shared" si="25"/>
        <v>1000000000.0</v>
      </c>
      <c r="BN313" s="642">
        <f t="shared" si="25"/>
        <v>1000000000.0</v>
      </c>
      <c r="BO313" s="642">
        <f t="shared" si="25"/>
        <v>1000000000.0</v>
      </c>
      <c r="BP313" s="642">
        <f t="shared" si="25"/>
        <v>1000000000.0</v>
      </c>
      <c r="BQ313" s="642">
        <f t="shared" si="25"/>
        <v>1000000000.0</v>
      </c>
      <c r="BR313" s="642">
        <f t="shared" si="25"/>
        <v>1000000000.0</v>
      </c>
      <c r="BS313" s="642">
        <f t="shared" si="25"/>
        <v>1000000000.0</v>
      </c>
      <c r="BT313" s="642">
        <f t="shared" si="25"/>
        <v>1000000000.0</v>
      </c>
      <c r="BU313" s="642">
        <f t="shared" si="25"/>
        <v>1000000000.0</v>
      </c>
      <c r="BV313" s="642">
        <f t="shared" ref="BV313:CE322" si="26">IF(OR($I313&lt;$J$59,BV$302-$I313&lt;$J$59),1000000000,$CO313+BV$301+$CP313*(BV$302-$I313))</f>
        <v>1000000000.0</v>
      </c>
      <c r="BW313" s="642">
        <f t="shared" si="26"/>
        <v>1000000000.0</v>
      </c>
      <c r="BX313" s="642">
        <f t="shared" si="26"/>
        <v>1000000000.0</v>
      </c>
      <c r="BY313" s="642">
        <f t="shared" si="26"/>
        <v>1000000000.0</v>
      </c>
      <c r="BZ313" s="642">
        <f t="shared" si="26"/>
        <v>1000000000.0</v>
      </c>
      <c r="CA313" s="642">
        <f t="shared" si="26"/>
        <v>1000000000.0</v>
      </c>
      <c r="CB313" s="642">
        <f t="shared" si="26"/>
        <v>1000000000.0</v>
      </c>
      <c r="CC313" s="642">
        <f t="shared" si="26"/>
        <v>1000000000.0</v>
      </c>
      <c r="CD313" s="642">
        <f t="shared" si="26"/>
        <v>1000000000.0</v>
      </c>
      <c r="CE313" s="642">
        <f t="shared" si="26"/>
        <v>1000000000.0</v>
      </c>
      <c r="CF313" s="642">
        <f t="shared" ref="CF313:CM322" si="27">IF(OR($I313&lt;$J$59,CF$302-$I313&lt;$J$59),1000000000,$CO313+CF$301+$CP313*(CF$302-$I313))</f>
        <v>1000000000.0</v>
      </c>
      <c r="CG313" s="642">
        <f t="shared" si="27"/>
        <v>1000000000.0</v>
      </c>
      <c r="CH313" s="642">
        <f t="shared" si="27"/>
        <v>1000000000.0</v>
      </c>
      <c r="CI313" s="642">
        <f t="shared" si="27"/>
        <v>1000000000.0</v>
      </c>
      <c r="CJ313" s="642">
        <f t="shared" si="27"/>
        <v>1000000000.0</v>
      </c>
      <c r="CK313" s="642">
        <f t="shared" si="27"/>
        <v>1000000000.0</v>
      </c>
      <c r="CL313" s="642">
        <f t="shared" si="27"/>
        <v>1000000000.0</v>
      </c>
      <c r="CM313" s="642">
        <f t="shared" si="27"/>
        <v>1000000000.0</v>
      </c>
      <c r="CN313" s="642">
        <f t="shared" si="17"/>
        <v>1000000000.0</v>
      </c>
      <c r="CO313" s="642">
        <f>2*$AD$61*MAX(0,$J$58+I313-$J$64)+IF(L313&lt;$J$38,1000000,0)</f>
        <v>35.3611654117647</v>
      </c>
      <c r="CP313" s="642">
        <f>2*IF($J$175&gt;0,IF($J$392/MIN($J$175,K313)&gt;$M$5*VLOOKUP($L$5,Taxas!$V$22:$W$30,2)/L313,$J$391/MIN($J$175,K313),$J$389/L313),$J$389/L313)</f>
        <v>0.4984575555555556</v>
      </c>
    </row>
    <row r="314" spans="9:94" hidden="1" x14ac:dyDescent="0.25">
      <c r="I314" s="642">
        <f>MIN(5*12,$J$57/2)</f>
        <v>60.0</v>
      </c>
      <c r="J314" s="646">
        <f t="shared" ca="1" si="7"/>
        <v>0.16336877774416314</v>
      </c>
      <c r="K314" s="642">
        <f t="shared" ca="1" si="8"/>
        <v>30.0</v>
      </c>
      <c r="L314" s="642">
        <f ca="1">MIN(ROUNDDOWN($M$5*VLOOKUP($L$5,Taxas!$V$22:$W$30,2)/J314*2,0)/2,K314)</f>
        <v>9.5</v>
      </c>
      <c r="M314" s="642">
        <f ca="1">MIN(ROUNDDOWN($M$6*VLOOKUP($L$6,Taxas!$V$22:$W$30,2)/J314*2,0)/2,K314)</f>
        <v>9.5</v>
      </c>
      <c r="N314" s="642">
        <f t="shared" si="20"/>
        <v>1000000000.0</v>
      </c>
      <c r="O314" s="642">
        <f t="shared" si="20"/>
        <v>1000000000.0</v>
      </c>
      <c r="P314" s="642">
        <f t="shared" si="20"/>
        <v>1000000000.0</v>
      </c>
      <c r="Q314" s="642">
        <f t="shared" si="20"/>
        <v>1000000000.0</v>
      </c>
      <c r="R314" s="642">
        <f t="shared" si="20"/>
        <v>1000000000.0</v>
      </c>
      <c r="S314" s="642">
        <f t="shared" si="20"/>
        <v>1000000000.0</v>
      </c>
      <c r="T314" s="642">
        <f t="shared" si="20"/>
        <v>1000000000.0</v>
      </c>
      <c r="U314" s="642">
        <f t="shared" si="20"/>
        <v>1000000000.0</v>
      </c>
      <c r="V314" s="642">
        <f t="shared" si="20"/>
        <v>1000000000.0</v>
      </c>
      <c r="W314" s="642">
        <f t="shared" si="20"/>
        <v>1000000000.0</v>
      </c>
      <c r="X314" s="642">
        <f t="shared" si="21"/>
        <v>1000000000.0</v>
      </c>
      <c r="Y314" s="642">
        <f t="shared" si="21"/>
        <v>1000000000.0</v>
      </c>
      <c r="Z314" s="642">
        <f t="shared" si="21"/>
        <v>1000000000.0</v>
      </c>
      <c r="AA314" s="642">
        <f t="shared" si="21"/>
        <v>1000000000.0</v>
      </c>
      <c r="AB314" s="642">
        <f t="shared" si="21"/>
        <v>1000000000.0</v>
      </c>
      <c r="AC314" s="642">
        <f t="shared" si="21"/>
        <v>1000000000.0</v>
      </c>
      <c r="AD314" s="642">
        <f t="shared" si="21"/>
        <v>1000000000.0</v>
      </c>
      <c r="AE314" s="642">
        <f t="shared" si="21"/>
        <v>1000000000.0</v>
      </c>
      <c r="AF314" s="642">
        <f t="shared" si="21"/>
        <v>1000000000.0</v>
      </c>
      <c r="AG314" s="642">
        <f t="shared" si="21"/>
        <v>1000000000.0</v>
      </c>
      <c r="AH314" s="642">
        <f t="shared" si="22"/>
        <v>1000000000.0</v>
      </c>
      <c r="AI314" s="642">
        <f t="shared" si="22"/>
        <v>1000000000.0</v>
      </c>
      <c r="AJ314" s="642">
        <f t="shared" si="22"/>
        <v>1000000000.0</v>
      </c>
      <c r="AK314" s="642">
        <f t="shared" si="22"/>
        <v>1000000000.0</v>
      </c>
      <c r="AL314" s="642">
        <f t="shared" si="22"/>
        <v>1000000000.0</v>
      </c>
      <c r="AM314" s="642">
        <f t="shared" si="22"/>
        <v>1000000000.0</v>
      </c>
      <c r="AN314" s="642">
        <f t="shared" si="22"/>
        <v>1000000000.0</v>
      </c>
      <c r="AO314" s="642">
        <f t="shared" si="22"/>
        <v>1000000000.0</v>
      </c>
      <c r="AP314" s="642">
        <f t="shared" si="22"/>
        <v>1000000000.0</v>
      </c>
      <c r="AQ314" s="642">
        <f t="shared" si="22"/>
        <v>1000000000.0</v>
      </c>
      <c r="AR314" s="642">
        <f t="shared" si="23"/>
        <v>1000000000.0</v>
      </c>
      <c r="AS314" s="642">
        <f t="shared" si="23"/>
        <v>1000000000.0</v>
      </c>
      <c r="AT314" s="642">
        <f t="shared" si="23"/>
        <v>1000000000.0</v>
      </c>
      <c r="AU314" s="642">
        <f t="shared" si="23"/>
        <v>1000000000.0</v>
      </c>
      <c r="AV314" s="642">
        <f t="shared" si="23"/>
        <v>1000000000.0</v>
      </c>
      <c r="AW314" s="642">
        <f t="shared" si="23"/>
        <v>1000000000.0</v>
      </c>
      <c r="AX314" s="642">
        <f t="shared" si="23"/>
        <v>1000000000.0</v>
      </c>
      <c r="AY314" s="642">
        <f t="shared" si="23"/>
        <v>1000000000.0</v>
      </c>
      <c r="AZ314" s="642">
        <f t="shared" si="23"/>
        <v>1000000000.0</v>
      </c>
      <c r="BA314" s="642">
        <f t="shared" si="23"/>
        <v>1000000000.0</v>
      </c>
      <c r="BB314" s="642">
        <f t="shared" si="24"/>
        <v>1000000000.0</v>
      </c>
      <c r="BC314" s="642">
        <f t="shared" si="24"/>
        <v>1000000000.0</v>
      </c>
      <c r="BD314" s="642">
        <f t="shared" si="24"/>
        <v>1000000000.0</v>
      </c>
      <c r="BE314" s="642">
        <f t="shared" si="24"/>
        <v>1000000000.0</v>
      </c>
      <c r="BF314" s="642">
        <f t="shared" si="24"/>
        <v>1000000000.0</v>
      </c>
      <c r="BG314" s="642">
        <f t="shared" si="24"/>
        <v>1000000000.0</v>
      </c>
      <c r="BH314" s="642">
        <f t="shared" si="24"/>
        <v>1000000000.0</v>
      </c>
      <c r="BI314" s="642">
        <f t="shared" si="24"/>
        <v>1000000000.0</v>
      </c>
      <c r="BJ314" s="642">
        <f t="shared" si="24"/>
        <v>1000000000.0</v>
      </c>
      <c r="BK314" s="642">
        <f t="shared" si="24"/>
        <v>1000000000.0</v>
      </c>
      <c r="BL314" s="642">
        <f t="shared" si="25"/>
        <v>1000000000.0</v>
      </c>
      <c r="BM314" s="642">
        <f t="shared" si="25"/>
        <v>1000000000.0</v>
      </c>
      <c r="BN314" s="642">
        <f t="shared" si="25"/>
        <v>1000000000.0</v>
      </c>
      <c r="BO314" s="642">
        <f t="shared" si="25"/>
        <v>1000000000.0</v>
      </c>
      <c r="BP314" s="642">
        <f t="shared" si="25"/>
        <v>1000000000.0</v>
      </c>
      <c r="BQ314" s="642">
        <f t="shared" si="25"/>
        <v>1000000000.0</v>
      </c>
      <c r="BR314" s="642">
        <f t="shared" si="25"/>
        <v>1000000000.0</v>
      </c>
      <c r="BS314" s="642">
        <f t="shared" si="25"/>
        <v>1000000000.0</v>
      </c>
      <c r="BT314" s="642">
        <f t="shared" si="25"/>
        <v>1000000000.0</v>
      </c>
      <c r="BU314" s="642">
        <f t="shared" si="25"/>
        <v>1000000000.0</v>
      </c>
      <c r="BV314" s="642">
        <f t="shared" si="26"/>
        <v>1000000000.0</v>
      </c>
      <c r="BW314" s="642">
        <f t="shared" si="26"/>
        <v>1000000000.0</v>
      </c>
      <c r="BX314" s="642">
        <f t="shared" si="26"/>
        <v>1000000000.0</v>
      </c>
      <c r="BY314" s="642">
        <f t="shared" si="26"/>
        <v>1000000000.0</v>
      </c>
      <c r="BZ314" s="642">
        <f t="shared" si="26"/>
        <v>1000000000.0</v>
      </c>
      <c r="CA314" s="642">
        <f t="shared" si="26"/>
        <v>1000000000.0</v>
      </c>
      <c r="CB314" s="642">
        <f t="shared" si="26"/>
        <v>1000000000.0</v>
      </c>
      <c r="CC314" s="642">
        <f t="shared" si="26"/>
        <v>1000000000.0</v>
      </c>
      <c r="CD314" s="642">
        <f t="shared" si="26"/>
        <v>1000000000.0</v>
      </c>
      <c r="CE314" s="642">
        <f t="shared" si="26"/>
        <v>1000000000.0</v>
      </c>
      <c r="CF314" s="642">
        <f t="shared" si="27"/>
        <v>1000000000.0</v>
      </c>
      <c r="CG314" s="642">
        <f t="shared" si="27"/>
        <v>1000000000.0</v>
      </c>
      <c r="CH314" s="642">
        <f t="shared" si="27"/>
        <v>1000000000.0</v>
      </c>
      <c r="CI314" s="642">
        <f t="shared" si="27"/>
        <v>1000000000.0</v>
      </c>
      <c r="CJ314" s="642">
        <f t="shared" si="27"/>
        <v>1000000000.0</v>
      </c>
      <c r="CK314" s="642">
        <f t="shared" si="27"/>
        <v>1000000000.0</v>
      </c>
      <c r="CL314" s="642">
        <f t="shared" si="27"/>
        <v>1000000000.0</v>
      </c>
      <c r="CM314" s="642">
        <f t="shared" si="27"/>
        <v>1000000000.0</v>
      </c>
      <c r="CN314" s="642">
        <f t="shared" si="17"/>
        <v>1000000000.0</v>
      </c>
      <c r="CO314" s="642">
        <f>2*$AD$61*MAX(0,$J$58+I314-$J$64)+IF(L314&lt;$J$38,1000000,0)</f>
        <v>38.000058352941174</v>
      </c>
      <c r="CP314" s="642">
        <f>2*IF($J$175&gt;0,IF($J$392/MIN($J$175,K314)&gt;$M$5*VLOOKUP($L$5,Taxas!$V$22:$W$30,2)/L314,$J$391/MIN($J$175,K314),$J$389/L314),$J$389/L314)</f>
        <v>0.4722229473684211</v>
      </c>
    </row>
    <row r="315" spans="9:94" hidden="1" x14ac:dyDescent="0.25">
      <c r="I315" s="642">
        <f>MIN(5*13,$J$57/2)</f>
        <v>65.0</v>
      </c>
      <c r="J315" s="646">
        <f t="shared" ca="1" si="7"/>
        <v>0.15903874151023784</v>
      </c>
      <c r="K315" s="642">
        <f t="shared" ca="1" si="8"/>
        <v>30.0</v>
      </c>
      <c r="L315" s="642">
        <f ca="1">MIN(ROUNDDOWN($M$5*VLOOKUP($L$5,Taxas!$V$22:$W$30,2)/J315*2,0)/2,K315)</f>
        <v>9.5</v>
      </c>
      <c r="M315" s="642">
        <f ca="1">MIN(ROUNDDOWN($M$6*VLOOKUP($L$6,Taxas!$V$22:$W$30,2)/J315*2,0)/2,K315)</f>
        <v>9.5</v>
      </c>
      <c r="N315" s="642">
        <f t="shared" si="20"/>
        <v>1000000000.0</v>
      </c>
      <c r="O315" s="642">
        <f t="shared" si="20"/>
        <v>1000000000.0</v>
      </c>
      <c r="P315" s="642">
        <f t="shared" si="20"/>
        <v>1000000000.0</v>
      </c>
      <c r="Q315" s="642">
        <f t="shared" si="20"/>
        <v>1000000000.0</v>
      </c>
      <c r="R315" s="642">
        <f t="shared" si="20"/>
        <v>1000000000.0</v>
      </c>
      <c r="S315" s="642">
        <f t="shared" si="20"/>
        <v>1000000000.0</v>
      </c>
      <c r="T315" s="642">
        <f t="shared" si="20"/>
        <v>1000000000.0</v>
      </c>
      <c r="U315" s="642">
        <f t="shared" si="20"/>
        <v>1000000000.0</v>
      </c>
      <c r="V315" s="642">
        <f t="shared" si="20"/>
        <v>1000000000.0</v>
      </c>
      <c r="W315" s="642">
        <f t="shared" si="20"/>
        <v>1000000000.0</v>
      </c>
      <c r="X315" s="642">
        <f t="shared" si="21"/>
        <v>1000000000.0</v>
      </c>
      <c r="Y315" s="642">
        <f t="shared" si="21"/>
        <v>1000000000.0</v>
      </c>
      <c r="Z315" s="642">
        <f t="shared" si="21"/>
        <v>1000000000.0</v>
      </c>
      <c r="AA315" s="642">
        <f t="shared" si="21"/>
        <v>1000000000.0</v>
      </c>
      <c r="AB315" s="642">
        <f t="shared" si="21"/>
        <v>1000000000.0</v>
      </c>
      <c r="AC315" s="642">
        <f t="shared" si="21"/>
        <v>1000000000.0</v>
      </c>
      <c r="AD315" s="642">
        <f t="shared" si="21"/>
        <v>1000000000.0</v>
      </c>
      <c r="AE315" s="642">
        <f t="shared" si="21"/>
        <v>1000000000.0</v>
      </c>
      <c r="AF315" s="642">
        <f t="shared" si="21"/>
        <v>1000000000.0</v>
      </c>
      <c r="AG315" s="642">
        <f t="shared" si="21"/>
        <v>1000000000.0</v>
      </c>
      <c r="AH315" s="642">
        <f t="shared" si="22"/>
        <v>1000000000.0</v>
      </c>
      <c r="AI315" s="642">
        <f t="shared" si="22"/>
        <v>1000000000.0</v>
      </c>
      <c r="AJ315" s="642">
        <f t="shared" si="22"/>
        <v>1000000000.0</v>
      </c>
      <c r="AK315" s="642">
        <f t="shared" si="22"/>
        <v>1000000000.0</v>
      </c>
      <c r="AL315" s="642">
        <f t="shared" si="22"/>
        <v>1000000000.0</v>
      </c>
      <c r="AM315" s="642">
        <f t="shared" si="22"/>
        <v>1000000000.0</v>
      </c>
      <c r="AN315" s="642">
        <f t="shared" si="22"/>
        <v>1000000000.0</v>
      </c>
      <c r="AO315" s="642">
        <f t="shared" si="22"/>
        <v>1000000000.0</v>
      </c>
      <c r="AP315" s="642">
        <f t="shared" si="22"/>
        <v>1000000000.0</v>
      </c>
      <c r="AQ315" s="642">
        <f t="shared" si="22"/>
        <v>1000000000.0</v>
      </c>
      <c r="AR315" s="642">
        <f t="shared" si="23"/>
        <v>1000000000.0</v>
      </c>
      <c r="AS315" s="642">
        <f t="shared" si="23"/>
        <v>1000000000.0</v>
      </c>
      <c r="AT315" s="642">
        <f t="shared" si="23"/>
        <v>1000000000.0</v>
      </c>
      <c r="AU315" s="642">
        <f t="shared" si="23"/>
        <v>1000000000.0</v>
      </c>
      <c r="AV315" s="642">
        <f t="shared" si="23"/>
        <v>1000000000.0</v>
      </c>
      <c r="AW315" s="642">
        <f t="shared" si="23"/>
        <v>1000000000.0</v>
      </c>
      <c r="AX315" s="642">
        <f t="shared" si="23"/>
        <v>1000000000.0</v>
      </c>
      <c r="AY315" s="642">
        <f t="shared" si="23"/>
        <v>1000000000.0</v>
      </c>
      <c r="AZ315" s="642">
        <f t="shared" si="23"/>
        <v>1000000000.0</v>
      </c>
      <c r="BA315" s="642">
        <f t="shared" si="23"/>
        <v>1000000000.0</v>
      </c>
      <c r="BB315" s="642">
        <f t="shared" si="24"/>
        <v>1000000000.0</v>
      </c>
      <c r="BC315" s="642">
        <f t="shared" si="24"/>
        <v>1000000000.0</v>
      </c>
      <c r="BD315" s="642">
        <f t="shared" si="24"/>
        <v>1000000000.0</v>
      </c>
      <c r="BE315" s="642">
        <f t="shared" si="24"/>
        <v>1000000000.0</v>
      </c>
      <c r="BF315" s="642">
        <f t="shared" si="24"/>
        <v>1000000000.0</v>
      </c>
      <c r="BG315" s="642">
        <f t="shared" si="24"/>
        <v>1000000000.0</v>
      </c>
      <c r="BH315" s="642">
        <f t="shared" si="24"/>
        <v>1000000000.0</v>
      </c>
      <c r="BI315" s="642">
        <f t="shared" si="24"/>
        <v>1000000000.0</v>
      </c>
      <c r="BJ315" s="642">
        <f t="shared" si="24"/>
        <v>1000000000.0</v>
      </c>
      <c r="BK315" s="642">
        <f t="shared" si="24"/>
        <v>1000000000.0</v>
      </c>
      <c r="BL315" s="642">
        <f t="shared" si="25"/>
        <v>1000000000.0</v>
      </c>
      <c r="BM315" s="642">
        <f t="shared" si="25"/>
        <v>1000000000.0</v>
      </c>
      <c r="BN315" s="642">
        <f t="shared" si="25"/>
        <v>1000000000.0</v>
      </c>
      <c r="BO315" s="642">
        <f t="shared" si="25"/>
        <v>1000000000.0</v>
      </c>
      <c r="BP315" s="642">
        <f t="shared" si="25"/>
        <v>1000000000.0</v>
      </c>
      <c r="BQ315" s="642">
        <f t="shared" si="25"/>
        <v>1000000000.0</v>
      </c>
      <c r="BR315" s="642">
        <f t="shared" si="25"/>
        <v>1000000000.0</v>
      </c>
      <c r="BS315" s="642">
        <f t="shared" si="25"/>
        <v>1000000000.0</v>
      </c>
      <c r="BT315" s="642">
        <f t="shared" si="25"/>
        <v>1000000000.0</v>
      </c>
      <c r="BU315" s="642">
        <f t="shared" si="25"/>
        <v>1000000000.0</v>
      </c>
      <c r="BV315" s="642">
        <f t="shared" si="26"/>
        <v>1000000000.0</v>
      </c>
      <c r="BW315" s="642">
        <f t="shared" si="26"/>
        <v>1000000000.0</v>
      </c>
      <c r="BX315" s="642">
        <f t="shared" si="26"/>
        <v>1000000000.0</v>
      </c>
      <c r="BY315" s="642">
        <f t="shared" si="26"/>
        <v>1000000000.0</v>
      </c>
      <c r="BZ315" s="642">
        <f t="shared" si="26"/>
        <v>1000000000.0</v>
      </c>
      <c r="CA315" s="642">
        <f t="shared" si="26"/>
        <v>1000000000.0</v>
      </c>
      <c r="CB315" s="642">
        <f t="shared" si="26"/>
        <v>1000000000.0</v>
      </c>
      <c r="CC315" s="642">
        <f t="shared" si="26"/>
        <v>1000000000.0</v>
      </c>
      <c r="CD315" s="642">
        <f t="shared" si="26"/>
        <v>1000000000.0</v>
      </c>
      <c r="CE315" s="642">
        <f t="shared" si="26"/>
        <v>1000000000.0</v>
      </c>
      <c r="CF315" s="642">
        <f t="shared" si="27"/>
        <v>1000000000.0</v>
      </c>
      <c r="CG315" s="642">
        <f t="shared" si="27"/>
        <v>1000000000.0</v>
      </c>
      <c r="CH315" s="642">
        <f t="shared" si="27"/>
        <v>1000000000.0</v>
      </c>
      <c r="CI315" s="642">
        <f t="shared" si="27"/>
        <v>1000000000.0</v>
      </c>
      <c r="CJ315" s="642">
        <f t="shared" si="27"/>
        <v>1000000000.0</v>
      </c>
      <c r="CK315" s="642">
        <f t="shared" si="27"/>
        <v>1000000000.0</v>
      </c>
      <c r="CL315" s="642">
        <f t="shared" si="27"/>
        <v>1000000000.0</v>
      </c>
      <c r="CM315" s="642">
        <f t="shared" si="27"/>
        <v>1000000000.0</v>
      </c>
      <c r="CN315" s="642">
        <f t="shared" si="17"/>
        <v>1000000000.0</v>
      </c>
      <c r="CO315" s="642">
        <f>2*$AD$61*MAX(0,$J$58+I315-$J$64)+IF(L315&lt;$J$38,1000000,0)</f>
        <v>40.638951294117646</v>
      </c>
      <c r="CP315" s="642">
        <f>2*IF($J$175&gt;0,IF($J$392/MIN($J$175,K315)&gt;$M$5*VLOOKUP($L$5,Taxas!$V$22:$W$30,2)/L315,$J$391/MIN($J$175,K315),$J$389/L315),$J$389/L315)</f>
        <v>0.4722229473684211</v>
      </c>
    </row>
    <row r="316" spans="9:94" hidden="1" x14ac:dyDescent="0.25">
      <c r="I316" s="642">
        <f>MIN(5*14,$J$57/2)</f>
        <v>70.0</v>
      </c>
      <c r="J316" s="646">
        <f t="shared" ca="1" si="7"/>
        <v>0.15470870527631256</v>
      </c>
      <c r="K316" s="642">
        <f t="shared" ca="1" si="8"/>
        <v>30.0</v>
      </c>
      <c r="L316" s="642">
        <f ca="1">MIN(ROUNDDOWN($M$5*VLOOKUP($L$5,Taxas!$V$22:$W$30,2)/J316*2,0)/2,K316)</f>
        <v>10.0</v>
      </c>
      <c r="M316" s="642">
        <f ca="1">MIN(ROUNDDOWN($M$6*VLOOKUP($L$6,Taxas!$V$22:$W$30,2)/J316*2,0)/2,K316)</f>
        <v>10.0</v>
      </c>
      <c r="N316" s="642">
        <f t="shared" si="20"/>
        <v>1000000000.0</v>
      </c>
      <c r="O316" s="642">
        <f t="shared" si="20"/>
        <v>1000000000.0</v>
      </c>
      <c r="P316" s="642">
        <f t="shared" si="20"/>
        <v>1000000000.0</v>
      </c>
      <c r="Q316" s="642">
        <f t="shared" si="20"/>
        <v>1000000000.0</v>
      </c>
      <c r="R316" s="642">
        <f t="shared" si="20"/>
        <v>1000000000.0</v>
      </c>
      <c r="S316" s="642">
        <f t="shared" si="20"/>
        <v>1000000000.0</v>
      </c>
      <c r="T316" s="642">
        <f t="shared" si="20"/>
        <v>1000000000.0</v>
      </c>
      <c r="U316" s="642">
        <f t="shared" si="20"/>
        <v>1000000000.0</v>
      </c>
      <c r="V316" s="642">
        <f t="shared" si="20"/>
        <v>1000000000.0</v>
      </c>
      <c r="W316" s="642">
        <f t="shared" si="20"/>
        <v>1000000000.0</v>
      </c>
      <c r="X316" s="642">
        <f t="shared" si="21"/>
        <v>1000000000.0</v>
      </c>
      <c r="Y316" s="642">
        <f t="shared" si="21"/>
        <v>1000000000.0</v>
      </c>
      <c r="Z316" s="642">
        <f t="shared" si="21"/>
        <v>1000000000.0</v>
      </c>
      <c r="AA316" s="642">
        <f t="shared" si="21"/>
        <v>1000000000.0</v>
      </c>
      <c r="AB316" s="642">
        <f t="shared" si="21"/>
        <v>1000000000.0</v>
      </c>
      <c r="AC316" s="642">
        <f t="shared" si="21"/>
        <v>1000000000.0</v>
      </c>
      <c r="AD316" s="642">
        <f t="shared" si="21"/>
        <v>1000000000.0</v>
      </c>
      <c r="AE316" s="642">
        <f t="shared" si="21"/>
        <v>1000000000.0</v>
      </c>
      <c r="AF316" s="642">
        <f t="shared" si="21"/>
        <v>1000000000.0</v>
      </c>
      <c r="AG316" s="642">
        <f t="shared" si="21"/>
        <v>1000000000.0</v>
      </c>
      <c r="AH316" s="642">
        <f t="shared" si="22"/>
        <v>1000000000.0</v>
      </c>
      <c r="AI316" s="642">
        <f t="shared" si="22"/>
        <v>1000000000.0</v>
      </c>
      <c r="AJ316" s="642">
        <f t="shared" si="22"/>
        <v>1000000000.0</v>
      </c>
      <c r="AK316" s="642">
        <f t="shared" si="22"/>
        <v>1000000000.0</v>
      </c>
      <c r="AL316" s="642">
        <f t="shared" si="22"/>
        <v>1000000000.0</v>
      </c>
      <c r="AM316" s="642">
        <f t="shared" si="22"/>
        <v>1000000000.0</v>
      </c>
      <c r="AN316" s="642">
        <f t="shared" si="22"/>
        <v>1000000000.0</v>
      </c>
      <c r="AO316" s="642">
        <f t="shared" si="22"/>
        <v>1000000000.0</v>
      </c>
      <c r="AP316" s="642">
        <f t="shared" si="22"/>
        <v>1000000000.0</v>
      </c>
      <c r="AQ316" s="642">
        <f t="shared" si="22"/>
        <v>1000000000.0</v>
      </c>
      <c r="AR316" s="642">
        <f t="shared" si="23"/>
        <v>1000000000.0</v>
      </c>
      <c r="AS316" s="642">
        <f t="shared" si="23"/>
        <v>1000000000.0</v>
      </c>
      <c r="AT316" s="642">
        <f t="shared" si="23"/>
        <v>1000000000.0</v>
      </c>
      <c r="AU316" s="642">
        <f t="shared" si="23"/>
        <v>1000000000.0</v>
      </c>
      <c r="AV316" s="642">
        <f t="shared" si="23"/>
        <v>1000000000.0</v>
      </c>
      <c r="AW316" s="642">
        <f t="shared" si="23"/>
        <v>1000000000.0</v>
      </c>
      <c r="AX316" s="642">
        <f t="shared" si="23"/>
        <v>1000000000.0</v>
      </c>
      <c r="AY316" s="642">
        <f t="shared" si="23"/>
        <v>1000000000.0</v>
      </c>
      <c r="AZ316" s="642">
        <f t="shared" si="23"/>
        <v>1000000000.0</v>
      </c>
      <c r="BA316" s="642">
        <f t="shared" si="23"/>
        <v>1000000000.0</v>
      </c>
      <c r="BB316" s="642">
        <f t="shared" si="24"/>
        <v>1000000000.0</v>
      </c>
      <c r="BC316" s="642">
        <f t="shared" si="24"/>
        <v>1000000000.0</v>
      </c>
      <c r="BD316" s="642">
        <f t="shared" si="24"/>
        <v>1000000000.0</v>
      </c>
      <c r="BE316" s="642">
        <f t="shared" si="24"/>
        <v>1000000000.0</v>
      </c>
      <c r="BF316" s="642">
        <f t="shared" si="24"/>
        <v>1000000000.0</v>
      </c>
      <c r="BG316" s="642">
        <f t="shared" si="24"/>
        <v>1000000000.0</v>
      </c>
      <c r="BH316" s="642">
        <f t="shared" si="24"/>
        <v>1000000000.0</v>
      </c>
      <c r="BI316" s="642">
        <f t="shared" si="24"/>
        <v>1000000000.0</v>
      </c>
      <c r="BJ316" s="642">
        <f t="shared" si="24"/>
        <v>1000000000.0</v>
      </c>
      <c r="BK316" s="642">
        <f t="shared" si="24"/>
        <v>1000000000.0</v>
      </c>
      <c r="BL316" s="642">
        <f t="shared" si="25"/>
        <v>1000000000.0</v>
      </c>
      <c r="BM316" s="642">
        <f t="shared" si="25"/>
        <v>1000000000.0</v>
      </c>
      <c r="BN316" s="642">
        <f t="shared" si="25"/>
        <v>1000000000.0</v>
      </c>
      <c r="BO316" s="642">
        <f t="shared" si="25"/>
        <v>1000000000.0</v>
      </c>
      <c r="BP316" s="642">
        <f t="shared" si="25"/>
        <v>1000000000.0</v>
      </c>
      <c r="BQ316" s="642">
        <f t="shared" si="25"/>
        <v>1000000000.0</v>
      </c>
      <c r="BR316" s="642">
        <f t="shared" si="25"/>
        <v>1000000000.0</v>
      </c>
      <c r="BS316" s="642">
        <f t="shared" si="25"/>
        <v>1000000000.0</v>
      </c>
      <c r="BT316" s="642">
        <f t="shared" si="25"/>
        <v>1000000000.0</v>
      </c>
      <c r="BU316" s="642">
        <f t="shared" si="25"/>
        <v>1000000000.0</v>
      </c>
      <c r="BV316" s="642">
        <f t="shared" si="26"/>
        <v>1000000000.0</v>
      </c>
      <c r="BW316" s="642">
        <f t="shared" si="26"/>
        <v>1000000000.0</v>
      </c>
      <c r="BX316" s="642">
        <f t="shared" si="26"/>
        <v>1000000000.0</v>
      </c>
      <c r="BY316" s="642">
        <f t="shared" si="26"/>
        <v>1000000000.0</v>
      </c>
      <c r="BZ316" s="642">
        <f t="shared" si="26"/>
        <v>1000000000.0</v>
      </c>
      <c r="CA316" s="642">
        <f t="shared" si="26"/>
        <v>1000000000.0</v>
      </c>
      <c r="CB316" s="642">
        <f t="shared" si="26"/>
        <v>1000000000.0</v>
      </c>
      <c r="CC316" s="642">
        <f t="shared" si="26"/>
        <v>1000000000.0</v>
      </c>
      <c r="CD316" s="642">
        <f t="shared" si="26"/>
        <v>1000000000.0</v>
      </c>
      <c r="CE316" s="642">
        <f t="shared" si="26"/>
        <v>1000000000.0</v>
      </c>
      <c r="CF316" s="642">
        <f t="shared" si="27"/>
        <v>1000000000.0</v>
      </c>
      <c r="CG316" s="642">
        <f t="shared" si="27"/>
        <v>1000000000.0</v>
      </c>
      <c r="CH316" s="642">
        <f t="shared" si="27"/>
        <v>1000000000.0</v>
      </c>
      <c r="CI316" s="642">
        <f t="shared" si="27"/>
        <v>1000000000.0</v>
      </c>
      <c r="CJ316" s="642">
        <f t="shared" si="27"/>
        <v>1000000000.0</v>
      </c>
      <c r="CK316" s="642">
        <f t="shared" si="27"/>
        <v>1000000000.0</v>
      </c>
      <c r="CL316" s="642">
        <f t="shared" si="27"/>
        <v>1000000000.0</v>
      </c>
      <c r="CM316" s="642">
        <f t="shared" si="27"/>
        <v>1000000000.0</v>
      </c>
      <c r="CN316" s="642">
        <f t="shared" si="17"/>
        <v>1000000000.0</v>
      </c>
      <c r="CO316" s="642">
        <f>2*$AD$61*MAX(0,$J$58+I316-$J$64)+IF(L316&lt;$J$38,1000000,0)</f>
        <v>43.27784423529412</v>
      </c>
      <c r="CP316" s="642">
        <f>2*IF($J$175&gt;0,IF($J$392/MIN($J$175,K316)&gt;$M$5*VLOOKUP($L$5,Taxas!$V$22:$W$30,2)/L316,$J$391/MIN($J$175,K316),$J$389/L316),$J$389/L316)</f>
        <v>0.4486118</v>
      </c>
    </row>
    <row r="317" spans="9:94" hidden="1" x14ac:dyDescent="0.25">
      <c r="I317" s="642">
        <f>MIN(5*15,$J$57/2)</f>
        <v>75.0</v>
      </c>
      <c r="J317" s="646">
        <f t="shared" ca="1" si="7"/>
        <v>0.15037866904238725</v>
      </c>
      <c r="K317" s="642">
        <f t="shared" ca="1" si="8"/>
        <v>30.0</v>
      </c>
      <c r="L317" s="642">
        <f ca="1">MIN(ROUNDDOWN($M$5*VLOOKUP($L$5,Taxas!$V$22:$W$30,2)/J317*2,0)/2,K317)</f>
        <v>10.0</v>
      </c>
      <c r="M317" s="642">
        <f ca="1">MIN(ROUNDDOWN($M$6*VLOOKUP($L$6,Taxas!$V$22:$W$30,2)/J317*2,0)/2,K317)</f>
        <v>10.0</v>
      </c>
      <c r="N317" s="642">
        <f t="shared" si="20"/>
        <v>1000000000.0</v>
      </c>
      <c r="O317" s="642">
        <f t="shared" si="20"/>
        <v>1000000000.0</v>
      </c>
      <c r="P317" s="642">
        <f t="shared" si="20"/>
        <v>1000000000.0</v>
      </c>
      <c r="Q317" s="642">
        <f t="shared" si="20"/>
        <v>1000000000.0</v>
      </c>
      <c r="R317" s="642">
        <f t="shared" si="20"/>
        <v>1000000000.0</v>
      </c>
      <c r="S317" s="642">
        <f t="shared" si="20"/>
        <v>1000000000.0</v>
      </c>
      <c r="T317" s="642">
        <f t="shared" si="20"/>
        <v>1000000000.0</v>
      </c>
      <c r="U317" s="642">
        <f t="shared" si="20"/>
        <v>1000000000.0</v>
      </c>
      <c r="V317" s="642">
        <f t="shared" si="20"/>
        <v>1000000000.0</v>
      </c>
      <c r="W317" s="642">
        <f t="shared" si="20"/>
        <v>1000000000.0</v>
      </c>
      <c r="X317" s="642">
        <f t="shared" si="21"/>
        <v>1000000000.0</v>
      </c>
      <c r="Y317" s="642">
        <f t="shared" si="21"/>
        <v>1000000000.0</v>
      </c>
      <c r="Z317" s="642">
        <f t="shared" si="21"/>
        <v>1000000000.0</v>
      </c>
      <c r="AA317" s="642">
        <f t="shared" si="21"/>
        <v>1000000000.0</v>
      </c>
      <c r="AB317" s="642">
        <f t="shared" si="21"/>
        <v>1000000000.0</v>
      </c>
      <c r="AC317" s="642">
        <f t="shared" si="21"/>
        <v>1000000000.0</v>
      </c>
      <c r="AD317" s="642">
        <f t="shared" si="21"/>
        <v>1000000000.0</v>
      </c>
      <c r="AE317" s="642">
        <f t="shared" si="21"/>
        <v>1000000000.0</v>
      </c>
      <c r="AF317" s="642">
        <f t="shared" si="21"/>
        <v>1000000000.0</v>
      </c>
      <c r="AG317" s="642">
        <f t="shared" si="21"/>
        <v>1000000000.0</v>
      </c>
      <c r="AH317" s="642">
        <f t="shared" si="22"/>
        <v>1000000000.0</v>
      </c>
      <c r="AI317" s="642">
        <f t="shared" si="22"/>
        <v>1000000000.0</v>
      </c>
      <c r="AJ317" s="642">
        <f t="shared" si="22"/>
        <v>1000000000.0</v>
      </c>
      <c r="AK317" s="642">
        <f t="shared" si="22"/>
        <v>1000000000.0</v>
      </c>
      <c r="AL317" s="642">
        <f t="shared" si="22"/>
        <v>1000000000.0</v>
      </c>
      <c r="AM317" s="642">
        <f t="shared" si="22"/>
        <v>1000000000.0</v>
      </c>
      <c r="AN317" s="642">
        <f t="shared" si="22"/>
        <v>1000000000.0</v>
      </c>
      <c r="AO317" s="642">
        <f t="shared" si="22"/>
        <v>1000000000.0</v>
      </c>
      <c r="AP317" s="642">
        <f t="shared" si="22"/>
        <v>1000000000.0</v>
      </c>
      <c r="AQ317" s="642">
        <f t="shared" si="22"/>
        <v>1000000000.0</v>
      </c>
      <c r="AR317" s="642">
        <f t="shared" si="23"/>
        <v>1000000000.0</v>
      </c>
      <c r="AS317" s="642">
        <f t="shared" si="23"/>
        <v>1000000000.0</v>
      </c>
      <c r="AT317" s="642">
        <f t="shared" si="23"/>
        <v>1000000000.0</v>
      </c>
      <c r="AU317" s="642">
        <f t="shared" si="23"/>
        <v>1000000000.0</v>
      </c>
      <c r="AV317" s="642">
        <f t="shared" si="23"/>
        <v>1000000000.0</v>
      </c>
      <c r="AW317" s="642">
        <f t="shared" si="23"/>
        <v>1000000000.0</v>
      </c>
      <c r="AX317" s="642">
        <f t="shared" si="23"/>
        <v>1000000000.0</v>
      </c>
      <c r="AY317" s="642">
        <f t="shared" si="23"/>
        <v>1000000000.0</v>
      </c>
      <c r="AZ317" s="642">
        <f t="shared" si="23"/>
        <v>1000000000.0</v>
      </c>
      <c r="BA317" s="642">
        <f t="shared" si="23"/>
        <v>1000000000.0</v>
      </c>
      <c r="BB317" s="642">
        <f t="shared" si="24"/>
        <v>1000000000.0</v>
      </c>
      <c r="BC317" s="642">
        <f t="shared" si="24"/>
        <v>1000000000.0</v>
      </c>
      <c r="BD317" s="642">
        <f t="shared" si="24"/>
        <v>1000000000.0</v>
      </c>
      <c r="BE317" s="642">
        <f t="shared" si="24"/>
        <v>1000000000.0</v>
      </c>
      <c r="BF317" s="642">
        <f t="shared" si="24"/>
        <v>1000000000.0</v>
      </c>
      <c r="BG317" s="642">
        <f t="shared" si="24"/>
        <v>1000000000.0</v>
      </c>
      <c r="BH317" s="642">
        <f t="shared" si="24"/>
        <v>1000000000.0</v>
      </c>
      <c r="BI317" s="642">
        <f t="shared" si="24"/>
        <v>1000000000.0</v>
      </c>
      <c r="BJ317" s="642">
        <f t="shared" si="24"/>
        <v>1000000000.0</v>
      </c>
      <c r="BK317" s="642">
        <f t="shared" si="24"/>
        <v>1000000000.0</v>
      </c>
      <c r="BL317" s="642">
        <f t="shared" si="25"/>
        <v>1000000000.0</v>
      </c>
      <c r="BM317" s="642">
        <f t="shared" si="25"/>
        <v>1000000000.0</v>
      </c>
      <c r="BN317" s="642">
        <f t="shared" si="25"/>
        <v>1000000000.0</v>
      </c>
      <c r="BO317" s="642">
        <f t="shared" si="25"/>
        <v>1000000000.0</v>
      </c>
      <c r="BP317" s="642">
        <f t="shared" si="25"/>
        <v>1000000000.0</v>
      </c>
      <c r="BQ317" s="642">
        <f t="shared" si="25"/>
        <v>1000000000.0</v>
      </c>
      <c r="BR317" s="642">
        <f t="shared" si="25"/>
        <v>1000000000.0</v>
      </c>
      <c r="BS317" s="642">
        <f t="shared" si="25"/>
        <v>1000000000.0</v>
      </c>
      <c r="BT317" s="642">
        <f t="shared" si="25"/>
        <v>1000000000.0</v>
      </c>
      <c r="BU317" s="642">
        <f t="shared" si="25"/>
        <v>1000000000.0</v>
      </c>
      <c r="BV317" s="642">
        <f t="shared" si="26"/>
        <v>1000000000.0</v>
      </c>
      <c r="BW317" s="642">
        <f t="shared" si="26"/>
        <v>1000000000.0</v>
      </c>
      <c r="BX317" s="642">
        <f t="shared" si="26"/>
        <v>1000000000.0</v>
      </c>
      <c r="BY317" s="642">
        <f t="shared" si="26"/>
        <v>1000000000.0</v>
      </c>
      <c r="BZ317" s="642">
        <f t="shared" si="26"/>
        <v>1000000000.0</v>
      </c>
      <c r="CA317" s="642">
        <f t="shared" si="26"/>
        <v>1000000000.0</v>
      </c>
      <c r="CB317" s="642">
        <f t="shared" si="26"/>
        <v>1000000000.0</v>
      </c>
      <c r="CC317" s="642">
        <f t="shared" si="26"/>
        <v>1000000000.0</v>
      </c>
      <c r="CD317" s="642">
        <f t="shared" si="26"/>
        <v>1000000000.0</v>
      </c>
      <c r="CE317" s="642">
        <f t="shared" si="26"/>
        <v>1000000000.0</v>
      </c>
      <c r="CF317" s="642">
        <f t="shared" si="27"/>
        <v>1000000000.0</v>
      </c>
      <c r="CG317" s="642">
        <f t="shared" si="27"/>
        <v>1000000000.0</v>
      </c>
      <c r="CH317" s="642">
        <f t="shared" si="27"/>
        <v>1000000000.0</v>
      </c>
      <c r="CI317" s="642">
        <f t="shared" si="27"/>
        <v>1000000000.0</v>
      </c>
      <c r="CJ317" s="642">
        <f t="shared" si="27"/>
        <v>1000000000.0</v>
      </c>
      <c r="CK317" s="642">
        <f t="shared" si="27"/>
        <v>1000000000.0</v>
      </c>
      <c r="CL317" s="642">
        <f t="shared" si="27"/>
        <v>1000000000.0</v>
      </c>
      <c r="CM317" s="642">
        <f t="shared" si="27"/>
        <v>1000000000.0</v>
      </c>
      <c r="CN317" s="642">
        <f t="shared" si="17"/>
        <v>1000000000.0</v>
      </c>
      <c r="CO317" s="642">
        <f>2*$AD$61*MAX(0,$J$58+I317-$J$64)+IF(L317&lt;$J$38,1000000,0)</f>
        <v>45.91673717647059</v>
      </c>
      <c r="CP317" s="642">
        <f>2*IF($J$175&gt;0,IF($J$392/MIN($J$175,K317)&gt;$M$5*VLOOKUP($L$5,Taxas!$V$22:$W$30,2)/L317,$J$391/MIN($J$175,K317),$J$389/L317),$J$389/L317)</f>
        <v>0.4486118</v>
      </c>
    </row>
    <row r="318" spans="9:94" hidden="1" x14ac:dyDescent="0.25">
      <c r="I318" s="642">
        <f>MIN(5*16,$J$57/2)</f>
        <v>80.0</v>
      </c>
      <c r="J318" s="646">
        <f t="shared" ca="1" si="7"/>
        <v>0.14604863280846198</v>
      </c>
      <c r="K318" s="642">
        <f t="shared" ca="1" si="8"/>
        <v>30.0</v>
      </c>
      <c r="L318" s="642">
        <f ca="1">MIN(ROUNDDOWN($M$5*VLOOKUP($L$5,Taxas!$V$22:$W$30,2)/J318*2,0)/2,K318)</f>
        <v>10.5</v>
      </c>
      <c r="M318" s="642">
        <f ca="1">MIN(ROUNDDOWN($M$6*VLOOKUP($L$6,Taxas!$V$22:$W$30,2)/J318*2,0)/2,K318)</f>
        <v>10.5</v>
      </c>
      <c r="N318" s="642">
        <f t="shared" si="20"/>
        <v>1000000000.0</v>
      </c>
      <c r="O318" s="642">
        <f t="shared" si="20"/>
        <v>1000000000.0</v>
      </c>
      <c r="P318" s="642">
        <f t="shared" si="20"/>
        <v>1000000000.0</v>
      </c>
      <c r="Q318" s="642">
        <f t="shared" si="20"/>
        <v>1000000000.0</v>
      </c>
      <c r="R318" s="642">
        <f t="shared" si="20"/>
        <v>1000000000.0</v>
      </c>
      <c r="S318" s="642">
        <f t="shared" si="20"/>
        <v>1000000000.0</v>
      </c>
      <c r="T318" s="642">
        <f t="shared" si="20"/>
        <v>1000000000.0</v>
      </c>
      <c r="U318" s="642">
        <f t="shared" si="20"/>
        <v>1000000000.0</v>
      </c>
      <c r="V318" s="642">
        <f t="shared" si="20"/>
        <v>1000000000.0</v>
      </c>
      <c r="W318" s="642">
        <f t="shared" si="20"/>
        <v>1000000000.0</v>
      </c>
      <c r="X318" s="642">
        <f t="shared" si="21"/>
        <v>1000000000.0</v>
      </c>
      <c r="Y318" s="642">
        <f t="shared" si="21"/>
        <v>1000000000.0</v>
      </c>
      <c r="Z318" s="642">
        <f t="shared" si="21"/>
        <v>1000000000.0</v>
      </c>
      <c r="AA318" s="642">
        <f t="shared" si="21"/>
        <v>1000000000.0</v>
      </c>
      <c r="AB318" s="642">
        <f t="shared" si="21"/>
        <v>1000000000.0</v>
      </c>
      <c r="AC318" s="642">
        <f t="shared" si="21"/>
        <v>1000000000.0</v>
      </c>
      <c r="AD318" s="642">
        <f t="shared" si="21"/>
        <v>1000000000.0</v>
      </c>
      <c r="AE318" s="642">
        <f t="shared" si="21"/>
        <v>1000000000.0</v>
      </c>
      <c r="AF318" s="642">
        <f t="shared" si="21"/>
        <v>1000000000.0</v>
      </c>
      <c r="AG318" s="642">
        <f t="shared" si="21"/>
        <v>1000000000.0</v>
      </c>
      <c r="AH318" s="642">
        <f t="shared" si="22"/>
        <v>1000000000.0</v>
      </c>
      <c r="AI318" s="642">
        <f t="shared" si="22"/>
        <v>1000000000.0</v>
      </c>
      <c r="AJ318" s="642">
        <f t="shared" si="22"/>
        <v>1000000000.0</v>
      </c>
      <c r="AK318" s="642">
        <f t="shared" si="22"/>
        <v>1000000000.0</v>
      </c>
      <c r="AL318" s="642">
        <f t="shared" si="22"/>
        <v>1000000000.0</v>
      </c>
      <c r="AM318" s="642">
        <f t="shared" si="22"/>
        <v>1000000000.0</v>
      </c>
      <c r="AN318" s="642">
        <f t="shared" si="22"/>
        <v>1000000000.0</v>
      </c>
      <c r="AO318" s="642">
        <f t="shared" si="22"/>
        <v>1000000000.0</v>
      </c>
      <c r="AP318" s="642">
        <f t="shared" si="22"/>
        <v>1000000000.0</v>
      </c>
      <c r="AQ318" s="642">
        <f t="shared" si="22"/>
        <v>1000000000.0</v>
      </c>
      <c r="AR318" s="642">
        <f t="shared" si="23"/>
        <v>1000000000.0</v>
      </c>
      <c r="AS318" s="642">
        <f t="shared" ca="1" si="23"/>
        <v>171.74015790431375</v>
      </c>
      <c r="AT318" s="642">
        <f t="shared" ca="1" si="23"/>
        <v>171.9623275576471</v>
      </c>
      <c r="AU318" s="642">
        <f t="shared" ca="1" si="23"/>
        <v>172.18449721098042</v>
      </c>
      <c r="AV318" s="642">
        <f t="shared" ca="1" si="23"/>
        <v>172.40666686431376</v>
      </c>
      <c r="AW318" s="642">
        <f t="shared" ca="1" si="23"/>
        <v>172.62883651764707</v>
      </c>
      <c r="AX318" s="642">
        <f t="shared" ca="1" si="23"/>
        <v>172.85100617098044</v>
      </c>
      <c r="AY318" s="642">
        <f t="shared" ca="1" si="23"/>
        <v>173.07317582431375</v>
      </c>
      <c r="AZ318" s="642">
        <f t="shared" ca="1" si="23"/>
        <v>173.2953454776471</v>
      </c>
      <c r="BA318" s="642">
        <f t="shared" ca="1" si="23"/>
        <v>173.51751513098043</v>
      </c>
      <c r="BB318" s="642">
        <f t="shared" ca="1" si="24"/>
        <v>173.73968478431377</v>
      </c>
      <c r="BC318" s="642">
        <f t="shared" ca="1" si="24"/>
        <v>173.96185443764708</v>
      </c>
      <c r="BD318" s="642">
        <f t="shared" ca="1" si="24"/>
        <v>174.18402409098042</v>
      </c>
      <c r="BE318" s="642">
        <f t="shared" ca="1" si="24"/>
        <v>174.40619374431375</v>
      </c>
      <c r="BF318" s="642">
        <f t="shared" ca="1" si="24"/>
        <v>174.6283633976471</v>
      </c>
      <c r="BG318" s="642">
        <f t="shared" ca="1" si="24"/>
        <v>174.8505330509804</v>
      </c>
      <c r="BH318" s="642">
        <f t="shared" ca="1" si="24"/>
        <v>175.07270270431374</v>
      </c>
      <c r="BI318" s="642">
        <f t="shared" ca="1" si="24"/>
        <v>175.29487235764708</v>
      </c>
      <c r="BJ318" s="642">
        <f t="shared" ca="1" si="24"/>
        <v>175.51704201098042</v>
      </c>
      <c r="BK318" s="642">
        <f t="shared" ca="1" si="24"/>
        <v>175.73921166431376</v>
      </c>
      <c r="BL318" s="642">
        <f t="shared" ca="1" si="25"/>
        <v>175.96138131764707</v>
      </c>
      <c r="BM318" s="642">
        <f t="shared" ca="1" si="25"/>
        <v>176.18355097098043</v>
      </c>
      <c r="BN318" s="642">
        <f t="shared" ca="1" si="25"/>
        <v>176.40572062431374</v>
      </c>
      <c r="BO318" s="642">
        <f t="shared" ca="1" si="25"/>
        <v>176.62789027764705</v>
      </c>
      <c r="BP318" s="642">
        <f t="shared" ca="1" si="25"/>
        <v>176.85005993098042</v>
      </c>
      <c r="BQ318" s="642">
        <f t="shared" ca="1" si="25"/>
        <v>177.07222958431376</v>
      </c>
      <c r="BR318" s="642">
        <f t="shared" ca="1" si="25"/>
        <v>177.2943992376471</v>
      </c>
      <c r="BS318" s="642">
        <f t="shared" ca="1" si="25"/>
        <v>177.5165688909804</v>
      </c>
      <c r="BT318" s="642">
        <f t="shared" ca="1" si="25"/>
        <v>177.73873854431375</v>
      </c>
      <c r="BU318" s="642">
        <f t="shared" ca="1" si="25"/>
        <v>177.9609081976471</v>
      </c>
      <c r="BV318" s="642">
        <f t="shared" ca="1" si="26"/>
        <v>178.1830778509804</v>
      </c>
      <c r="BW318" s="642">
        <f t="shared" ca="1" si="26"/>
        <v>178.40524750431373</v>
      </c>
      <c r="BX318" s="642">
        <f t="shared" ca="1" si="26"/>
        <v>178.62741715764707</v>
      </c>
      <c r="BY318" s="642">
        <f t="shared" ca="1" si="26"/>
        <v>178.8495868109804</v>
      </c>
      <c r="BZ318" s="642">
        <f t="shared" ca="1" si="26"/>
        <v>179.07175646431375</v>
      </c>
      <c r="CA318" s="642">
        <f t="shared" ca="1" si="26"/>
        <v>179.29392611764706</v>
      </c>
      <c r="CB318" s="642">
        <f t="shared" ca="1" si="26"/>
        <v>179.5160957709804</v>
      </c>
      <c r="CC318" s="642">
        <f t="shared" ca="1" si="26"/>
        <v>179.73826542431374</v>
      </c>
      <c r="CD318" s="642">
        <f t="shared" ca="1" si="26"/>
        <v>179.96043507764705</v>
      </c>
      <c r="CE318" s="642">
        <f t="shared" ca="1" si="26"/>
        <v>180.18260473098042</v>
      </c>
      <c r="CF318" s="642">
        <f t="shared" ca="1" si="27"/>
        <v>180.40477438431373</v>
      </c>
      <c r="CG318" s="642">
        <f t="shared" ca="1" si="27"/>
        <v>180.62694403764706</v>
      </c>
      <c r="CH318" s="642">
        <f t="shared" ca="1" si="27"/>
        <v>180.8491136909804</v>
      </c>
      <c r="CI318" s="642">
        <f t="shared" ca="1" si="27"/>
        <v>181.07128334431374</v>
      </c>
      <c r="CJ318" s="642">
        <f t="shared" ca="1" si="27"/>
        <v>181.29345299764708</v>
      </c>
      <c r="CK318" s="642">
        <f t="shared" ca="1" si="27"/>
        <v>181.5156226509804</v>
      </c>
      <c r="CL318" s="642">
        <f t="shared" ca="1" si="27"/>
        <v>181.73779230431373</v>
      </c>
      <c r="CM318" s="642">
        <f t="shared" ca="1" si="27"/>
        <v>181.95996195764707</v>
      </c>
      <c r="CN318" s="642">
        <f t="shared" ca="1" si="17"/>
        <v>171.74015790431375</v>
      </c>
      <c r="CO318" s="642">
        <f>2*$AD$61*MAX(0,$J$58+I318-$J$64)+IF(L318&lt;$J$38,1000000,0)</f>
        <v>48.555630117647055</v>
      </c>
      <c r="CP318" s="642">
        <f>2*IF($J$175&gt;0,IF($J$392/MIN($J$175,K318)&gt;$M$5*VLOOKUP($L$5,Taxas!$V$22:$W$30,2)/L318,$J$391/MIN($J$175,K318),$J$389/L318),$J$389/L318)</f>
        <v>0.42724933333333337</v>
      </c>
    </row>
    <row r="319" spans="9:94" hidden="1" x14ac:dyDescent="0.25">
      <c r="I319" s="642">
        <f>MIN(5*17,$J$57/2)</f>
        <v>85.0</v>
      </c>
      <c r="J319" s="646">
        <f t="shared" ca="1" si="7"/>
        <v>0.1417185965745367</v>
      </c>
      <c r="K319" s="642">
        <f t="shared" ca="1" si="8"/>
        <v>30.0</v>
      </c>
      <c r="L319" s="642">
        <f ca="1">MIN(ROUNDDOWN($M$5*VLOOKUP($L$5,Taxas!$V$22:$W$30,2)/J319*2,0)/2,K319)</f>
        <v>11.0</v>
      </c>
      <c r="M319" s="642">
        <f ca="1">MIN(ROUNDDOWN($M$6*VLOOKUP($L$6,Taxas!$V$22:$W$30,2)/J319*2,0)/2,K319)</f>
        <v>11.0</v>
      </c>
      <c r="N319" s="642">
        <f t="shared" si="20"/>
        <v>1000000000.0</v>
      </c>
      <c r="O319" s="642">
        <f t="shared" si="20"/>
        <v>1000000000.0</v>
      </c>
      <c r="P319" s="642">
        <f t="shared" si="20"/>
        <v>1000000000.0</v>
      </c>
      <c r="Q319" s="642">
        <f t="shared" si="20"/>
        <v>1000000000.0</v>
      </c>
      <c r="R319" s="642">
        <f t="shared" si="20"/>
        <v>1000000000.0</v>
      </c>
      <c r="S319" s="642">
        <f t="shared" si="20"/>
        <v>1000000000.0</v>
      </c>
      <c r="T319" s="642">
        <f t="shared" si="20"/>
        <v>1000000000.0</v>
      </c>
      <c r="U319" s="642">
        <f t="shared" si="20"/>
        <v>1000000000.0</v>
      </c>
      <c r="V319" s="642">
        <f t="shared" si="20"/>
        <v>1000000000.0</v>
      </c>
      <c r="W319" s="642">
        <f t="shared" si="20"/>
        <v>1000000000.0</v>
      </c>
      <c r="X319" s="642">
        <f t="shared" si="21"/>
        <v>1000000000.0</v>
      </c>
      <c r="Y319" s="642">
        <f t="shared" si="21"/>
        <v>1000000000.0</v>
      </c>
      <c r="Z319" s="642">
        <f t="shared" si="21"/>
        <v>1000000000.0</v>
      </c>
      <c r="AA319" s="642">
        <f t="shared" si="21"/>
        <v>1000000000.0</v>
      </c>
      <c r="AB319" s="642">
        <f t="shared" si="21"/>
        <v>1000000000.0</v>
      </c>
      <c r="AC319" s="642">
        <f t="shared" si="21"/>
        <v>1000000000.0</v>
      </c>
      <c r="AD319" s="642">
        <f t="shared" si="21"/>
        <v>1000000000.0</v>
      </c>
      <c r="AE319" s="642">
        <f t="shared" si="21"/>
        <v>1000000000.0</v>
      </c>
      <c r="AF319" s="642">
        <f t="shared" si="21"/>
        <v>1000000000.0</v>
      </c>
      <c r="AG319" s="642">
        <f t="shared" si="21"/>
        <v>1000000000.0</v>
      </c>
      <c r="AH319" s="642">
        <f t="shared" si="22"/>
        <v>1000000000.0</v>
      </c>
      <c r="AI319" s="642">
        <f t="shared" si="22"/>
        <v>1000000000.0</v>
      </c>
      <c r="AJ319" s="642">
        <f t="shared" si="22"/>
        <v>1000000000.0</v>
      </c>
      <c r="AK319" s="642">
        <f t="shared" si="22"/>
        <v>1000000000.0</v>
      </c>
      <c r="AL319" s="642">
        <f t="shared" si="22"/>
        <v>1000000000.0</v>
      </c>
      <c r="AM319" s="642">
        <f t="shared" si="22"/>
        <v>1000000000.0</v>
      </c>
      <c r="AN319" s="642">
        <f t="shared" si="22"/>
        <v>1000000000.0</v>
      </c>
      <c r="AO319" s="642">
        <f t="shared" si="22"/>
        <v>1000000000.0</v>
      </c>
      <c r="AP319" s="642">
        <f t="shared" si="22"/>
        <v>1000000000.0</v>
      </c>
      <c r="AQ319" s="642">
        <f t="shared" si="22"/>
        <v>1000000000.0</v>
      </c>
      <c r="AR319" s="642">
        <f t="shared" si="23"/>
        <v>1000000000.0</v>
      </c>
      <c r="AS319" s="642">
        <f t="shared" si="23"/>
        <v>1000000000.0</v>
      </c>
      <c r="AT319" s="642">
        <f t="shared" ca="1" si="23"/>
        <v>170.91133989276295</v>
      </c>
      <c r="AU319" s="642">
        <f t="shared" ca="1" si="23"/>
        <v>171.03640742488417</v>
      </c>
      <c r="AV319" s="642">
        <f t="shared" ca="1" si="23"/>
        <v>171.1614749570054</v>
      </c>
      <c r="AW319" s="642">
        <f t="shared" ca="1" si="23"/>
        <v>171.2865424891266</v>
      </c>
      <c r="AX319" s="642">
        <f t="shared" ca="1" si="23"/>
        <v>171.4116100212478</v>
      </c>
      <c r="AY319" s="642">
        <f t="shared" ca="1" si="23"/>
        <v>171.53667755336903</v>
      </c>
      <c r="AZ319" s="642">
        <f t="shared" ca="1" si="23"/>
        <v>171.66174508549022</v>
      </c>
      <c r="BA319" s="642">
        <f t="shared" ca="1" si="23"/>
        <v>171.78681261761142</v>
      </c>
      <c r="BB319" s="642">
        <f t="shared" ca="1" si="24"/>
        <v>171.91188014973264</v>
      </c>
      <c r="BC319" s="642">
        <f t="shared" ca="1" si="24"/>
        <v>172.03694768185386</v>
      </c>
      <c r="BD319" s="642">
        <f t="shared" ca="1" si="24"/>
        <v>172.16201521397505</v>
      </c>
      <c r="BE319" s="642">
        <f t="shared" ca="1" si="24"/>
        <v>172.28708274609627</v>
      </c>
      <c r="BF319" s="642">
        <f t="shared" ca="1" si="24"/>
        <v>172.4121502782175</v>
      </c>
      <c r="BG319" s="642">
        <f t="shared" ca="1" si="24"/>
        <v>172.53721781033872</v>
      </c>
      <c r="BH319" s="642">
        <f t="shared" ca="1" si="24"/>
        <v>172.6622853424599</v>
      </c>
      <c r="BI319" s="642">
        <f t="shared" ca="1" si="24"/>
        <v>172.78735287458113</v>
      </c>
      <c r="BJ319" s="642">
        <f t="shared" ca="1" si="24"/>
        <v>172.91242040670235</v>
      </c>
      <c r="BK319" s="642">
        <f t="shared" ca="1" si="24"/>
        <v>173.03748793882355</v>
      </c>
      <c r="BL319" s="642">
        <f t="shared" ca="1" si="25"/>
        <v>173.16255547094477</v>
      </c>
      <c r="BM319" s="642">
        <f t="shared" ca="1" si="25"/>
        <v>173.28762300306596</v>
      </c>
      <c r="BN319" s="642">
        <f t="shared" ca="1" si="25"/>
        <v>173.4126905351872</v>
      </c>
      <c r="BO319" s="642">
        <f t="shared" ca="1" si="25"/>
        <v>173.5377580673084</v>
      </c>
      <c r="BP319" s="642">
        <f t="shared" ca="1" si="25"/>
        <v>173.6628255994296</v>
      </c>
      <c r="BQ319" s="642">
        <f t="shared" ca="1" si="25"/>
        <v>173.78789313155085</v>
      </c>
      <c r="BR319" s="642">
        <f t="shared" ca="1" si="25"/>
        <v>173.91296066367204</v>
      </c>
      <c r="BS319" s="642">
        <f t="shared" ca="1" si="25"/>
        <v>174.03802819579323</v>
      </c>
      <c r="BT319" s="642">
        <f t="shared" ca="1" si="25"/>
        <v>174.16309572791445</v>
      </c>
      <c r="BU319" s="642">
        <f t="shared" ca="1" si="25"/>
        <v>174.28816326003567</v>
      </c>
      <c r="BV319" s="642">
        <f t="shared" ca="1" si="26"/>
        <v>174.41323079215687</v>
      </c>
      <c r="BW319" s="642">
        <f t="shared" ca="1" si="26"/>
        <v>174.5382983242781</v>
      </c>
      <c r="BX319" s="642">
        <f t="shared" ca="1" si="26"/>
        <v>174.6633658563993</v>
      </c>
      <c r="BY319" s="642">
        <f t="shared" ca="1" si="26"/>
        <v>174.78843338852053</v>
      </c>
      <c r="BZ319" s="642">
        <f t="shared" ca="1" si="26"/>
        <v>174.91350092064172</v>
      </c>
      <c r="CA319" s="642">
        <f t="shared" ca="1" si="26"/>
        <v>175.03856845276295</v>
      </c>
      <c r="CB319" s="642">
        <f t="shared" ca="1" si="26"/>
        <v>175.16363598488414</v>
      </c>
      <c r="CC319" s="642">
        <f t="shared" ca="1" si="26"/>
        <v>175.28870351700536</v>
      </c>
      <c r="CD319" s="642">
        <f t="shared" ca="1" si="26"/>
        <v>175.41377104912658</v>
      </c>
      <c r="CE319" s="642">
        <f t="shared" ca="1" si="26"/>
        <v>175.53883858124777</v>
      </c>
      <c r="CF319" s="642">
        <f t="shared" ca="1" si="27"/>
        <v>175.66390611336902</v>
      </c>
      <c r="CG319" s="642">
        <f t="shared" ca="1" si="27"/>
        <v>175.78897364549022</v>
      </c>
      <c r="CH319" s="642">
        <f t="shared" ca="1" si="27"/>
        <v>175.9140411776114</v>
      </c>
      <c r="CI319" s="642">
        <f t="shared" ca="1" si="27"/>
        <v>176.03910870973263</v>
      </c>
      <c r="CJ319" s="642">
        <f t="shared" ca="1" si="27"/>
        <v>176.16417624185385</v>
      </c>
      <c r="CK319" s="642">
        <f t="shared" ca="1" si="27"/>
        <v>176.28924377397504</v>
      </c>
      <c r="CL319" s="642">
        <f t="shared" ca="1" si="27"/>
        <v>176.41431130609627</v>
      </c>
      <c r="CM319" s="642">
        <f t="shared" ca="1" si="27"/>
        <v>176.5393788382175</v>
      </c>
      <c r="CN319" s="642">
        <f t="shared" ca="1" si="17"/>
        <v>170.91133989276295</v>
      </c>
      <c r="CO319" s="642">
        <f>2*$AD$61*MAX(0,$J$58+I319-$J$64)+IF(L319&lt;$J$38,1000000,0)</f>
        <v>51.19452305882353</v>
      </c>
      <c r="CP319" s="642">
        <f>2*IF($J$175&gt;0,IF($J$392/MIN($J$175,K319)&gt;$M$5*VLOOKUP($L$5,Taxas!$V$22:$W$30,2)/L319,$J$391/MIN($J$175,K319),$J$389/L319),$J$389/L319)</f>
        <v>0.40782890909090913</v>
      </c>
    </row>
    <row r="320" spans="9:94" hidden="1" x14ac:dyDescent="0.25">
      <c r="I320" s="642">
        <f>MIN(5*18,$J$57/2)</f>
        <v>90.0</v>
      </c>
      <c r="J320" s="646">
        <f t="shared" ca="1" si="7"/>
        <v>0.13738856034061142</v>
      </c>
      <c r="K320" s="642">
        <f t="shared" ca="1" si="8"/>
        <v>30.0</v>
      </c>
      <c r="L320" s="642">
        <f ca="1">MIN(ROUNDDOWN($M$5*VLOOKUP($L$5,Taxas!$V$22:$W$30,2)/J320*2,0)/2,K320)</f>
        <v>11.0</v>
      </c>
      <c r="M320" s="642">
        <f ca="1">MIN(ROUNDDOWN($M$6*VLOOKUP($L$6,Taxas!$V$22:$W$30,2)/J320*2,0)/2,K320)</f>
        <v>11.0</v>
      </c>
      <c r="N320" s="642">
        <f t="shared" si="20"/>
        <v>1000000000.0</v>
      </c>
      <c r="O320" s="642">
        <f t="shared" si="20"/>
        <v>1000000000.0</v>
      </c>
      <c r="P320" s="642">
        <f t="shared" si="20"/>
        <v>1000000000.0</v>
      </c>
      <c r="Q320" s="642">
        <f t="shared" si="20"/>
        <v>1000000000.0</v>
      </c>
      <c r="R320" s="642">
        <f t="shared" si="20"/>
        <v>1000000000.0</v>
      </c>
      <c r="S320" s="642">
        <f t="shared" si="20"/>
        <v>1000000000.0</v>
      </c>
      <c r="T320" s="642">
        <f t="shared" si="20"/>
        <v>1000000000.0</v>
      </c>
      <c r="U320" s="642">
        <f t="shared" si="20"/>
        <v>1000000000.0</v>
      </c>
      <c r="V320" s="642">
        <f t="shared" si="20"/>
        <v>1000000000.0</v>
      </c>
      <c r="W320" s="642">
        <f t="shared" si="20"/>
        <v>1000000000.0</v>
      </c>
      <c r="X320" s="642">
        <f t="shared" si="21"/>
        <v>1000000000.0</v>
      </c>
      <c r="Y320" s="642">
        <f t="shared" si="21"/>
        <v>1000000000.0</v>
      </c>
      <c r="Z320" s="642">
        <f t="shared" si="21"/>
        <v>1000000000.0</v>
      </c>
      <c r="AA320" s="642">
        <f t="shared" si="21"/>
        <v>1000000000.0</v>
      </c>
      <c r="AB320" s="642">
        <f t="shared" si="21"/>
        <v>1000000000.0</v>
      </c>
      <c r="AC320" s="642">
        <f t="shared" si="21"/>
        <v>1000000000.0</v>
      </c>
      <c r="AD320" s="642">
        <f t="shared" si="21"/>
        <v>1000000000.0</v>
      </c>
      <c r="AE320" s="642">
        <f t="shared" si="21"/>
        <v>1000000000.0</v>
      </c>
      <c r="AF320" s="642">
        <f t="shared" si="21"/>
        <v>1000000000.0</v>
      </c>
      <c r="AG320" s="642">
        <f t="shared" si="21"/>
        <v>1000000000.0</v>
      </c>
      <c r="AH320" s="642">
        <f t="shared" si="22"/>
        <v>1000000000.0</v>
      </c>
      <c r="AI320" s="642">
        <f t="shared" si="22"/>
        <v>1000000000.0</v>
      </c>
      <c r="AJ320" s="642">
        <f t="shared" si="22"/>
        <v>1000000000.0</v>
      </c>
      <c r="AK320" s="642">
        <f t="shared" si="22"/>
        <v>1000000000.0</v>
      </c>
      <c r="AL320" s="642">
        <f t="shared" si="22"/>
        <v>1000000000.0</v>
      </c>
      <c r="AM320" s="642">
        <f t="shared" si="22"/>
        <v>1000000000.0</v>
      </c>
      <c r="AN320" s="642">
        <f t="shared" si="22"/>
        <v>1000000000.0</v>
      </c>
      <c r="AO320" s="642">
        <f t="shared" si="22"/>
        <v>1000000000.0</v>
      </c>
      <c r="AP320" s="642">
        <f t="shared" si="22"/>
        <v>1000000000.0</v>
      </c>
      <c r="AQ320" s="642">
        <f t="shared" si="22"/>
        <v>1000000000.0</v>
      </c>
      <c r="AR320" s="642">
        <f t="shared" si="23"/>
        <v>1000000000.0</v>
      </c>
      <c r="AS320" s="642">
        <f t="shared" si="23"/>
        <v>1000000000.0</v>
      </c>
      <c r="AT320" s="642">
        <f t="shared" si="23"/>
        <v>1000000000.0</v>
      </c>
      <c r="AU320" s="642">
        <f t="shared" ca="1" si="23"/>
        <v>171.6361558206061</v>
      </c>
      <c r="AV320" s="642">
        <f t="shared" ca="1" si="23"/>
        <v>171.7612233527273</v>
      </c>
      <c r="AW320" s="642">
        <f t="shared" ca="1" si="23"/>
        <v>171.88629088484853</v>
      </c>
      <c r="AX320" s="642">
        <f t="shared" ca="1" si="23"/>
        <v>172.01135841696976</v>
      </c>
      <c r="AY320" s="642">
        <f t="shared" ca="1" si="23"/>
        <v>172.13642594909095</v>
      </c>
      <c r="AZ320" s="642">
        <f t="shared" ca="1" si="23"/>
        <v>172.26149348121214</v>
      </c>
      <c r="BA320" s="642">
        <f t="shared" ca="1" si="23"/>
        <v>172.38656101333336</v>
      </c>
      <c r="BB320" s="642">
        <f t="shared" ca="1" si="24"/>
        <v>172.51162854545458</v>
      </c>
      <c r="BC320" s="642">
        <f t="shared" ca="1" si="24"/>
        <v>172.63669607757578</v>
      </c>
      <c r="BD320" s="642">
        <f t="shared" ca="1" si="24"/>
        <v>172.761763609697</v>
      </c>
      <c r="BE320" s="642">
        <f t="shared" ca="1" si="24"/>
        <v>172.88683114181822</v>
      </c>
      <c r="BF320" s="642">
        <f t="shared" ca="1" si="24"/>
        <v>173.0118986739394</v>
      </c>
      <c r="BG320" s="642">
        <f t="shared" ca="1" si="24"/>
        <v>173.13696620606063</v>
      </c>
      <c r="BH320" s="642">
        <f t="shared" ca="1" si="24"/>
        <v>173.26203373818186</v>
      </c>
      <c r="BI320" s="642">
        <f t="shared" ca="1" si="24"/>
        <v>173.38710127030305</v>
      </c>
      <c r="BJ320" s="642">
        <f t="shared" ca="1" si="24"/>
        <v>173.51216880242427</v>
      </c>
      <c r="BK320" s="642">
        <f t="shared" ca="1" si="24"/>
        <v>173.6372363345455</v>
      </c>
      <c r="BL320" s="642">
        <f t="shared" ca="1" si="25"/>
        <v>173.76230386666668</v>
      </c>
      <c r="BM320" s="642">
        <f t="shared" ca="1" si="25"/>
        <v>173.88737139878788</v>
      </c>
      <c r="BN320" s="642">
        <f t="shared" ca="1" si="25"/>
        <v>174.01243893090913</v>
      </c>
      <c r="BO320" s="642">
        <f t="shared" ca="1" si="25"/>
        <v>174.13750646303032</v>
      </c>
      <c r="BP320" s="642">
        <f t="shared" ca="1" si="25"/>
        <v>174.26257399515154</v>
      </c>
      <c r="BQ320" s="642">
        <f t="shared" ca="1" si="25"/>
        <v>174.38764152727276</v>
      </c>
      <c r="BR320" s="642">
        <f t="shared" ca="1" si="25"/>
        <v>174.51270905939396</v>
      </c>
      <c r="BS320" s="642">
        <f t="shared" ca="1" si="25"/>
        <v>174.63777659151518</v>
      </c>
      <c r="BT320" s="642">
        <f t="shared" ca="1" si="25"/>
        <v>174.76284412363637</v>
      </c>
      <c r="BU320" s="642">
        <f t="shared" ca="1" si="25"/>
        <v>174.8879116557576</v>
      </c>
      <c r="BV320" s="642">
        <f t="shared" ca="1" si="26"/>
        <v>175.0129791878788</v>
      </c>
      <c r="BW320" s="642">
        <f t="shared" ca="1" si="26"/>
        <v>175.13804672000003</v>
      </c>
      <c r="BX320" s="642">
        <f t="shared" ca="1" si="26"/>
        <v>175.26311425212123</v>
      </c>
      <c r="BY320" s="642">
        <f t="shared" ca="1" si="26"/>
        <v>175.38818178424245</v>
      </c>
      <c r="BZ320" s="642">
        <f t="shared" ca="1" si="26"/>
        <v>175.51324931636367</v>
      </c>
      <c r="CA320" s="642">
        <f t="shared" ca="1" si="26"/>
        <v>175.63831684848486</v>
      </c>
      <c r="CB320" s="642">
        <f t="shared" ca="1" si="26"/>
        <v>175.76338438060606</v>
      </c>
      <c r="CC320" s="642">
        <f t="shared" ca="1" si="26"/>
        <v>175.8884519127273</v>
      </c>
      <c r="CD320" s="642">
        <f t="shared" ca="1" si="26"/>
        <v>176.0135194448485</v>
      </c>
      <c r="CE320" s="642">
        <f t="shared" ca="1" si="26"/>
        <v>176.13858697696972</v>
      </c>
      <c r="CF320" s="642">
        <f t="shared" ca="1" si="27"/>
        <v>176.26365450909094</v>
      </c>
      <c r="CG320" s="642">
        <f t="shared" ca="1" si="27"/>
        <v>176.38872204121213</v>
      </c>
      <c r="CH320" s="642">
        <f t="shared" ca="1" si="27"/>
        <v>176.51378957333333</v>
      </c>
      <c r="CI320" s="642">
        <f t="shared" ca="1" si="27"/>
        <v>176.63885710545455</v>
      </c>
      <c r="CJ320" s="642">
        <f t="shared" ca="1" si="27"/>
        <v>176.76392463757577</v>
      </c>
      <c r="CK320" s="642">
        <f t="shared" ca="1" si="27"/>
        <v>176.888992169697</v>
      </c>
      <c r="CL320" s="642">
        <f t="shared" ca="1" si="27"/>
        <v>177.0140597018182</v>
      </c>
      <c r="CM320" s="642">
        <f t="shared" ca="1" si="27"/>
        <v>177.1391272339394</v>
      </c>
      <c r="CN320" s="642">
        <f t="shared" ca="1" si="17"/>
        <v>171.6361558206061</v>
      </c>
      <c r="CO320" s="642">
        <f>2*$AD$61*MAX(0,$J$58+I320-$J$64)+IF(L320&lt;$J$38,1000000,0)</f>
        <v>53.833416</v>
      </c>
      <c r="CP320" s="642">
        <f>2*IF($J$175&gt;0,IF($J$392/MIN($J$175,K320)&gt;$M$5*VLOOKUP($L$5,Taxas!$V$22:$W$30,2)/L320,$J$391/MIN($J$175,K320),$J$389/L320),$J$389/L320)</f>
        <v>0.40782890909090913</v>
      </c>
    </row>
    <row r="321" spans="9:94" hidden="1" x14ac:dyDescent="0.25">
      <c r="I321" s="642">
        <f>MIN(5*19,$J$57/2)</f>
        <v>95.0</v>
      </c>
      <c r="J321" s="646">
        <f t="shared" ca="1" si="7"/>
        <v>0.13305852410668612</v>
      </c>
      <c r="K321" s="642">
        <f t="shared" ca="1" si="8"/>
        <v>30.0</v>
      </c>
      <c r="L321" s="642">
        <f ca="1">MIN(ROUNDDOWN($M$5*VLOOKUP($L$5,Taxas!$V$22:$W$30,2)/J321*2,0)/2,K321)</f>
        <v>11.5</v>
      </c>
      <c r="M321" s="642">
        <f ca="1">MIN(ROUNDDOWN($M$6*VLOOKUP($L$6,Taxas!$V$22:$W$30,2)/J321*2,0)/2,K321)</f>
        <v>11.5</v>
      </c>
      <c r="N321" s="642">
        <f t="shared" si="20"/>
        <v>1000000000.0</v>
      </c>
      <c r="O321" s="642">
        <f t="shared" si="20"/>
        <v>1000000000.0</v>
      </c>
      <c r="P321" s="642">
        <f t="shared" si="20"/>
        <v>1000000000.0</v>
      </c>
      <c r="Q321" s="642">
        <f t="shared" si="20"/>
        <v>1000000000.0</v>
      </c>
      <c r="R321" s="642">
        <f t="shared" si="20"/>
        <v>1000000000.0</v>
      </c>
      <c r="S321" s="642">
        <f t="shared" si="20"/>
        <v>1000000000.0</v>
      </c>
      <c r="T321" s="642">
        <f t="shared" si="20"/>
        <v>1000000000.0</v>
      </c>
      <c r="U321" s="642">
        <f t="shared" si="20"/>
        <v>1000000000.0</v>
      </c>
      <c r="V321" s="642">
        <f t="shared" si="20"/>
        <v>1000000000.0</v>
      </c>
      <c r="W321" s="642">
        <f t="shared" si="20"/>
        <v>1000000000.0</v>
      </c>
      <c r="X321" s="642">
        <f t="shared" si="21"/>
        <v>1000000000.0</v>
      </c>
      <c r="Y321" s="642">
        <f t="shared" si="21"/>
        <v>1000000000.0</v>
      </c>
      <c r="Z321" s="642">
        <f t="shared" si="21"/>
        <v>1000000000.0</v>
      </c>
      <c r="AA321" s="642">
        <f t="shared" si="21"/>
        <v>1000000000.0</v>
      </c>
      <c r="AB321" s="642">
        <f t="shared" si="21"/>
        <v>1000000000.0</v>
      </c>
      <c r="AC321" s="642">
        <f t="shared" si="21"/>
        <v>1000000000.0</v>
      </c>
      <c r="AD321" s="642">
        <f t="shared" si="21"/>
        <v>1000000000.0</v>
      </c>
      <c r="AE321" s="642">
        <f t="shared" si="21"/>
        <v>1000000000.0</v>
      </c>
      <c r="AF321" s="642">
        <f t="shared" si="21"/>
        <v>1000000000.0</v>
      </c>
      <c r="AG321" s="642">
        <f t="shared" si="21"/>
        <v>1000000000.0</v>
      </c>
      <c r="AH321" s="642">
        <f t="shared" si="22"/>
        <v>1000000000.0</v>
      </c>
      <c r="AI321" s="642">
        <f t="shared" si="22"/>
        <v>1000000000.0</v>
      </c>
      <c r="AJ321" s="642">
        <f t="shared" si="22"/>
        <v>1000000000.0</v>
      </c>
      <c r="AK321" s="642">
        <f t="shared" si="22"/>
        <v>1000000000.0</v>
      </c>
      <c r="AL321" s="642">
        <f t="shared" si="22"/>
        <v>1000000000.0</v>
      </c>
      <c r="AM321" s="642">
        <f t="shared" si="22"/>
        <v>1000000000.0</v>
      </c>
      <c r="AN321" s="642">
        <f t="shared" si="22"/>
        <v>1000000000.0</v>
      </c>
      <c r="AO321" s="642">
        <f t="shared" si="22"/>
        <v>1000000000.0</v>
      </c>
      <c r="AP321" s="642">
        <f t="shared" si="22"/>
        <v>1000000000.0</v>
      </c>
      <c r="AQ321" s="642">
        <f t="shared" si="22"/>
        <v>1000000000.0</v>
      </c>
      <c r="AR321" s="642">
        <f t="shared" si="23"/>
        <v>1000000000.0</v>
      </c>
      <c r="AS321" s="642">
        <f t="shared" si="23"/>
        <v>1000000000.0</v>
      </c>
      <c r="AT321" s="642">
        <f t="shared" si="23"/>
        <v>1000000000.0</v>
      </c>
      <c r="AU321" s="642">
        <f t="shared" si="23"/>
        <v>1000000000.0</v>
      </c>
      <c r="AV321" s="642">
        <f t="shared" ca="1" si="23"/>
        <v>170.94243641248084</v>
      </c>
      <c r="AW321" s="642">
        <f t="shared" ca="1" si="23"/>
        <v>170.97884548610403</v>
      </c>
      <c r="AX321" s="642">
        <f t="shared" ca="1" si="23"/>
        <v>171.01525455972723</v>
      </c>
      <c r="AY321" s="642">
        <f t="shared" ca="1" si="23"/>
        <v>171.05166363335042</v>
      </c>
      <c r="AZ321" s="642">
        <f t="shared" ca="1" si="23"/>
        <v>171.0880727069736</v>
      </c>
      <c r="BA321" s="642">
        <f t="shared" ca="1" si="23"/>
        <v>171.1244817805968</v>
      </c>
      <c r="BB321" s="642">
        <f t="shared" ca="1" si="24"/>
        <v>171.16089085421999</v>
      </c>
      <c r="BC321" s="642">
        <f t="shared" ca="1" si="24"/>
        <v>171.19729992784318</v>
      </c>
      <c r="BD321" s="642">
        <f t="shared" ca="1" si="24"/>
        <v>171.23370900146637</v>
      </c>
      <c r="BE321" s="642">
        <f t="shared" ca="1" si="24"/>
        <v>171.27011807508956</v>
      </c>
      <c r="BF321" s="642">
        <f t="shared" ca="1" si="24"/>
        <v>171.30652714871272</v>
      </c>
      <c r="BG321" s="642">
        <f t="shared" ca="1" si="24"/>
        <v>171.3429362223359</v>
      </c>
      <c r="BH321" s="642">
        <f t="shared" ca="1" si="24"/>
        <v>171.37934529595913</v>
      </c>
      <c r="BI321" s="642">
        <f t="shared" ca="1" si="24"/>
        <v>171.4157543695823</v>
      </c>
      <c r="BJ321" s="642">
        <f t="shared" ca="1" si="24"/>
        <v>171.45216344320548</v>
      </c>
      <c r="BK321" s="642">
        <f t="shared" ca="1" si="24"/>
        <v>171.48857251682867</v>
      </c>
      <c r="BL321" s="642">
        <f t="shared" ca="1" si="25"/>
        <v>171.52498159045186</v>
      </c>
      <c r="BM321" s="642">
        <f t="shared" ca="1" si="25"/>
        <v>171.56139066407505</v>
      </c>
      <c r="BN321" s="642">
        <f t="shared" ca="1" si="25"/>
        <v>171.5977997376982</v>
      </c>
      <c r="BO321" s="642">
        <f t="shared" ca="1" si="25"/>
        <v>171.63420881132143</v>
      </c>
      <c r="BP321" s="642">
        <f t="shared" ca="1" si="25"/>
        <v>171.67061788494462</v>
      </c>
      <c r="BQ321" s="642">
        <f t="shared" ca="1" si="25"/>
        <v>171.70702695856778</v>
      </c>
      <c r="BR321" s="642">
        <f t="shared" ca="1" si="25"/>
        <v>171.74343603219097</v>
      </c>
      <c r="BS321" s="642">
        <f t="shared" ca="1" si="25"/>
        <v>171.77984510581416</v>
      </c>
      <c r="BT321" s="642">
        <f t="shared" ca="1" si="25"/>
        <v>171.81625417943735</v>
      </c>
      <c r="BU321" s="642">
        <f t="shared" ca="1" si="25"/>
        <v>171.85266325306054</v>
      </c>
      <c r="BV321" s="642">
        <f t="shared" ca="1" si="26"/>
        <v>171.88907232668373</v>
      </c>
      <c r="BW321" s="642">
        <f t="shared" ca="1" si="26"/>
        <v>171.92548140030692</v>
      </c>
      <c r="BX321" s="642">
        <f t="shared" ca="1" si="26"/>
        <v>171.9618904739301</v>
      </c>
      <c r="BY321" s="642">
        <f t="shared" ca="1" si="26"/>
        <v>171.9982995475533</v>
      </c>
      <c r="BZ321" s="642">
        <f t="shared" ca="1" si="26"/>
        <v>172.0347086211765</v>
      </c>
      <c r="CA321" s="642">
        <f t="shared" ca="1" si="26"/>
        <v>172.07111769479968</v>
      </c>
      <c r="CB321" s="642">
        <f t="shared" ca="1" si="26"/>
        <v>172.10752676842287</v>
      </c>
      <c r="CC321" s="642">
        <f t="shared" ca="1" si="26"/>
        <v>172.14393584204606</v>
      </c>
      <c r="CD321" s="642">
        <f t="shared" ca="1" si="26"/>
        <v>172.18034491566925</v>
      </c>
      <c r="CE321" s="642">
        <f t="shared" ca="1" si="26"/>
        <v>172.21675398929244</v>
      </c>
      <c r="CF321" s="642">
        <f t="shared" ca="1" si="27"/>
        <v>172.25316306291563</v>
      </c>
      <c r="CG321" s="642">
        <f t="shared" ca="1" si="27"/>
        <v>172.2895721365388</v>
      </c>
      <c r="CH321" s="642">
        <f t="shared" ca="1" si="27"/>
        <v>172.325981210162</v>
      </c>
      <c r="CI321" s="642">
        <f t="shared" ca="1" si="27"/>
        <v>172.36239028378517</v>
      </c>
      <c r="CJ321" s="642">
        <f t="shared" ca="1" si="27"/>
        <v>172.39879935740836</v>
      </c>
      <c r="CK321" s="642">
        <f t="shared" ca="1" si="27"/>
        <v>172.43520843103155</v>
      </c>
      <c r="CL321" s="642">
        <f t="shared" ca="1" si="27"/>
        <v>172.47161750465474</v>
      </c>
      <c r="CM321" s="642">
        <f t="shared" ca="1" si="27"/>
        <v>172.50802657827793</v>
      </c>
      <c r="CN321" s="642">
        <f t="shared" ca="1" si="17"/>
        <v>170.94243641248084</v>
      </c>
      <c r="CO321" s="642">
        <f>2*$AD$61*MAX(0,$J$58+I321-$J$64)+IF(L321&lt;$J$38,1000000,0)</f>
        <v>56.47230894117647</v>
      </c>
      <c r="CP321" s="642">
        <f>2*IF($J$175&gt;0,IF($J$392/MIN($J$175,K321)&gt;$M$5*VLOOKUP($L$5,Taxas!$V$22:$W$30,2)/L321,$J$391/MIN($J$175,K321),$J$389/L321),$J$389/L321)</f>
        <v>0.3900972173913044</v>
      </c>
    </row>
    <row r="322" spans="9:94" hidden="1" x14ac:dyDescent="0.25">
      <c r="I322" s="642">
        <f>MIN(5*20,$J$57/2)</f>
        <v>100.0</v>
      </c>
      <c r="J322" s="646">
        <f t="shared" ca="1" si="7"/>
        <v>0.12872848787276084</v>
      </c>
      <c r="K322" s="642">
        <f t="shared" ca="1" si="8"/>
        <v>30.0</v>
      </c>
      <c r="L322" s="642">
        <f ca="1">MIN(ROUNDDOWN($M$5*VLOOKUP($L$5,Taxas!$V$22:$W$30,2)/J322*2,0)/2,K322)</f>
        <v>12.0</v>
      </c>
      <c r="M322" s="642">
        <f ca="1">MIN(ROUNDDOWN($M$6*VLOOKUP($L$6,Taxas!$V$22:$W$30,2)/J322*2,0)/2,K322)</f>
        <v>12.0</v>
      </c>
      <c r="N322" s="642">
        <f t="shared" si="20"/>
        <v>1000000000.0</v>
      </c>
      <c r="O322" s="642">
        <f t="shared" si="20"/>
        <v>1000000000.0</v>
      </c>
      <c r="P322" s="642">
        <f t="shared" si="20"/>
        <v>1000000000.0</v>
      </c>
      <c r="Q322" s="642">
        <f t="shared" si="20"/>
        <v>1000000000.0</v>
      </c>
      <c r="R322" s="642">
        <f t="shared" si="20"/>
        <v>1000000000.0</v>
      </c>
      <c r="S322" s="642">
        <f t="shared" si="20"/>
        <v>1000000000.0</v>
      </c>
      <c r="T322" s="642">
        <f t="shared" si="20"/>
        <v>1000000000.0</v>
      </c>
      <c r="U322" s="642">
        <f t="shared" si="20"/>
        <v>1000000000.0</v>
      </c>
      <c r="V322" s="642">
        <f t="shared" si="20"/>
        <v>1000000000.0</v>
      </c>
      <c r="W322" s="642">
        <f t="shared" si="20"/>
        <v>1000000000.0</v>
      </c>
      <c r="X322" s="642">
        <f t="shared" si="21"/>
        <v>1000000000.0</v>
      </c>
      <c r="Y322" s="642">
        <f t="shared" si="21"/>
        <v>1000000000.0</v>
      </c>
      <c r="Z322" s="642">
        <f t="shared" si="21"/>
        <v>1000000000.0</v>
      </c>
      <c r="AA322" s="642">
        <f t="shared" si="21"/>
        <v>1000000000.0</v>
      </c>
      <c r="AB322" s="642">
        <f t="shared" si="21"/>
        <v>1000000000.0</v>
      </c>
      <c r="AC322" s="642">
        <f t="shared" si="21"/>
        <v>1000000000.0</v>
      </c>
      <c r="AD322" s="642">
        <f t="shared" si="21"/>
        <v>1000000000.0</v>
      </c>
      <c r="AE322" s="642">
        <f t="shared" si="21"/>
        <v>1000000000.0</v>
      </c>
      <c r="AF322" s="642">
        <f t="shared" si="21"/>
        <v>1000000000.0</v>
      </c>
      <c r="AG322" s="642">
        <f t="shared" si="21"/>
        <v>1000000000.0</v>
      </c>
      <c r="AH322" s="642">
        <f t="shared" si="22"/>
        <v>1000000000.0</v>
      </c>
      <c r="AI322" s="642">
        <f t="shared" si="22"/>
        <v>1000000000.0</v>
      </c>
      <c r="AJ322" s="642">
        <f t="shared" si="22"/>
        <v>1000000000.0</v>
      </c>
      <c r="AK322" s="642">
        <f t="shared" si="22"/>
        <v>1000000000.0</v>
      </c>
      <c r="AL322" s="642">
        <f t="shared" si="22"/>
        <v>1000000000.0</v>
      </c>
      <c r="AM322" s="642">
        <f t="shared" si="22"/>
        <v>1000000000.0</v>
      </c>
      <c r="AN322" s="642">
        <f t="shared" si="22"/>
        <v>1000000000.0</v>
      </c>
      <c r="AO322" s="642">
        <f t="shared" si="22"/>
        <v>1000000000.0</v>
      </c>
      <c r="AP322" s="642">
        <f t="shared" si="22"/>
        <v>1000000000.0</v>
      </c>
      <c r="AQ322" s="642">
        <f t="shared" si="22"/>
        <v>1000000000.0</v>
      </c>
      <c r="AR322" s="642">
        <f t="shared" si="23"/>
        <v>1000000000.0</v>
      </c>
      <c r="AS322" s="642">
        <f t="shared" si="23"/>
        <v>1000000000.0</v>
      </c>
      <c r="AT322" s="642">
        <f t="shared" si="23"/>
        <v>1000000000.0</v>
      </c>
      <c r="AU322" s="642">
        <f t="shared" si="23"/>
        <v>1000000000.0</v>
      </c>
      <c r="AV322" s="642">
        <f t="shared" si="23"/>
        <v>1000000000.0</v>
      </c>
      <c r="AW322" s="642">
        <f t="shared" ca="1" si="23"/>
        <v>171.08470716235297</v>
      </c>
      <c r="AX322" s="642">
        <f t="shared" ca="1" si="23"/>
        <v>171.084707162353</v>
      </c>
      <c r="AY322" s="642">
        <f t="shared" ca="1" si="23"/>
        <v>171.084707162353</v>
      </c>
      <c r="AZ322" s="642">
        <f t="shared" ca="1" si="23"/>
        <v>171.084707162353</v>
      </c>
      <c r="BA322" s="642">
        <f t="shared" ca="1" si="23"/>
        <v>171.08470716235297</v>
      </c>
      <c r="BB322" s="642">
        <f t="shared" ca="1" si="24"/>
        <v>171.084707162353</v>
      </c>
      <c r="BC322" s="642">
        <f t="shared" ca="1" si="24"/>
        <v>171.08470716235297</v>
      </c>
      <c r="BD322" s="642">
        <f t="shared" ca="1" si="24"/>
        <v>171.08470716235297</v>
      </c>
      <c r="BE322" s="642">
        <f t="shared" ca="1" si="24"/>
        <v>171.08470716235297</v>
      </c>
      <c r="BF322" s="642">
        <f t="shared" ca="1" si="24"/>
        <v>171.08470716235297</v>
      </c>
      <c r="BG322" s="642">
        <f t="shared" ca="1" si="24"/>
        <v>171.08470716235297</v>
      </c>
      <c r="BH322" s="642">
        <f t="shared" ca="1" si="24"/>
        <v>171.08470716235297</v>
      </c>
      <c r="BI322" s="642">
        <f t="shared" ca="1" si="24"/>
        <v>171.084707162353</v>
      </c>
      <c r="BJ322" s="642">
        <f t="shared" ca="1" si="24"/>
        <v>171.08470716235297</v>
      </c>
      <c r="BK322" s="642">
        <f t="shared" ca="1" si="24"/>
        <v>171.08470716235297</v>
      </c>
      <c r="BL322" s="642">
        <f t="shared" ca="1" si="25"/>
        <v>171.08470716235297</v>
      </c>
      <c r="BM322" s="642">
        <f t="shared" ca="1" si="25"/>
        <v>171.084707162353</v>
      </c>
      <c r="BN322" s="642">
        <f t="shared" ca="1" si="25"/>
        <v>171.08470716235297</v>
      </c>
      <c r="BO322" s="642">
        <f t="shared" ca="1" si="25"/>
        <v>171.08470716235297</v>
      </c>
      <c r="BP322" s="642">
        <f t="shared" ca="1" si="25"/>
        <v>171.08470716235297</v>
      </c>
      <c r="BQ322" s="642">
        <f t="shared" ca="1" si="25"/>
        <v>171.084707162353</v>
      </c>
      <c r="BR322" s="642">
        <f t="shared" ca="1" si="25"/>
        <v>171.08470716235297</v>
      </c>
      <c r="BS322" s="642">
        <f t="shared" ca="1" si="25"/>
        <v>171.08470716235297</v>
      </c>
      <c r="BT322" s="642">
        <f t="shared" ca="1" si="25"/>
        <v>171.08470716235297</v>
      </c>
      <c r="BU322" s="642">
        <f t="shared" ca="1" si="25"/>
        <v>171.08470716235297</v>
      </c>
      <c r="BV322" s="642">
        <f t="shared" ca="1" si="26"/>
        <v>171.08470716235297</v>
      </c>
      <c r="BW322" s="642">
        <f t="shared" ca="1" si="26"/>
        <v>171.08470716235297</v>
      </c>
      <c r="BX322" s="642">
        <f t="shared" ca="1" si="26"/>
        <v>171.084707162353</v>
      </c>
      <c r="BY322" s="642">
        <f t="shared" ca="1" si="26"/>
        <v>171.08470716235297</v>
      </c>
      <c r="BZ322" s="642">
        <f t="shared" ca="1" si="26"/>
        <v>171.08470716235297</v>
      </c>
      <c r="CA322" s="642">
        <f t="shared" ca="1" si="26"/>
        <v>171.08470716235297</v>
      </c>
      <c r="CB322" s="642">
        <f t="shared" ca="1" si="26"/>
        <v>171.08470716235297</v>
      </c>
      <c r="CC322" s="642">
        <f t="shared" ca="1" si="26"/>
        <v>171.08470716235297</v>
      </c>
      <c r="CD322" s="642">
        <f t="shared" ca="1" si="26"/>
        <v>171.08470716235297</v>
      </c>
      <c r="CE322" s="642">
        <f t="shared" ca="1" si="26"/>
        <v>171.08470716235297</v>
      </c>
      <c r="CF322" s="642">
        <f t="shared" ca="1" si="27"/>
        <v>171.08470716235297</v>
      </c>
      <c r="CG322" s="642">
        <f t="shared" ca="1" si="27"/>
        <v>171.08470716235297</v>
      </c>
      <c r="CH322" s="642">
        <f t="shared" ca="1" si="27"/>
        <v>171.08470716235297</v>
      </c>
      <c r="CI322" s="642">
        <f t="shared" ca="1" si="27"/>
        <v>171.084707162353</v>
      </c>
      <c r="CJ322" s="642">
        <f t="shared" ca="1" si="27"/>
        <v>171.08470716235297</v>
      </c>
      <c r="CK322" s="642">
        <f t="shared" ca="1" si="27"/>
        <v>171.084707162353</v>
      </c>
      <c r="CL322" s="642">
        <f t="shared" ca="1" si="27"/>
        <v>171.08470716235297</v>
      </c>
      <c r="CM322" s="642">
        <f t="shared" ca="1" si="27"/>
        <v>171.084707162353</v>
      </c>
      <c r="CN322" s="642">
        <f t="shared" ca="1" si="17"/>
        <v>171.08470716235297</v>
      </c>
      <c r="CO322" s="642">
        <f>2*$AD$61*MAX(0,$J$58+I322-$J$64)+IF(L322&lt;$J$38,1000000,0)</f>
        <v>59.111201882352944</v>
      </c>
      <c r="CP322" s="642">
        <f>2*IF($J$175&gt;0,IF($J$392/MIN($J$175,K322)&gt;$M$5*VLOOKUP($L$5,Taxas!$V$22:$W$30,2)/L322,$J$391/MIN($J$175,K322),$J$389/L322),$J$389/L322)</f>
        <v>0.3828154026666668</v>
      </c>
    </row>
    <row r="323" spans="9:94" hidden="1" x14ac:dyDescent="0.25">
      <c r="I323" s="642">
        <f>MIN(5*21,$J$57/2)</f>
        <v>105.0</v>
      </c>
      <c r="J323" s="646">
        <f t="shared" ca="1" si="7"/>
        <v>0.12439845163883556</v>
      </c>
      <c r="K323" s="642">
        <f t="shared" ca="1" si="8"/>
        <v>30.0</v>
      </c>
      <c r="L323" s="642">
        <f ca="1">MIN(ROUNDDOWN($M$5*VLOOKUP($L$5,Taxas!$V$22:$W$30,2)/J323*2,0)/2,K323)</f>
        <v>12.5</v>
      </c>
      <c r="M323" s="642">
        <f ca="1">MIN(ROUNDDOWN($M$6*VLOOKUP($L$6,Taxas!$V$22:$W$30,2)/J323*2,0)/2,K323)</f>
        <v>12.5</v>
      </c>
      <c r="N323" s="642">
        <f t="shared" ref="N323:W332" si="28">IF(OR($I323&lt;$J$59,N$302-$I323&lt;$J$59),1000000000,$CO323+N$301+$CP323*(N$302-$I323))</f>
        <v>1000000000.0</v>
      </c>
      <c r="O323" s="642">
        <f t="shared" si="28"/>
        <v>1000000000.0</v>
      </c>
      <c r="P323" s="642">
        <f t="shared" si="28"/>
        <v>1000000000.0</v>
      </c>
      <c r="Q323" s="642">
        <f t="shared" si="28"/>
        <v>1000000000.0</v>
      </c>
      <c r="R323" s="642">
        <f t="shared" si="28"/>
        <v>1000000000.0</v>
      </c>
      <c r="S323" s="642">
        <f t="shared" si="28"/>
        <v>1000000000.0</v>
      </c>
      <c r="T323" s="642">
        <f t="shared" si="28"/>
        <v>1000000000.0</v>
      </c>
      <c r="U323" s="642">
        <f t="shared" si="28"/>
        <v>1000000000.0</v>
      </c>
      <c r="V323" s="642">
        <f t="shared" si="28"/>
        <v>1000000000.0</v>
      </c>
      <c r="W323" s="642">
        <f t="shared" si="28"/>
        <v>1000000000.0</v>
      </c>
      <c r="X323" s="642">
        <f t="shared" ref="X323:AG332" si="29">IF(OR($I323&lt;$J$59,X$302-$I323&lt;$J$59),1000000000,$CO323+X$301+$CP323*(X$302-$I323))</f>
        <v>1000000000.0</v>
      </c>
      <c r="Y323" s="642">
        <f t="shared" si="29"/>
        <v>1000000000.0</v>
      </c>
      <c r="Z323" s="642">
        <f t="shared" si="29"/>
        <v>1000000000.0</v>
      </c>
      <c r="AA323" s="642">
        <f t="shared" si="29"/>
        <v>1000000000.0</v>
      </c>
      <c r="AB323" s="642">
        <f t="shared" si="29"/>
        <v>1000000000.0</v>
      </c>
      <c r="AC323" s="642">
        <f t="shared" si="29"/>
        <v>1000000000.0</v>
      </c>
      <c r="AD323" s="642">
        <f t="shared" si="29"/>
        <v>1000000000.0</v>
      </c>
      <c r="AE323" s="642">
        <f t="shared" si="29"/>
        <v>1000000000.0</v>
      </c>
      <c r="AF323" s="642">
        <f t="shared" si="29"/>
        <v>1000000000.0</v>
      </c>
      <c r="AG323" s="642">
        <f t="shared" si="29"/>
        <v>1000000000.0</v>
      </c>
      <c r="AH323" s="642">
        <f t="shared" ref="AH323:AQ332" si="30">IF(OR($I323&lt;$J$59,AH$302-$I323&lt;$J$59),1000000000,$CO323+AH$301+$CP323*(AH$302-$I323))</f>
        <v>1000000000.0</v>
      </c>
      <c r="AI323" s="642">
        <f t="shared" si="30"/>
        <v>1000000000.0</v>
      </c>
      <c r="AJ323" s="642">
        <f t="shared" si="30"/>
        <v>1000000000.0</v>
      </c>
      <c r="AK323" s="642">
        <f t="shared" si="30"/>
        <v>1000000000.0</v>
      </c>
      <c r="AL323" s="642">
        <f t="shared" si="30"/>
        <v>1000000000.0</v>
      </c>
      <c r="AM323" s="642">
        <f t="shared" si="30"/>
        <v>1000000000.0</v>
      </c>
      <c r="AN323" s="642">
        <f t="shared" si="30"/>
        <v>1000000000.0</v>
      </c>
      <c r="AO323" s="642">
        <f t="shared" si="30"/>
        <v>1000000000.0</v>
      </c>
      <c r="AP323" s="642">
        <f t="shared" si="30"/>
        <v>1000000000.0</v>
      </c>
      <c r="AQ323" s="642">
        <f t="shared" si="30"/>
        <v>1000000000.0</v>
      </c>
      <c r="AR323" s="642">
        <f t="shared" ref="AR323:BA332" si="31">IF(OR($I323&lt;$J$59,AR$302-$I323&lt;$J$59),1000000000,$CO323+AR$301+$CP323*(AR$302-$I323))</f>
        <v>1000000000.0</v>
      </c>
      <c r="AS323" s="642">
        <f t="shared" si="31"/>
        <v>1000000000.0</v>
      </c>
      <c r="AT323" s="642">
        <f t="shared" si="31"/>
        <v>1000000000.0</v>
      </c>
      <c r="AU323" s="642">
        <f t="shared" si="31"/>
        <v>1000000000.0</v>
      </c>
      <c r="AV323" s="642">
        <f t="shared" si="31"/>
        <v>1000000000.0</v>
      </c>
      <c r="AW323" s="642">
        <f t="shared" si="31"/>
        <v>1000000000.0</v>
      </c>
      <c r="AX323" s="642">
        <f t="shared" ca="1" si="31"/>
        <v>171.8095230901961</v>
      </c>
      <c r="AY323" s="642">
        <f t="shared" ca="1" si="31"/>
        <v>171.8095230901961</v>
      </c>
      <c r="AZ323" s="642">
        <f t="shared" ca="1" si="31"/>
        <v>171.8095230901961</v>
      </c>
      <c r="BA323" s="642">
        <f t="shared" ca="1" si="31"/>
        <v>171.8095230901961</v>
      </c>
      <c r="BB323" s="642">
        <f t="shared" ref="BB323:BK332" ca="1" si="32">IF(OR($I323&lt;$J$59,BB$302-$I323&lt;$J$59),1000000000,$CO323+BB$301+$CP323*(BB$302-$I323))</f>
        <v>171.80952309019614</v>
      </c>
      <c r="BC323" s="642">
        <f t="shared" ca="1" si="32"/>
        <v>171.80952309019614</v>
      </c>
      <c r="BD323" s="642">
        <f t="shared" ca="1" si="32"/>
        <v>171.8095230901961</v>
      </c>
      <c r="BE323" s="642">
        <f t="shared" ca="1" si="32"/>
        <v>171.8095230901961</v>
      </c>
      <c r="BF323" s="642">
        <f t="shared" ca="1" si="32"/>
        <v>171.8095230901961</v>
      </c>
      <c r="BG323" s="642">
        <f t="shared" ca="1" si="32"/>
        <v>171.8095230901961</v>
      </c>
      <c r="BH323" s="642">
        <f t="shared" ca="1" si="32"/>
        <v>171.8095230901961</v>
      </c>
      <c r="BI323" s="642">
        <f t="shared" ca="1" si="32"/>
        <v>171.80952309019614</v>
      </c>
      <c r="BJ323" s="642">
        <f t="shared" ca="1" si="32"/>
        <v>171.8095230901961</v>
      </c>
      <c r="BK323" s="642">
        <f t="shared" ca="1" si="32"/>
        <v>171.8095230901961</v>
      </c>
      <c r="BL323" s="642">
        <f t="shared" ref="BL323:BU332" ca="1" si="33">IF(OR($I323&lt;$J$59,BL$302-$I323&lt;$J$59),1000000000,$CO323+BL$301+$CP323*(BL$302-$I323))</f>
        <v>171.8095230901961</v>
      </c>
      <c r="BM323" s="642">
        <f t="shared" ca="1" si="33"/>
        <v>171.80952309019614</v>
      </c>
      <c r="BN323" s="642">
        <f t="shared" ca="1" si="33"/>
        <v>171.8095230901961</v>
      </c>
      <c r="BO323" s="642">
        <f t="shared" ca="1" si="33"/>
        <v>171.8095230901961</v>
      </c>
      <c r="BP323" s="642">
        <f t="shared" ca="1" si="33"/>
        <v>171.80952309019614</v>
      </c>
      <c r="BQ323" s="642">
        <f t="shared" ca="1" si="33"/>
        <v>171.80952309019614</v>
      </c>
      <c r="BR323" s="642">
        <f t="shared" ca="1" si="33"/>
        <v>171.80952309019614</v>
      </c>
      <c r="BS323" s="642">
        <f t="shared" ca="1" si="33"/>
        <v>171.8095230901961</v>
      </c>
      <c r="BT323" s="642">
        <f t="shared" ca="1" si="33"/>
        <v>171.80952309019614</v>
      </c>
      <c r="BU323" s="642">
        <f t="shared" ca="1" si="33"/>
        <v>171.8095230901961</v>
      </c>
      <c r="BV323" s="642">
        <f t="shared" ref="BV323:CE332" ca="1" si="34">IF(OR($I323&lt;$J$59,BV$302-$I323&lt;$J$59),1000000000,$CO323+BV$301+$CP323*(BV$302-$I323))</f>
        <v>171.8095230901961</v>
      </c>
      <c r="BW323" s="642">
        <f t="shared" ca="1" si="34"/>
        <v>171.8095230901961</v>
      </c>
      <c r="BX323" s="642">
        <f t="shared" ca="1" si="34"/>
        <v>171.80952309019614</v>
      </c>
      <c r="BY323" s="642">
        <f t="shared" ca="1" si="34"/>
        <v>171.80952309019614</v>
      </c>
      <c r="BZ323" s="642">
        <f t="shared" ca="1" si="34"/>
        <v>171.8095230901961</v>
      </c>
      <c r="CA323" s="642">
        <f t="shared" ca="1" si="34"/>
        <v>171.80952309019614</v>
      </c>
      <c r="CB323" s="642">
        <f t="shared" ca="1" si="34"/>
        <v>171.8095230901961</v>
      </c>
      <c r="CC323" s="642">
        <f t="shared" ca="1" si="34"/>
        <v>171.80952309019614</v>
      </c>
      <c r="CD323" s="642">
        <f t="shared" ca="1" si="34"/>
        <v>171.8095230901961</v>
      </c>
      <c r="CE323" s="642">
        <f t="shared" ca="1" si="34"/>
        <v>171.80952309019614</v>
      </c>
      <c r="CF323" s="642">
        <f t="shared" ref="CF323:CM332" ca="1" si="35">IF(OR($I323&lt;$J$59,CF$302-$I323&lt;$J$59),1000000000,$CO323+CF$301+$CP323*(CF$302-$I323))</f>
        <v>171.8095230901961</v>
      </c>
      <c r="CG323" s="642">
        <f t="shared" ca="1" si="35"/>
        <v>171.8095230901961</v>
      </c>
      <c r="CH323" s="642">
        <f t="shared" ca="1" si="35"/>
        <v>171.8095230901961</v>
      </c>
      <c r="CI323" s="642">
        <f t="shared" ca="1" si="35"/>
        <v>171.80952309019614</v>
      </c>
      <c r="CJ323" s="642">
        <f t="shared" ca="1" si="35"/>
        <v>171.80952309019614</v>
      </c>
      <c r="CK323" s="642">
        <f t="shared" ca="1" si="35"/>
        <v>171.8095230901961</v>
      </c>
      <c r="CL323" s="642">
        <f t="shared" ca="1" si="35"/>
        <v>171.80952309019614</v>
      </c>
      <c r="CM323" s="642">
        <f t="shared" ca="1" si="35"/>
        <v>171.8095230901961</v>
      </c>
      <c r="CN323" s="642">
        <f t="shared" ca="1" si="17"/>
        <v>171.8095230901961</v>
      </c>
      <c r="CO323" s="642">
        <f>2*$AD$61*MAX(0,$J$58+I323-$J$64)+IF(L323&lt;$J$38,1000000,0)</f>
        <v>61.75009482352941</v>
      </c>
      <c r="CP323" s="642">
        <f>2*IF($J$175&gt;0,IF($J$392/MIN($J$175,K323)&gt;$M$5*VLOOKUP($L$5,Taxas!$V$22:$W$30,2)/L323,$J$391/MIN($J$175,K323),$J$389/L323),$J$389/L323)</f>
        <v>0.3828154026666668</v>
      </c>
    </row>
    <row r="324" spans="9:94" hidden="1" x14ac:dyDescent="0.25">
      <c r="I324" s="642">
        <f>MIN(5*22,$J$57/2)</f>
        <v>110.0</v>
      </c>
      <c r="J324" s="646">
        <f t="shared" ca="1" si="7"/>
        <v>0.12006841540491027</v>
      </c>
      <c r="K324" s="642">
        <f t="shared" ca="1" si="8"/>
        <v>30.0</v>
      </c>
      <c r="L324" s="642">
        <f ca="1">MIN(ROUNDDOWN($M$5*VLOOKUP($L$5,Taxas!$V$22:$W$30,2)/J324*2,0)/2,K324)</f>
        <v>13.0</v>
      </c>
      <c r="M324" s="642">
        <f ca="1">MIN(ROUNDDOWN($M$6*VLOOKUP($L$6,Taxas!$V$22:$W$30,2)/J324*2,0)/2,K324)</f>
        <v>13.0</v>
      </c>
      <c r="N324" s="642">
        <f t="shared" si="28"/>
        <v>1000000000.0</v>
      </c>
      <c r="O324" s="642">
        <f t="shared" si="28"/>
        <v>1000000000.0</v>
      </c>
      <c r="P324" s="642">
        <f t="shared" si="28"/>
        <v>1000000000.0</v>
      </c>
      <c r="Q324" s="642">
        <f t="shared" si="28"/>
        <v>1000000000.0</v>
      </c>
      <c r="R324" s="642">
        <f t="shared" si="28"/>
        <v>1000000000.0</v>
      </c>
      <c r="S324" s="642">
        <f t="shared" si="28"/>
        <v>1000000000.0</v>
      </c>
      <c r="T324" s="642">
        <f t="shared" si="28"/>
        <v>1000000000.0</v>
      </c>
      <c r="U324" s="642">
        <f t="shared" si="28"/>
        <v>1000000000.0</v>
      </c>
      <c r="V324" s="642">
        <f t="shared" si="28"/>
        <v>1000000000.0</v>
      </c>
      <c r="W324" s="642">
        <f t="shared" si="28"/>
        <v>1000000000.0</v>
      </c>
      <c r="X324" s="642">
        <f t="shared" si="29"/>
        <v>1000000000.0</v>
      </c>
      <c r="Y324" s="642">
        <f t="shared" si="29"/>
        <v>1000000000.0</v>
      </c>
      <c r="Z324" s="642">
        <f t="shared" si="29"/>
        <v>1000000000.0</v>
      </c>
      <c r="AA324" s="642">
        <f t="shared" si="29"/>
        <v>1000000000.0</v>
      </c>
      <c r="AB324" s="642">
        <f t="shared" si="29"/>
        <v>1000000000.0</v>
      </c>
      <c r="AC324" s="642">
        <f t="shared" si="29"/>
        <v>1000000000.0</v>
      </c>
      <c r="AD324" s="642">
        <f t="shared" si="29"/>
        <v>1000000000.0</v>
      </c>
      <c r="AE324" s="642">
        <f t="shared" si="29"/>
        <v>1000000000.0</v>
      </c>
      <c r="AF324" s="642">
        <f t="shared" si="29"/>
        <v>1000000000.0</v>
      </c>
      <c r="AG324" s="642">
        <f t="shared" si="29"/>
        <v>1000000000.0</v>
      </c>
      <c r="AH324" s="642">
        <f t="shared" si="30"/>
        <v>1000000000.0</v>
      </c>
      <c r="AI324" s="642">
        <f t="shared" si="30"/>
        <v>1000000000.0</v>
      </c>
      <c r="AJ324" s="642">
        <f t="shared" si="30"/>
        <v>1000000000.0</v>
      </c>
      <c r="AK324" s="642">
        <f t="shared" si="30"/>
        <v>1000000000.0</v>
      </c>
      <c r="AL324" s="642">
        <f t="shared" si="30"/>
        <v>1000000000.0</v>
      </c>
      <c r="AM324" s="642">
        <f t="shared" si="30"/>
        <v>1000000000.0</v>
      </c>
      <c r="AN324" s="642">
        <f t="shared" si="30"/>
        <v>1000000000.0</v>
      </c>
      <c r="AO324" s="642">
        <f t="shared" si="30"/>
        <v>1000000000.0</v>
      </c>
      <c r="AP324" s="642">
        <f t="shared" si="30"/>
        <v>1000000000.0</v>
      </c>
      <c r="AQ324" s="642">
        <f t="shared" si="30"/>
        <v>1000000000.0</v>
      </c>
      <c r="AR324" s="642">
        <f t="shared" si="31"/>
        <v>1000000000.0</v>
      </c>
      <c r="AS324" s="642">
        <f t="shared" si="31"/>
        <v>1000000000.0</v>
      </c>
      <c r="AT324" s="642">
        <f t="shared" si="31"/>
        <v>1000000000.0</v>
      </c>
      <c r="AU324" s="642">
        <f t="shared" si="31"/>
        <v>1000000000.0</v>
      </c>
      <c r="AV324" s="642">
        <f t="shared" si="31"/>
        <v>1000000000.0</v>
      </c>
      <c r="AW324" s="642">
        <f t="shared" si="31"/>
        <v>1000000000.0</v>
      </c>
      <c r="AX324" s="642">
        <f t="shared" si="31"/>
        <v>1000000000.0</v>
      </c>
      <c r="AY324" s="642">
        <f t="shared" ca="1" si="31"/>
        <v>172.53433901803925</v>
      </c>
      <c r="AZ324" s="642">
        <f t="shared" ca="1" si="31"/>
        <v>172.53433901803928</v>
      </c>
      <c r="BA324" s="642">
        <f t="shared" ca="1" si="31"/>
        <v>172.53433901803928</v>
      </c>
      <c r="BB324" s="642">
        <f t="shared" ca="1" si="32"/>
        <v>172.53433901803928</v>
      </c>
      <c r="BC324" s="642">
        <f t="shared" ca="1" si="32"/>
        <v>172.53433901803925</v>
      </c>
      <c r="BD324" s="642">
        <f t="shared" ca="1" si="32"/>
        <v>172.53433901803925</v>
      </c>
      <c r="BE324" s="642">
        <f t="shared" ca="1" si="32"/>
        <v>172.53433901803925</v>
      </c>
      <c r="BF324" s="642">
        <f t="shared" ca="1" si="32"/>
        <v>172.53433901803925</v>
      </c>
      <c r="BG324" s="642">
        <f t="shared" ca="1" si="32"/>
        <v>172.53433901803925</v>
      </c>
      <c r="BH324" s="642">
        <f t="shared" ca="1" si="32"/>
        <v>172.53433901803925</v>
      </c>
      <c r="BI324" s="642">
        <f t="shared" ca="1" si="32"/>
        <v>172.53433901803925</v>
      </c>
      <c r="BJ324" s="642">
        <f t="shared" ca="1" si="32"/>
        <v>172.53433901803925</v>
      </c>
      <c r="BK324" s="642">
        <f t="shared" ca="1" si="32"/>
        <v>172.53433901803928</v>
      </c>
      <c r="BL324" s="642">
        <f t="shared" ca="1" si="33"/>
        <v>172.53433901803925</v>
      </c>
      <c r="BM324" s="642">
        <f t="shared" ca="1" si="33"/>
        <v>172.53433901803925</v>
      </c>
      <c r="BN324" s="642">
        <f t="shared" ca="1" si="33"/>
        <v>172.53433901803925</v>
      </c>
      <c r="BO324" s="642">
        <f t="shared" ca="1" si="33"/>
        <v>172.53433901803928</v>
      </c>
      <c r="BP324" s="642">
        <f t="shared" ca="1" si="33"/>
        <v>172.53433901803925</v>
      </c>
      <c r="BQ324" s="642">
        <f t="shared" ca="1" si="33"/>
        <v>172.53433901803925</v>
      </c>
      <c r="BR324" s="642">
        <f t="shared" ca="1" si="33"/>
        <v>172.53433901803925</v>
      </c>
      <c r="BS324" s="642">
        <f t="shared" ca="1" si="33"/>
        <v>172.53433901803925</v>
      </c>
      <c r="BT324" s="642">
        <f t="shared" ca="1" si="33"/>
        <v>172.53433901803925</v>
      </c>
      <c r="BU324" s="642">
        <f t="shared" ca="1" si="33"/>
        <v>172.53433901803925</v>
      </c>
      <c r="BV324" s="642">
        <f t="shared" ca="1" si="34"/>
        <v>172.53433901803925</v>
      </c>
      <c r="BW324" s="642">
        <f t="shared" ca="1" si="34"/>
        <v>172.53433901803925</v>
      </c>
      <c r="BX324" s="642">
        <f t="shared" ca="1" si="34"/>
        <v>172.53433901803925</v>
      </c>
      <c r="BY324" s="642">
        <f t="shared" ca="1" si="34"/>
        <v>172.53433901803925</v>
      </c>
      <c r="BZ324" s="642">
        <f t="shared" ca="1" si="34"/>
        <v>172.53433901803928</v>
      </c>
      <c r="CA324" s="642">
        <f t="shared" ca="1" si="34"/>
        <v>172.53433901803925</v>
      </c>
      <c r="CB324" s="642">
        <f t="shared" ca="1" si="34"/>
        <v>172.53433901803925</v>
      </c>
      <c r="CC324" s="642">
        <f t="shared" ca="1" si="34"/>
        <v>172.53433901803925</v>
      </c>
      <c r="CD324" s="642">
        <f t="shared" ca="1" si="34"/>
        <v>172.53433901803925</v>
      </c>
      <c r="CE324" s="642">
        <f t="shared" ca="1" si="34"/>
        <v>172.53433901803925</v>
      </c>
      <c r="CF324" s="642">
        <f t="shared" ca="1" si="35"/>
        <v>172.53433901803925</v>
      </c>
      <c r="CG324" s="642">
        <f t="shared" ca="1" si="35"/>
        <v>172.53433901803925</v>
      </c>
      <c r="CH324" s="642">
        <f t="shared" ca="1" si="35"/>
        <v>172.53433901803925</v>
      </c>
      <c r="CI324" s="642">
        <f t="shared" ca="1" si="35"/>
        <v>172.53433901803925</v>
      </c>
      <c r="CJ324" s="642">
        <f t="shared" ca="1" si="35"/>
        <v>172.53433901803925</v>
      </c>
      <c r="CK324" s="642">
        <f t="shared" ca="1" si="35"/>
        <v>172.53433901803925</v>
      </c>
      <c r="CL324" s="642">
        <f t="shared" ca="1" si="35"/>
        <v>172.53433901803925</v>
      </c>
      <c r="CM324" s="642">
        <f t="shared" ca="1" si="35"/>
        <v>172.53433901803925</v>
      </c>
      <c r="CN324" s="642">
        <f t="shared" ca="1" si="17"/>
        <v>172.53433901803925</v>
      </c>
      <c r="CO324" s="642">
        <f>2*$AD$61*MAX(0,$J$58+I324-$J$64)+IF(L324&lt;$J$38,1000000,0)</f>
        <v>64.38898776470589</v>
      </c>
      <c r="CP324" s="642">
        <f>2*IF($J$175&gt;0,IF($J$392/MIN($J$175,K324)&gt;$M$5*VLOOKUP($L$5,Taxas!$V$22:$W$30,2)/L324,$J$391/MIN($J$175,K324),$J$389/L324),$J$389/L324)</f>
        <v>0.3828154026666668</v>
      </c>
    </row>
    <row r="325" spans="9:94" hidden="1" x14ac:dyDescent="0.25">
      <c r="I325" s="642">
        <f>MIN(5*23,$J$57/2)</f>
        <v>115.0</v>
      </c>
      <c r="J325" s="646">
        <f t="shared" ca="1" si="7"/>
        <v>0.11573837917098498</v>
      </c>
      <c r="K325" s="642">
        <f t="shared" ca="1" si="8"/>
        <v>30.0</v>
      </c>
      <c r="L325" s="642">
        <f ca="1">MIN(ROUNDDOWN($M$5*VLOOKUP($L$5,Taxas!$V$22:$W$30,2)/J325*2,0)/2,K325)</f>
        <v>13.5</v>
      </c>
      <c r="M325" s="642">
        <f ca="1">MIN(ROUNDDOWN($M$6*VLOOKUP($L$6,Taxas!$V$22:$W$30,2)/J325*2,0)/2,K325)</f>
        <v>13.5</v>
      </c>
      <c r="N325" s="642">
        <f t="shared" si="28"/>
        <v>1000000000.0</v>
      </c>
      <c r="O325" s="642">
        <f t="shared" si="28"/>
        <v>1000000000.0</v>
      </c>
      <c r="P325" s="642">
        <f t="shared" si="28"/>
        <v>1000000000.0</v>
      </c>
      <c r="Q325" s="642">
        <f t="shared" si="28"/>
        <v>1000000000.0</v>
      </c>
      <c r="R325" s="642">
        <f t="shared" si="28"/>
        <v>1000000000.0</v>
      </c>
      <c r="S325" s="642">
        <f t="shared" si="28"/>
        <v>1000000000.0</v>
      </c>
      <c r="T325" s="642">
        <f t="shared" si="28"/>
        <v>1000000000.0</v>
      </c>
      <c r="U325" s="642">
        <f t="shared" si="28"/>
        <v>1000000000.0</v>
      </c>
      <c r="V325" s="642">
        <f t="shared" si="28"/>
        <v>1000000000.0</v>
      </c>
      <c r="W325" s="642">
        <f t="shared" si="28"/>
        <v>1000000000.0</v>
      </c>
      <c r="X325" s="642">
        <f t="shared" si="29"/>
        <v>1000000000.0</v>
      </c>
      <c r="Y325" s="642">
        <f t="shared" si="29"/>
        <v>1000000000.0</v>
      </c>
      <c r="Z325" s="642">
        <f t="shared" si="29"/>
        <v>1000000000.0</v>
      </c>
      <c r="AA325" s="642">
        <f t="shared" si="29"/>
        <v>1000000000.0</v>
      </c>
      <c r="AB325" s="642">
        <f t="shared" si="29"/>
        <v>1000000000.0</v>
      </c>
      <c r="AC325" s="642">
        <f t="shared" si="29"/>
        <v>1000000000.0</v>
      </c>
      <c r="AD325" s="642">
        <f t="shared" si="29"/>
        <v>1000000000.0</v>
      </c>
      <c r="AE325" s="642">
        <f t="shared" si="29"/>
        <v>1000000000.0</v>
      </c>
      <c r="AF325" s="642">
        <f t="shared" si="29"/>
        <v>1000000000.0</v>
      </c>
      <c r="AG325" s="642">
        <f t="shared" si="29"/>
        <v>1000000000.0</v>
      </c>
      <c r="AH325" s="642">
        <f t="shared" si="30"/>
        <v>1000000000.0</v>
      </c>
      <c r="AI325" s="642">
        <f t="shared" si="30"/>
        <v>1000000000.0</v>
      </c>
      <c r="AJ325" s="642">
        <f t="shared" si="30"/>
        <v>1000000000.0</v>
      </c>
      <c r="AK325" s="642">
        <f t="shared" si="30"/>
        <v>1000000000.0</v>
      </c>
      <c r="AL325" s="642">
        <f t="shared" si="30"/>
        <v>1000000000.0</v>
      </c>
      <c r="AM325" s="642">
        <f t="shared" si="30"/>
        <v>1000000000.0</v>
      </c>
      <c r="AN325" s="642">
        <f t="shared" si="30"/>
        <v>1000000000.0</v>
      </c>
      <c r="AO325" s="642">
        <f t="shared" si="30"/>
        <v>1000000000.0</v>
      </c>
      <c r="AP325" s="642">
        <f t="shared" si="30"/>
        <v>1000000000.0</v>
      </c>
      <c r="AQ325" s="642">
        <f t="shared" si="30"/>
        <v>1000000000.0</v>
      </c>
      <c r="AR325" s="642">
        <f t="shared" si="31"/>
        <v>1000000000.0</v>
      </c>
      <c r="AS325" s="642">
        <f t="shared" si="31"/>
        <v>1000000000.0</v>
      </c>
      <c r="AT325" s="642">
        <f t="shared" si="31"/>
        <v>1000000000.0</v>
      </c>
      <c r="AU325" s="642">
        <f t="shared" si="31"/>
        <v>1000000000.0</v>
      </c>
      <c r="AV325" s="642">
        <f t="shared" si="31"/>
        <v>1000000000.0</v>
      </c>
      <c r="AW325" s="642">
        <f t="shared" si="31"/>
        <v>1000000000.0</v>
      </c>
      <c r="AX325" s="642">
        <f t="shared" si="31"/>
        <v>1000000000.0</v>
      </c>
      <c r="AY325" s="642">
        <f t="shared" si="31"/>
        <v>1000000000.0</v>
      </c>
      <c r="AZ325" s="642">
        <f t="shared" ca="1" si="31"/>
        <v>173.2591549458824</v>
      </c>
      <c r="BA325" s="642">
        <f t="shared" ca="1" si="31"/>
        <v>173.2591549458824</v>
      </c>
      <c r="BB325" s="642">
        <f t="shared" ca="1" si="32"/>
        <v>173.2591549458824</v>
      </c>
      <c r="BC325" s="642">
        <f t="shared" ca="1" si="32"/>
        <v>173.2591549458824</v>
      </c>
      <c r="BD325" s="642">
        <f t="shared" ca="1" si="32"/>
        <v>173.25915494588241</v>
      </c>
      <c r="BE325" s="642">
        <f t="shared" ca="1" si="32"/>
        <v>173.25915494588241</v>
      </c>
      <c r="BF325" s="642">
        <f t="shared" ca="1" si="32"/>
        <v>173.2591549458824</v>
      </c>
      <c r="BG325" s="642">
        <f t="shared" ca="1" si="32"/>
        <v>173.2591549458824</v>
      </c>
      <c r="BH325" s="642">
        <f t="shared" ca="1" si="32"/>
        <v>173.2591549458824</v>
      </c>
      <c r="BI325" s="642">
        <f t="shared" ca="1" si="32"/>
        <v>173.2591549458824</v>
      </c>
      <c r="BJ325" s="642">
        <f t="shared" ca="1" si="32"/>
        <v>173.2591549458824</v>
      </c>
      <c r="BK325" s="642">
        <f t="shared" ca="1" si="32"/>
        <v>173.25915494588241</v>
      </c>
      <c r="BL325" s="642">
        <f t="shared" ca="1" si="33"/>
        <v>173.2591549458824</v>
      </c>
      <c r="BM325" s="642">
        <f t="shared" ca="1" si="33"/>
        <v>173.2591549458824</v>
      </c>
      <c r="BN325" s="642">
        <f t="shared" ca="1" si="33"/>
        <v>173.2591549458824</v>
      </c>
      <c r="BO325" s="642">
        <f t="shared" ca="1" si="33"/>
        <v>173.25915494588241</v>
      </c>
      <c r="BP325" s="642">
        <f t="shared" ca="1" si="33"/>
        <v>173.2591549458824</v>
      </c>
      <c r="BQ325" s="642">
        <f t="shared" ca="1" si="33"/>
        <v>173.2591549458824</v>
      </c>
      <c r="BR325" s="642">
        <f t="shared" ca="1" si="33"/>
        <v>173.25915494588241</v>
      </c>
      <c r="BS325" s="642">
        <f t="shared" ca="1" si="33"/>
        <v>173.2591549458824</v>
      </c>
      <c r="BT325" s="642">
        <f t="shared" ca="1" si="33"/>
        <v>173.2591549458824</v>
      </c>
      <c r="BU325" s="642">
        <f t="shared" ca="1" si="33"/>
        <v>173.2591549458824</v>
      </c>
      <c r="BV325" s="642">
        <f t="shared" ca="1" si="34"/>
        <v>173.25915494588241</v>
      </c>
      <c r="BW325" s="642">
        <f t="shared" ca="1" si="34"/>
        <v>173.2591549458824</v>
      </c>
      <c r="BX325" s="642">
        <f t="shared" ca="1" si="34"/>
        <v>173.2591549458824</v>
      </c>
      <c r="BY325" s="642">
        <f t="shared" ca="1" si="34"/>
        <v>173.2591549458824</v>
      </c>
      <c r="BZ325" s="642">
        <f t="shared" ca="1" si="34"/>
        <v>173.25915494588241</v>
      </c>
      <c r="CA325" s="642">
        <f t="shared" ca="1" si="34"/>
        <v>173.25915494588241</v>
      </c>
      <c r="CB325" s="642">
        <f t="shared" ca="1" si="34"/>
        <v>173.2591549458824</v>
      </c>
      <c r="CC325" s="642">
        <f t="shared" ca="1" si="34"/>
        <v>173.25915494588241</v>
      </c>
      <c r="CD325" s="642">
        <f t="shared" ca="1" si="34"/>
        <v>173.2591549458824</v>
      </c>
      <c r="CE325" s="642">
        <f t="shared" ca="1" si="34"/>
        <v>173.25915494588241</v>
      </c>
      <c r="CF325" s="642">
        <f t="shared" ca="1" si="35"/>
        <v>173.2591549458824</v>
      </c>
      <c r="CG325" s="642">
        <f t="shared" ca="1" si="35"/>
        <v>173.25915494588241</v>
      </c>
      <c r="CH325" s="642">
        <f t="shared" ca="1" si="35"/>
        <v>173.2591549458824</v>
      </c>
      <c r="CI325" s="642">
        <f t="shared" ca="1" si="35"/>
        <v>173.2591549458824</v>
      </c>
      <c r="CJ325" s="642">
        <f t="shared" ca="1" si="35"/>
        <v>173.2591549458824</v>
      </c>
      <c r="CK325" s="642">
        <f t="shared" ca="1" si="35"/>
        <v>173.2591549458824</v>
      </c>
      <c r="CL325" s="642">
        <f t="shared" ca="1" si="35"/>
        <v>173.25915494588241</v>
      </c>
      <c r="CM325" s="642">
        <f t="shared" ca="1" si="35"/>
        <v>173.2591549458824</v>
      </c>
      <c r="CN325" s="642">
        <f t="shared" ca="1" si="17"/>
        <v>173.2591549458824</v>
      </c>
      <c r="CO325" s="642">
        <f>2*$AD$61*MAX(0,$J$58+I325-$J$64)+IF(L325&lt;$J$38,1000000,0)</f>
        <v>67.02788070588235</v>
      </c>
      <c r="CP325" s="642">
        <f>2*IF($J$175&gt;0,IF($J$392/MIN($J$175,K325)&gt;$M$5*VLOOKUP($L$5,Taxas!$V$22:$W$30,2)/L325,$J$391/MIN($J$175,K325),$J$389/L325),$J$389/L325)</f>
        <v>0.3828154026666668</v>
      </c>
    </row>
    <row r="326" spans="9:94" hidden="1" x14ac:dyDescent="0.25">
      <c r="I326" s="642">
        <f>MIN(5*24,$J$57/2)</f>
        <v>120.0</v>
      </c>
      <c r="J326" s="646">
        <f t="shared" ca="1" si="7"/>
        <v>0.1115470298109891</v>
      </c>
      <c r="K326" s="642">
        <f t="shared" ca="1" si="8"/>
        <v>30.0</v>
      </c>
      <c r="L326" s="642">
        <f ca="1">MIN(ROUNDDOWN($M$5*VLOOKUP($L$5,Taxas!$V$22:$W$30,2)/J326*2,0)/2,K326)</f>
        <v>14.0</v>
      </c>
      <c r="M326" s="642">
        <f ca="1">MIN(ROUNDDOWN($M$6*VLOOKUP($L$6,Taxas!$V$22:$W$30,2)/J326*2,0)/2,K326)</f>
        <v>14.0</v>
      </c>
      <c r="N326" s="642">
        <f t="shared" si="28"/>
        <v>1000000000.0</v>
      </c>
      <c r="O326" s="642">
        <f t="shared" si="28"/>
        <v>1000000000.0</v>
      </c>
      <c r="P326" s="642">
        <f t="shared" si="28"/>
        <v>1000000000.0</v>
      </c>
      <c r="Q326" s="642">
        <f t="shared" si="28"/>
        <v>1000000000.0</v>
      </c>
      <c r="R326" s="642">
        <f t="shared" si="28"/>
        <v>1000000000.0</v>
      </c>
      <c r="S326" s="642">
        <f t="shared" si="28"/>
        <v>1000000000.0</v>
      </c>
      <c r="T326" s="642">
        <f t="shared" si="28"/>
        <v>1000000000.0</v>
      </c>
      <c r="U326" s="642">
        <f t="shared" si="28"/>
        <v>1000000000.0</v>
      </c>
      <c r="V326" s="642">
        <f t="shared" si="28"/>
        <v>1000000000.0</v>
      </c>
      <c r="W326" s="642">
        <f t="shared" si="28"/>
        <v>1000000000.0</v>
      </c>
      <c r="X326" s="642">
        <f t="shared" si="29"/>
        <v>1000000000.0</v>
      </c>
      <c r="Y326" s="642">
        <f t="shared" si="29"/>
        <v>1000000000.0</v>
      </c>
      <c r="Z326" s="642">
        <f t="shared" si="29"/>
        <v>1000000000.0</v>
      </c>
      <c r="AA326" s="642">
        <f t="shared" si="29"/>
        <v>1000000000.0</v>
      </c>
      <c r="AB326" s="642">
        <f t="shared" si="29"/>
        <v>1000000000.0</v>
      </c>
      <c r="AC326" s="642">
        <f t="shared" si="29"/>
        <v>1000000000.0</v>
      </c>
      <c r="AD326" s="642">
        <f t="shared" si="29"/>
        <v>1000000000.0</v>
      </c>
      <c r="AE326" s="642">
        <f t="shared" si="29"/>
        <v>1000000000.0</v>
      </c>
      <c r="AF326" s="642">
        <f t="shared" si="29"/>
        <v>1000000000.0</v>
      </c>
      <c r="AG326" s="642">
        <f t="shared" si="29"/>
        <v>1000000000.0</v>
      </c>
      <c r="AH326" s="642">
        <f t="shared" si="30"/>
        <v>1000000000.0</v>
      </c>
      <c r="AI326" s="642">
        <f t="shared" si="30"/>
        <v>1000000000.0</v>
      </c>
      <c r="AJ326" s="642">
        <f t="shared" si="30"/>
        <v>1000000000.0</v>
      </c>
      <c r="AK326" s="642">
        <f t="shared" si="30"/>
        <v>1000000000.0</v>
      </c>
      <c r="AL326" s="642">
        <f t="shared" si="30"/>
        <v>1000000000.0</v>
      </c>
      <c r="AM326" s="642">
        <f t="shared" si="30"/>
        <v>1000000000.0</v>
      </c>
      <c r="AN326" s="642">
        <f t="shared" si="30"/>
        <v>1000000000.0</v>
      </c>
      <c r="AO326" s="642">
        <f t="shared" si="30"/>
        <v>1000000000.0</v>
      </c>
      <c r="AP326" s="642">
        <f t="shared" si="30"/>
        <v>1000000000.0</v>
      </c>
      <c r="AQ326" s="642">
        <f t="shared" si="30"/>
        <v>1000000000.0</v>
      </c>
      <c r="AR326" s="642">
        <f t="shared" si="31"/>
        <v>1000000000.0</v>
      </c>
      <c r="AS326" s="642">
        <f t="shared" si="31"/>
        <v>1000000000.0</v>
      </c>
      <c r="AT326" s="642">
        <f t="shared" si="31"/>
        <v>1000000000.0</v>
      </c>
      <c r="AU326" s="642">
        <f t="shared" si="31"/>
        <v>1000000000.0</v>
      </c>
      <c r="AV326" s="642">
        <f t="shared" si="31"/>
        <v>1000000000.0</v>
      </c>
      <c r="AW326" s="642">
        <f t="shared" si="31"/>
        <v>1000000000.0</v>
      </c>
      <c r="AX326" s="642">
        <f t="shared" si="31"/>
        <v>1000000000.0</v>
      </c>
      <c r="AY326" s="642">
        <f t="shared" si="31"/>
        <v>1000000000.0</v>
      </c>
      <c r="AZ326" s="642">
        <f t="shared" si="31"/>
        <v>1000000000.0</v>
      </c>
      <c r="BA326" s="642">
        <f t="shared" ca="1" si="31"/>
        <v>173.98397087372553</v>
      </c>
      <c r="BB326" s="642">
        <f t="shared" ca="1" si="32"/>
        <v>173.98397087372555</v>
      </c>
      <c r="BC326" s="642">
        <f t="shared" ca="1" si="32"/>
        <v>173.98397087372553</v>
      </c>
      <c r="BD326" s="642">
        <f t="shared" ca="1" si="32"/>
        <v>173.9839708737255</v>
      </c>
      <c r="BE326" s="642">
        <f t="shared" ca="1" si="32"/>
        <v>173.98397087372553</v>
      </c>
      <c r="BF326" s="642">
        <f t="shared" ca="1" si="32"/>
        <v>173.98397087372553</v>
      </c>
      <c r="BG326" s="642">
        <f t="shared" ca="1" si="32"/>
        <v>173.98397087372553</v>
      </c>
      <c r="BH326" s="642">
        <f t="shared" ca="1" si="32"/>
        <v>173.98397087372553</v>
      </c>
      <c r="BI326" s="642">
        <f t="shared" ca="1" si="32"/>
        <v>173.98397087372553</v>
      </c>
      <c r="BJ326" s="642">
        <f t="shared" ca="1" si="32"/>
        <v>173.98397087372553</v>
      </c>
      <c r="BK326" s="642">
        <f t="shared" ca="1" si="32"/>
        <v>173.98397087372553</v>
      </c>
      <c r="BL326" s="642">
        <f t="shared" ca="1" si="33"/>
        <v>173.98397087372553</v>
      </c>
      <c r="BM326" s="642">
        <f t="shared" ca="1" si="33"/>
        <v>173.98397087372553</v>
      </c>
      <c r="BN326" s="642">
        <f t="shared" ca="1" si="33"/>
        <v>173.98397087372553</v>
      </c>
      <c r="BO326" s="642">
        <f t="shared" ca="1" si="33"/>
        <v>173.98397087372553</v>
      </c>
      <c r="BP326" s="642">
        <f t="shared" ca="1" si="33"/>
        <v>173.98397087372553</v>
      </c>
      <c r="BQ326" s="642">
        <f t="shared" ca="1" si="33"/>
        <v>173.98397087372553</v>
      </c>
      <c r="BR326" s="642">
        <f t="shared" ca="1" si="33"/>
        <v>173.98397087372553</v>
      </c>
      <c r="BS326" s="642">
        <f t="shared" ca="1" si="33"/>
        <v>173.98397087372553</v>
      </c>
      <c r="BT326" s="642">
        <f t="shared" ca="1" si="33"/>
        <v>173.98397087372553</v>
      </c>
      <c r="BU326" s="642">
        <f t="shared" ca="1" si="33"/>
        <v>173.98397087372553</v>
      </c>
      <c r="BV326" s="642">
        <f t="shared" ca="1" si="34"/>
        <v>173.98397087372553</v>
      </c>
      <c r="BW326" s="642">
        <f t="shared" ca="1" si="34"/>
        <v>173.98397087372553</v>
      </c>
      <c r="BX326" s="642">
        <f t="shared" ca="1" si="34"/>
        <v>173.98397087372553</v>
      </c>
      <c r="BY326" s="642">
        <f t="shared" ca="1" si="34"/>
        <v>173.98397087372553</v>
      </c>
      <c r="BZ326" s="642">
        <f t="shared" ca="1" si="34"/>
        <v>173.98397087372553</v>
      </c>
      <c r="CA326" s="642">
        <f t="shared" ca="1" si="34"/>
        <v>173.98397087372553</v>
      </c>
      <c r="CB326" s="642">
        <f t="shared" ca="1" si="34"/>
        <v>173.98397087372553</v>
      </c>
      <c r="CC326" s="642">
        <f t="shared" ca="1" si="34"/>
        <v>173.98397087372553</v>
      </c>
      <c r="CD326" s="642">
        <f t="shared" ca="1" si="34"/>
        <v>173.98397087372553</v>
      </c>
      <c r="CE326" s="642">
        <f t="shared" ca="1" si="34"/>
        <v>173.98397087372553</v>
      </c>
      <c r="CF326" s="642">
        <f t="shared" ca="1" si="35"/>
        <v>173.98397087372553</v>
      </c>
      <c r="CG326" s="642">
        <f t="shared" ca="1" si="35"/>
        <v>173.98397087372553</v>
      </c>
      <c r="CH326" s="642">
        <f t="shared" ca="1" si="35"/>
        <v>173.98397087372553</v>
      </c>
      <c r="CI326" s="642">
        <f t="shared" ca="1" si="35"/>
        <v>173.98397087372553</v>
      </c>
      <c r="CJ326" s="642">
        <f t="shared" ca="1" si="35"/>
        <v>173.98397087372553</v>
      </c>
      <c r="CK326" s="642">
        <f t="shared" ca="1" si="35"/>
        <v>173.98397087372553</v>
      </c>
      <c r="CL326" s="642">
        <f t="shared" ca="1" si="35"/>
        <v>173.98397087372553</v>
      </c>
      <c r="CM326" s="642">
        <f t="shared" ca="1" si="35"/>
        <v>173.98397087372553</v>
      </c>
      <c r="CN326" s="642">
        <f t="shared" ca="1" si="17"/>
        <v>173.9839708737255</v>
      </c>
      <c r="CO326" s="642">
        <f>2*$AD$61*MAX(0,$J$58+I326-$J$64)+IF(L326&lt;$J$38,1000000,0)</f>
        <v>69.66677364705882</v>
      </c>
      <c r="CP326" s="642">
        <f>2*IF($J$175&gt;0,IF($J$392/MIN($J$175,K326)&gt;$M$5*VLOOKUP($L$5,Taxas!$V$22:$W$30,2)/L326,$J$391/MIN($J$175,K326),$J$389/L326),$J$389/L326)</f>
        <v>0.3828154026666668</v>
      </c>
    </row>
    <row r="327" spans="9:94" hidden="1" x14ac:dyDescent="0.25">
      <c r="I327" s="642">
        <f>MIN(5*25,$J$57/2)</f>
        <v>125.0</v>
      </c>
      <c r="J327" s="646">
        <f t="shared" ca="1" si="7"/>
        <v>0.10752518663024026</v>
      </c>
      <c r="K327" s="642">
        <f t="shared" ca="1" si="8"/>
        <v>30.0</v>
      </c>
      <c r="L327" s="642">
        <f ca="1">MIN(ROUNDDOWN($M$5*VLOOKUP($L$5,Taxas!$V$22:$W$30,2)/J327*2,0)/2,K327)</f>
        <v>14.5</v>
      </c>
      <c r="M327" s="642">
        <f ca="1">MIN(ROUNDDOWN($M$6*VLOOKUP($L$6,Taxas!$V$22:$W$30,2)/J327*2,0)/2,K327)</f>
        <v>14.5</v>
      </c>
      <c r="N327" s="642">
        <f t="shared" si="28"/>
        <v>1000000000.0</v>
      </c>
      <c r="O327" s="642">
        <f t="shared" si="28"/>
        <v>1000000000.0</v>
      </c>
      <c r="P327" s="642">
        <f t="shared" si="28"/>
        <v>1000000000.0</v>
      </c>
      <c r="Q327" s="642">
        <f t="shared" si="28"/>
        <v>1000000000.0</v>
      </c>
      <c r="R327" s="642">
        <f t="shared" si="28"/>
        <v>1000000000.0</v>
      </c>
      <c r="S327" s="642">
        <f t="shared" si="28"/>
        <v>1000000000.0</v>
      </c>
      <c r="T327" s="642">
        <f t="shared" si="28"/>
        <v>1000000000.0</v>
      </c>
      <c r="U327" s="642">
        <f t="shared" si="28"/>
        <v>1000000000.0</v>
      </c>
      <c r="V327" s="642">
        <f t="shared" si="28"/>
        <v>1000000000.0</v>
      </c>
      <c r="W327" s="642">
        <f t="shared" si="28"/>
        <v>1000000000.0</v>
      </c>
      <c r="X327" s="642">
        <f t="shared" si="29"/>
        <v>1000000000.0</v>
      </c>
      <c r="Y327" s="642">
        <f t="shared" si="29"/>
        <v>1000000000.0</v>
      </c>
      <c r="Z327" s="642">
        <f t="shared" si="29"/>
        <v>1000000000.0</v>
      </c>
      <c r="AA327" s="642">
        <f t="shared" si="29"/>
        <v>1000000000.0</v>
      </c>
      <c r="AB327" s="642">
        <f t="shared" si="29"/>
        <v>1000000000.0</v>
      </c>
      <c r="AC327" s="642">
        <f t="shared" si="29"/>
        <v>1000000000.0</v>
      </c>
      <c r="AD327" s="642">
        <f t="shared" si="29"/>
        <v>1000000000.0</v>
      </c>
      <c r="AE327" s="642">
        <f t="shared" si="29"/>
        <v>1000000000.0</v>
      </c>
      <c r="AF327" s="642">
        <f t="shared" si="29"/>
        <v>1000000000.0</v>
      </c>
      <c r="AG327" s="642">
        <f t="shared" si="29"/>
        <v>1000000000.0</v>
      </c>
      <c r="AH327" s="642">
        <f t="shared" si="30"/>
        <v>1000000000.0</v>
      </c>
      <c r="AI327" s="642">
        <f t="shared" si="30"/>
        <v>1000000000.0</v>
      </c>
      <c r="AJ327" s="642">
        <f t="shared" si="30"/>
        <v>1000000000.0</v>
      </c>
      <c r="AK327" s="642">
        <f t="shared" si="30"/>
        <v>1000000000.0</v>
      </c>
      <c r="AL327" s="642">
        <f t="shared" si="30"/>
        <v>1000000000.0</v>
      </c>
      <c r="AM327" s="642">
        <f t="shared" si="30"/>
        <v>1000000000.0</v>
      </c>
      <c r="AN327" s="642">
        <f t="shared" si="30"/>
        <v>1000000000.0</v>
      </c>
      <c r="AO327" s="642">
        <f t="shared" si="30"/>
        <v>1000000000.0</v>
      </c>
      <c r="AP327" s="642">
        <f t="shared" si="30"/>
        <v>1000000000.0</v>
      </c>
      <c r="AQ327" s="642">
        <f t="shared" si="30"/>
        <v>1000000000.0</v>
      </c>
      <c r="AR327" s="642">
        <f t="shared" si="31"/>
        <v>1000000000.0</v>
      </c>
      <c r="AS327" s="642">
        <f t="shared" si="31"/>
        <v>1000000000.0</v>
      </c>
      <c r="AT327" s="642">
        <f t="shared" si="31"/>
        <v>1000000000.0</v>
      </c>
      <c r="AU327" s="642">
        <f t="shared" si="31"/>
        <v>1000000000.0</v>
      </c>
      <c r="AV327" s="642">
        <f t="shared" si="31"/>
        <v>1000000000.0</v>
      </c>
      <c r="AW327" s="642">
        <f t="shared" si="31"/>
        <v>1000000000.0</v>
      </c>
      <c r="AX327" s="642">
        <f t="shared" si="31"/>
        <v>1000000000.0</v>
      </c>
      <c r="AY327" s="642">
        <f t="shared" si="31"/>
        <v>1000000000.0</v>
      </c>
      <c r="AZ327" s="642">
        <f t="shared" si="31"/>
        <v>1000000000.0</v>
      </c>
      <c r="BA327" s="642">
        <f t="shared" si="31"/>
        <v>1000000000.0</v>
      </c>
      <c r="BB327" s="642">
        <f t="shared" ca="1" si="32"/>
        <v>174.70878680156866</v>
      </c>
      <c r="BC327" s="642">
        <f t="shared" ca="1" si="32"/>
        <v>174.70878680156866</v>
      </c>
      <c r="BD327" s="642">
        <f t="shared" ca="1" si="32"/>
        <v>174.70878680156866</v>
      </c>
      <c r="BE327" s="642">
        <f t="shared" ca="1" si="32"/>
        <v>174.70878680156866</v>
      </c>
      <c r="BF327" s="642">
        <f t="shared" ca="1" si="32"/>
        <v>174.7087868015687</v>
      </c>
      <c r="BG327" s="642">
        <f t="shared" ca="1" si="32"/>
        <v>174.7087868015687</v>
      </c>
      <c r="BH327" s="642">
        <f t="shared" ca="1" si="32"/>
        <v>174.70878680156866</v>
      </c>
      <c r="BI327" s="642">
        <f t="shared" ca="1" si="32"/>
        <v>174.70878680156866</v>
      </c>
      <c r="BJ327" s="642">
        <f t="shared" ca="1" si="32"/>
        <v>174.70878680156864</v>
      </c>
      <c r="BK327" s="642">
        <f t="shared" ca="1" si="32"/>
        <v>174.70878680156866</v>
      </c>
      <c r="BL327" s="642">
        <f t="shared" ca="1" si="33"/>
        <v>174.70878680156866</v>
      </c>
      <c r="BM327" s="642">
        <f t="shared" ca="1" si="33"/>
        <v>174.7087868015687</v>
      </c>
      <c r="BN327" s="642">
        <f t="shared" ca="1" si="33"/>
        <v>174.70878680156866</v>
      </c>
      <c r="BO327" s="642">
        <f t="shared" ca="1" si="33"/>
        <v>174.70878680156866</v>
      </c>
      <c r="BP327" s="642">
        <f t="shared" ca="1" si="33"/>
        <v>174.70878680156866</v>
      </c>
      <c r="BQ327" s="642">
        <f t="shared" ca="1" si="33"/>
        <v>174.7087868015687</v>
      </c>
      <c r="BR327" s="642">
        <f t="shared" ca="1" si="33"/>
        <v>174.70878680156866</v>
      </c>
      <c r="BS327" s="642">
        <f t="shared" ca="1" si="33"/>
        <v>174.70878680156866</v>
      </c>
      <c r="BT327" s="642">
        <f t="shared" ca="1" si="33"/>
        <v>174.7087868015687</v>
      </c>
      <c r="BU327" s="642">
        <f t="shared" ca="1" si="33"/>
        <v>174.70878680156866</v>
      </c>
      <c r="BV327" s="642">
        <f t="shared" ca="1" si="34"/>
        <v>174.70878680156866</v>
      </c>
      <c r="BW327" s="642">
        <f t="shared" ca="1" si="34"/>
        <v>174.70878680156866</v>
      </c>
      <c r="BX327" s="642">
        <f t="shared" ca="1" si="34"/>
        <v>174.7087868015687</v>
      </c>
      <c r="BY327" s="642">
        <f t="shared" ca="1" si="34"/>
        <v>174.70878680156866</v>
      </c>
      <c r="BZ327" s="642">
        <f t="shared" ca="1" si="34"/>
        <v>174.70878680156866</v>
      </c>
      <c r="CA327" s="642">
        <f t="shared" ca="1" si="34"/>
        <v>174.70878680156866</v>
      </c>
      <c r="CB327" s="642">
        <f t="shared" ca="1" si="34"/>
        <v>174.70878680156866</v>
      </c>
      <c r="CC327" s="642">
        <f t="shared" ca="1" si="34"/>
        <v>174.7087868015687</v>
      </c>
      <c r="CD327" s="642">
        <f t="shared" ca="1" si="34"/>
        <v>174.70878680156866</v>
      </c>
      <c r="CE327" s="642">
        <f t="shared" ca="1" si="34"/>
        <v>174.7087868015687</v>
      </c>
      <c r="CF327" s="642">
        <f t="shared" ca="1" si="35"/>
        <v>174.70878680156866</v>
      </c>
      <c r="CG327" s="642">
        <f t="shared" ca="1" si="35"/>
        <v>174.70878680156866</v>
      </c>
      <c r="CH327" s="642">
        <f t="shared" ca="1" si="35"/>
        <v>174.70878680156866</v>
      </c>
      <c r="CI327" s="642">
        <f t="shared" ca="1" si="35"/>
        <v>174.7087868015687</v>
      </c>
      <c r="CJ327" s="642">
        <f t="shared" ca="1" si="35"/>
        <v>174.70878680156866</v>
      </c>
      <c r="CK327" s="642">
        <f t="shared" ca="1" si="35"/>
        <v>174.70878680156866</v>
      </c>
      <c r="CL327" s="642">
        <f t="shared" ca="1" si="35"/>
        <v>174.70878680156866</v>
      </c>
      <c r="CM327" s="642">
        <f t="shared" ca="1" si="35"/>
        <v>174.70878680156866</v>
      </c>
      <c r="CN327" s="642">
        <f t="shared" ca="1" si="17"/>
        <v>174.70878680156864</v>
      </c>
      <c r="CO327" s="642">
        <f>2*$AD$61*MAX(0,$J$58+I327-$J$64)+IF(L327&lt;$J$38,1000000,0)</f>
        <v>72.3056665882353</v>
      </c>
      <c r="CP327" s="642">
        <f>2*IF($J$175&gt;0,IF($J$392/MIN($J$175,K327)&gt;$M$5*VLOOKUP($L$5,Taxas!$V$22:$W$30,2)/L327,$J$391/MIN($J$175,K327),$J$389/L327),$J$389/L327)</f>
        <v>0.3828154026666668</v>
      </c>
    </row>
    <row r="328" spans="9:94" hidden="1" x14ac:dyDescent="0.25">
      <c r="I328" s="642">
        <f>MIN(5*26,$J$57/2)</f>
        <v>130.0</v>
      </c>
      <c r="J328" s="646">
        <f t="shared" ca="1" si="7"/>
        <v>0.10350334344949141</v>
      </c>
      <c r="K328" s="642">
        <f t="shared" ca="1" si="8"/>
        <v>30.0</v>
      </c>
      <c r="L328" s="642">
        <f ca="1">MIN(ROUNDDOWN($M$5*VLOOKUP($L$5,Taxas!$V$22:$W$30,2)/J328*2,0)/2,K328)</f>
        <v>15.0</v>
      </c>
      <c r="M328" s="642">
        <f ca="1">MIN(ROUNDDOWN($M$6*VLOOKUP($L$6,Taxas!$V$22:$W$30,2)/J328*2,0)/2,K328)</f>
        <v>15.0</v>
      </c>
      <c r="N328" s="642">
        <f t="shared" si="28"/>
        <v>1000000000.0</v>
      </c>
      <c r="O328" s="642">
        <f t="shared" si="28"/>
        <v>1000000000.0</v>
      </c>
      <c r="P328" s="642">
        <f t="shared" si="28"/>
        <v>1000000000.0</v>
      </c>
      <c r="Q328" s="642">
        <f t="shared" si="28"/>
        <v>1000000000.0</v>
      </c>
      <c r="R328" s="642">
        <f t="shared" si="28"/>
        <v>1000000000.0</v>
      </c>
      <c r="S328" s="642">
        <f t="shared" si="28"/>
        <v>1000000000.0</v>
      </c>
      <c r="T328" s="642">
        <f t="shared" si="28"/>
        <v>1000000000.0</v>
      </c>
      <c r="U328" s="642">
        <f t="shared" si="28"/>
        <v>1000000000.0</v>
      </c>
      <c r="V328" s="642">
        <f t="shared" si="28"/>
        <v>1000000000.0</v>
      </c>
      <c r="W328" s="642">
        <f t="shared" si="28"/>
        <v>1000000000.0</v>
      </c>
      <c r="X328" s="642">
        <f t="shared" si="29"/>
        <v>1000000000.0</v>
      </c>
      <c r="Y328" s="642">
        <f t="shared" si="29"/>
        <v>1000000000.0</v>
      </c>
      <c r="Z328" s="642">
        <f t="shared" si="29"/>
        <v>1000000000.0</v>
      </c>
      <c r="AA328" s="642">
        <f t="shared" si="29"/>
        <v>1000000000.0</v>
      </c>
      <c r="AB328" s="642">
        <f t="shared" si="29"/>
        <v>1000000000.0</v>
      </c>
      <c r="AC328" s="642">
        <f t="shared" si="29"/>
        <v>1000000000.0</v>
      </c>
      <c r="AD328" s="642">
        <f t="shared" si="29"/>
        <v>1000000000.0</v>
      </c>
      <c r="AE328" s="642">
        <f t="shared" si="29"/>
        <v>1000000000.0</v>
      </c>
      <c r="AF328" s="642">
        <f t="shared" si="29"/>
        <v>1000000000.0</v>
      </c>
      <c r="AG328" s="642">
        <f t="shared" si="29"/>
        <v>1000000000.0</v>
      </c>
      <c r="AH328" s="642">
        <f t="shared" si="30"/>
        <v>1000000000.0</v>
      </c>
      <c r="AI328" s="642">
        <f t="shared" si="30"/>
        <v>1000000000.0</v>
      </c>
      <c r="AJ328" s="642">
        <f t="shared" si="30"/>
        <v>1000000000.0</v>
      </c>
      <c r="AK328" s="642">
        <f t="shared" si="30"/>
        <v>1000000000.0</v>
      </c>
      <c r="AL328" s="642">
        <f t="shared" si="30"/>
        <v>1000000000.0</v>
      </c>
      <c r="AM328" s="642">
        <f t="shared" si="30"/>
        <v>1000000000.0</v>
      </c>
      <c r="AN328" s="642">
        <f t="shared" si="30"/>
        <v>1000000000.0</v>
      </c>
      <c r="AO328" s="642">
        <f t="shared" si="30"/>
        <v>1000000000.0</v>
      </c>
      <c r="AP328" s="642">
        <f t="shared" si="30"/>
        <v>1000000000.0</v>
      </c>
      <c r="AQ328" s="642">
        <f t="shared" si="30"/>
        <v>1000000000.0</v>
      </c>
      <c r="AR328" s="642">
        <f t="shared" si="31"/>
        <v>1000000000.0</v>
      </c>
      <c r="AS328" s="642">
        <f t="shared" si="31"/>
        <v>1000000000.0</v>
      </c>
      <c r="AT328" s="642">
        <f t="shared" si="31"/>
        <v>1000000000.0</v>
      </c>
      <c r="AU328" s="642">
        <f t="shared" si="31"/>
        <v>1000000000.0</v>
      </c>
      <c r="AV328" s="642">
        <f t="shared" si="31"/>
        <v>1000000000.0</v>
      </c>
      <c r="AW328" s="642">
        <f t="shared" si="31"/>
        <v>1000000000.0</v>
      </c>
      <c r="AX328" s="642">
        <f t="shared" si="31"/>
        <v>1000000000.0</v>
      </c>
      <c r="AY328" s="642">
        <f t="shared" si="31"/>
        <v>1000000000.0</v>
      </c>
      <c r="AZ328" s="642">
        <f t="shared" si="31"/>
        <v>1000000000.0</v>
      </c>
      <c r="BA328" s="642">
        <f t="shared" si="31"/>
        <v>1000000000.0</v>
      </c>
      <c r="BB328" s="642">
        <f t="shared" si="32"/>
        <v>1000000000.0</v>
      </c>
      <c r="BC328" s="642">
        <f t="shared" ca="1" si="32"/>
        <v>175.4336027294118</v>
      </c>
      <c r="BD328" s="642">
        <f t="shared" ca="1" si="32"/>
        <v>175.4336027294118</v>
      </c>
      <c r="BE328" s="642">
        <f t="shared" ca="1" si="32"/>
        <v>175.4336027294118</v>
      </c>
      <c r="BF328" s="642">
        <f t="shared" ca="1" si="32"/>
        <v>175.43360272941177</v>
      </c>
      <c r="BG328" s="642">
        <f t="shared" ca="1" si="32"/>
        <v>175.4336027294118</v>
      </c>
      <c r="BH328" s="642">
        <f t="shared" ca="1" si="32"/>
        <v>175.4336027294118</v>
      </c>
      <c r="BI328" s="642">
        <f t="shared" ca="1" si="32"/>
        <v>175.4336027294118</v>
      </c>
      <c r="BJ328" s="642">
        <f t="shared" ca="1" si="32"/>
        <v>175.4336027294118</v>
      </c>
      <c r="BK328" s="642">
        <f t="shared" ca="1" si="32"/>
        <v>175.4336027294118</v>
      </c>
      <c r="BL328" s="642">
        <f t="shared" ca="1" si="33"/>
        <v>175.4336027294118</v>
      </c>
      <c r="BM328" s="642">
        <f t="shared" ca="1" si="33"/>
        <v>175.4336027294118</v>
      </c>
      <c r="BN328" s="642">
        <f t="shared" ca="1" si="33"/>
        <v>175.4336027294118</v>
      </c>
      <c r="BO328" s="642">
        <f t="shared" ca="1" si="33"/>
        <v>175.4336027294118</v>
      </c>
      <c r="BP328" s="642">
        <f t="shared" ca="1" si="33"/>
        <v>175.4336027294118</v>
      </c>
      <c r="BQ328" s="642">
        <f t="shared" ca="1" si="33"/>
        <v>175.4336027294118</v>
      </c>
      <c r="BR328" s="642">
        <f t="shared" ca="1" si="33"/>
        <v>175.4336027294118</v>
      </c>
      <c r="BS328" s="642">
        <f t="shared" ca="1" si="33"/>
        <v>175.4336027294118</v>
      </c>
      <c r="BT328" s="642">
        <f t="shared" ca="1" si="33"/>
        <v>175.4336027294118</v>
      </c>
      <c r="BU328" s="642">
        <f t="shared" ca="1" si="33"/>
        <v>175.4336027294118</v>
      </c>
      <c r="BV328" s="642">
        <f t="shared" ca="1" si="34"/>
        <v>175.4336027294118</v>
      </c>
      <c r="BW328" s="642">
        <f t="shared" ca="1" si="34"/>
        <v>175.4336027294118</v>
      </c>
      <c r="BX328" s="642">
        <f t="shared" ca="1" si="34"/>
        <v>175.4336027294118</v>
      </c>
      <c r="BY328" s="642">
        <f t="shared" ca="1" si="34"/>
        <v>175.4336027294118</v>
      </c>
      <c r="BZ328" s="642">
        <f t="shared" ca="1" si="34"/>
        <v>175.4336027294118</v>
      </c>
      <c r="CA328" s="642">
        <f t="shared" ca="1" si="34"/>
        <v>175.4336027294118</v>
      </c>
      <c r="CB328" s="642">
        <f t="shared" ca="1" si="34"/>
        <v>175.4336027294118</v>
      </c>
      <c r="CC328" s="642">
        <f t="shared" ca="1" si="34"/>
        <v>175.4336027294118</v>
      </c>
      <c r="CD328" s="642">
        <f t="shared" ca="1" si="34"/>
        <v>175.4336027294118</v>
      </c>
      <c r="CE328" s="642">
        <f t="shared" ca="1" si="34"/>
        <v>175.4336027294118</v>
      </c>
      <c r="CF328" s="642">
        <f t="shared" ca="1" si="35"/>
        <v>175.4336027294118</v>
      </c>
      <c r="CG328" s="642">
        <f t="shared" ca="1" si="35"/>
        <v>175.4336027294118</v>
      </c>
      <c r="CH328" s="642">
        <f t="shared" ca="1" si="35"/>
        <v>175.4336027294118</v>
      </c>
      <c r="CI328" s="642">
        <f t="shared" ca="1" si="35"/>
        <v>175.4336027294118</v>
      </c>
      <c r="CJ328" s="642">
        <f t="shared" ca="1" si="35"/>
        <v>175.4336027294118</v>
      </c>
      <c r="CK328" s="642">
        <f t="shared" ca="1" si="35"/>
        <v>175.4336027294118</v>
      </c>
      <c r="CL328" s="642">
        <f t="shared" ca="1" si="35"/>
        <v>175.4336027294118</v>
      </c>
      <c r="CM328" s="642">
        <f t="shared" ca="1" si="35"/>
        <v>175.4336027294118</v>
      </c>
      <c r="CN328" s="642">
        <f t="shared" ca="1" si="17"/>
        <v>175.43360272941177</v>
      </c>
      <c r="CO328" s="642">
        <f>2*$AD$61*MAX(0,$J$58+I328-$J$64)+IF(L328&lt;$J$38,1000000,0)</f>
        <v>74.94455952941176</v>
      </c>
      <c r="CP328" s="642">
        <f>2*IF($J$175&gt;0,IF($J$392/MIN($J$175,K328)&gt;$M$5*VLOOKUP($L$5,Taxas!$V$22:$W$30,2)/L328,$J$391/MIN($J$175,K328),$J$389/L328),$J$389/L328)</f>
        <v>0.3828154026666668</v>
      </c>
    </row>
    <row r="329" spans="9:94" hidden="1" x14ac:dyDescent="0.25">
      <c r="I329" s="642">
        <f>MIN(5*27,$J$57/2)</f>
        <v>135.0</v>
      </c>
      <c r="J329" s="646">
        <f t="shared" ca="1" si="7"/>
        <v>0.09948150026874257</v>
      </c>
      <c r="K329" s="642">
        <f t="shared" ca="1" si="8"/>
        <v>30.0</v>
      </c>
      <c r="L329" s="642">
        <f ca="1">MIN(ROUNDDOWN($M$5*VLOOKUP($L$5,Taxas!$V$22:$W$30,2)/J329*2,0)/2,K329)</f>
        <v>15.5</v>
      </c>
      <c r="M329" s="642">
        <f ca="1">MIN(ROUNDDOWN($M$6*VLOOKUP($L$6,Taxas!$V$22:$W$30,2)/J329*2,0)/2,K329)</f>
        <v>15.5</v>
      </c>
      <c r="N329" s="642">
        <f t="shared" si="28"/>
        <v>1000000000.0</v>
      </c>
      <c r="O329" s="642">
        <f t="shared" si="28"/>
        <v>1000000000.0</v>
      </c>
      <c r="P329" s="642">
        <f t="shared" si="28"/>
        <v>1000000000.0</v>
      </c>
      <c r="Q329" s="642">
        <f t="shared" si="28"/>
        <v>1000000000.0</v>
      </c>
      <c r="R329" s="642">
        <f t="shared" si="28"/>
        <v>1000000000.0</v>
      </c>
      <c r="S329" s="642">
        <f t="shared" si="28"/>
        <v>1000000000.0</v>
      </c>
      <c r="T329" s="642">
        <f t="shared" si="28"/>
        <v>1000000000.0</v>
      </c>
      <c r="U329" s="642">
        <f t="shared" si="28"/>
        <v>1000000000.0</v>
      </c>
      <c r="V329" s="642">
        <f t="shared" si="28"/>
        <v>1000000000.0</v>
      </c>
      <c r="W329" s="642">
        <f t="shared" si="28"/>
        <v>1000000000.0</v>
      </c>
      <c r="X329" s="642">
        <f t="shared" si="29"/>
        <v>1000000000.0</v>
      </c>
      <c r="Y329" s="642">
        <f t="shared" si="29"/>
        <v>1000000000.0</v>
      </c>
      <c r="Z329" s="642">
        <f t="shared" si="29"/>
        <v>1000000000.0</v>
      </c>
      <c r="AA329" s="642">
        <f t="shared" si="29"/>
        <v>1000000000.0</v>
      </c>
      <c r="AB329" s="642">
        <f t="shared" si="29"/>
        <v>1000000000.0</v>
      </c>
      <c r="AC329" s="642">
        <f t="shared" si="29"/>
        <v>1000000000.0</v>
      </c>
      <c r="AD329" s="642">
        <f t="shared" si="29"/>
        <v>1000000000.0</v>
      </c>
      <c r="AE329" s="642">
        <f t="shared" si="29"/>
        <v>1000000000.0</v>
      </c>
      <c r="AF329" s="642">
        <f t="shared" si="29"/>
        <v>1000000000.0</v>
      </c>
      <c r="AG329" s="642">
        <f t="shared" si="29"/>
        <v>1000000000.0</v>
      </c>
      <c r="AH329" s="642">
        <f t="shared" si="30"/>
        <v>1000000000.0</v>
      </c>
      <c r="AI329" s="642">
        <f t="shared" si="30"/>
        <v>1000000000.0</v>
      </c>
      <c r="AJ329" s="642">
        <f t="shared" si="30"/>
        <v>1000000000.0</v>
      </c>
      <c r="AK329" s="642">
        <f t="shared" si="30"/>
        <v>1000000000.0</v>
      </c>
      <c r="AL329" s="642">
        <f t="shared" si="30"/>
        <v>1000000000.0</v>
      </c>
      <c r="AM329" s="642">
        <f t="shared" si="30"/>
        <v>1000000000.0</v>
      </c>
      <c r="AN329" s="642">
        <f t="shared" si="30"/>
        <v>1000000000.0</v>
      </c>
      <c r="AO329" s="642">
        <f t="shared" si="30"/>
        <v>1000000000.0</v>
      </c>
      <c r="AP329" s="642">
        <f t="shared" si="30"/>
        <v>1000000000.0</v>
      </c>
      <c r="AQ329" s="642">
        <f t="shared" si="30"/>
        <v>1000000000.0</v>
      </c>
      <c r="AR329" s="642">
        <f t="shared" si="31"/>
        <v>1000000000.0</v>
      </c>
      <c r="AS329" s="642">
        <f t="shared" si="31"/>
        <v>1000000000.0</v>
      </c>
      <c r="AT329" s="642">
        <f t="shared" si="31"/>
        <v>1000000000.0</v>
      </c>
      <c r="AU329" s="642">
        <f t="shared" si="31"/>
        <v>1000000000.0</v>
      </c>
      <c r="AV329" s="642">
        <f t="shared" si="31"/>
        <v>1000000000.0</v>
      </c>
      <c r="AW329" s="642">
        <f t="shared" si="31"/>
        <v>1000000000.0</v>
      </c>
      <c r="AX329" s="642">
        <f t="shared" si="31"/>
        <v>1000000000.0</v>
      </c>
      <c r="AY329" s="642">
        <f t="shared" si="31"/>
        <v>1000000000.0</v>
      </c>
      <c r="AZ329" s="642">
        <f t="shared" si="31"/>
        <v>1000000000.0</v>
      </c>
      <c r="BA329" s="642">
        <f t="shared" si="31"/>
        <v>1000000000.0</v>
      </c>
      <c r="BB329" s="642">
        <f t="shared" si="32"/>
        <v>1000000000.0</v>
      </c>
      <c r="BC329" s="642">
        <f t="shared" si="32"/>
        <v>1000000000.0</v>
      </c>
      <c r="BD329" s="642">
        <f t="shared" ca="1" si="32"/>
        <v>176.1584186572549</v>
      </c>
      <c r="BE329" s="642">
        <f t="shared" ca="1" si="32"/>
        <v>176.15841865725494</v>
      </c>
      <c r="BF329" s="642">
        <f t="shared" ca="1" si="32"/>
        <v>176.15841865725494</v>
      </c>
      <c r="BG329" s="642">
        <f t="shared" ca="1" si="32"/>
        <v>176.15841865725494</v>
      </c>
      <c r="BH329" s="642">
        <f t="shared" ca="1" si="32"/>
        <v>176.1584186572549</v>
      </c>
      <c r="BI329" s="642">
        <f t="shared" ca="1" si="32"/>
        <v>176.15841865725494</v>
      </c>
      <c r="BJ329" s="642">
        <f t="shared" ca="1" si="32"/>
        <v>176.1584186572549</v>
      </c>
      <c r="BK329" s="642">
        <f t="shared" ca="1" si="32"/>
        <v>176.1584186572549</v>
      </c>
      <c r="BL329" s="642">
        <f t="shared" ca="1" si="33"/>
        <v>176.1584186572549</v>
      </c>
      <c r="BM329" s="642">
        <f t="shared" ca="1" si="33"/>
        <v>176.15841865725494</v>
      </c>
      <c r="BN329" s="642">
        <f t="shared" ca="1" si="33"/>
        <v>176.1584186572549</v>
      </c>
      <c r="BO329" s="642">
        <f t="shared" ca="1" si="33"/>
        <v>176.1584186572549</v>
      </c>
      <c r="BP329" s="642">
        <f t="shared" ca="1" si="33"/>
        <v>176.15841865725494</v>
      </c>
      <c r="BQ329" s="642">
        <f t="shared" ca="1" si="33"/>
        <v>176.15841865725494</v>
      </c>
      <c r="BR329" s="642">
        <f t="shared" ca="1" si="33"/>
        <v>176.15841865725494</v>
      </c>
      <c r="BS329" s="642">
        <f t="shared" ca="1" si="33"/>
        <v>176.1584186572549</v>
      </c>
      <c r="BT329" s="642">
        <f t="shared" ca="1" si="33"/>
        <v>176.15841865725494</v>
      </c>
      <c r="BU329" s="642">
        <f t="shared" ca="1" si="33"/>
        <v>176.1584186572549</v>
      </c>
      <c r="BV329" s="642">
        <f t="shared" ca="1" si="34"/>
        <v>176.1584186572549</v>
      </c>
      <c r="BW329" s="642">
        <f t="shared" ca="1" si="34"/>
        <v>176.1584186572549</v>
      </c>
      <c r="BX329" s="642">
        <f t="shared" ca="1" si="34"/>
        <v>176.15841865725494</v>
      </c>
      <c r="BY329" s="642">
        <f t="shared" ca="1" si="34"/>
        <v>176.1584186572549</v>
      </c>
      <c r="BZ329" s="642">
        <f t="shared" ca="1" si="34"/>
        <v>176.1584186572549</v>
      </c>
      <c r="CA329" s="642">
        <f t="shared" ca="1" si="34"/>
        <v>176.1584186572549</v>
      </c>
      <c r="CB329" s="642">
        <f t="shared" ca="1" si="34"/>
        <v>176.1584186572549</v>
      </c>
      <c r="CC329" s="642">
        <f t="shared" ca="1" si="34"/>
        <v>176.1584186572549</v>
      </c>
      <c r="CD329" s="642">
        <f t="shared" ca="1" si="34"/>
        <v>176.1584186572549</v>
      </c>
      <c r="CE329" s="642">
        <f t="shared" ca="1" si="34"/>
        <v>176.15841865725494</v>
      </c>
      <c r="CF329" s="642">
        <f t="shared" ca="1" si="35"/>
        <v>176.1584186572549</v>
      </c>
      <c r="CG329" s="642">
        <f t="shared" ca="1" si="35"/>
        <v>176.1584186572549</v>
      </c>
      <c r="CH329" s="642">
        <f t="shared" ca="1" si="35"/>
        <v>176.1584186572549</v>
      </c>
      <c r="CI329" s="642">
        <f t="shared" ca="1" si="35"/>
        <v>176.15841865725494</v>
      </c>
      <c r="CJ329" s="642">
        <f t="shared" ca="1" si="35"/>
        <v>176.1584186572549</v>
      </c>
      <c r="CK329" s="642">
        <f t="shared" ca="1" si="35"/>
        <v>176.1584186572549</v>
      </c>
      <c r="CL329" s="642">
        <f t="shared" ca="1" si="35"/>
        <v>176.1584186572549</v>
      </c>
      <c r="CM329" s="642">
        <f t="shared" ca="1" si="35"/>
        <v>176.1584186572549</v>
      </c>
      <c r="CN329" s="642">
        <f t="shared" ca="1" si="17"/>
        <v>176.1584186572549</v>
      </c>
      <c r="CO329" s="642">
        <f>2*$AD$61*MAX(0,$J$58+I329-$J$64)+IF(L329&lt;$J$38,1000000,0)</f>
        <v>77.58345247058823</v>
      </c>
      <c r="CP329" s="642">
        <f>2*IF($J$175&gt;0,IF($J$392/MIN($J$175,K329)&gt;$M$5*VLOOKUP($L$5,Taxas!$V$22:$W$30,2)/L329,$J$391/MIN($J$175,K329),$J$389/L329),$J$389/L329)</f>
        <v>0.3828154026666668</v>
      </c>
    </row>
    <row r="330" spans="9:94" hidden="1" x14ac:dyDescent="0.25">
      <c r="I330" s="642">
        <f>MIN(5*28,$J$57/2)</f>
        <v>140.0</v>
      </c>
      <c r="J330" s="646">
        <f t="shared" ca="1" si="7"/>
        <v>0.09545965708799373</v>
      </c>
      <c r="K330" s="642">
        <f t="shared" ca="1" si="8"/>
        <v>30.0</v>
      </c>
      <c r="L330" s="642">
        <f ca="1">MIN(ROUNDDOWN($M$5*VLOOKUP($L$5,Taxas!$V$22:$W$30,2)/J330*2,0)/2,K330)</f>
        <v>16.0</v>
      </c>
      <c r="M330" s="642">
        <f ca="1">MIN(ROUNDDOWN($M$6*VLOOKUP($L$6,Taxas!$V$22:$W$30,2)/J330*2,0)/2,K330)</f>
        <v>16.0</v>
      </c>
      <c r="N330" s="642">
        <f t="shared" si="28"/>
        <v>1000000000.0</v>
      </c>
      <c r="O330" s="642">
        <f t="shared" si="28"/>
        <v>1000000000.0</v>
      </c>
      <c r="P330" s="642">
        <f t="shared" si="28"/>
        <v>1000000000.0</v>
      </c>
      <c r="Q330" s="642">
        <f t="shared" si="28"/>
        <v>1000000000.0</v>
      </c>
      <c r="R330" s="642">
        <f t="shared" si="28"/>
        <v>1000000000.0</v>
      </c>
      <c r="S330" s="642">
        <f t="shared" si="28"/>
        <v>1000000000.0</v>
      </c>
      <c r="T330" s="642">
        <f t="shared" si="28"/>
        <v>1000000000.0</v>
      </c>
      <c r="U330" s="642">
        <f t="shared" si="28"/>
        <v>1000000000.0</v>
      </c>
      <c r="V330" s="642">
        <f t="shared" si="28"/>
        <v>1000000000.0</v>
      </c>
      <c r="W330" s="642">
        <f t="shared" si="28"/>
        <v>1000000000.0</v>
      </c>
      <c r="X330" s="642">
        <f t="shared" si="29"/>
        <v>1000000000.0</v>
      </c>
      <c r="Y330" s="642">
        <f t="shared" si="29"/>
        <v>1000000000.0</v>
      </c>
      <c r="Z330" s="642">
        <f t="shared" si="29"/>
        <v>1000000000.0</v>
      </c>
      <c r="AA330" s="642">
        <f t="shared" si="29"/>
        <v>1000000000.0</v>
      </c>
      <c r="AB330" s="642">
        <f t="shared" si="29"/>
        <v>1000000000.0</v>
      </c>
      <c r="AC330" s="642">
        <f t="shared" si="29"/>
        <v>1000000000.0</v>
      </c>
      <c r="AD330" s="642">
        <f t="shared" si="29"/>
        <v>1000000000.0</v>
      </c>
      <c r="AE330" s="642">
        <f t="shared" si="29"/>
        <v>1000000000.0</v>
      </c>
      <c r="AF330" s="642">
        <f t="shared" si="29"/>
        <v>1000000000.0</v>
      </c>
      <c r="AG330" s="642">
        <f t="shared" si="29"/>
        <v>1000000000.0</v>
      </c>
      <c r="AH330" s="642">
        <f t="shared" si="30"/>
        <v>1000000000.0</v>
      </c>
      <c r="AI330" s="642">
        <f t="shared" si="30"/>
        <v>1000000000.0</v>
      </c>
      <c r="AJ330" s="642">
        <f t="shared" si="30"/>
        <v>1000000000.0</v>
      </c>
      <c r="AK330" s="642">
        <f t="shared" si="30"/>
        <v>1000000000.0</v>
      </c>
      <c r="AL330" s="642">
        <f t="shared" si="30"/>
        <v>1000000000.0</v>
      </c>
      <c r="AM330" s="642">
        <f t="shared" si="30"/>
        <v>1000000000.0</v>
      </c>
      <c r="AN330" s="642">
        <f t="shared" si="30"/>
        <v>1000000000.0</v>
      </c>
      <c r="AO330" s="642">
        <f t="shared" si="30"/>
        <v>1000000000.0</v>
      </c>
      <c r="AP330" s="642">
        <f t="shared" si="30"/>
        <v>1000000000.0</v>
      </c>
      <c r="AQ330" s="642">
        <f t="shared" si="30"/>
        <v>1000000000.0</v>
      </c>
      <c r="AR330" s="642">
        <f t="shared" si="31"/>
        <v>1000000000.0</v>
      </c>
      <c r="AS330" s="642">
        <f t="shared" si="31"/>
        <v>1000000000.0</v>
      </c>
      <c r="AT330" s="642">
        <f t="shared" si="31"/>
        <v>1000000000.0</v>
      </c>
      <c r="AU330" s="642">
        <f t="shared" si="31"/>
        <v>1000000000.0</v>
      </c>
      <c r="AV330" s="642">
        <f t="shared" si="31"/>
        <v>1000000000.0</v>
      </c>
      <c r="AW330" s="642">
        <f t="shared" si="31"/>
        <v>1000000000.0</v>
      </c>
      <c r="AX330" s="642">
        <f t="shared" si="31"/>
        <v>1000000000.0</v>
      </c>
      <c r="AY330" s="642">
        <f t="shared" si="31"/>
        <v>1000000000.0</v>
      </c>
      <c r="AZ330" s="642">
        <f t="shared" si="31"/>
        <v>1000000000.0</v>
      </c>
      <c r="BA330" s="642">
        <f t="shared" si="31"/>
        <v>1000000000.0</v>
      </c>
      <c r="BB330" s="642">
        <f t="shared" si="32"/>
        <v>1000000000.0</v>
      </c>
      <c r="BC330" s="642">
        <f t="shared" si="32"/>
        <v>1000000000.0</v>
      </c>
      <c r="BD330" s="642">
        <f t="shared" si="32"/>
        <v>1000000000.0</v>
      </c>
      <c r="BE330" s="642">
        <f t="shared" ca="1" si="32"/>
        <v>176.88323458509808</v>
      </c>
      <c r="BF330" s="642">
        <f t="shared" ca="1" si="32"/>
        <v>176.88323458509808</v>
      </c>
      <c r="BG330" s="642">
        <f t="shared" ca="1" si="32"/>
        <v>176.88323458509808</v>
      </c>
      <c r="BH330" s="642">
        <f t="shared" ca="1" si="32"/>
        <v>176.88323458509805</v>
      </c>
      <c r="BI330" s="642">
        <f t="shared" ca="1" si="32"/>
        <v>176.88323458509808</v>
      </c>
      <c r="BJ330" s="642">
        <f t="shared" ca="1" si="32"/>
        <v>176.88323458509808</v>
      </c>
      <c r="BK330" s="642">
        <f t="shared" ca="1" si="32"/>
        <v>176.88323458509808</v>
      </c>
      <c r="BL330" s="642">
        <f t="shared" ca="1" si="33"/>
        <v>176.88323458509808</v>
      </c>
      <c r="BM330" s="642">
        <f t="shared" ca="1" si="33"/>
        <v>176.88323458509808</v>
      </c>
      <c r="BN330" s="642">
        <f t="shared" ca="1" si="33"/>
        <v>176.88323458509808</v>
      </c>
      <c r="BO330" s="642">
        <f t="shared" ca="1" si="33"/>
        <v>176.88323458509808</v>
      </c>
      <c r="BP330" s="642">
        <f t="shared" ca="1" si="33"/>
        <v>176.88323458509808</v>
      </c>
      <c r="BQ330" s="642">
        <f t="shared" ca="1" si="33"/>
        <v>176.88323458509808</v>
      </c>
      <c r="BR330" s="642">
        <f t="shared" ca="1" si="33"/>
        <v>176.88323458509808</v>
      </c>
      <c r="BS330" s="642">
        <f t="shared" ca="1" si="33"/>
        <v>176.88323458509808</v>
      </c>
      <c r="BT330" s="642">
        <f t="shared" ca="1" si="33"/>
        <v>176.88323458509808</v>
      </c>
      <c r="BU330" s="642">
        <f t="shared" ca="1" si="33"/>
        <v>176.88323458509808</v>
      </c>
      <c r="BV330" s="642">
        <f t="shared" ca="1" si="34"/>
        <v>176.88323458509808</v>
      </c>
      <c r="BW330" s="642">
        <f t="shared" ca="1" si="34"/>
        <v>176.88323458509808</v>
      </c>
      <c r="BX330" s="642">
        <f t="shared" ca="1" si="34"/>
        <v>176.88323458509808</v>
      </c>
      <c r="BY330" s="642">
        <f t="shared" ca="1" si="34"/>
        <v>176.88323458509808</v>
      </c>
      <c r="BZ330" s="642">
        <f t="shared" ca="1" si="34"/>
        <v>176.88323458509808</v>
      </c>
      <c r="CA330" s="642">
        <f t="shared" ca="1" si="34"/>
        <v>176.88323458509808</v>
      </c>
      <c r="CB330" s="642">
        <f t="shared" ca="1" si="34"/>
        <v>176.88323458509808</v>
      </c>
      <c r="CC330" s="642">
        <f t="shared" ca="1" si="34"/>
        <v>176.88323458509808</v>
      </c>
      <c r="CD330" s="642">
        <f t="shared" ca="1" si="34"/>
        <v>176.88323458509808</v>
      </c>
      <c r="CE330" s="642">
        <f t="shared" ca="1" si="34"/>
        <v>176.88323458509808</v>
      </c>
      <c r="CF330" s="642">
        <f t="shared" ca="1" si="35"/>
        <v>176.88323458509808</v>
      </c>
      <c r="CG330" s="642">
        <f t="shared" ca="1" si="35"/>
        <v>176.88323458509808</v>
      </c>
      <c r="CH330" s="642">
        <f t="shared" ca="1" si="35"/>
        <v>176.88323458509808</v>
      </c>
      <c r="CI330" s="642">
        <f t="shared" ca="1" si="35"/>
        <v>176.88323458509808</v>
      </c>
      <c r="CJ330" s="642">
        <f t="shared" ca="1" si="35"/>
        <v>176.88323458509808</v>
      </c>
      <c r="CK330" s="642">
        <f t="shared" ca="1" si="35"/>
        <v>176.88323458509808</v>
      </c>
      <c r="CL330" s="642">
        <f t="shared" ca="1" si="35"/>
        <v>176.88323458509808</v>
      </c>
      <c r="CM330" s="642">
        <f t="shared" ca="1" si="35"/>
        <v>176.88323458509808</v>
      </c>
      <c r="CN330" s="642">
        <f t="shared" ca="1" si="17"/>
        <v>176.88323458509805</v>
      </c>
      <c r="CO330" s="642">
        <f>2*$AD$61*MAX(0,$J$58+I330-$J$64)+IF(L330&lt;$J$38,1000000,0)</f>
        <v>80.2223454117647</v>
      </c>
      <c r="CP330" s="642">
        <f>2*IF($J$175&gt;0,IF($J$392/MIN($J$175,K330)&gt;$M$5*VLOOKUP($L$5,Taxas!$V$22:$W$30,2)/L330,$J$391/MIN($J$175,K330),$J$389/L330),$J$389/L330)</f>
        <v>0.3828154026666668</v>
      </c>
    </row>
    <row r="331" spans="9:94" hidden="1" x14ac:dyDescent="0.25">
      <c r="I331" s="642">
        <f>MIN(5*29,$J$57/2)</f>
        <v>145.0</v>
      </c>
      <c r="J331" s="646">
        <f t="shared" ca="1" si="7"/>
        <v>0.09143781390724488</v>
      </c>
      <c r="K331" s="642">
        <f t="shared" ca="1" si="8"/>
        <v>30.0</v>
      </c>
      <c r="L331" s="642">
        <f ca="1">MIN(ROUNDDOWN($M$5*VLOOKUP($L$5,Taxas!$V$22:$W$30,2)/J331*2,0)/2,K331)</f>
        <v>17.0</v>
      </c>
      <c r="M331" s="642">
        <f ca="1">MIN(ROUNDDOWN($M$6*VLOOKUP($L$6,Taxas!$V$22:$W$30,2)/J331*2,0)/2,K331)</f>
        <v>17.0</v>
      </c>
      <c r="N331" s="642">
        <f t="shared" si="28"/>
        <v>1000000000.0</v>
      </c>
      <c r="O331" s="642">
        <f t="shared" si="28"/>
        <v>1000000000.0</v>
      </c>
      <c r="P331" s="642">
        <f t="shared" si="28"/>
        <v>1000000000.0</v>
      </c>
      <c r="Q331" s="642">
        <f t="shared" si="28"/>
        <v>1000000000.0</v>
      </c>
      <c r="R331" s="642">
        <f t="shared" si="28"/>
        <v>1000000000.0</v>
      </c>
      <c r="S331" s="642">
        <f t="shared" si="28"/>
        <v>1000000000.0</v>
      </c>
      <c r="T331" s="642">
        <f t="shared" si="28"/>
        <v>1000000000.0</v>
      </c>
      <c r="U331" s="642">
        <f t="shared" si="28"/>
        <v>1000000000.0</v>
      </c>
      <c r="V331" s="642">
        <f t="shared" si="28"/>
        <v>1000000000.0</v>
      </c>
      <c r="W331" s="642">
        <f t="shared" si="28"/>
        <v>1000000000.0</v>
      </c>
      <c r="X331" s="642">
        <f t="shared" si="29"/>
        <v>1000000000.0</v>
      </c>
      <c r="Y331" s="642">
        <f t="shared" si="29"/>
        <v>1000000000.0</v>
      </c>
      <c r="Z331" s="642">
        <f t="shared" si="29"/>
        <v>1000000000.0</v>
      </c>
      <c r="AA331" s="642">
        <f t="shared" si="29"/>
        <v>1000000000.0</v>
      </c>
      <c r="AB331" s="642">
        <f t="shared" si="29"/>
        <v>1000000000.0</v>
      </c>
      <c r="AC331" s="642">
        <f t="shared" si="29"/>
        <v>1000000000.0</v>
      </c>
      <c r="AD331" s="642">
        <f t="shared" si="29"/>
        <v>1000000000.0</v>
      </c>
      <c r="AE331" s="642">
        <f t="shared" si="29"/>
        <v>1000000000.0</v>
      </c>
      <c r="AF331" s="642">
        <f t="shared" si="29"/>
        <v>1000000000.0</v>
      </c>
      <c r="AG331" s="642">
        <f t="shared" si="29"/>
        <v>1000000000.0</v>
      </c>
      <c r="AH331" s="642">
        <f t="shared" si="30"/>
        <v>1000000000.0</v>
      </c>
      <c r="AI331" s="642">
        <f t="shared" si="30"/>
        <v>1000000000.0</v>
      </c>
      <c r="AJ331" s="642">
        <f t="shared" si="30"/>
        <v>1000000000.0</v>
      </c>
      <c r="AK331" s="642">
        <f t="shared" si="30"/>
        <v>1000000000.0</v>
      </c>
      <c r="AL331" s="642">
        <f t="shared" si="30"/>
        <v>1000000000.0</v>
      </c>
      <c r="AM331" s="642">
        <f t="shared" si="30"/>
        <v>1000000000.0</v>
      </c>
      <c r="AN331" s="642">
        <f t="shared" si="30"/>
        <v>1000000000.0</v>
      </c>
      <c r="AO331" s="642">
        <f t="shared" si="30"/>
        <v>1000000000.0</v>
      </c>
      <c r="AP331" s="642">
        <f t="shared" si="30"/>
        <v>1000000000.0</v>
      </c>
      <c r="AQ331" s="642">
        <f t="shared" si="30"/>
        <v>1000000000.0</v>
      </c>
      <c r="AR331" s="642">
        <f t="shared" si="31"/>
        <v>1000000000.0</v>
      </c>
      <c r="AS331" s="642">
        <f t="shared" si="31"/>
        <v>1000000000.0</v>
      </c>
      <c r="AT331" s="642">
        <f t="shared" si="31"/>
        <v>1000000000.0</v>
      </c>
      <c r="AU331" s="642">
        <f t="shared" si="31"/>
        <v>1000000000.0</v>
      </c>
      <c r="AV331" s="642">
        <f t="shared" si="31"/>
        <v>1000000000.0</v>
      </c>
      <c r="AW331" s="642">
        <f t="shared" si="31"/>
        <v>1000000000.0</v>
      </c>
      <c r="AX331" s="642">
        <f t="shared" si="31"/>
        <v>1000000000.0</v>
      </c>
      <c r="AY331" s="642">
        <f t="shared" si="31"/>
        <v>1000000000.0</v>
      </c>
      <c r="AZ331" s="642">
        <f t="shared" si="31"/>
        <v>1000000000.0</v>
      </c>
      <c r="BA331" s="642">
        <f t="shared" si="31"/>
        <v>1000000000.0</v>
      </c>
      <c r="BB331" s="642">
        <f t="shared" si="32"/>
        <v>1000000000.0</v>
      </c>
      <c r="BC331" s="642">
        <f t="shared" si="32"/>
        <v>1000000000.0</v>
      </c>
      <c r="BD331" s="642">
        <f t="shared" si="32"/>
        <v>1000000000.0</v>
      </c>
      <c r="BE331" s="642">
        <f t="shared" si="32"/>
        <v>1000000000.0</v>
      </c>
      <c r="BF331" s="642">
        <f t="shared" ca="1" si="32"/>
        <v>177.6080505129412</v>
      </c>
      <c r="BG331" s="642">
        <f t="shared" ca="1" si="32"/>
        <v>177.60805051294122</v>
      </c>
      <c r="BH331" s="642">
        <f t="shared" ca="1" si="32"/>
        <v>177.60805051294122</v>
      </c>
      <c r="BI331" s="642">
        <f t="shared" ca="1" si="32"/>
        <v>177.6080505129412</v>
      </c>
      <c r="BJ331" s="642">
        <f t="shared" ca="1" si="32"/>
        <v>177.6080505129412</v>
      </c>
      <c r="BK331" s="642">
        <f t="shared" ca="1" si="32"/>
        <v>177.60805051294122</v>
      </c>
      <c r="BL331" s="642">
        <f t="shared" ca="1" si="33"/>
        <v>177.6080505129412</v>
      </c>
      <c r="BM331" s="642">
        <f t="shared" ca="1" si="33"/>
        <v>177.6080505129412</v>
      </c>
      <c r="BN331" s="642">
        <f t="shared" ca="1" si="33"/>
        <v>177.6080505129412</v>
      </c>
      <c r="BO331" s="642">
        <f t="shared" ca="1" si="33"/>
        <v>177.60805051294122</v>
      </c>
      <c r="BP331" s="642">
        <f t="shared" ca="1" si="33"/>
        <v>177.6080505129412</v>
      </c>
      <c r="BQ331" s="642">
        <f t="shared" ca="1" si="33"/>
        <v>177.6080505129412</v>
      </c>
      <c r="BR331" s="642">
        <f t="shared" ca="1" si="33"/>
        <v>177.60805051294122</v>
      </c>
      <c r="BS331" s="642">
        <f t="shared" ca="1" si="33"/>
        <v>177.6080505129412</v>
      </c>
      <c r="BT331" s="642">
        <f t="shared" ca="1" si="33"/>
        <v>177.6080505129412</v>
      </c>
      <c r="BU331" s="642">
        <f t="shared" ca="1" si="33"/>
        <v>177.6080505129412</v>
      </c>
      <c r="BV331" s="642">
        <f t="shared" ca="1" si="34"/>
        <v>177.60805051294122</v>
      </c>
      <c r="BW331" s="642">
        <f t="shared" ca="1" si="34"/>
        <v>177.6080505129412</v>
      </c>
      <c r="BX331" s="642">
        <f t="shared" ca="1" si="34"/>
        <v>177.6080505129412</v>
      </c>
      <c r="BY331" s="642">
        <f t="shared" ca="1" si="34"/>
        <v>177.6080505129412</v>
      </c>
      <c r="BZ331" s="642">
        <f t="shared" ca="1" si="34"/>
        <v>177.60805051294122</v>
      </c>
      <c r="CA331" s="642">
        <f t="shared" ca="1" si="34"/>
        <v>177.6080505129412</v>
      </c>
      <c r="CB331" s="642">
        <f t="shared" ca="1" si="34"/>
        <v>177.6080505129412</v>
      </c>
      <c r="CC331" s="642">
        <f t="shared" ca="1" si="34"/>
        <v>177.6080505129412</v>
      </c>
      <c r="CD331" s="642">
        <f t="shared" ca="1" si="34"/>
        <v>177.6080505129412</v>
      </c>
      <c r="CE331" s="642">
        <f t="shared" ca="1" si="34"/>
        <v>177.6080505129412</v>
      </c>
      <c r="CF331" s="642">
        <f t="shared" ca="1" si="35"/>
        <v>177.6080505129412</v>
      </c>
      <c r="CG331" s="642">
        <f t="shared" ca="1" si="35"/>
        <v>177.60805051294122</v>
      </c>
      <c r="CH331" s="642">
        <f t="shared" ca="1" si="35"/>
        <v>177.6080505129412</v>
      </c>
      <c r="CI331" s="642">
        <f t="shared" ca="1" si="35"/>
        <v>177.6080505129412</v>
      </c>
      <c r="CJ331" s="642">
        <f t="shared" ca="1" si="35"/>
        <v>177.6080505129412</v>
      </c>
      <c r="CK331" s="642">
        <f t="shared" ca="1" si="35"/>
        <v>177.6080505129412</v>
      </c>
      <c r="CL331" s="642">
        <f t="shared" ca="1" si="35"/>
        <v>177.6080505129412</v>
      </c>
      <c r="CM331" s="642">
        <f t="shared" ca="1" si="35"/>
        <v>177.6080505129412</v>
      </c>
      <c r="CN331" s="642">
        <f t="shared" ca="1" si="17"/>
        <v>177.6080505129412</v>
      </c>
      <c r="CO331" s="642">
        <f>2*$AD$61*MAX(0,$J$58+I331-$J$64)+IF(L331&lt;$J$38,1000000,0)</f>
        <v>82.86123835294117</v>
      </c>
      <c r="CP331" s="642">
        <f>2*IF($J$175&gt;0,IF($J$392/MIN($J$175,K331)&gt;$M$5*VLOOKUP($L$5,Taxas!$V$22:$W$30,2)/L331,$J$391/MIN($J$175,K331),$J$389/L331),$J$389/L331)</f>
        <v>0.3828154026666668</v>
      </c>
    </row>
    <row r="332" spans="9:94" hidden="1" x14ac:dyDescent="0.25">
      <c r="I332" s="642">
        <f>MIN(5*30,$J$57/2)</f>
        <v>150.0</v>
      </c>
      <c r="J332" s="646">
        <f t="shared" ca="1" si="7"/>
        <v>0.08741597072649604</v>
      </c>
      <c r="K332" s="642">
        <f t="shared" ca="1" si="8"/>
        <v>30.0</v>
      </c>
      <c r="L332" s="642">
        <f ca="1">MIN(ROUNDDOWN($M$5*VLOOKUP($L$5,Taxas!$V$22:$W$30,2)/J332*2,0)/2,K332)</f>
        <v>17.5</v>
      </c>
      <c r="M332" s="642">
        <f ca="1">MIN(ROUNDDOWN($M$6*VLOOKUP($L$6,Taxas!$V$22:$W$30,2)/J332*2,0)/2,K332)</f>
        <v>17.5</v>
      </c>
      <c r="N332" s="642">
        <f t="shared" si="28"/>
        <v>1000000000.0</v>
      </c>
      <c r="O332" s="642">
        <f t="shared" si="28"/>
        <v>1000000000.0</v>
      </c>
      <c r="P332" s="642">
        <f t="shared" si="28"/>
        <v>1000000000.0</v>
      </c>
      <c r="Q332" s="642">
        <f t="shared" si="28"/>
        <v>1000000000.0</v>
      </c>
      <c r="R332" s="642">
        <f t="shared" si="28"/>
        <v>1000000000.0</v>
      </c>
      <c r="S332" s="642">
        <f t="shared" si="28"/>
        <v>1000000000.0</v>
      </c>
      <c r="T332" s="642">
        <f t="shared" si="28"/>
        <v>1000000000.0</v>
      </c>
      <c r="U332" s="642">
        <f t="shared" si="28"/>
        <v>1000000000.0</v>
      </c>
      <c r="V332" s="642">
        <f t="shared" si="28"/>
        <v>1000000000.0</v>
      </c>
      <c r="W332" s="642">
        <f t="shared" si="28"/>
        <v>1000000000.0</v>
      </c>
      <c r="X332" s="642">
        <f t="shared" si="29"/>
        <v>1000000000.0</v>
      </c>
      <c r="Y332" s="642">
        <f t="shared" si="29"/>
        <v>1000000000.0</v>
      </c>
      <c r="Z332" s="642">
        <f t="shared" si="29"/>
        <v>1000000000.0</v>
      </c>
      <c r="AA332" s="642">
        <f t="shared" si="29"/>
        <v>1000000000.0</v>
      </c>
      <c r="AB332" s="642">
        <f t="shared" si="29"/>
        <v>1000000000.0</v>
      </c>
      <c r="AC332" s="642">
        <f t="shared" si="29"/>
        <v>1000000000.0</v>
      </c>
      <c r="AD332" s="642">
        <f t="shared" si="29"/>
        <v>1000000000.0</v>
      </c>
      <c r="AE332" s="642">
        <f t="shared" si="29"/>
        <v>1000000000.0</v>
      </c>
      <c r="AF332" s="642">
        <f t="shared" si="29"/>
        <v>1000000000.0</v>
      </c>
      <c r="AG332" s="642">
        <f t="shared" si="29"/>
        <v>1000000000.0</v>
      </c>
      <c r="AH332" s="642">
        <f t="shared" si="30"/>
        <v>1000000000.0</v>
      </c>
      <c r="AI332" s="642">
        <f t="shared" si="30"/>
        <v>1000000000.0</v>
      </c>
      <c r="AJ332" s="642">
        <f t="shared" si="30"/>
        <v>1000000000.0</v>
      </c>
      <c r="AK332" s="642">
        <f t="shared" si="30"/>
        <v>1000000000.0</v>
      </c>
      <c r="AL332" s="642">
        <f t="shared" si="30"/>
        <v>1000000000.0</v>
      </c>
      <c r="AM332" s="642">
        <f t="shared" si="30"/>
        <v>1000000000.0</v>
      </c>
      <c r="AN332" s="642">
        <f t="shared" si="30"/>
        <v>1000000000.0</v>
      </c>
      <c r="AO332" s="642">
        <f t="shared" si="30"/>
        <v>1000000000.0</v>
      </c>
      <c r="AP332" s="642">
        <f t="shared" si="30"/>
        <v>1000000000.0</v>
      </c>
      <c r="AQ332" s="642">
        <f t="shared" si="30"/>
        <v>1000000000.0</v>
      </c>
      <c r="AR332" s="642">
        <f t="shared" si="31"/>
        <v>1000000000.0</v>
      </c>
      <c r="AS332" s="642">
        <f t="shared" si="31"/>
        <v>1000000000.0</v>
      </c>
      <c r="AT332" s="642">
        <f t="shared" si="31"/>
        <v>1000000000.0</v>
      </c>
      <c r="AU332" s="642">
        <f t="shared" si="31"/>
        <v>1000000000.0</v>
      </c>
      <c r="AV332" s="642">
        <f t="shared" si="31"/>
        <v>1000000000.0</v>
      </c>
      <c r="AW332" s="642">
        <f t="shared" si="31"/>
        <v>1000000000.0</v>
      </c>
      <c r="AX332" s="642">
        <f t="shared" si="31"/>
        <v>1000000000.0</v>
      </c>
      <c r="AY332" s="642">
        <f t="shared" si="31"/>
        <v>1000000000.0</v>
      </c>
      <c r="AZ332" s="642">
        <f t="shared" si="31"/>
        <v>1000000000.0</v>
      </c>
      <c r="BA332" s="642">
        <f t="shared" si="31"/>
        <v>1000000000.0</v>
      </c>
      <c r="BB332" s="642">
        <f t="shared" si="32"/>
        <v>1000000000.0</v>
      </c>
      <c r="BC332" s="642">
        <f t="shared" si="32"/>
        <v>1000000000.0</v>
      </c>
      <c r="BD332" s="642">
        <f t="shared" si="32"/>
        <v>1000000000.0</v>
      </c>
      <c r="BE332" s="642">
        <f t="shared" si="32"/>
        <v>1000000000.0</v>
      </c>
      <c r="BF332" s="642">
        <f t="shared" si="32"/>
        <v>1000000000.0</v>
      </c>
      <c r="BG332" s="642">
        <f t="shared" ca="1" si="32"/>
        <v>178.33286644078436</v>
      </c>
      <c r="BH332" s="642">
        <f t="shared" ca="1" si="32"/>
        <v>178.33286644078436</v>
      </c>
      <c r="BI332" s="642">
        <f t="shared" ca="1" si="32"/>
        <v>178.33286644078436</v>
      </c>
      <c r="BJ332" s="642">
        <f t="shared" ca="1" si="32"/>
        <v>178.33286644078433</v>
      </c>
      <c r="BK332" s="642">
        <f t="shared" ca="1" si="32"/>
        <v>178.33286644078436</v>
      </c>
      <c r="BL332" s="642">
        <f t="shared" ca="1" si="33"/>
        <v>178.33286644078436</v>
      </c>
      <c r="BM332" s="642">
        <f t="shared" ca="1" si="33"/>
        <v>178.33286644078436</v>
      </c>
      <c r="BN332" s="642">
        <f t="shared" ca="1" si="33"/>
        <v>178.33286644078436</v>
      </c>
      <c r="BO332" s="642">
        <f t="shared" ca="1" si="33"/>
        <v>178.33286644078436</v>
      </c>
      <c r="BP332" s="642">
        <f t="shared" ca="1" si="33"/>
        <v>178.33286644078436</v>
      </c>
      <c r="BQ332" s="642">
        <f t="shared" ca="1" si="33"/>
        <v>178.33286644078436</v>
      </c>
      <c r="BR332" s="642">
        <f t="shared" ca="1" si="33"/>
        <v>178.33286644078436</v>
      </c>
      <c r="BS332" s="642">
        <f t="shared" ca="1" si="33"/>
        <v>178.33286644078436</v>
      </c>
      <c r="BT332" s="642">
        <f t="shared" ca="1" si="33"/>
        <v>178.33286644078436</v>
      </c>
      <c r="BU332" s="642">
        <f t="shared" ca="1" si="33"/>
        <v>178.33286644078436</v>
      </c>
      <c r="BV332" s="642">
        <f t="shared" ca="1" si="34"/>
        <v>178.33286644078436</v>
      </c>
      <c r="BW332" s="642">
        <f t="shared" ca="1" si="34"/>
        <v>178.33286644078436</v>
      </c>
      <c r="BX332" s="642">
        <f t="shared" ca="1" si="34"/>
        <v>178.33286644078436</v>
      </c>
      <c r="BY332" s="642">
        <f t="shared" ca="1" si="34"/>
        <v>178.33286644078436</v>
      </c>
      <c r="BZ332" s="642">
        <f t="shared" ca="1" si="34"/>
        <v>178.33286644078436</v>
      </c>
      <c r="CA332" s="642">
        <f t="shared" ca="1" si="34"/>
        <v>178.33286644078436</v>
      </c>
      <c r="CB332" s="642">
        <f t="shared" ca="1" si="34"/>
        <v>178.33286644078436</v>
      </c>
      <c r="CC332" s="642">
        <f t="shared" ca="1" si="34"/>
        <v>178.33286644078436</v>
      </c>
      <c r="CD332" s="642">
        <f t="shared" ca="1" si="34"/>
        <v>178.33286644078436</v>
      </c>
      <c r="CE332" s="642">
        <f t="shared" ca="1" si="34"/>
        <v>178.33286644078436</v>
      </c>
      <c r="CF332" s="642">
        <f t="shared" ca="1" si="35"/>
        <v>178.33286644078436</v>
      </c>
      <c r="CG332" s="642">
        <f t="shared" ca="1" si="35"/>
        <v>178.33286644078436</v>
      </c>
      <c r="CH332" s="642">
        <f t="shared" ca="1" si="35"/>
        <v>178.33286644078436</v>
      </c>
      <c r="CI332" s="642">
        <f t="shared" ca="1" si="35"/>
        <v>178.33286644078436</v>
      </c>
      <c r="CJ332" s="642">
        <f t="shared" ca="1" si="35"/>
        <v>178.33286644078436</v>
      </c>
      <c r="CK332" s="642">
        <f t="shared" ca="1" si="35"/>
        <v>178.33286644078436</v>
      </c>
      <c r="CL332" s="642">
        <f t="shared" ca="1" si="35"/>
        <v>178.33286644078436</v>
      </c>
      <c r="CM332" s="642">
        <f t="shared" ca="1" si="35"/>
        <v>178.33286644078436</v>
      </c>
      <c r="CN332" s="642">
        <f t="shared" ca="1" si="17"/>
        <v>178.33286644078433</v>
      </c>
      <c r="CO332" s="642">
        <f>2*$AD$61*MAX(0,$J$58+I332-$J$64)+IF(L332&lt;$J$38,1000000,0)</f>
        <v>85.50013129411765</v>
      </c>
      <c r="CP332" s="642">
        <f>2*IF($J$175&gt;0,IF($J$392/MIN($J$175,K332)&gt;$M$5*VLOOKUP($L$5,Taxas!$V$22:$W$30,2)/L332,$J$391/MIN($J$175,K332),$J$389/L332),$J$389/L332)</f>
        <v>0.3828154026666668</v>
      </c>
    </row>
    <row r="333" spans="9:94" hidden="1" x14ac:dyDescent="0.25">
      <c r="I333" s="642">
        <f>MIN(5*31,$J$57/2)</f>
        <v>155.0</v>
      </c>
      <c r="J333" s="646">
        <f t="shared" ca="1" si="7"/>
        <v>0.0833941275457472</v>
      </c>
      <c r="K333" s="642">
        <f t="shared" ca="1" si="8"/>
        <v>30.0</v>
      </c>
      <c r="L333" s="642">
        <f ca="1">MIN(ROUNDDOWN($M$5*VLOOKUP($L$5,Taxas!$V$22:$W$30,2)/J333*2,0)/2,K333)</f>
        <v>18.5</v>
      </c>
      <c r="M333" s="642">
        <f ca="1">MIN(ROUNDDOWN($M$6*VLOOKUP($L$6,Taxas!$V$22:$W$30,2)/J333*2,0)/2,K333)</f>
        <v>18.5</v>
      </c>
      <c r="N333" s="642">
        <f t="shared" ref="N333:W342" si="36">IF(OR($I333&lt;$J$59,N$302-$I333&lt;$J$59),1000000000,$CO333+N$301+$CP333*(N$302-$I333))</f>
        <v>1000000000.0</v>
      </c>
      <c r="O333" s="642">
        <f t="shared" si="36"/>
        <v>1000000000.0</v>
      </c>
      <c r="P333" s="642">
        <f t="shared" si="36"/>
        <v>1000000000.0</v>
      </c>
      <c r="Q333" s="642">
        <f t="shared" si="36"/>
        <v>1000000000.0</v>
      </c>
      <c r="R333" s="642">
        <f t="shared" si="36"/>
        <v>1000000000.0</v>
      </c>
      <c r="S333" s="642">
        <f t="shared" si="36"/>
        <v>1000000000.0</v>
      </c>
      <c r="T333" s="642">
        <f t="shared" si="36"/>
        <v>1000000000.0</v>
      </c>
      <c r="U333" s="642">
        <f t="shared" si="36"/>
        <v>1000000000.0</v>
      </c>
      <c r="V333" s="642">
        <f t="shared" si="36"/>
        <v>1000000000.0</v>
      </c>
      <c r="W333" s="642">
        <f t="shared" si="36"/>
        <v>1000000000.0</v>
      </c>
      <c r="X333" s="642">
        <f t="shared" ref="X333:AG342" si="37">IF(OR($I333&lt;$J$59,X$302-$I333&lt;$J$59),1000000000,$CO333+X$301+$CP333*(X$302-$I333))</f>
        <v>1000000000.0</v>
      </c>
      <c r="Y333" s="642">
        <f t="shared" si="37"/>
        <v>1000000000.0</v>
      </c>
      <c r="Z333" s="642">
        <f t="shared" si="37"/>
        <v>1000000000.0</v>
      </c>
      <c r="AA333" s="642">
        <f t="shared" si="37"/>
        <v>1000000000.0</v>
      </c>
      <c r="AB333" s="642">
        <f t="shared" si="37"/>
        <v>1000000000.0</v>
      </c>
      <c r="AC333" s="642">
        <f t="shared" si="37"/>
        <v>1000000000.0</v>
      </c>
      <c r="AD333" s="642">
        <f t="shared" si="37"/>
        <v>1000000000.0</v>
      </c>
      <c r="AE333" s="642">
        <f t="shared" si="37"/>
        <v>1000000000.0</v>
      </c>
      <c r="AF333" s="642">
        <f t="shared" si="37"/>
        <v>1000000000.0</v>
      </c>
      <c r="AG333" s="642">
        <f t="shared" si="37"/>
        <v>1000000000.0</v>
      </c>
      <c r="AH333" s="642">
        <f t="shared" ref="AH333:AQ342" si="38">IF(OR($I333&lt;$J$59,AH$302-$I333&lt;$J$59),1000000000,$CO333+AH$301+$CP333*(AH$302-$I333))</f>
        <v>1000000000.0</v>
      </c>
      <c r="AI333" s="642">
        <f t="shared" si="38"/>
        <v>1000000000.0</v>
      </c>
      <c r="AJ333" s="642">
        <f t="shared" si="38"/>
        <v>1000000000.0</v>
      </c>
      <c r="AK333" s="642">
        <f t="shared" si="38"/>
        <v>1000000000.0</v>
      </c>
      <c r="AL333" s="642">
        <f t="shared" si="38"/>
        <v>1000000000.0</v>
      </c>
      <c r="AM333" s="642">
        <f t="shared" si="38"/>
        <v>1000000000.0</v>
      </c>
      <c r="AN333" s="642">
        <f t="shared" si="38"/>
        <v>1000000000.0</v>
      </c>
      <c r="AO333" s="642">
        <f t="shared" si="38"/>
        <v>1000000000.0</v>
      </c>
      <c r="AP333" s="642">
        <f t="shared" si="38"/>
        <v>1000000000.0</v>
      </c>
      <c r="AQ333" s="642">
        <f t="shared" si="38"/>
        <v>1000000000.0</v>
      </c>
      <c r="AR333" s="642">
        <f t="shared" ref="AR333:BA342" si="39">IF(OR($I333&lt;$J$59,AR$302-$I333&lt;$J$59),1000000000,$CO333+AR$301+$CP333*(AR$302-$I333))</f>
        <v>1000000000.0</v>
      </c>
      <c r="AS333" s="642">
        <f t="shared" si="39"/>
        <v>1000000000.0</v>
      </c>
      <c r="AT333" s="642">
        <f t="shared" si="39"/>
        <v>1000000000.0</v>
      </c>
      <c r="AU333" s="642">
        <f t="shared" si="39"/>
        <v>1000000000.0</v>
      </c>
      <c r="AV333" s="642">
        <f t="shared" si="39"/>
        <v>1000000000.0</v>
      </c>
      <c r="AW333" s="642">
        <f t="shared" si="39"/>
        <v>1000000000.0</v>
      </c>
      <c r="AX333" s="642">
        <f t="shared" si="39"/>
        <v>1000000000.0</v>
      </c>
      <c r="AY333" s="642">
        <f t="shared" si="39"/>
        <v>1000000000.0</v>
      </c>
      <c r="AZ333" s="642">
        <f t="shared" si="39"/>
        <v>1000000000.0</v>
      </c>
      <c r="BA333" s="642">
        <f t="shared" si="39"/>
        <v>1000000000.0</v>
      </c>
      <c r="BB333" s="642">
        <f t="shared" ref="BB333:BK342" si="40">IF(OR($I333&lt;$J$59,BB$302-$I333&lt;$J$59),1000000000,$CO333+BB$301+$CP333*(BB$302-$I333))</f>
        <v>1000000000.0</v>
      </c>
      <c r="BC333" s="642">
        <f t="shared" si="40"/>
        <v>1000000000.0</v>
      </c>
      <c r="BD333" s="642">
        <f t="shared" si="40"/>
        <v>1000000000.0</v>
      </c>
      <c r="BE333" s="642">
        <f t="shared" si="40"/>
        <v>1000000000.0</v>
      </c>
      <c r="BF333" s="642">
        <f t="shared" si="40"/>
        <v>1000000000.0</v>
      </c>
      <c r="BG333" s="642">
        <f t="shared" si="40"/>
        <v>1000000000.0</v>
      </c>
      <c r="BH333" s="642">
        <f t="shared" ca="1" si="40"/>
        <v>179.05768236862747</v>
      </c>
      <c r="BI333" s="642">
        <f t="shared" ca="1" si="40"/>
        <v>179.0576823686275</v>
      </c>
      <c r="BJ333" s="642">
        <f t="shared" ca="1" si="40"/>
        <v>179.0576823686275</v>
      </c>
      <c r="BK333" s="642">
        <f t="shared" ca="1" si="40"/>
        <v>179.05768236862747</v>
      </c>
      <c r="BL333" s="642">
        <f t="shared" ref="BL333:BU342" ca="1" si="41">IF(OR($I333&lt;$J$59,BL$302-$I333&lt;$J$59),1000000000,$CO333+BL$301+$CP333*(BL$302-$I333))</f>
        <v>179.05768236862747</v>
      </c>
      <c r="BM333" s="642">
        <f t="shared" ca="1" si="41"/>
        <v>179.0576823686275</v>
      </c>
      <c r="BN333" s="642">
        <f t="shared" ca="1" si="41"/>
        <v>179.05768236862747</v>
      </c>
      <c r="BO333" s="642">
        <f t="shared" ca="1" si="41"/>
        <v>179.05768236862747</v>
      </c>
      <c r="BP333" s="642">
        <f t="shared" ca="1" si="41"/>
        <v>179.05768236862747</v>
      </c>
      <c r="BQ333" s="642">
        <f t="shared" ca="1" si="41"/>
        <v>179.0576823686275</v>
      </c>
      <c r="BR333" s="642">
        <f t="shared" ca="1" si="41"/>
        <v>179.0576823686275</v>
      </c>
      <c r="BS333" s="642">
        <f t="shared" ca="1" si="41"/>
        <v>179.05768236862747</v>
      </c>
      <c r="BT333" s="642">
        <f t="shared" ca="1" si="41"/>
        <v>179.0576823686275</v>
      </c>
      <c r="BU333" s="642">
        <f t="shared" ca="1" si="41"/>
        <v>179.05768236862747</v>
      </c>
      <c r="BV333" s="642">
        <f t="shared" ref="BV333:CE342" ca="1" si="42">IF(OR($I333&lt;$J$59,BV$302-$I333&lt;$J$59),1000000000,$CO333+BV$301+$CP333*(BV$302-$I333))</f>
        <v>179.05768236862747</v>
      </c>
      <c r="BW333" s="642">
        <f t="shared" ca="1" si="42"/>
        <v>179.05768236862747</v>
      </c>
      <c r="BX333" s="642">
        <f t="shared" ca="1" si="42"/>
        <v>179.0576823686275</v>
      </c>
      <c r="BY333" s="642">
        <f t="shared" ca="1" si="42"/>
        <v>179.05768236862747</v>
      </c>
      <c r="BZ333" s="642">
        <f t="shared" ca="1" si="42"/>
        <v>179.05768236862747</v>
      </c>
      <c r="CA333" s="642">
        <f t="shared" ca="1" si="42"/>
        <v>179.05768236862747</v>
      </c>
      <c r="CB333" s="642">
        <f t="shared" ca="1" si="42"/>
        <v>179.05768236862747</v>
      </c>
      <c r="CC333" s="642">
        <f t="shared" ca="1" si="42"/>
        <v>179.05768236862747</v>
      </c>
      <c r="CD333" s="642">
        <f t="shared" ca="1" si="42"/>
        <v>179.05768236862747</v>
      </c>
      <c r="CE333" s="642">
        <f t="shared" ca="1" si="42"/>
        <v>179.05768236862747</v>
      </c>
      <c r="CF333" s="642">
        <f t="shared" ref="CF333:CM342" ca="1" si="43">IF(OR($I333&lt;$J$59,CF$302-$I333&lt;$J$59),1000000000,$CO333+CF$301+$CP333*(CF$302-$I333))</f>
        <v>179.05768236862747</v>
      </c>
      <c r="CG333" s="642">
        <f t="shared" ca="1" si="43"/>
        <v>179.05768236862747</v>
      </c>
      <c r="CH333" s="642">
        <f t="shared" ca="1" si="43"/>
        <v>179.05768236862747</v>
      </c>
      <c r="CI333" s="642">
        <f t="shared" ca="1" si="43"/>
        <v>179.0576823686275</v>
      </c>
      <c r="CJ333" s="642">
        <f t="shared" ca="1" si="43"/>
        <v>179.05768236862747</v>
      </c>
      <c r="CK333" s="642">
        <f t="shared" ca="1" si="43"/>
        <v>179.05768236862747</v>
      </c>
      <c r="CL333" s="642">
        <f t="shared" ca="1" si="43"/>
        <v>179.05768236862747</v>
      </c>
      <c r="CM333" s="642">
        <f t="shared" ca="1" si="43"/>
        <v>179.05768236862747</v>
      </c>
      <c r="CN333" s="642">
        <f t="shared" ca="1" si="17"/>
        <v>179.05768236862747</v>
      </c>
      <c r="CO333" s="642">
        <f>2*$AD$61*MAX(0,$J$58+I333-$J$64)+IF(L333&lt;$J$38,1000000,0)</f>
        <v>88.13902423529412</v>
      </c>
      <c r="CP333" s="642">
        <f>2*IF($J$175&gt;0,IF($J$392/MIN($J$175,K333)&gt;$M$5*VLOOKUP($L$5,Taxas!$V$22:$W$30,2)/L333,$J$391/MIN($J$175,K333),$J$389/L333),$J$389/L333)</f>
        <v>0.3828154026666668</v>
      </c>
    </row>
    <row r="334" spans="9:94" hidden="1" x14ac:dyDescent="0.25">
      <c r="I334" s="642">
        <f>MIN(5*32,$J$57/2)</f>
        <v>160.0</v>
      </c>
      <c r="J334" s="646">
        <f t="shared" ca="1" si="7"/>
        <v>0.07926876302442298</v>
      </c>
      <c r="K334" s="642">
        <f t="shared" ca="1" si="8"/>
        <v>30.0</v>
      </c>
      <c r="L334" s="642">
        <f ca="1">MIN(ROUNDDOWN($M$5*VLOOKUP($L$5,Taxas!$V$22:$W$30,2)/J334*2,0)/2,K334)</f>
        <v>19.5</v>
      </c>
      <c r="M334" s="642">
        <f ca="1">MIN(ROUNDDOWN($M$6*VLOOKUP($L$6,Taxas!$V$22:$W$30,2)/J334*2,0)/2,K334)</f>
        <v>19.5</v>
      </c>
      <c r="N334" s="642">
        <f t="shared" si="36"/>
        <v>1000000000.0</v>
      </c>
      <c r="O334" s="642">
        <f t="shared" si="36"/>
        <v>1000000000.0</v>
      </c>
      <c r="P334" s="642">
        <f t="shared" si="36"/>
        <v>1000000000.0</v>
      </c>
      <c r="Q334" s="642">
        <f t="shared" si="36"/>
        <v>1000000000.0</v>
      </c>
      <c r="R334" s="642">
        <f t="shared" si="36"/>
        <v>1000000000.0</v>
      </c>
      <c r="S334" s="642">
        <f t="shared" si="36"/>
        <v>1000000000.0</v>
      </c>
      <c r="T334" s="642">
        <f t="shared" si="36"/>
        <v>1000000000.0</v>
      </c>
      <c r="U334" s="642">
        <f t="shared" si="36"/>
        <v>1000000000.0</v>
      </c>
      <c r="V334" s="642">
        <f t="shared" si="36"/>
        <v>1000000000.0</v>
      </c>
      <c r="W334" s="642">
        <f t="shared" si="36"/>
        <v>1000000000.0</v>
      </c>
      <c r="X334" s="642">
        <f t="shared" si="37"/>
        <v>1000000000.0</v>
      </c>
      <c r="Y334" s="642">
        <f t="shared" si="37"/>
        <v>1000000000.0</v>
      </c>
      <c r="Z334" s="642">
        <f t="shared" si="37"/>
        <v>1000000000.0</v>
      </c>
      <c r="AA334" s="642">
        <f t="shared" si="37"/>
        <v>1000000000.0</v>
      </c>
      <c r="AB334" s="642">
        <f t="shared" si="37"/>
        <v>1000000000.0</v>
      </c>
      <c r="AC334" s="642">
        <f t="shared" si="37"/>
        <v>1000000000.0</v>
      </c>
      <c r="AD334" s="642">
        <f t="shared" si="37"/>
        <v>1000000000.0</v>
      </c>
      <c r="AE334" s="642">
        <f t="shared" si="37"/>
        <v>1000000000.0</v>
      </c>
      <c r="AF334" s="642">
        <f t="shared" si="37"/>
        <v>1000000000.0</v>
      </c>
      <c r="AG334" s="642">
        <f t="shared" si="37"/>
        <v>1000000000.0</v>
      </c>
      <c r="AH334" s="642">
        <f t="shared" si="38"/>
        <v>1000000000.0</v>
      </c>
      <c r="AI334" s="642">
        <f t="shared" si="38"/>
        <v>1000000000.0</v>
      </c>
      <c r="AJ334" s="642">
        <f t="shared" si="38"/>
        <v>1000000000.0</v>
      </c>
      <c r="AK334" s="642">
        <f t="shared" si="38"/>
        <v>1000000000.0</v>
      </c>
      <c r="AL334" s="642">
        <f t="shared" si="38"/>
        <v>1000000000.0</v>
      </c>
      <c r="AM334" s="642">
        <f t="shared" si="38"/>
        <v>1000000000.0</v>
      </c>
      <c r="AN334" s="642">
        <f t="shared" si="38"/>
        <v>1000000000.0</v>
      </c>
      <c r="AO334" s="642">
        <f t="shared" si="38"/>
        <v>1000000000.0</v>
      </c>
      <c r="AP334" s="642">
        <f t="shared" si="38"/>
        <v>1000000000.0</v>
      </c>
      <c r="AQ334" s="642">
        <f t="shared" si="38"/>
        <v>1000000000.0</v>
      </c>
      <c r="AR334" s="642">
        <f t="shared" si="39"/>
        <v>1000000000.0</v>
      </c>
      <c r="AS334" s="642">
        <f t="shared" si="39"/>
        <v>1000000000.0</v>
      </c>
      <c r="AT334" s="642">
        <f t="shared" si="39"/>
        <v>1000000000.0</v>
      </c>
      <c r="AU334" s="642">
        <f t="shared" si="39"/>
        <v>1000000000.0</v>
      </c>
      <c r="AV334" s="642">
        <f t="shared" si="39"/>
        <v>1000000000.0</v>
      </c>
      <c r="AW334" s="642">
        <f t="shared" si="39"/>
        <v>1000000000.0</v>
      </c>
      <c r="AX334" s="642">
        <f t="shared" si="39"/>
        <v>1000000000.0</v>
      </c>
      <c r="AY334" s="642">
        <f t="shared" si="39"/>
        <v>1000000000.0</v>
      </c>
      <c r="AZ334" s="642">
        <f t="shared" si="39"/>
        <v>1000000000.0</v>
      </c>
      <c r="BA334" s="642">
        <f t="shared" si="39"/>
        <v>1000000000.0</v>
      </c>
      <c r="BB334" s="642">
        <f t="shared" si="40"/>
        <v>1000000000.0</v>
      </c>
      <c r="BC334" s="642">
        <f t="shared" si="40"/>
        <v>1000000000.0</v>
      </c>
      <c r="BD334" s="642">
        <f t="shared" si="40"/>
        <v>1000000000.0</v>
      </c>
      <c r="BE334" s="642">
        <f t="shared" si="40"/>
        <v>1000000000.0</v>
      </c>
      <c r="BF334" s="642">
        <f t="shared" si="40"/>
        <v>1000000000.0</v>
      </c>
      <c r="BG334" s="642">
        <f t="shared" si="40"/>
        <v>1000000000.0</v>
      </c>
      <c r="BH334" s="642">
        <f t="shared" si="40"/>
        <v>1000000000.0</v>
      </c>
      <c r="BI334" s="642">
        <f t="shared" ca="1" si="40"/>
        <v>179.7824982964706</v>
      </c>
      <c r="BJ334" s="642">
        <f t="shared" ca="1" si="40"/>
        <v>179.7824982964706</v>
      </c>
      <c r="BK334" s="642">
        <f t="shared" ca="1" si="40"/>
        <v>179.7824982964706</v>
      </c>
      <c r="BL334" s="642">
        <f t="shared" ca="1" si="41"/>
        <v>179.7824982964706</v>
      </c>
      <c r="BM334" s="642">
        <f t="shared" ca="1" si="41"/>
        <v>179.78249829647064</v>
      </c>
      <c r="BN334" s="642">
        <f t="shared" ca="1" si="41"/>
        <v>179.78249829647064</v>
      </c>
      <c r="BO334" s="642">
        <f t="shared" ca="1" si="41"/>
        <v>179.7824982964706</v>
      </c>
      <c r="BP334" s="642">
        <f t="shared" ca="1" si="41"/>
        <v>179.7824982964706</v>
      </c>
      <c r="BQ334" s="642">
        <f t="shared" ca="1" si="41"/>
        <v>179.78249829647064</v>
      </c>
      <c r="BR334" s="642">
        <f t="shared" ca="1" si="41"/>
        <v>179.7824982964706</v>
      </c>
      <c r="BS334" s="642">
        <f t="shared" ca="1" si="41"/>
        <v>179.7824982964706</v>
      </c>
      <c r="BT334" s="642">
        <f t="shared" ca="1" si="41"/>
        <v>179.78249829647064</v>
      </c>
      <c r="BU334" s="642">
        <f t="shared" ca="1" si="41"/>
        <v>179.7824982964706</v>
      </c>
      <c r="BV334" s="642">
        <f t="shared" ca="1" si="42"/>
        <v>179.7824982964706</v>
      </c>
      <c r="BW334" s="642">
        <f t="shared" ca="1" si="42"/>
        <v>179.7824982964706</v>
      </c>
      <c r="BX334" s="642">
        <f t="shared" ca="1" si="42"/>
        <v>179.78249829647064</v>
      </c>
      <c r="BY334" s="642">
        <f t="shared" ca="1" si="42"/>
        <v>179.7824982964706</v>
      </c>
      <c r="BZ334" s="642">
        <f t="shared" ca="1" si="42"/>
        <v>179.7824982964706</v>
      </c>
      <c r="CA334" s="642">
        <f t="shared" ca="1" si="42"/>
        <v>179.78249829647064</v>
      </c>
      <c r="CB334" s="642">
        <f t="shared" ca="1" si="42"/>
        <v>179.7824982964706</v>
      </c>
      <c r="CC334" s="642">
        <f t="shared" ca="1" si="42"/>
        <v>179.78249829647064</v>
      </c>
      <c r="CD334" s="642">
        <f t="shared" ca="1" si="42"/>
        <v>179.7824982964706</v>
      </c>
      <c r="CE334" s="642">
        <f t="shared" ca="1" si="42"/>
        <v>179.78249829647064</v>
      </c>
      <c r="CF334" s="642">
        <f t="shared" ca="1" si="43"/>
        <v>179.7824982964706</v>
      </c>
      <c r="CG334" s="642">
        <f t="shared" ca="1" si="43"/>
        <v>179.7824982964706</v>
      </c>
      <c r="CH334" s="642">
        <f t="shared" ca="1" si="43"/>
        <v>179.7824982964706</v>
      </c>
      <c r="CI334" s="642">
        <f t="shared" ca="1" si="43"/>
        <v>179.78249829647064</v>
      </c>
      <c r="CJ334" s="642">
        <f t="shared" ca="1" si="43"/>
        <v>179.78249829647064</v>
      </c>
      <c r="CK334" s="642">
        <f t="shared" ca="1" si="43"/>
        <v>179.7824982964706</v>
      </c>
      <c r="CL334" s="642">
        <f t="shared" ca="1" si="43"/>
        <v>179.78249829647064</v>
      </c>
      <c r="CM334" s="642">
        <f t="shared" ca="1" si="43"/>
        <v>179.7824982964706</v>
      </c>
      <c r="CN334" s="642">
        <f t="shared" ca="1" si="17"/>
        <v>179.7824982964706</v>
      </c>
      <c r="CO334" s="642">
        <f>2*$AD$61*MAX(0,$J$58+I334-$J$64)+IF(L334&lt;$J$38,1000000,0)</f>
        <v>90.77791717647058</v>
      </c>
      <c r="CP334" s="642">
        <f>2*IF($J$175&gt;0,IF($J$392/MIN($J$175,K334)&gt;$M$5*VLOOKUP($L$5,Taxas!$V$22:$W$30,2)/L334,$J$391/MIN($J$175,K334),$J$389/L334),$J$389/L334)</f>
        <v>0.3828154026666668</v>
      </c>
    </row>
    <row r="335" spans="9:94" hidden="1" x14ac:dyDescent="0.25">
      <c r="I335" s="642">
        <f>MIN(5*33,$J$57/2)</f>
        <v>165.0</v>
      </c>
      <c r="J335" s="646">
        <f t="shared" ref="J335:J366" ca="1" si="44">IF(I335&gt;=INDEX($J$43:$J$53,11),INDEX($U$43:$U$53,11),INDEX($U$43:$U$53,MIN(MATCH(I335,$J$43:$J$53,1),10))+(I335-INDEX($J$43:$J$53,MIN(MATCH(I335,$J$43:$J$53,1),10)))*(INDEX($U$43:$U$53,MIN(MATCH(I335,$J$43:$J$53,1),10)+1)-INDEX($U$43:$U$53,MIN(MATCH(I335,$J$43:$J$53,1),10)))/(INDEX($J$43:$J$53,MIN(MATCH(I335,$J$43:$J$53,1),10)+1)-INDEX($J$43:$J$53,MIN(MATCH(I335,$J$43:$J$53,1),10))))</f>
        <v>0.07507438427604855</v>
      </c>
      <c r="K335" s="642">
        <f t="shared" ref="K335:K366" ca="1" si="45">INDEX($W$43:$W$53,MIN(MATCH(I335,$J$43:$J$53,1),11))</f>
        <v>30.0</v>
      </c>
      <c r="L335" s="642">
        <f ca="1">MIN(ROUNDDOWN($M$5*VLOOKUP($L$5,Taxas!$V$22:$W$30,2)/J335*2,0)/2,K335)</f>
        <v>20.5</v>
      </c>
      <c r="M335" s="642">
        <f ca="1">MIN(ROUNDDOWN($M$6*VLOOKUP($L$6,Taxas!$V$22:$W$30,2)/J335*2,0)/2,K335)</f>
        <v>20.5</v>
      </c>
      <c r="N335" s="642">
        <f t="shared" si="36"/>
        <v>1000000000.0</v>
      </c>
      <c r="O335" s="642">
        <f t="shared" si="36"/>
        <v>1000000000.0</v>
      </c>
      <c r="P335" s="642">
        <f t="shared" si="36"/>
        <v>1000000000.0</v>
      </c>
      <c r="Q335" s="642">
        <f t="shared" si="36"/>
        <v>1000000000.0</v>
      </c>
      <c r="R335" s="642">
        <f t="shared" si="36"/>
        <v>1000000000.0</v>
      </c>
      <c r="S335" s="642">
        <f t="shared" si="36"/>
        <v>1000000000.0</v>
      </c>
      <c r="T335" s="642">
        <f t="shared" si="36"/>
        <v>1000000000.0</v>
      </c>
      <c r="U335" s="642">
        <f t="shared" si="36"/>
        <v>1000000000.0</v>
      </c>
      <c r="V335" s="642">
        <f t="shared" si="36"/>
        <v>1000000000.0</v>
      </c>
      <c r="W335" s="642">
        <f t="shared" si="36"/>
        <v>1000000000.0</v>
      </c>
      <c r="X335" s="642">
        <f t="shared" si="37"/>
        <v>1000000000.0</v>
      </c>
      <c r="Y335" s="642">
        <f t="shared" si="37"/>
        <v>1000000000.0</v>
      </c>
      <c r="Z335" s="642">
        <f t="shared" si="37"/>
        <v>1000000000.0</v>
      </c>
      <c r="AA335" s="642">
        <f t="shared" si="37"/>
        <v>1000000000.0</v>
      </c>
      <c r="AB335" s="642">
        <f t="shared" si="37"/>
        <v>1000000000.0</v>
      </c>
      <c r="AC335" s="642">
        <f t="shared" si="37"/>
        <v>1000000000.0</v>
      </c>
      <c r="AD335" s="642">
        <f t="shared" si="37"/>
        <v>1000000000.0</v>
      </c>
      <c r="AE335" s="642">
        <f t="shared" si="37"/>
        <v>1000000000.0</v>
      </c>
      <c r="AF335" s="642">
        <f t="shared" si="37"/>
        <v>1000000000.0</v>
      </c>
      <c r="AG335" s="642">
        <f t="shared" si="37"/>
        <v>1000000000.0</v>
      </c>
      <c r="AH335" s="642">
        <f t="shared" si="38"/>
        <v>1000000000.0</v>
      </c>
      <c r="AI335" s="642">
        <f t="shared" si="38"/>
        <v>1000000000.0</v>
      </c>
      <c r="AJ335" s="642">
        <f t="shared" si="38"/>
        <v>1000000000.0</v>
      </c>
      <c r="AK335" s="642">
        <f t="shared" si="38"/>
        <v>1000000000.0</v>
      </c>
      <c r="AL335" s="642">
        <f t="shared" si="38"/>
        <v>1000000000.0</v>
      </c>
      <c r="AM335" s="642">
        <f t="shared" si="38"/>
        <v>1000000000.0</v>
      </c>
      <c r="AN335" s="642">
        <f t="shared" si="38"/>
        <v>1000000000.0</v>
      </c>
      <c r="AO335" s="642">
        <f t="shared" si="38"/>
        <v>1000000000.0</v>
      </c>
      <c r="AP335" s="642">
        <f t="shared" si="38"/>
        <v>1000000000.0</v>
      </c>
      <c r="AQ335" s="642">
        <f t="shared" si="38"/>
        <v>1000000000.0</v>
      </c>
      <c r="AR335" s="642">
        <f t="shared" si="39"/>
        <v>1000000000.0</v>
      </c>
      <c r="AS335" s="642">
        <f t="shared" si="39"/>
        <v>1000000000.0</v>
      </c>
      <c r="AT335" s="642">
        <f t="shared" si="39"/>
        <v>1000000000.0</v>
      </c>
      <c r="AU335" s="642">
        <f t="shared" si="39"/>
        <v>1000000000.0</v>
      </c>
      <c r="AV335" s="642">
        <f t="shared" si="39"/>
        <v>1000000000.0</v>
      </c>
      <c r="AW335" s="642">
        <f t="shared" si="39"/>
        <v>1000000000.0</v>
      </c>
      <c r="AX335" s="642">
        <f t="shared" si="39"/>
        <v>1000000000.0</v>
      </c>
      <c r="AY335" s="642">
        <f t="shared" si="39"/>
        <v>1000000000.0</v>
      </c>
      <c r="AZ335" s="642">
        <f t="shared" si="39"/>
        <v>1000000000.0</v>
      </c>
      <c r="BA335" s="642">
        <f t="shared" si="39"/>
        <v>1000000000.0</v>
      </c>
      <c r="BB335" s="642">
        <f t="shared" si="40"/>
        <v>1000000000.0</v>
      </c>
      <c r="BC335" s="642">
        <f t="shared" si="40"/>
        <v>1000000000.0</v>
      </c>
      <c r="BD335" s="642">
        <f t="shared" si="40"/>
        <v>1000000000.0</v>
      </c>
      <c r="BE335" s="642">
        <f t="shared" si="40"/>
        <v>1000000000.0</v>
      </c>
      <c r="BF335" s="642">
        <f t="shared" si="40"/>
        <v>1000000000.0</v>
      </c>
      <c r="BG335" s="642">
        <f t="shared" si="40"/>
        <v>1000000000.0</v>
      </c>
      <c r="BH335" s="642">
        <f t="shared" si="40"/>
        <v>1000000000.0</v>
      </c>
      <c r="BI335" s="642">
        <f t="shared" si="40"/>
        <v>1000000000.0</v>
      </c>
      <c r="BJ335" s="642">
        <f t="shared" ca="1" si="40"/>
        <v>180.50731422431375</v>
      </c>
      <c r="BK335" s="642">
        <f t="shared" ca="1" si="40"/>
        <v>180.50731422431377</v>
      </c>
      <c r="BL335" s="642">
        <f t="shared" ca="1" si="41"/>
        <v>180.50731422431377</v>
      </c>
      <c r="BM335" s="642">
        <f t="shared" ca="1" si="41"/>
        <v>180.50731422431375</v>
      </c>
      <c r="BN335" s="642">
        <f t="shared" ca="1" si="41"/>
        <v>180.50731422431375</v>
      </c>
      <c r="BO335" s="642">
        <f t="shared" ca="1" si="41"/>
        <v>180.50731422431377</v>
      </c>
      <c r="BP335" s="642">
        <f t="shared" ca="1" si="41"/>
        <v>180.50731422431375</v>
      </c>
      <c r="BQ335" s="642">
        <f t="shared" ca="1" si="41"/>
        <v>180.50731422431375</v>
      </c>
      <c r="BR335" s="642">
        <f t="shared" ca="1" si="41"/>
        <v>180.50731422431375</v>
      </c>
      <c r="BS335" s="642">
        <f t="shared" ca="1" si="41"/>
        <v>180.50731422431377</v>
      </c>
      <c r="BT335" s="642">
        <f t="shared" ca="1" si="41"/>
        <v>180.50731422431375</v>
      </c>
      <c r="BU335" s="642">
        <f t="shared" ca="1" si="41"/>
        <v>180.50731422431375</v>
      </c>
      <c r="BV335" s="642">
        <f t="shared" ca="1" si="42"/>
        <v>180.50731422431377</v>
      </c>
      <c r="BW335" s="642">
        <f t="shared" ca="1" si="42"/>
        <v>180.50731422431375</v>
      </c>
      <c r="BX335" s="642">
        <f t="shared" ca="1" si="42"/>
        <v>180.50731422431375</v>
      </c>
      <c r="BY335" s="642">
        <f t="shared" ca="1" si="42"/>
        <v>180.50731422431375</v>
      </c>
      <c r="BZ335" s="642">
        <f t="shared" ca="1" si="42"/>
        <v>180.50731422431377</v>
      </c>
      <c r="CA335" s="642">
        <f t="shared" ca="1" si="42"/>
        <v>180.50731422431375</v>
      </c>
      <c r="CB335" s="642">
        <f t="shared" ca="1" si="42"/>
        <v>180.50731422431375</v>
      </c>
      <c r="CC335" s="642">
        <f t="shared" ca="1" si="42"/>
        <v>180.50731422431375</v>
      </c>
      <c r="CD335" s="642">
        <f t="shared" ca="1" si="42"/>
        <v>180.50731422431375</v>
      </c>
      <c r="CE335" s="642">
        <f t="shared" ca="1" si="42"/>
        <v>180.50731422431375</v>
      </c>
      <c r="CF335" s="642">
        <f t="shared" ca="1" si="43"/>
        <v>180.50731422431375</v>
      </c>
      <c r="CG335" s="642">
        <f t="shared" ca="1" si="43"/>
        <v>180.50731422431375</v>
      </c>
      <c r="CH335" s="642">
        <f t="shared" ca="1" si="43"/>
        <v>180.50731422431375</v>
      </c>
      <c r="CI335" s="642">
        <f t="shared" ca="1" si="43"/>
        <v>180.50731422431375</v>
      </c>
      <c r="CJ335" s="642">
        <f t="shared" ca="1" si="43"/>
        <v>180.50731422431375</v>
      </c>
      <c r="CK335" s="642">
        <f t="shared" ca="1" si="43"/>
        <v>180.50731422431375</v>
      </c>
      <c r="CL335" s="642">
        <f t="shared" ca="1" si="43"/>
        <v>180.50731422431375</v>
      </c>
      <c r="CM335" s="642">
        <f t="shared" ca="1" si="43"/>
        <v>180.50731422431375</v>
      </c>
      <c r="CN335" s="642">
        <f t="shared" ref="CN335:CN366" ca="1" si="46">MIN(N335:CM335)</f>
        <v>180.50731422431375</v>
      </c>
      <c r="CO335" s="642">
        <f>2*$AD$61*MAX(0,$J$58+I335-$J$64)+IF(L335&lt;$J$38,1000000,0)</f>
        <v>93.41681011764706</v>
      </c>
      <c r="CP335" s="642">
        <f>2*IF($J$175&gt;0,IF($J$392/MIN($J$175,K335)&gt;$M$5*VLOOKUP($L$5,Taxas!$V$22:$W$30,2)/L335,$J$391/MIN($J$175,K335),$J$389/L335),$J$389/L335)</f>
        <v>0.3828154026666668</v>
      </c>
    </row>
    <row r="336" spans="9:94" hidden="1" x14ac:dyDescent="0.25">
      <c r="I336" s="642">
        <f>MIN(5*34,$J$57/2)</f>
        <v>170.0</v>
      </c>
      <c r="J336" s="646">
        <f t="shared" ca="1" si="44"/>
        <v>0.07088000552767411</v>
      </c>
      <c r="K336" s="642">
        <f t="shared" ca="1" si="45"/>
        <v>30.0</v>
      </c>
      <c r="L336" s="642">
        <f ca="1">MIN(ROUNDDOWN($M$5*VLOOKUP($L$5,Taxas!$V$22:$W$30,2)/J336*2,0)/2,K336)</f>
        <v>22.0</v>
      </c>
      <c r="M336" s="642">
        <f ca="1">MIN(ROUNDDOWN($M$6*VLOOKUP($L$6,Taxas!$V$22:$W$30,2)/J336*2,0)/2,K336)</f>
        <v>22.0</v>
      </c>
      <c r="N336" s="642">
        <f t="shared" si="36"/>
        <v>1000000000.0</v>
      </c>
      <c r="O336" s="642">
        <f t="shared" si="36"/>
        <v>1000000000.0</v>
      </c>
      <c r="P336" s="642">
        <f t="shared" si="36"/>
        <v>1000000000.0</v>
      </c>
      <c r="Q336" s="642">
        <f t="shared" si="36"/>
        <v>1000000000.0</v>
      </c>
      <c r="R336" s="642">
        <f t="shared" si="36"/>
        <v>1000000000.0</v>
      </c>
      <c r="S336" s="642">
        <f t="shared" si="36"/>
        <v>1000000000.0</v>
      </c>
      <c r="T336" s="642">
        <f t="shared" si="36"/>
        <v>1000000000.0</v>
      </c>
      <c r="U336" s="642">
        <f t="shared" si="36"/>
        <v>1000000000.0</v>
      </c>
      <c r="V336" s="642">
        <f t="shared" si="36"/>
        <v>1000000000.0</v>
      </c>
      <c r="W336" s="642">
        <f t="shared" si="36"/>
        <v>1000000000.0</v>
      </c>
      <c r="X336" s="642">
        <f t="shared" si="37"/>
        <v>1000000000.0</v>
      </c>
      <c r="Y336" s="642">
        <f t="shared" si="37"/>
        <v>1000000000.0</v>
      </c>
      <c r="Z336" s="642">
        <f t="shared" si="37"/>
        <v>1000000000.0</v>
      </c>
      <c r="AA336" s="642">
        <f t="shared" si="37"/>
        <v>1000000000.0</v>
      </c>
      <c r="AB336" s="642">
        <f t="shared" si="37"/>
        <v>1000000000.0</v>
      </c>
      <c r="AC336" s="642">
        <f t="shared" si="37"/>
        <v>1000000000.0</v>
      </c>
      <c r="AD336" s="642">
        <f t="shared" si="37"/>
        <v>1000000000.0</v>
      </c>
      <c r="AE336" s="642">
        <f t="shared" si="37"/>
        <v>1000000000.0</v>
      </c>
      <c r="AF336" s="642">
        <f t="shared" si="37"/>
        <v>1000000000.0</v>
      </c>
      <c r="AG336" s="642">
        <f t="shared" si="37"/>
        <v>1000000000.0</v>
      </c>
      <c r="AH336" s="642">
        <f t="shared" si="38"/>
        <v>1000000000.0</v>
      </c>
      <c r="AI336" s="642">
        <f t="shared" si="38"/>
        <v>1000000000.0</v>
      </c>
      <c r="AJ336" s="642">
        <f t="shared" si="38"/>
        <v>1000000000.0</v>
      </c>
      <c r="AK336" s="642">
        <f t="shared" si="38"/>
        <v>1000000000.0</v>
      </c>
      <c r="AL336" s="642">
        <f t="shared" si="38"/>
        <v>1000000000.0</v>
      </c>
      <c r="AM336" s="642">
        <f t="shared" si="38"/>
        <v>1000000000.0</v>
      </c>
      <c r="AN336" s="642">
        <f t="shared" si="38"/>
        <v>1000000000.0</v>
      </c>
      <c r="AO336" s="642">
        <f t="shared" si="38"/>
        <v>1000000000.0</v>
      </c>
      <c r="AP336" s="642">
        <f t="shared" si="38"/>
        <v>1000000000.0</v>
      </c>
      <c r="AQ336" s="642">
        <f t="shared" si="38"/>
        <v>1000000000.0</v>
      </c>
      <c r="AR336" s="642">
        <f t="shared" si="39"/>
        <v>1000000000.0</v>
      </c>
      <c r="AS336" s="642">
        <f t="shared" si="39"/>
        <v>1000000000.0</v>
      </c>
      <c r="AT336" s="642">
        <f t="shared" si="39"/>
        <v>1000000000.0</v>
      </c>
      <c r="AU336" s="642">
        <f t="shared" si="39"/>
        <v>1000000000.0</v>
      </c>
      <c r="AV336" s="642">
        <f t="shared" si="39"/>
        <v>1000000000.0</v>
      </c>
      <c r="AW336" s="642">
        <f t="shared" si="39"/>
        <v>1000000000.0</v>
      </c>
      <c r="AX336" s="642">
        <f t="shared" si="39"/>
        <v>1000000000.0</v>
      </c>
      <c r="AY336" s="642">
        <f t="shared" si="39"/>
        <v>1000000000.0</v>
      </c>
      <c r="AZ336" s="642">
        <f t="shared" si="39"/>
        <v>1000000000.0</v>
      </c>
      <c r="BA336" s="642">
        <f t="shared" si="39"/>
        <v>1000000000.0</v>
      </c>
      <c r="BB336" s="642">
        <f t="shared" si="40"/>
        <v>1000000000.0</v>
      </c>
      <c r="BC336" s="642">
        <f t="shared" si="40"/>
        <v>1000000000.0</v>
      </c>
      <c r="BD336" s="642">
        <f t="shared" si="40"/>
        <v>1000000000.0</v>
      </c>
      <c r="BE336" s="642">
        <f t="shared" si="40"/>
        <v>1000000000.0</v>
      </c>
      <c r="BF336" s="642">
        <f t="shared" si="40"/>
        <v>1000000000.0</v>
      </c>
      <c r="BG336" s="642">
        <f t="shared" si="40"/>
        <v>1000000000.0</v>
      </c>
      <c r="BH336" s="642">
        <f t="shared" si="40"/>
        <v>1000000000.0</v>
      </c>
      <c r="BI336" s="642">
        <f t="shared" si="40"/>
        <v>1000000000.0</v>
      </c>
      <c r="BJ336" s="642">
        <f t="shared" si="40"/>
        <v>1000000000.0</v>
      </c>
      <c r="BK336" s="642">
        <f t="shared" ca="1" si="40"/>
        <v>181.23213015215688</v>
      </c>
      <c r="BL336" s="642">
        <f t="shared" ca="1" si="41"/>
        <v>181.23213015215688</v>
      </c>
      <c r="BM336" s="642">
        <f t="shared" ca="1" si="41"/>
        <v>181.23213015215688</v>
      </c>
      <c r="BN336" s="642">
        <f t="shared" ca="1" si="41"/>
        <v>181.23213015215688</v>
      </c>
      <c r="BO336" s="642">
        <f t="shared" ca="1" si="41"/>
        <v>181.2321301521569</v>
      </c>
      <c r="BP336" s="642">
        <f t="shared" ca="1" si="41"/>
        <v>181.2321301521569</v>
      </c>
      <c r="BQ336" s="642">
        <f t="shared" ca="1" si="41"/>
        <v>181.23213015215688</v>
      </c>
      <c r="BR336" s="642">
        <f t="shared" ca="1" si="41"/>
        <v>181.23213015215688</v>
      </c>
      <c r="BS336" s="642">
        <f t="shared" ca="1" si="41"/>
        <v>181.23213015215686</v>
      </c>
      <c r="BT336" s="642">
        <f t="shared" ca="1" si="41"/>
        <v>181.23213015215688</v>
      </c>
      <c r="BU336" s="642">
        <f t="shared" ca="1" si="41"/>
        <v>181.23213015215688</v>
      </c>
      <c r="BV336" s="642">
        <f t="shared" ca="1" si="42"/>
        <v>181.2321301521569</v>
      </c>
      <c r="BW336" s="642">
        <f t="shared" ca="1" si="42"/>
        <v>181.23213015215688</v>
      </c>
      <c r="BX336" s="642">
        <f t="shared" ca="1" si="42"/>
        <v>181.23213015215688</v>
      </c>
      <c r="BY336" s="642">
        <f t="shared" ca="1" si="42"/>
        <v>181.23213015215688</v>
      </c>
      <c r="BZ336" s="642">
        <f t="shared" ca="1" si="42"/>
        <v>181.2321301521569</v>
      </c>
      <c r="CA336" s="642">
        <f t="shared" ca="1" si="42"/>
        <v>181.23213015215688</v>
      </c>
      <c r="CB336" s="642">
        <f t="shared" ca="1" si="42"/>
        <v>181.23213015215688</v>
      </c>
      <c r="CC336" s="642">
        <f t="shared" ca="1" si="42"/>
        <v>181.2321301521569</v>
      </c>
      <c r="CD336" s="642">
        <f t="shared" ca="1" si="42"/>
        <v>181.23213015215688</v>
      </c>
      <c r="CE336" s="642">
        <f t="shared" ca="1" si="42"/>
        <v>181.2321301521569</v>
      </c>
      <c r="CF336" s="642">
        <f t="shared" ca="1" si="43"/>
        <v>181.23213015215688</v>
      </c>
      <c r="CG336" s="642">
        <f t="shared" ca="1" si="43"/>
        <v>181.2321301521569</v>
      </c>
      <c r="CH336" s="642">
        <f t="shared" ca="1" si="43"/>
        <v>181.23213015215688</v>
      </c>
      <c r="CI336" s="642">
        <f t="shared" ca="1" si="43"/>
        <v>181.23213015215688</v>
      </c>
      <c r="CJ336" s="642">
        <f t="shared" ca="1" si="43"/>
        <v>181.23213015215688</v>
      </c>
      <c r="CK336" s="642">
        <f t="shared" ca="1" si="43"/>
        <v>181.23213015215688</v>
      </c>
      <c r="CL336" s="642">
        <f t="shared" ca="1" si="43"/>
        <v>181.2321301521569</v>
      </c>
      <c r="CM336" s="642">
        <f t="shared" ca="1" si="43"/>
        <v>181.23213015215688</v>
      </c>
      <c r="CN336" s="642">
        <f t="shared" ca="1" si="46"/>
        <v>181.23213015215686</v>
      </c>
      <c r="CO336" s="642">
        <f>2*$AD$61*MAX(0,$J$58+I336-$J$64)+IF(L336&lt;$J$38,1000000,0)</f>
        <v>96.05570305882352</v>
      </c>
      <c r="CP336" s="642">
        <f>2*IF($J$175&gt;0,IF($J$392/MIN($J$175,K336)&gt;$M$5*VLOOKUP($L$5,Taxas!$V$22:$W$30,2)/L336,$J$391/MIN($J$175,K336),$J$389/L336),$J$389/L336)</f>
        <v>0.3828154026666668</v>
      </c>
    </row>
    <row r="337" spans="9:94" hidden="1" x14ac:dyDescent="0.25">
      <c r="I337" s="642">
        <f>MIN(5*35,$J$57/2)</f>
        <v>175.0</v>
      </c>
      <c r="J337" s="646">
        <f t="shared" ca="1" si="44"/>
        <v>0.06668562677929968</v>
      </c>
      <c r="K337" s="642">
        <f t="shared" ca="1" si="45"/>
        <v>30.0</v>
      </c>
      <c r="L337" s="642">
        <f ca="1">MIN(ROUNDDOWN($M$5*VLOOKUP($L$5,Taxas!$V$22:$W$30,2)/J337*2,0)/2,K337)</f>
        <v>23.5</v>
      </c>
      <c r="M337" s="642">
        <f ca="1">MIN(ROUNDDOWN($M$6*VLOOKUP($L$6,Taxas!$V$22:$W$30,2)/J337*2,0)/2,K337)</f>
        <v>23.5</v>
      </c>
      <c r="N337" s="642">
        <f t="shared" si="36"/>
        <v>1000000000.0</v>
      </c>
      <c r="O337" s="642">
        <f t="shared" si="36"/>
        <v>1000000000.0</v>
      </c>
      <c r="P337" s="642">
        <f t="shared" si="36"/>
        <v>1000000000.0</v>
      </c>
      <c r="Q337" s="642">
        <f t="shared" si="36"/>
        <v>1000000000.0</v>
      </c>
      <c r="R337" s="642">
        <f t="shared" si="36"/>
        <v>1000000000.0</v>
      </c>
      <c r="S337" s="642">
        <f t="shared" si="36"/>
        <v>1000000000.0</v>
      </c>
      <c r="T337" s="642">
        <f t="shared" si="36"/>
        <v>1000000000.0</v>
      </c>
      <c r="U337" s="642">
        <f t="shared" si="36"/>
        <v>1000000000.0</v>
      </c>
      <c r="V337" s="642">
        <f t="shared" si="36"/>
        <v>1000000000.0</v>
      </c>
      <c r="W337" s="642">
        <f t="shared" si="36"/>
        <v>1000000000.0</v>
      </c>
      <c r="X337" s="642">
        <f t="shared" si="37"/>
        <v>1000000000.0</v>
      </c>
      <c r="Y337" s="642">
        <f t="shared" si="37"/>
        <v>1000000000.0</v>
      </c>
      <c r="Z337" s="642">
        <f t="shared" si="37"/>
        <v>1000000000.0</v>
      </c>
      <c r="AA337" s="642">
        <f t="shared" si="37"/>
        <v>1000000000.0</v>
      </c>
      <c r="AB337" s="642">
        <f t="shared" si="37"/>
        <v>1000000000.0</v>
      </c>
      <c r="AC337" s="642">
        <f t="shared" si="37"/>
        <v>1000000000.0</v>
      </c>
      <c r="AD337" s="642">
        <f t="shared" si="37"/>
        <v>1000000000.0</v>
      </c>
      <c r="AE337" s="642">
        <f t="shared" si="37"/>
        <v>1000000000.0</v>
      </c>
      <c r="AF337" s="642">
        <f t="shared" si="37"/>
        <v>1000000000.0</v>
      </c>
      <c r="AG337" s="642">
        <f t="shared" si="37"/>
        <v>1000000000.0</v>
      </c>
      <c r="AH337" s="642">
        <f t="shared" si="38"/>
        <v>1000000000.0</v>
      </c>
      <c r="AI337" s="642">
        <f t="shared" si="38"/>
        <v>1000000000.0</v>
      </c>
      <c r="AJ337" s="642">
        <f t="shared" si="38"/>
        <v>1000000000.0</v>
      </c>
      <c r="AK337" s="642">
        <f t="shared" si="38"/>
        <v>1000000000.0</v>
      </c>
      <c r="AL337" s="642">
        <f t="shared" si="38"/>
        <v>1000000000.0</v>
      </c>
      <c r="AM337" s="642">
        <f t="shared" si="38"/>
        <v>1000000000.0</v>
      </c>
      <c r="AN337" s="642">
        <f t="shared" si="38"/>
        <v>1000000000.0</v>
      </c>
      <c r="AO337" s="642">
        <f t="shared" si="38"/>
        <v>1000000000.0</v>
      </c>
      <c r="AP337" s="642">
        <f t="shared" si="38"/>
        <v>1000000000.0</v>
      </c>
      <c r="AQ337" s="642">
        <f t="shared" si="38"/>
        <v>1000000000.0</v>
      </c>
      <c r="AR337" s="642">
        <f t="shared" si="39"/>
        <v>1000000000.0</v>
      </c>
      <c r="AS337" s="642">
        <f t="shared" si="39"/>
        <v>1000000000.0</v>
      </c>
      <c r="AT337" s="642">
        <f t="shared" si="39"/>
        <v>1000000000.0</v>
      </c>
      <c r="AU337" s="642">
        <f t="shared" si="39"/>
        <v>1000000000.0</v>
      </c>
      <c r="AV337" s="642">
        <f t="shared" si="39"/>
        <v>1000000000.0</v>
      </c>
      <c r="AW337" s="642">
        <f t="shared" si="39"/>
        <v>1000000000.0</v>
      </c>
      <c r="AX337" s="642">
        <f t="shared" si="39"/>
        <v>1000000000.0</v>
      </c>
      <c r="AY337" s="642">
        <f t="shared" si="39"/>
        <v>1000000000.0</v>
      </c>
      <c r="AZ337" s="642">
        <f t="shared" si="39"/>
        <v>1000000000.0</v>
      </c>
      <c r="BA337" s="642">
        <f t="shared" si="39"/>
        <v>1000000000.0</v>
      </c>
      <c r="BB337" s="642">
        <f t="shared" si="40"/>
        <v>1000000000.0</v>
      </c>
      <c r="BC337" s="642">
        <f t="shared" si="40"/>
        <v>1000000000.0</v>
      </c>
      <c r="BD337" s="642">
        <f t="shared" si="40"/>
        <v>1000000000.0</v>
      </c>
      <c r="BE337" s="642">
        <f t="shared" si="40"/>
        <v>1000000000.0</v>
      </c>
      <c r="BF337" s="642">
        <f t="shared" si="40"/>
        <v>1000000000.0</v>
      </c>
      <c r="BG337" s="642">
        <f t="shared" si="40"/>
        <v>1000000000.0</v>
      </c>
      <c r="BH337" s="642">
        <f t="shared" si="40"/>
        <v>1000000000.0</v>
      </c>
      <c r="BI337" s="642">
        <f t="shared" si="40"/>
        <v>1000000000.0</v>
      </c>
      <c r="BJ337" s="642">
        <f t="shared" si="40"/>
        <v>1000000000.0</v>
      </c>
      <c r="BK337" s="642">
        <f t="shared" si="40"/>
        <v>1000000000.0</v>
      </c>
      <c r="BL337" s="642">
        <f t="shared" ca="1" si="41"/>
        <v>181.95694608000002</v>
      </c>
      <c r="BM337" s="642">
        <f t="shared" ca="1" si="41"/>
        <v>181.95694608000005</v>
      </c>
      <c r="BN337" s="642">
        <f t="shared" ca="1" si="41"/>
        <v>181.95694608000005</v>
      </c>
      <c r="BO337" s="642">
        <f t="shared" ca="1" si="41"/>
        <v>181.95694608000002</v>
      </c>
      <c r="BP337" s="642">
        <f t="shared" ca="1" si="41"/>
        <v>181.95694608000002</v>
      </c>
      <c r="BQ337" s="642">
        <f t="shared" ca="1" si="41"/>
        <v>181.95694608000005</v>
      </c>
      <c r="BR337" s="642">
        <f t="shared" ca="1" si="41"/>
        <v>181.95694608000002</v>
      </c>
      <c r="BS337" s="642">
        <f t="shared" ca="1" si="41"/>
        <v>181.95694608000002</v>
      </c>
      <c r="BT337" s="642">
        <f t="shared" ca="1" si="41"/>
        <v>181.95694608000002</v>
      </c>
      <c r="BU337" s="642">
        <f t="shared" ca="1" si="41"/>
        <v>181.95694608000005</v>
      </c>
      <c r="BV337" s="642">
        <f t="shared" ca="1" si="42"/>
        <v>181.95694608000002</v>
      </c>
      <c r="BW337" s="642">
        <f t="shared" ca="1" si="42"/>
        <v>181.95694608000002</v>
      </c>
      <c r="BX337" s="642">
        <f t="shared" ca="1" si="42"/>
        <v>181.95694608000005</v>
      </c>
      <c r="BY337" s="642">
        <f t="shared" ca="1" si="42"/>
        <v>181.95694608000002</v>
      </c>
      <c r="BZ337" s="642">
        <f t="shared" ca="1" si="42"/>
        <v>181.95694608000002</v>
      </c>
      <c r="CA337" s="642">
        <f t="shared" ca="1" si="42"/>
        <v>181.95694608000002</v>
      </c>
      <c r="CB337" s="642">
        <f t="shared" ca="1" si="42"/>
        <v>181.95694608000002</v>
      </c>
      <c r="CC337" s="642">
        <f t="shared" ca="1" si="42"/>
        <v>181.95694608000002</v>
      </c>
      <c r="CD337" s="642">
        <f t="shared" ca="1" si="42"/>
        <v>181.95694608000002</v>
      </c>
      <c r="CE337" s="642">
        <f t="shared" ca="1" si="42"/>
        <v>181.95694608000002</v>
      </c>
      <c r="CF337" s="642">
        <f t="shared" ca="1" si="43"/>
        <v>181.95694608000002</v>
      </c>
      <c r="CG337" s="642">
        <f t="shared" ca="1" si="43"/>
        <v>181.95694608000002</v>
      </c>
      <c r="CH337" s="642">
        <f t="shared" ca="1" si="43"/>
        <v>181.95694608000002</v>
      </c>
      <c r="CI337" s="642">
        <f t="shared" ca="1" si="43"/>
        <v>181.95694608000002</v>
      </c>
      <c r="CJ337" s="642">
        <f t="shared" ca="1" si="43"/>
        <v>181.95694608000002</v>
      </c>
      <c r="CK337" s="642">
        <f t="shared" ca="1" si="43"/>
        <v>181.95694608000002</v>
      </c>
      <c r="CL337" s="642">
        <f t="shared" ca="1" si="43"/>
        <v>181.95694608000002</v>
      </c>
      <c r="CM337" s="642">
        <f t="shared" ca="1" si="43"/>
        <v>181.95694608000002</v>
      </c>
      <c r="CN337" s="642">
        <f t="shared" ca="1" si="46"/>
        <v>181.95694608000002</v>
      </c>
      <c r="CO337" s="642">
        <f>2*$AD$61*MAX(0,$J$58+I337-$J$64)+IF(L337&lt;$J$38,1000000,0)</f>
        <v>98.694596</v>
      </c>
      <c r="CP337" s="642">
        <f>2*IF($J$175&gt;0,IF($J$392/MIN($J$175,K337)&gt;$M$5*VLOOKUP($L$5,Taxas!$V$22:$W$30,2)/L337,$J$391/MIN($J$175,K337),$J$389/L337),$J$389/L337)</f>
        <v>0.3828154026666668</v>
      </c>
    </row>
    <row r="338" spans="9:94" hidden="1" x14ac:dyDescent="0.25">
      <c r="I338" s="642">
        <f>MIN(5*36,$J$57/2)</f>
        <v>180.0</v>
      </c>
      <c r="J338" s="646">
        <f t="shared" ca="1" si="44"/>
        <v>0.062491248030925234</v>
      </c>
      <c r="K338" s="642">
        <f t="shared" ca="1" si="45"/>
        <v>30.0</v>
      </c>
      <c r="L338" s="642">
        <f ca="1">MIN(ROUNDDOWN($M$5*VLOOKUP($L$5,Taxas!$V$22:$W$30,2)/J338*2,0)/2,K338)</f>
        <v>25.0</v>
      </c>
      <c r="M338" s="642">
        <f ca="1">MIN(ROUNDDOWN($M$6*VLOOKUP($L$6,Taxas!$V$22:$W$30,2)/J338*2,0)/2,K338)</f>
        <v>25.0</v>
      </c>
      <c r="N338" s="642">
        <f t="shared" si="36"/>
        <v>1000000000.0</v>
      </c>
      <c r="O338" s="642">
        <f t="shared" si="36"/>
        <v>1000000000.0</v>
      </c>
      <c r="P338" s="642">
        <f t="shared" si="36"/>
        <v>1000000000.0</v>
      </c>
      <c r="Q338" s="642">
        <f t="shared" si="36"/>
        <v>1000000000.0</v>
      </c>
      <c r="R338" s="642">
        <f t="shared" si="36"/>
        <v>1000000000.0</v>
      </c>
      <c r="S338" s="642">
        <f t="shared" si="36"/>
        <v>1000000000.0</v>
      </c>
      <c r="T338" s="642">
        <f t="shared" si="36"/>
        <v>1000000000.0</v>
      </c>
      <c r="U338" s="642">
        <f t="shared" si="36"/>
        <v>1000000000.0</v>
      </c>
      <c r="V338" s="642">
        <f t="shared" si="36"/>
        <v>1000000000.0</v>
      </c>
      <c r="W338" s="642">
        <f t="shared" si="36"/>
        <v>1000000000.0</v>
      </c>
      <c r="X338" s="642">
        <f t="shared" si="37"/>
        <v>1000000000.0</v>
      </c>
      <c r="Y338" s="642">
        <f t="shared" si="37"/>
        <v>1000000000.0</v>
      </c>
      <c r="Z338" s="642">
        <f t="shared" si="37"/>
        <v>1000000000.0</v>
      </c>
      <c r="AA338" s="642">
        <f t="shared" si="37"/>
        <v>1000000000.0</v>
      </c>
      <c r="AB338" s="642">
        <f t="shared" si="37"/>
        <v>1000000000.0</v>
      </c>
      <c r="AC338" s="642">
        <f t="shared" si="37"/>
        <v>1000000000.0</v>
      </c>
      <c r="AD338" s="642">
        <f t="shared" si="37"/>
        <v>1000000000.0</v>
      </c>
      <c r="AE338" s="642">
        <f t="shared" si="37"/>
        <v>1000000000.0</v>
      </c>
      <c r="AF338" s="642">
        <f t="shared" si="37"/>
        <v>1000000000.0</v>
      </c>
      <c r="AG338" s="642">
        <f t="shared" si="37"/>
        <v>1000000000.0</v>
      </c>
      <c r="AH338" s="642">
        <f t="shared" si="38"/>
        <v>1000000000.0</v>
      </c>
      <c r="AI338" s="642">
        <f t="shared" si="38"/>
        <v>1000000000.0</v>
      </c>
      <c r="AJ338" s="642">
        <f t="shared" si="38"/>
        <v>1000000000.0</v>
      </c>
      <c r="AK338" s="642">
        <f t="shared" si="38"/>
        <v>1000000000.0</v>
      </c>
      <c r="AL338" s="642">
        <f t="shared" si="38"/>
        <v>1000000000.0</v>
      </c>
      <c r="AM338" s="642">
        <f t="shared" si="38"/>
        <v>1000000000.0</v>
      </c>
      <c r="AN338" s="642">
        <f t="shared" si="38"/>
        <v>1000000000.0</v>
      </c>
      <c r="AO338" s="642">
        <f t="shared" si="38"/>
        <v>1000000000.0</v>
      </c>
      <c r="AP338" s="642">
        <f t="shared" si="38"/>
        <v>1000000000.0</v>
      </c>
      <c r="AQ338" s="642">
        <f t="shared" si="38"/>
        <v>1000000000.0</v>
      </c>
      <c r="AR338" s="642">
        <f t="shared" si="39"/>
        <v>1000000000.0</v>
      </c>
      <c r="AS338" s="642">
        <f t="shared" si="39"/>
        <v>1000000000.0</v>
      </c>
      <c r="AT338" s="642">
        <f t="shared" si="39"/>
        <v>1000000000.0</v>
      </c>
      <c r="AU338" s="642">
        <f t="shared" si="39"/>
        <v>1000000000.0</v>
      </c>
      <c r="AV338" s="642">
        <f t="shared" si="39"/>
        <v>1000000000.0</v>
      </c>
      <c r="AW338" s="642">
        <f t="shared" si="39"/>
        <v>1000000000.0</v>
      </c>
      <c r="AX338" s="642">
        <f t="shared" si="39"/>
        <v>1000000000.0</v>
      </c>
      <c r="AY338" s="642">
        <f t="shared" si="39"/>
        <v>1000000000.0</v>
      </c>
      <c r="AZ338" s="642">
        <f t="shared" si="39"/>
        <v>1000000000.0</v>
      </c>
      <c r="BA338" s="642">
        <f t="shared" si="39"/>
        <v>1000000000.0</v>
      </c>
      <c r="BB338" s="642">
        <f t="shared" si="40"/>
        <v>1000000000.0</v>
      </c>
      <c r="BC338" s="642">
        <f t="shared" si="40"/>
        <v>1000000000.0</v>
      </c>
      <c r="BD338" s="642">
        <f t="shared" si="40"/>
        <v>1000000000.0</v>
      </c>
      <c r="BE338" s="642">
        <f t="shared" si="40"/>
        <v>1000000000.0</v>
      </c>
      <c r="BF338" s="642">
        <f t="shared" si="40"/>
        <v>1000000000.0</v>
      </c>
      <c r="BG338" s="642">
        <f t="shared" si="40"/>
        <v>1000000000.0</v>
      </c>
      <c r="BH338" s="642">
        <f t="shared" si="40"/>
        <v>1000000000.0</v>
      </c>
      <c r="BI338" s="642">
        <f t="shared" si="40"/>
        <v>1000000000.0</v>
      </c>
      <c r="BJ338" s="642">
        <f t="shared" si="40"/>
        <v>1000000000.0</v>
      </c>
      <c r="BK338" s="642">
        <f t="shared" si="40"/>
        <v>1000000000.0</v>
      </c>
      <c r="BL338" s="642">
        <f t="shared" si="41"/>
        <v>1000000000.0</v>
      </c>
      <c r="BM338" s="642">
        <f t="shared" ca="1" si="41"/>
        <v>182.68176200784316</v>
      </c>
      <c r="BN338" s="642">
        <f t="shared" ca="1" si="41"/>
        <v>182.68176200784316</v>
      </c>
      <c r="BO338" s="642">
        <f t="shared" ca="1" si="41"/>
        <v>182.68176200784316</v>
      </c>
      <c r="BP338" s="642">
        <f t="shared" ca="1" si="41"/>
        <v>182.68176200784316</v>
      </c>
      <c r="BQ338" s="642">
        <f t="shared" ca="1" si="41"/>
        <v>182.6817620078432</v>
      </c>
      <c r="BR338" s="642">
        <f t="shared" ca="1" si="41"/>
        <v>182.6817620078432</v>
      </c>
      <c r="BS338" s="642">
        <f t="shared" ca="1" si="41"/>
        <v>182.68176200784316</v>
      </c>
      <c r="BT338" s="642">
        <f t="shared" ca="1" si="41"/>
        <v>182.68176200784316</v>
      </c>
      <c r="BU338" s="642">
        <f t="shared" ca="1" si="41"/>
        <v>182.68176200784313</v>
      </c>
      <c r="BV338" s="642">
        <f t="shared" ca="1" si="42"/>
        <v>182.68176200784316</v>
      </c>
      <c r="BW338" s="642">
        <f t="shared" ca="1" si="42"/>
        <v>182.68176200784316</v>
      </c>
      <c r="BX338" s="642">
        <f t="shared" ca="1" si="42"/>
        <v>182.6817620078432</v>
      </c>
      <c r="BY338" s="642">
        <f t="shared" ca="1" si="42"/>
        <v>182.6817620078432</v>
      </c>
      <c r="BZ338" s="642">
        <f t="shared" ca="1" si="42"/>
        <v>182.68176200784316</v>
      </c>
      <c r="CA338" s="642">
        <f t="shared" ca="1" si="42"/>
        <v>182.68176200784316</v>
      </c>
      <c r="CB338" s="642">
        <f t="shared" ca="1" si="42"/>
        <v>182.68176200784316</v>
      </c>
      <c r="CC338" s="642">
        <f t="shared" ca="1" si="42"/>
        <v>182.68176200784316</v>
      </c>
      <c r="CD338" s="642">
        <f t="shared" ca="1" si="42"/>
        <v>182.68176200784316</v>
      </c>
      <c r="CE338" s="642">
        <f t="shared" ca="1" si="42"/>
        <v>182.6817620078432</v>
      </c>
      <c r="CF338" s="642">
        <f t="shared" ca="1" si="43"/>
        <v>182.68176200784316</v>
      </c>
      <c r="CG338" s="642">
        <f t="shared" ca="1" si="43"/>
        <v>182.68176200784316</v>
      </c>
      <c r="CH338" s="642">
        <f t="shared" ca="1" si="43"/>
        <v>182.68176200784316</v>
      </c>
      <c r="CI338" s="642">
        <f t="shared" ca="1" si="43"/>
        <v>182.6817620078432</v>
      </c>
      <c r="CJ338" s="642">
        <f t="shared" ca="1" si="43"/>
        <v>182.68176200784316</v>
      </c>
      <c r="CK338" s="642">
        <f t="shared" ca="1" si="43"/>
        <v>182.68176200784316</v>
      </c>
      <c r="CL338" s="642">
        <f t="shared" ca="1" si="43"/>
        <v>182.68176200784316</v>
      </c>
      <c r="CM338" s="642">
        <f t="shared" ca="1" si="43"/>
        <v>182.68176200784316</v>
      </c>
      <c r="CN338" s="642">
        <f t="shared" ca="1" si="46"/>
        <v>182.68176200784313</v>
      </c>
      <c r="CO338" s="642">
        <f>2*$AD$61*MAX(0,$J$58+I338-$J$64)+IF(L338&lt;$J$38,1000000,0)</f>
        <v>101.33348894117647</v>
      </c>
      <c r="CP338" s="642">
        <f>2*IF($J$175&gt;0,IF($J$392/MIN($J$175,K338)&gt;$M$5*VLOOKUP($L$5,Taxas!$V$22:$W$30,2)/L338,$J$391/MIN($J$175,K338),$J$389/L338),$J$389/L338)</f>
        <v>0.3828154026666668</v>
      </c>
    </row>
    <row r="339" spans="9:94" hidden="1" x14ac:dyDescent="0.25">
      <c r="I339" s="642">
        <f>MIN(5*37,$J$57/2)</f>
        <v>185.0</v>
      </c>
      <c r="J339" s="646">
        <f t="shared" ca="1" si="44"/>
        <v>0.05829686928255079</v>
      </c>
      <c r="K339" s="642">
        <f t="shared" ca="1" si="45"/>
        <v>30.0</v>
      </c>
      <c r="L339" s="642">
        <f ca="1">MIN(ROUNDDOWN($M$5*VLOOKUP($L$5,Taxas!$V$22:$W$30,2)/J339*2,0)/2,K339)</f>
        <v>26.5</v>
      </c>
      <c r="M339" s="642">
        <f ca="1">MIN(ROUNDDOWN($M$6*VLOOKUP($L$6,Taxas!$V$22:$W$30,2)/J339*2,0)/2,K339)</f>
        <v>26.5</v>
      </c>
      <c r="N339" s="642">
        <f t="shared" si="36"/>
        <v>1000000000.0</v>
      </c>
      <c r="O339" s="642">
        <f t="shared" si="36"/>
        <v>1000000000.0</v>
      </c>
      <c r="P339" s="642">
        <f t="shared" si="36"/>
        <v>1000000000.0</v>
      </c>
      <c r="Q339" s="642">
        <f t="shared" si="36"/>
        <v>1000000000.0</v>
      </c>
      <c r="R339" s="642">
        <f t="shared" si="36"/>
        <v>1000000000.0</v>
      </c>
      <c r="S339" s="642">
        <f t="shared" si="36"/>
        <v>1000000000.0</v>
      </c>
      <c r="T339" s="642">
        <f t="shared" si="36"/>
        <v>1000000000.0</v>
      </c>
      <c r="U339" s="642">
        <f t="shared" si="36"/>
        <v>1000000000.0</v>
      </c>
      <c r="V339" s="642">
        <f t="shared" si="36"/>
        <v>1000000000.0</v>
      </c>
      <c r="W339" s="642">
        <f t="shared" si="36"/>
        <v>1000000000.0</v>
      </c>
      <c r="X339" s="642">
        <f t="shared" si="37"/>
        <v>1000000000.0</v>
      </c>
      <c r="Y339" s="642">
        <f t="shared" si="37"/>
        <v>1000000000.0</v>
      </c>
      <c r="Z339" s="642">
        <f t="shared" si="37"/>
        <v>1000000000.0</v>
      </c>
      <c r="AA339" s="642">
        <f t="shared" si="37"/>
        <v>1000000000.0</v>
      </c>
      <c r="AB339" s="642">
        <f t="shared" si="37"/>
        <v>1000000000.0</v>
      </c>
      <c r="AC339" s="642">
        <f t="shared" si="37"/>
        <v>1000000000.0</v>
      </c>
      <c r="AD339" s="642">
        <f t="shared" si="37"/>
        <v>1000000000.0</v>
      </c>
      <c r="AE339" s="642">
        <f t="shared" si="37"/>
        <v>1000000000.0</v>
      </c>
      <c r="AF339" s="642">
        <f t="shared" si="37"/>
        <v>1000000000.0</v>
      </c>
      <c r="AG339" s="642">
        <f t="shared" si="37"/>
        <v>1000000000.0</v>
      </c>
      <c r="AH339" s="642">
        <f t="shared" si="38"/>
        <v>1000000000.0</v>
      </c>
      <c r="AI339" s="642">
        <f t="shared" si="38"/>
        <v>1000000000.0</v>
      </c>
      <c r="AJ339" s="642">
        <f t="shared" si="38"/>
        <v>1000000000.0</v>
      </c>
      <c r="AK339" s="642">
        <f t="shared" si="38"/>
        <v>1000000000.0</v>
      </c>
      <c r="AL339" s="642">
        <f t="shared" si="38"/>
        <v>1000000000.0</v>
      </c>
      <c r="AM339" s="642">
        <f t="shared" si="38"/>
        <v>1000000000.0</v>
      </c>
      <c r="AN339" s="642">
        <f t="shared" si="38"/>
        <v>1000000000.0</v>
      </c>
      <c r="AO339" s="642">
        <f t="shared" si="38"/>
        <v>1000000000.0</v>
      </c>
      <c r="AP339" s="642">
        <f t="shared" si="38"/>
        <v>1000000000.0</v>
      </c>
      <c r="AQ339" s="642">
        <f t="shared" si="38"/>
        <v>1000000000.0</v>
      </c>
      <c r="AR339" s="642">
        <f t="shared" si="39"/>
        <v>1000000000.0</v>
      </c>
      <c r="AS339" s="642">
        <f t="shared" si="39"/>
        <v>1000000000.0</v>
      </c>
      <c r="AT339" s="642">
        <f t="shared" si="39"/>
        <v>1000000000.0</v>
      </c>
      <c r="AU339" s="642">
        <f t="shared" si="39"/>
        <v>1000000000.0</v>
      </c>
      <c r="AV339" s="642">
        <f t="shared" si="39"/>
        <v>1000000000.0</v>
      </c>
      <c r="AW339" s="642">
        <f t="shared" si="39"/>
        <v>1000000000.0</v>
      </c>
      <c r="AX339" s="642">
        <f t="shared" si="39"/>
        <v>1000000000.0</v>
      </c>
      <c r="AY339" s="642">
        <f t="shared" si="39"/>
        <v>1000000000.0</v>
      </c>
      <c r="AZ339" s="642">
        <f t="shared" si="39"/>
        <v>1000000000.0</v>
      </c>
      <c r="BA339" s="642">
        <f t="shared" si="39"/>
        <v>1000000000.0</v>
      </c>
      <c r="BB339" s="642">
        <f t="shared" si="40"/>
        <v>1000000000.0</v>
      </c>
      <c r="BC339" s="642">
        <f t="shared" si="40"/>
        <v>1000000000.0</v>
      </c>
      <c r="BD339" s="642">
        <f t="shared" si="40"/>
        <v>1000000000.0</v>
      </c>
      <c r="BE339" s="642">
        <f t="shared" si="40"/>
        <v>1000000000.0</v>
      </c>
      <c r="BF339" s="642">
        <f t="shared" si="40"/>
        <v>1000000000.0</v>
      </c>
      <c r="BG339" s="642">
        <f t="shared" si="40"/>
        <v>1000000000.0</v>
      </c>
      <c r="BH339" s="642">
        <f t="shared" si="40"/>
        <v>1000000000.0</v>
      </c>
      <c r="BI339" s="642">
        <f t="shared" si="40"/>
        <v>1000000000.0</v>
      </c>
      <c r="BJ339" s="642">
        <f t="shared" si="40"/>
        <v>1000000000.0</v>
      </c>
      <c r="BK339" s="642">
        <f t="shared" si="40"/>
        <v>1000000000.0</v>
      </c>
      <c r="BL339" s="642">
        <f t="shared" si="41"/>
        <v>1000000000.0</v>
      </c>
      <c r="BM339" s="642">
        <f t="shared" si="41"/>
        <v>1000000000.0</v>
      </c>
      <c r="BN339" s="642">
        <f t="shared" ca="1" si="41"/>
        <v>183.4065779356863</v>
      </c>
      <c r="BO339" s="642">
        <f t="shared" ca="1" si="41"/>
        <v>183.4065779356863</v>
      </c>
      <c r="BP339" s="642">
        <f t="shared" ca="1" si="41"/>
        <v>183.4065779356863</v>
      </c>
      <c r="BQ339" s="642">
        <f t="shared" ca="1" si="41"/>
        <v>183.4065779356863</v>
      </c>
      <c r="BR339" s="642">
        <f t="shared" ca="1" si="41"/>
        <v>183.4065779356863</v>
      </c>
      <c r="BS339" s="642">
        <f t="shared" ca="1" si="41"/>
        <v>183.4065779356863</v>
      </c>
      <c r="BT339" s="642">
        <f t="shared" ca="1" si="41"/>
        <v>183.4065779356863</v>
      </c>
      <c r="BU339" s="642">
        <f t="shared" ca="1" si="41"/>
        <v>183.4065779356863</v>
      </c>
      <c r="BV339" s="642">
        <f t="shared" ca="1" si="42"/>
        <v>183.4065779356863</v>
      </c>
      <c r="BW339" s="642">
        <f t="shared" ca="1" si="42"/>
        <v>183.4065779356863</v>
      </c>
      <c r="BX339" s="642">
        <f t="shared" ca="1" si="42"/>
        <v>183.4065779356863</v>
      </c>
      <c r="BY339" s="642">
        <f t="shared" ca="1" si="42"/>
        <v>183.4065779356863</v>
      </c>
      <c r="BZ339" s="642">
        <f t="shared" ca="1" si="42"/>
        <v>183.4065779356863</v>
      </c>
      <c r="CA339" s="642">
        <f t="shared" ca="1" si="42"/>
        <v>183.4065779356863</v>
      </c>
      <c r="CB339" s="642">
        <f t="shared" ca="1" si="42"/>
        <v>183.4065779356863</v>
      </c>
      <c r="CC339" s="642">
        <f t="shared" ca="1" si="42"/>
        <v>183.4065779356863</v>
      </c>
      <c r="CD339" s="642">
        <f t="shared" ca="1" si="42"/>
        <v>183.4065779356863</v>
      </c>
      <c r="CE339" s="642">
        <f t="shared" ca="1" si="42"/>
        <v>183.4065779356863</v>
      </c>
      <c r="CF339" s="642">
        <f t="shared" ca="1" si="43"/>
        <v>183.4065779356863</v>
      </c>
      <c r="CG339" s="642">
        <f t="shared" ca="1" si="43"/>
        <v>183.4065779356863</v>
      </c>
      <c r="CH339" s="642">
        <f t="shared" ca="1" si="43"/>
        <v>183.4065779356863</v>
      </c>
      <c r="CI339" s="642">
        <f t="shared" ca="1" si="43"/>
        <v>183.4065779356863</v>
      </c>
      <c r="CJ339" s="642">
        <f t="shared" ca="1" si="43"/>
        <v>183.4065779356863</v>
      </c>
      <c r="CK339" s="642">
        <f t="shared" ca="1" si="43"/>
        <v>183.4065779356863</v>
      </c>
      <c r="CL339" s="642">
        <f t="shared" ca="1" si="43"/>
        <v>183.4065779356863</v>
      </c>
      <c r="CM339" s="642">
        <f t="shared" ca="1" si="43"/>
        <v>183.4065779356863</v>
      </c>
      <c r="CN339" s="642">
        <f t="shared" ca="1" si="46"/>
        <v>183.4065779356863</v>
      </c>
      <c r="CO339" s="642">
        <f>2*$AD$61*MAX(0,$J$58+I339-$J$64)+IF(L339&lt;$J$38,1000000,0)</f>
        <v>103.97238188235293</v>
      </c>
      <c r="CP339" s="642">
        <f>2*IF($J$175&gt;0,IF($J$392/MIN($J$175,K339)&gt;$M$5*VLOOKUP($L$5,Taxas!$V$22:$W$30,2)/L339,$J$391/MIN($J$175,K339),$J$389/L339),$J$389/L339)</f>
        <v>0.3828154026666668</v>
      </c>
    </row>
    <row r="340" spans="9:94" hidden="1" x14ac:dyDescent="0.25">
      <c r="I340" s="642">
        <f>MIN(5*38,$J$57/2)</f>
        <v>190.0</v>
      </c>
      <c r="J340" s="646">
        <f t="shared" ca="1" si="44"/>
        <v>0.05410249053417636</v>
      </c>
      <c r="K340" s="642">
        <f t="shared" ca="1" si="45"/>
        <v>30.0</v>
      </c>
      <c r="L340" s="642">
        <f ca="1">MIN(ROUNDDOWN($M$5*VLOOKUP($L$5,Taxas!$V$22:$W$30,2)/J340*2,0)/2,K340)</f>
        <v>29.0</v>
      </c>
      <c r="M340" s="642">
        <f ca="1">MIN(ROUNDDOWN($M$6*VLOOKUP($L$6,Taxas!$V$22:$W$30,2)/J340*2,0)/2,K340)</f>
        <v>29.0</v>
      </c>
      <c r="N340" s="642">
        <f t="shared" si="36"/>
        <v>1000000000.0</v>
      </c>
      <c r="O340" s="642">
        <f t="shared" si="36"/>
        <v>1000000000.0</v>
      </c>
      <c r="P340" s="642">
        <f t="shared" si="36"/>
        <v>1000000000.0</v>
      </c>
      <c r="Q340" s="642">
        <f t="shared" si="36"/>
        <v>1000000000.0</v>
      </c>
      <c r="R340" s="642">
        <f t="shared" si="36"/>
        <v>1000000000.0</v>
      </c>
      <c r="S340" s="642">
        <f t="shared" si="36"/>
        <v>1000000000.0</v>
      </c>
      <c r="T340" s="642">
        <f t="shared" si="36"/>
        <v>1000000000.0</v>
      </c>
      <c r="U340" s="642">
        <f t="shared" si="36"/>
        <v>1000000000.0</v>
      </c>
      <c r="V340" s="642">
        <f t="shared" si="36"/>
        <v>1000000000.0</v>
      </c>
      <c r="W340" s="642">
        <f t="shared" si="36"/>
        <v>1000000000.0</v>
      </c>
      <c r="X340" s="642">
        <f t="shared" si="37"/>
        <v>1000000000.0</v>
      </c>
      <c r="Y340" s="642">
        <f t="shared" si="37"/>
        <v>1000000000.0</v>
      </c>
      <c r="Z340" s="642">
        <f t="shared" si="37"/>
        <v>1000000000.0</v>
      </c>
      <c r="AA340" s="642">
        <f t="shared" si="37"/>
        <v>1000000000.0</v>
      </c>
      <c r="AB340" s="642">
        <f t="shared" si="37"/>
        <v>1000000000.0</v>
      </c>
      <c r="AC340" s="642">
        <f t="shared" si="37"/>
        <v>1000000000.0</v>
      </c>
      <c r="AD340" s="642">
        <f t="shared" si="37"/>
        <v>1000000000.0</v>
      </c>
      <c r="AE340" s="642">
        <f t="shared" si="37"/>
        <v>1000000000.0</v>
      </c>
      <c r="AF340" s="642">
        <f t="shared" si="37"/>
        <v>1000000000.0</v>
      </c>
      <c r="AG340" s="642">
        <f t="shared" si="37"/>
        <v>1000000000.0</v>
      </c>
      <c r="AH340" s="642">
        <f t="shared" si="38"/>
        <v>1000000000.0</v>
      </c>
      <c r="AI340" s="642">
        <f t="shared" si="38"/>
        <v>1000000000.0</v>
      </c>
      <c r="AJ340" s="642">
        <f t="shared" si="38"/>
        <v>1000000000.0</v>
      </c>
      <c r="AK340" s="642">
        <f t="shared" si="38"/>
        <v>1000000000.0</v>
      </c>
      <c r="AL340" s="642">
        <f t="shared" si="38"/>
        <v>1000000000.0</v>
      </c>
      <c r="AM340" s="642">
        <f t="shared" si="38"/>
        <v>1000000000.0</v>
      </c>
      <c r="AN340" s="642">
        <f t="shared" si="38"/>
        <v>1000000000.0</v>
      </c>
      <c r="AO340" s="642">
        <f t="shared" si="38"/>
        <v>1000000000.0</v>
      </c>
      <c r="AP340" s="642">
        <f t="shared" si="38"/>
        <v>1000000000.0</v>
      </c>
      <c r="AQ340" s="642">
        <f t="shared" si="38"/>
        <v>1000000000.0</v>
      </c>
      <c r="AR340" s="642">
        <f t="shared" si="39"/>
        <v>1000000000.0</v>
      </c>
      <c r="AS340" s="642">
        <f t="shared" si="39"/>
        <v>1000000000.0</v>
      </c>
      <c r="AT340" s="642">
        <f t="shared" si="39"/>
        <v>1000000000.0</v>
      </c>
      <c r="AU340" s="642">
        <f t="shared" si="39"/>
        <v>1000000000.0</v>
      </c>
      <c r="AV340" s="642">
        <f t="shared" si="39"/>
        <v>1000000000.0</v>
      </c>
      <c r="AW340" s="642">
        <f t="shared" si="39"/>
        <v>1000000000.0</v>
      </c>
      <c r="AX340" s="642">
        <f t="shared" si="39"/>
        <v>1000000000.0</v>
      </c>
      <c r="AY340" s="642">
        <f t="shared" si="39"/>
        <v>1000000000.0</v>
      </c>
      <c r="AZ340" s="642">
        <f t="shared" si="39"/>
        <v>1000000000.0</v>
      </c>
      <c r="BA340" s="642">
        <f t="shared" si="39"/>
        <v>1000000000.0</v>
      </c>
      <c r="BB340" s="642">
        <f t="shared" si="40"/>
        <v>1000000000.0</v>
      </c>
      <c r="BC340" s="642">
        <f t="shared" si="40"/>
        <v>1000000000.0</v>
      </c>
      <c r="BD340" s="642">
        <f t="shared" si="40"/>
        <v>1000000000.0</v>
      </c>
      <c r="BE340" s="642">
        <f t="shared" si="40"/>
        <v>1000000000.0</v>
      </c>
      <c r="BF340" s="642">
        <f t="shared" si="40"/>
        <v>1000000000.0</v>
      </c>
      <c r="BG340" s="642">
        <f t="shared" si="40"/>
        <v>1000000000.0</v>
      </c>
      <c r="BH340" s="642">
        <f t="shared" si="40"/>
        <v>1000000000.0</v>
      </c>
      <c r="BI340" s="642">
        <f t="shared" si="40"/>
        <v>1000000000.0</v>
      </c>
      <c r="BJ340" s="642">
        <f t="shared" si="40"/>
        <v>1000000000.0</v>
      </c>
      <c r="BK340" s="642">
        <f t="shared" si="40"/>
        <v>1000000000.0</v>
      </c>
      <c r="BL340" s="642">
        <f t="shared" si="41"/>
        <v>1000000000.0</v>
      </c>
      <c r="BM340" s="642">
        <f t="shared" si="41"/>
        <v>1000000000.0</v>
      </c>
      <c r="BN340" s="642">
        <f t="shared" si="41"/>
        <v>1000000000.0</v>
      </c>
      <c r="BO340" s="642">
        <f t="shared" ca="1" si="41"/>
        <v>184.13139386352944</v>
      </c>
      <c r="BP340" s="642">
        <f t="shared" ca="1" si="41"/>
        <v>184.13139386352944</v>
      </c>
      <c r="BQ340" s="642">
        <f t="shared" ca="1" si="41"/>
        <v>184.13139386352944</v>
      </c>
      <c r="BR340" s="642">
        <f t="shared" ca="1" si="41"/>
        <v>184.13139386352944</v>
      </c>
      <c r="BS340" s="642">
        <f t="shared" ca="1" si="41"/>
        <v>184.13139386352947</v>
      </c>
      <c r="BT340" s="642">
        <f t="shared" ca="1" si="41"/>
        <v>184.13139386352944</v>
      </c>
      <c r="BU340" s="642">
        <f t="shared" ca="1" si="41"/>
        <v>184.13139386352944</v>
      </c>
      <c r="BV340" s="642">
        <f t="shared" ca="1" si="42"/>
        <v>184.13139386352944</v>
      </c>
      <c r="BW340" s="642">
        <f t="shared" ca="1" si="42"/>
        <v>184.1313938635294</v>
      </c>
      <c r="BX340" s="642">
        <f t="shared" ca="1" si="42"/>
        <v>184.13139386352944</v>
      </c>
      <c r="BY340" s="642">
        <f t="shared" ca="1" si="42"/>
        <v>184.13139386352944</v>
      </c>
      <c r="BZ340" s="642">
        <f t="shared" ca="1" si="42"/>
        <v>184.13139386352947</v>
      </c>
      <c r="CA340" s="642">
        <f t="shared" ca="1" si="42"/>
        <v>184.13139386352944</v>
      </c>
      <c r="CB340" s="642">
        <f t="shared" ca="1" si="42"/>
        <v>184.13139386352944</v>
      </c>
      <c r="CC340" s="642">
        <f t="shared" ca="1" si="42"/>
        <v>184.13139386352944</v>
      </c>
      <c r="CD340" s="642">
        <f t="shared" ca="1" si="42"/>
        <v>184.13139386352944</v>
      </c>
      <c r="CE340" s="642">
        <f t="shared" ca="1" si="42"/>
        <v>184.13139386352944</v>
      </c>
      <c r="CF340" s="642">
        <f t="shared" ca="1" si="43"/>
        <v>184.13139386352944</v>
      </c>
      <c r="CG340" s="642">
        <f t="shared" ca="1" si="43"/>
        <v>184.13139386352947</v>
      </c>
      <c r="CH340" s="642">
        <f t="shared" ca="1" si="43"/>
        <v>184.13139386352944</v>
      </c>
      <c r="CI340" s="642">
        <f t="shared" ca="1" si="43"/>
        <v>184.13139386352944</v>
      </c>
      <c r="CJ340" s="642">
        <f t="shared" ca="1" si="43"/>
        <v>184.13139386352944</v>
      </c>
      <c r="CK340" s="642">
        <f t="shared" ca="1" si="43"/>
        <v>184.13139386352944</v>
      </c>
      <c r="CL340" s="642">
        <f t="shared" ca="1" si="43"/>
        <v>184.13139386352944</v>
      </c>
      <c r="CM340" s="642">
        <f t="shared" ca="1" si="43"/>
        <v>184.13139386352944</v>
      </c>
      <c r="CN340" s="642">
        <f t="shared" ca="1" si="46"/>
        <v>184.1313938635294</v>
      </c>
      <c r="CO340" s="642">
        <f>2*$AD$61*MAX(0,$J$58+I340-$J$64)+IF(L340&lt;$J$38,1000000,0)</f>
        <v>106.61127482352941</v>
      </c>
      <c r="CP340" s="642">
        <f>2*IF($J$175&gt;0,IF($J$392/MIN($J$175,K340)&gt;$M$5*VLOOKUP($L$5,Taxas!$V$22:$W$30,2)/L340,$J$391/MIN($J$175,K340),$J$389/L340),$J$389/L340)</f>
        <v>0.3828154026666668</v>
      </c>
    </row>
    <row r="341" spans="9:94" hidden="1" x14ac:dyDescent="0.25">
      <c r="I341" s="642">
        <f>MIN(5*39,$J$57/2)</f>
        <v>195.0</v>
      </c>
      <c r="J341" s="646">
        <f t="shared" ca="1" si="44"/>
        <v>0.049908111785801915</v>
      </c>
      <c r="K341" s="642">
        <f t="shared" ca="1" si="45"/>
        <v>30.0</v>
      </c>
      <c r="L341" s="642">
        <f ca="1">MIN(ROUNDDOWN($M$5*VLOOKUP($L$5,Taxas!$V$22:$W$30,2)/J341*2,0)/2,K341)</f>
        <v>30.0</v>
      </c>
      <c r="M341" s="642">
        <f ca="1">MIN(ROUNDDOWN($M$6*VLOOKUP($L$6,Taxas!$V$22:$W$30,2)/J341*2,0)/2,K341)</f>
        <v>30.0</v>
      </c>
      <c r="N341" s="642">
        <f t="shared" si="36"/>
        <v>1000000000.0</v>
      </c>
      <c r="O341" s="642">
        <f t="shared" si="36"/>
        <v>1000000000.0</v>
      </c>
      <c r="P341" s="642">
        <f t="shared" si="36"/>
        <v>1000000000.0</v>
      </c>
      <c r="Q341" s="642">
        <f t="shared" si="36"/>
        <v>1000000000.0</v>
      </c>
      <c r="R341" s="642">
        <f t="shared" si="36"/>
        <v>1000000000.0</v>
      </c>
      <c r="S341" s="642">
        <f t="shared" si="36"/>
        <v>1000000000.0</v>
      </c>
      <c r="T341" s="642">
        <f t="shared" si="36"/>
        <v>1000000000.0</v>
      </c>
      <c r="U341" s="642">
        <f t="shared" si="36"/>
        <v>1000000000.0</v>
      </c>
      <c r="V341" s="642">
        <f t="shared" si="36"/>
        <v>1000000000.0</v>
      </c>
      <c r="W341" s="642">
        <f t="shared" si="36"/>
        <v>1000000000.0</v>
      </c>
      <c r="X341" s="642">
        <f t="shared" si="37"/>
        <v>1000000000.0</v>
      </c>
      <c r="Y341" s="642">
        <f t="shared" si="37"/>
        <v>1000000000.0</v>
      </c>
      <c r="Z341" s="642">
        <f t="shared" si="37"/>
        <v>1000000000.0</v>
      </c>
      <c r="AA341" s="642">
        <f t="shared" si="37"/>
        <v>1000000000.0</v>
      </c>
      <c r="AB341" s="642">
        <f t="shared" si="37"/>
        <v>1000000000.0</v>
      </c>
      <c r="AC341" s="642">
        <f t="shared" si="37"/>
        <v>1000000000.0</v>
      </c>
      <c r="AD341" s="642">
        <f t="shared" si="37"/>
        <v>1000000000.0</v>
      </c>
      <c r="AE341" s="642">
        <f t="shared" si="37"/>
        <v>1000000000.0</v>
      </c>
      <c r="AF341" s="642">
        <f t="shared" si="37"/>
        <v>1000000000.0</v>
      </c>
      <c r="AG341" s="642">
        <f t="shared" si="37"/>
        <v>1000000000.0</v>
      </c>
      <c r="AH341" s="642">
        <f t="shared" si="38"/>
        <v>1000000000.0</v>
      </c>
      <c r="AI341" s="642">
        <f t="shared" si="38"/>
        <v>1000000000.0</v>
      </c>
      <c r="AJ341" s="642">
        <f t="shared" si="38"/>
        <v>1000000000.0</v>
      </c>
      <c r="AK341" s="642">
        <f t="shared" si="38"/>
        <v>1000000000.0</v>
      </c>
      <c r="AL341" s="642">
        <f t="shared" si="38"/>
        <v>1000000000.0</v>
      </c>
      <c r="AM341" s="642">
        <f t="shared" si="38"/>
        <v>1000000000.0</v>
      </c>
      <c r="AN341" s="642">
        <f t="shared" si="38"/>
        <v>1000000000.0</v>
      </c>
      <c r="AO341" s="642">
        <f t="shared" si="38"/>
        <v>1000000000.0</v>
      </c>
      <c r="AP341" s="642">
        <f t="shared" si="38"/>
        <v>1000000000.0</v>
      </c>
      <c r="AQ341" s="642">
        <f t="shared" si="38"/>
        <v>1000000000.0</v>
      </c>
      <c r="AR341" s="642">
        <f t="shared" si="39"/>
        <v>1000000000.0</v>
      </c>
      <c r="AS341" s="642">
        <f t="shared" si="39"/>
        <v>1000000000.0</v>
      </c>
      <c r="AT341" s="642">
        <f t="shared" si="39"/>
        <v>1000000000.0</v>
      </c>
      <c r="AU341" s="642">
        <f t="shared" si="39"/>
        <v>1000000000.0</v>
      </c>
      <c r="AV341" s="642">
        <f t="shared" si="39"/>
        <v>1000000000.0</v>
      </c>
      <c r="AW341" s="642">
        <f t="shared" si="39"/>
        <v>1000000000.0</v>
      </c>
      <c r="AX341" s="642">
        <f t="shared" si="39"/>
        <v>1000000000.0</v>
      </c>
      <c r="AY341" s="642">
        <f t="shared" si="39"/>
        <v>1000000000.0</v>
      </c>
      <c r="AZ341" s="642">
        <f t="shared" si="39"/>
        <v>1000000000.0</v>
      </c>
      <c r="BA341" s="642">
        <f t="shared" si="39"/>
        <v>1000000000.0</v>
      </c>
      <c r="BB341" s="642">
        <f t="shared" si="40"/>
        <v>1000000000.0</v>
      </c>
      <c r="BC341" s="642">
        <f t="shared" si="40"/>
        <v>1000000000.0</v>
      </c>
      <c r="BD341" s="642">
        <f t="shared" si="40"/>
        <v>1000000000.0</v>
      </c>
      <c r="BE341" s="642">
        <f t="shared" si="40"/>
        <v>1000000000.0</v>
      </c>
      <c r="BF341" s="642">
        <f t="shared" si="40"/>
        <v>1000000000.0</v>
      </c>
      <c r="BG341" s="642">
        <f t="shared" si="40"/>
        <v>1000000000.0</v>
      </c>
      <c r="BH341" s="642">
        <f t="shared" si="40"/>
        <v>1000000000.0</v>
      </c>
      <c r="BI341" s="642">
        <f t="shared" si="40"/>
        <v>1000000000.0</v>
      </c>
      <c r="BJ341" s="642">
        <f t="shared" si="40"/>
        <v>1000000000.0</v>
      </c>
      <c r="BK341" s="642">
        <f t="shared" si="40"/>
        <v>1000000000.0</v>
      </c>
      <c r="BL341" s="642">
        <f t="shared" si="41"/>
        <v>1000000000.0</v>
      </c>
      <c r="BM341" s="642">
        <f t="shared" si="41"/>
        <v>1000000000.0</v>
      </c>
      <c r="BN341" s="642">
        <f t="shared" si="41"/>
        <v>1000000000.0</v>
      </c>
      <c r="BO341" s="642">
        <f t="shared" si="41"/>
        <v>1000000000.0</v>
      </c>
      <c r="BP341" s="642">
        <f t="shared" ca="1" si="41"/>
        <v>184.85620979137258</v>
      </c>
      <c r="BQ341" s="642">
        <f t="shared" ca="1" si="41"/>
        <v>184.85620979137258</v>
      </c>
      <c r="BR341" s="642">
        <f t="shared" ca="1" si="41"/>
        <v>184.85620979137258</v>
      </c>
      <c r="BS341" s="642">
        <f t="shared" ca="1" si="41"/>
        <v>184.85620979137255</v>
      </c>
      <c r="BT341" s="642">
        <f t="shared" ca="1" si="41"/>
        <v>184.85620979137258</v>
      </c>
      <c r="BU341" s="642">
        <f t="shared" ca="1" si="41"/>
        <v>184.85620979137258</v>
      </c>
      <c r="BV341" s="642">
        <f t="shared" ca="1" si="42"/>
        <v>184.85620979137258</v>
      </c>
      <c r="BW341" s="642">
        <f t="shared" ca="1" si="42"/>
        <v>184.85620979137258</v>
      </c>
      <c r="BX341" s="642">
        <f t="shared" ca="1" si="42"/>
        <v>184.85620979137258</v>
      </c>
      <c r="BY341" s="642">
        <f t="shared" ca="1" si="42"/>
        <v>184.85620979137258</v>
      </c>
      <c r="BZ341" s="642">
        <f t="shared" ca="1" si="42"/>
        <v>184.85620979137258</v>
      </c>
      <c r="CA341" s="642">
        <f t="shared" ca="1" si="42"/>
        <v>184.85620979137258</v>
      </c>
      <c r="CB341" s="642">
        <f t="shared" ca="1" si="42"/>
        <v>184.85620979137258</v>
      </c>
      <c r="CC341" s="642">
        <f t="shared" ca="1" si="42"/>
        <v>184.85620979137258</v>
      </c>
      <c r="CD341" s="642">
        <f t="shared" ca="1" si="42"/>
        <v>184.85620979137258</v>
      </c>
      <c r="CE341" s="642">
        <f t="shared" ca="1" si="42"/>
        <v>184.85620979137258</v>
      </c>
      <c r="CF341" s="642">
        <f t="shared" ca="1" si="43"/>
        <v>184.85620979137258</v>
      </c>
      <c r="CG341" s="642">
        <f t="shared" ca="1" si="43"/>
        <v>184.85620979137258</v>
      </c>
      <c r="CH341" s="642">
        <f t="shared" ca="1" si="43"/>
        <v>184.85620979137258</v>
      </c>
      <c r="CI341" s="642">
        <f t="shared" ca="1" si="43"/>
        <v>184.85620979137258</v>
      </c>
      <c r="CJ341" s="642">
        <f t="shared" ca="1" si="43"/>
        <v>184.85620979137258</v>
      </c>
      <c r="CK341" s="642">
        <f t="shared" ca="1" si="43"/>
        <v>184.85620979137258</v>
      </c>
      <c r="CL341" s="642">
        <f t="shared" ca="1" si="43"/>
        <v>184.85620979137258</v>
      </c>
      <c r="CM341" s="642">
        <f t="shared" ca="1" si="43"/>
        <v>184.85620979137258</v>
      </c>
      <c r="CN341" s="642">
        <f t="shared" ca="1" si="46"/>
        <v>184.85620979137255</v>
      </c>
      <c r="CO341" s="642">
        <f>2*$AD$61*MAX(0,$J$58+I341-$J$64)+IF(L341&lt;$J$38,1000000,0)</f>
        <v>109.25016776470588</v>
      </c>
      <c r="CP341" s="642">
        <f>2*IF($J$175&gt;0,IF($J$392/MIN($J$175,K341)&gt;$M$5*VLOOKUP($L$5,Taxas!$V$22:$W$30,2)/L341,$J$391/MIN($J$175,K341),$J$389/L341),$J$389/L341)</f>
        <v>0.3828154026666668</v>
      </c>
    </row>
    <row r="342" spans="9:94" hidden="1" x14ac:dyDescent="0.25">
      <c r="I342" s="642">
        <f>MIN(5*40,$J$57/2)</f>
        <v>200.0</v>
      </c>
      <c r="J342" s="646">
        <f t="shared" ca="1" si="44"/>
        <v>0.048859517098708304</v>
      </c>
      <c r="K342" s="642">
        <f t="shared" ca="1" si="45"/>
        <v>30.0</v>
      </c>
      <c r="L342" s="642">
        <f ca="1">MIN(ROUNDDOWN($M$5*VLOOKUP($L$5,Taxas!$V$22:$W$30,2)/J342*2,0)/2,K342)</f>
        <v>30.0</v>
      </c>
      <c r="M342" s="642">
        <f ca="1">MIN(ROUNDDOWN($M$6*VLOOKUP($L$6,Taxas!$V$22:$W$30,2)/J342*2,0)/2,K342)</f>
        <v>30.0</v>
      </c>
      <c r="N342" s="642">
        <f t="shared" si="36"/>
        <v>1000000000.0</v>
      </c>
      <c r="O342" s="642">
        <f t="shared" si="36"/>
        <v>1000000000.0</v>
      </c>
      <c r="P342" s="642">
        <f t="shared" si="36"/>
        <v>1000000000.0</v>
      </c>
      <c r="Q342" s="642">
        <f t="shared" si="36"/>
        <v>1000000000.0</v>
      </c>
      <c r="R342" s="642">
        <f t="shared" si="36"/>
        <v>1000000000.0</v>
      </c>
      <c r="S342" s="642">
        <f t="shared" si="36"/>
        <v>1000000000.0</v>
      </c>
      <c r="T342" s="642">
        <f t="shared" si="36"/>
        <v>1000000000.0</v>
      </c>
      <c r="U342" s="642">
        <f t="shared" si="36"/>
        <v>1000000000.0</v>
      </c>
      <c r="V342" s="642">
        <f t="shared" si="36"/>
        <v>1000000000.0</v>
      </c>
      <c r="W342" s="642">
        <f t="shared" si="36"/>
        <v>1000000000.0</v>
      </c>
      <c r="X342" s="642">
        <f t="shared" si="37"/>
        <v>1000000000.0</v>
      </c>
      <c r="Y342" s="642">
        <f t="shared" si="37"/>
        <v>1000000000.0</v>
      </c>
      <c r="Z342" s="642">
        <f t="shared" si="37"/>
        <v>1000000000.0</v>
      </c>
      <c r="AA342" s="642">
        <f t="shared" si="37"/>
        <v>1000000000.0</v>
      </c>
      <c r="AB342" s="642">
        <f t="shared" si="37"/>
        <v>1000000000.0</v>
      </c>
      <c r="AC342" s="642">
        <f t="shared" si="37"/>
        <v>1000000000.0</v>
      </c>
      <c r="AD342" s="642">
        <f t="shared" si="37"/>
        <v>1000000000.0</v>
      </c>
      <c r="AE342" s="642">
        <f t="shared" si="37"/>
        <v>1000000000.0</v>
      </c>
      <c r="AF342" s="642">
        <f t="shared" si="37"/>
        <v>1000000000.0</v>
      </c>
      <c r="AG342" s="642">
        <f t="shared" si="37"/>
        <v>1000000000.0</v>
      </c>
      <c r="AH342" s="642">
        <f t="shared" si="38"/>
        <v>1000000000.0</v>
      </c>
      <c r="AI342" s="642">
        <f t="shared" si="38"/>
        <v>1000000000.0</v>
      </c>
      <c r="AJ342" s="642">
        <f t="shared" si="38"/>
        <v>1000000000.0</v>
      </c>
      <c r="AK342" s="642">
        <f t="shared" si="38"/>
        <v>1000000000.0</v>
      </c>
      <c r="AL342" s="642">
        <f t="shared" si="38"/>
        <v>1000000000.0</v>
      </c>
      <c r="AM342" s="642">
        <f t="shared" si="38"/>
        <v>1000000000.0</v>
      </c>
      <c r="AN342" s="642">
        <f t="shared" si="38"/>
        <v>1000000000.0</v>
      </c>
      <c r="AO342" s="642">
        <f t="shared" si="38"/>
        <v>1000000000.0</v>
      </c>
      <c r="AP342" s="642">
        <f t="shared" si="38"/>
        <v>1000000000.0</v>
      </c>
      <c r="AQ342" s="642">
        <f t="shared" si="38"/>
        <v>1000000000.0</v>
      </c>
      <c r="AR342" s="642">
        <f t="shared" si="39"/>
        <v>1000000000.0</v>
      </c>
      <c r="AS342" s="642">
        <f t="shared" si="39"/>
        <v>1000000000.0</v>
      </c>
      <c r="AT342" s="642">
        <f t="shared" si="39"/>
        <v>1000000000.0</v>
      </c>
      <c r="AU342" s="642">
        <f t="shared" si="39"/>
        <v>1000000000.0</v>
      </c>
      <c r="AV342" s="642">
        <f t="shared" si="39"/>
        <v>1000000000.0</v>
      </c>
      <c r="AW342" s="642">
        <f t="shared" si="39"/>
        <v>1000000000.0</v>
      </c>
      <c r="AX342" s="642">
        <f t="shared" si="39"/>
        <v>1000000000.0</v>
      </c>
      <c r="AY342" s="642">
        <f t="shared" si="39"/>
        <v>1000000000.0</v>
      </c>
      <c r="AZ342" s="642">
        <f t="shared" si="39"/>
        <v>1000000000.0</v>
      </c>
      <c r="BA342" s="642">
        <f t="shared" si="39"/>
        <v>1000000000.0</v>
      </c>
      <c r="BB342" s="642">
        <f t="shared" si="40"/>
        <v>1000000000.0</v>
      </c>
      <c r="BC342" s="642">
        <f t="shared" si="40"/>
        <v>1000000000.0</v>
      </c>
      <c r="BD342" s="642">
        <f t="shared" si="40"/>
        <v>1000000000.0</v>
      </c>
      <c r="BE342" s="642">
        <f t="shared" si="40"/>
        <v>1000000000.0</v>
      </c>
      <c r="BF342" s="642">
        <f t="shared" si="40"/>
        <v>1000000000.0</v>
      </c>
      <c r="BG342" s="642">
        <f t="shared" si="40"/>
        <v>1000000000.0</v>
      </c>
      <c r="BH342" s="642">
        <f t="shared" si="40"/>
        <v>1000000000.0</v>
      </c>
      <c r="BI342" s="642">
        <f t="shared" si="40"/>
        <v>1000000000.0</v>
      </c>
      <c r="BJ342" s="642">
        <f t="shared" si="40"/>
        <v>1000000000.0</v>
      </c>
      <c r="BK342" s="642">
        <f t="shared" si="40"/>
        <v>1000000000.0</v>
      </c>
      <c r="BL342" s="642">
        <f t="shared" si="41"/>
        <v>1000000000.0</v>
      </c>
      <c r="BM342" s="642">
        <f t="shared" si="41"/>
        <v>1000000000.0</v>
      </c>
      <c r="BN342" s="642">
        <f t="shared" si="41"/>
        <v>1000000000.0</v>
      </c>
      <c r="BO342" s="642">
        <f t="shared" si="41"/>
        <v>1000000000.0</v>
      </c>
      <c r="BP342" s="642">
        <f t="shared" si="41"/>
        <v>1000000000.0</v>
      </c>
      <c r="BQ342" s="642">
        <f t="shared" ca="1" si="41"/>
        <v>185.58102571921572</v>
      </c>
      <c r="BR342" s="642">
        <f t="shared" ca="1" si="41"/>
        <v>185.58102571921572</v>
      </c>
      <c r="BS342" s="642">
        <f t="shared" ca="1" si="41"/>
        <v>185.58102571921572</v>
      </c>
      <c r="BT342" s="642">
        <f t="shared" ca="1" si="41"/>
        <v>185.58102571921572</v>
      </c>
      <c r="BU342" s="642">
        <f t="shared" ca="1" si="41"/>
        <v>185.58102571921575</v>
      </c>
      <c r="BV342" s="642">
        <f t="shared" ca="1" si="42"/>
        <v>185.58102571921572</v>
      </c>
      <c r="BW342" s="642">
        <f t="shared" ca="1" si="42"/>
        <v>185.58102571921572</v>
      </c>
      <c r="BX342" s="642">
        <f t="shared" ca="1" si="42"/>
        <v>185.58102571921572</v>
      </c>
      <c r="BY342" s="642">
        <f t="shared" ca="1" si="42"/>
        <v>185.5810257192157</v>
      </c>
      <c r="BZ342" s="642">
        <f t="shared" ca="1" si="42"/>
        <v>185.58102571921572</v>
      </c>
      <c r="CA342" s="642">
        <f t="shared" ca="1" si="42"/>
        <v>185.58102571921572</v>
      </c>
      <c r="CB342" s="642">
        <f t="shared" ca="1" si="42"/>
        <v>185.58102571921575</v>
      </c>
      <c r="CC342" s="642">
        <f t="shared" ca="1" si="42"/>
        <v>185.58102571921572</v>
      </c>
      <c r="CD342" s="642">
        <f t="shared" ca="1" si="42"/>
        <v>185.58102571921572</v>
      </c>
      <c r="CE342" s="642">
        <f t="shared" ca="1" si="42"/>
        <v>185.58102571921572</v>
      </c>
      <c r="CF342" s="642">
        <f t="shared" ca="1" si="43"/>
        <v>185.58102571921572</v>
      </c>
      <c r="CG342" s="642">
        <f t="shared" ca="1" si="43"/>
        <v>185.58102571921572</v>
      </c>
      <c r="CH342" s="642">
        <f t="shared" ca="1" si="43"/>
        <v>185.58102571921572</v>
      </c>
      <c r="CI342" s="642">
        <f t="shared" ca="1" si="43"/>
        <v>185.58102571921575</v>
      </c>
      <c r="CJ342" s="642">
        <f t="shared" ca="1" si="43"/>
        <v>185.58102571921572</v>
      </c>
      <c r="CK342" s="642">
        <f t="shared" ca="1" si="43"/>
        <v>185.58102571921572</v>
      </c>
      <c r="CL342" s="642">
        <f t="shared" ca="1" si="43"/>
        <v>185.58102571921572</v>
      </c>
      <c r="CM342" s="642">
        <f t="shared" ca="1" si="43"/>
        <v>185.58102571921572</v>
      </c>
      <c r="CN342" s="642">
        <f t="shared" ca="1" si="46"/>
        <v>185.5810257192157</v>
      </c>
      <c r="CO342" s="642">
        <f>2*$AD$61*MAX(0,$J$58+I342-$J$64)+IF(L342&lt;$J$38,1000000,0)</f>
        <v>111.88906070588236</v>
      </c>
      <c r="CP342" s="642">
        <f>2*IF($J$175&gt;0,IF($J$392/MIN($J$175,K342)&gt;$M$5*VLOOKUP($L$5,Taxas!$V$22:$W$30,2)/L342,$J$391/MIN($J$175,K342),$J$389/L342),$J$389/L342)</f>
        <v>0.3828154026666668</v>
      </c>
    </row>
    <row r="343" spans="9:94" hidden="1" x14ac:dyDescent="0.25">
      <c r="I343" s="642">
        <f>MIN(5*41,$J$57/2)</f>
        <v>205.0</v>
      </c>
      <c r="J343" s="646">
        <f t="shared" ca="1" si="44"/>
        <v>0.048859517098708304</v>
      </c>
      <c r="K343" s="642">
        <f t="shared" ca="1" si="45"/>
        <v>30.0</v>
      </c>
      <c r="L343" s="642">
        <f ca="1">MIN(ROUNDDOWN($M$5*VLOOKUP($L$5,Taxas!$V$22:$W$30,2)/J343*2,0)/2,K343)</f>
        <v>30.0</v>
      </c>
      <c r="M343" s="642">
        <f ca="1">MIN(ROUNDDOWN($M$6*VLOOKUP($L$6,Taxas!$V$22:$W$30,2)/J343*2,0)/2,K343)</f>
        <v>30.0</v>
      </c>
      <c r="N343" s="642">
        <f t="shared" ref="N343:W352" si="49">IF(OR($I343&lt;$J$59,N$302-$I343&lt;$J$59),1000000000,$CO343+N$301+$CP343*(N$302-$I343))</f>
        <v>1000000000.0</v>
      </c>
      <c r="O343" s="642">
        <f t="shared" si="49"/>
        <v>1000000000.0</v>
      </c>
      <c r="P343" s="642">
        <f t="shared" si="49"/>
        <v>1000000000.0</v>
      </c>
      <c r="Q343" s="642">
        <f t="shared" si="49"/>
        <v>1000000000.0</v>
      </c>
      <c r="R343" s="642">
        <f t="shared" si="49"/>
        <v>1000000000.0</v>
      </c>
      <c r="S343" s="642">
        <f t="shared" si="49"/>
        <v>1000000000.0</v>
      </c>
      <c r="T343" s="642">
        <f t="shared" si="49"/>
        <v>1000000000.0</v>
      </c>
      <c r="U343" s="642">
        <f t="shared" si="49"/>
        <v>1000000000.0</v>
      </c>
      <c r="V343" s="642">
        <f t="shared" si="49"/>
        <v>1000000000.0</v>
      </c>
      <c r="W343" s="642">
        <f t="shared" si="49"/>
        <v>1000000000.0</v>
      </c>
      <c r="X343" s="642">
        <f t="shared" ref="X343:AG352" si="50">IF(OR($I343&lt;$J$59,X$302-$I343&lt;$J$59),1000000000,$CO343+X$301+$CP343*(X$302-$I343))</f>
        <v>1000000000.0</v>
      </c>
      <c r="Y343" s="642">
        <f t="shared" si="50"/>
        <v>1000000000.0</v>
      </c>
      <c r="Z343" s="642">
        <f t="shared" si="50"/>
        <v>1000000000.0</v>
      </c>
      <c r="AA343" s="642">
        <f t="shared" si="50"/>
        <v>1000000000.0</v>
      </c>
      <c r="AB343" s="642">
        <f t="shared" si="50"/>
        <v>1000000000.0</v>
      </c>
      <c r="AC343" s="642">
        <f t="shared" si="50"/>
        <v>1000000000.0</v>
      </c>
      <c r="AD343" s="642">
        <f t="shared" si="50"/>
        <v>1000000000.0</v>
      </c>
      <c r="AE343" s="642">
        <f t="shared" si="50"/>
        <v>1000000000.0</v>
      </c>
      <c r="AF343" s="642">
        <f t="shared" si="50"/>
        <v>1000000000.0</v>
      </c>
      <c r="AG343" s="642">
        <f t="shared" si="50"/>
        <v>1000000000.0</v>
      </c>
      <c r="AH343" s="642">
        <f t="shared" ref="AH343:AQ352" si="51">IF(OR($I343&lt;$J$59,AH$302-$I343&lt;$J$59),1000000000,$CO343+AH$301+$CP343*(AH$302-$I343))</f>
        <v>1000000000.0</v>
      </c>
      <c r="AI343" s="642">
        <f t="shared" si="51"/>
        <v>1000000000.0</v>
      </c>
      <c r="AJ343" s="642">
        <f t="shared" si="51"/>
        <v>1000000000.0</v>
      </c>
      <c r="AK343" s="642">
        <f t="shared" si="51"/>
        <v>1000000000.0</v>
      </c>
      <c r="AL343" s="642">
        <f t="shared" si="51"/>
        <v>1000000000.0</v>
      </c>
      <c r="AM343" s="642">
        <f t="shared" si="51"/>
        <v>1000000000.0</v>
      </c>
      <c r="AN343" s="642">
        <f t="shared" si="51"/>
        <v>1000000000.0</v>
      </c>
      <c r="AO343" s="642">
        <f t="shared" si="51"/>
        <v>1000000000.0</v>
      </c>
      <c r="AP343" s="642">
        <f t="shared" si="51"/>
        <v>1000000000.0</v>
      </c>
      <c r="AQ343" s="642">
        <f t="shared" si="51"/>
        <v>1000000000.0</v>
      </c>
      <c r="AR343" s="642">
        <f t="shared" ref="AR343:BA352" si="52">IF(OR($I343&lt;$J$59,AR$302-$I343&lt;$J$59),1000000000,$CO343+AR$301+$CP343*(AR$302-$I343))</f>
        <v>1000000000.0</v>
      </c>
      <c r="AS343" s="642">
        <f t="shared" si="52"/>
        <v>1000000000.0</v>
      </c>
      <c r="AT343" s="642">
        <f t="shared" si="52"/>
        <v>1000000000.0</v>
      </c>
      <c r="AU343" s="642">
        <f t="shared" si="52"/>
        <v>1000000000.0</v>
      </c>
      <c r="AV343" s="642">
        <f t="shared" si="52"/>
        <v>1000000000.0</v>
      </c>
      <c r="AW343" s="642">
        <f t="shared" si="52"/>
        <v>1000000000.0</v>
      </c>
      <c r="AX343" s="642">
        <f t="shared" si="52"/>
        <v>1000000000.0</v>
      </c>
      <c r="AY343" s="642">
        <f t="shared" si="52"/>
        <v>1000000000.0</v>
      </c>
      <c r="AZ343" s="642">
        <f t="shared" si="52"/>
        <v>1000000000.0</v>
      </c>
      <c r="BA343" s="642">
        <f t="shared" si="52"/>
        <v>1000000000.0</v>
      </c>
      <c r="BB343" s="642">
        <f t="shared" ref="BB343:BK352" si="53">IF(OR($I343&lt;$J$59,BB$302-$I343&lt;$J$59),1000000000,$CO343+BB$301+$CP343*(BB$302-$I343))</f>
        <v>1000000000.0</v>
      </c>
      <c r="BC343" s="642">
        <f t="shared" si="53"/>
        <v>1000000000.0</v>
      </c>
      <c r="BD343" s="642">
        <f t="shared" si="53"/>
        <v>1000000000.0</v>
      </c>
      <c r="BE343" s="642">
        <f t="shared" si="53"/>
        <v>1000000000.0</v>
      </c>
      <c r="BF343" s="642">
        <f t="shared" si="53"/>
        <v>1000000000.0</v>
      </c>
      <c r="BG343" s="642">
        <f t="shared" si="53"/>
        <v>1000000000.0</v>
      </c>
      <c r="BH343" s="642">
        <f t="shared" si="53"/>
        <v>1000000000.0</v>
      </c>
      <c r="BI343" s="642">
        <f t="shared" si="53"/>
        <v>1000000000.0</v>
      </c>
      <c r="BJ343" s="642">
        <f t="shared" si="53"/>
        <v>1000000000.0</v>
      </c>
      <c r="BK343" s="642">
        <f t="shared" si="53"/>
        <v>1000000000.0</v>
      </c>
      <c r="BL343" s="642">
        <f t="shared" ref="BL343:BU352" si="54">IF(OR($I343&lt;$J$59,BL$302-$I343&lt;$J$59),1000000000,$CO343+BL$301+$CP343*(BL$302-$I343))</f>
        <v>1000000000.0</v>
      </c>
      <c r="BM343" s="642">
        <f t="shared" si="54"/>
        <v>1000000000.0</v>
      </c>
      <c r="BN343" s="642">
        <f t="shared" si="54"/>
        <v>1000000000.0</v>
      </c>
      <c r="BO343" s="642">
        <f t="shared" si="54"/>
        <v>1000000000.0</v>
      </c>
      <c r="BP343" s="642">
        <f t="shared" si="54"/>
        <v>1000000000.0</v>
      </c>
      <c r="BQ343" s="642">
        <f t="shared" si="54"/>
        <v>1000000000.0</v>
      </c>
      <c r="BR343" s="642">
        <f t="shared" ca="1" si="54"/>
        <v>186.30584164705886</v>
      </c>
      <c r="BS343" s="642">
        <f t="shared" ca="1" si="54"/>
        <v>186.30584164705886</v>
      </c>
      <c r="BT343" s="642">
        <f t="shared" ca="1" si="54"/>
        <v>186.30584164705886</v>
      </c>
      <c r="BU343" s="642">
        <f t="shared" ca="1" si="54"/>
        <v>186.30584164705883</v>
      </c>
      <c r="BV343" s="642">
        <f t="shared" ref="BV343:CE352" ca="1" si="55">IF(OR($I343&lt;$J$59,BV$302-$I343&lt;$J$59),1000000000,$CO343+BV$301+$CP343*(BV$302-$I343))</f>
        <v>186.30584164705886</v>
      </c>
      <c r="BW343" s="642">
        <f t="shared" ca="1" si="55"/>
        <v>186.30584164705886</v>
      </c>
      <c r="BX343" s="642">
        <f t="shared" ca="1" si="55"/>
        <v>186.30584164705886</v>
      </c>
      <c r="BY343" s="642">
        <f t="shared" ca="1" si="55"/>
        <v>186.30584164705886</v>
      </c>
      <c r="BZ343" s="642">
        <f t="shared" ca="1" si="55"/>
        <v>186.30584164705886</v>
      </c>
      <c r="CA343" s="642">
        <f t="shared" ca="1" si="55"/>
        <v>186.30584164705886</v>
      </c>
      <c r="CB343" s="642">
        <f t="shared" ca="1" si="55"/>
        <v>186.30584164705886</v>
      </c>
      <c r="CC343" s="642">
        <f t="shared" ca="1" si="55"/>
        <v>186.30584164705886</v>
      </c>
      <c r="CD343" s="642">
        <f t="shared" ca="1" si="55"/>
        <v>186.30584164705886</v>
      </c>
      <c r="CE343" s="642">
        <f t="shared" ca="1" si="55"/>
        <v>186.30584164705886</v>
      </c>
      <c r="CF343" s="642">
        <f t="shared" ref="CF343:CM352" ca="1" si="56">IF(OR($I343&lt;$J$59,CF$302-$I343&lt;$J$59),1000000000,$CO343+CF$301+$CP343*(CF$302-$I343))</f>
        <v>186.30584164705886</v>
      </c>
      <c r="CG343" s="642">
        <f t="shared" ca="1" si="56"/>
        <v>186.30584164705886</v>
      </c>
      <c r="CH343" s="642">
        <f t="shared" ca="1" si="56"/>
        <v>186.30584164705886</v>
      </c>
      <c r="CI343" s="642">
        <f t="shared" ca="1" si="56"/>
        <v>186.30584164705886</v>
      </c>
      <c r="CJ343" s="642">
        <f t="shared" ca="1" si="56"/>
        <v>186.30584164705886</v>
      </c>
      <c r="CK343" s="642">
        <f t="shared" ca="1" si="56"/>
        <v>186.30584164705886</v>
      </c>
      <c r="CL343" s="642">
        <f t="shared" ca="1" si="56"/>
        <v>186.30584164705886</v>
      </c>
      <c r="CM343" s="642">
        <f t="shared" ca="1" si="56"/>
        <v>186.30584164705886</v>
      </c>
      <c r="CN343" s="642">
        <f t="shared" ca="1" si="46"/>
        <v>186.30584164705883</v>
      </c>
      <c r="CO343" s="642">
        <f>2*$AD$61*MAX(0,$J$58+I343-$J$64)+IF(L343&lt;$J$38,1000000,0)</f>
        <v>114.52795364705882</v>
      </c>
      <c r="CP343" s="642">
        <f>2*IF($J$175&gt;0,IF($J$392/MIN($J$175,K343)&gt;$M$5*VLOOKUP($L$5,Taxas!$V$22:$W$30,2)/L343,$J$391/MIN($J$175,K343),$J$389/L343),$J$389/L343)</f>
        <v>0.3828154026666668</v>
      </c>
    </row>
    <row r="344" spans="9:94" hidden="1" x14ac:dyDescent="0.25">
      <c r="I344" s="642">
        <f>MIN(5*42,$J$57/2)</f>
        <v>210.0</v>
      </c>
      <c r="J344" s="646">
        <f t="shared" ca="1" si="44"/>
        <v>0.048859517098708304</v>
      </c>
      <c r="K344" s="642">
        <f t="shared" ca="1" si="45"/>
        <v>30.0</v>
      </c>
      <c r="L344" s="642">
        <f ca="1">MIN(ROUNDDOWN($M$5*VLOOKUP($L$5,Taxas!$V$22:$W$30,2)/J344*2,0)/2,K344)</f>
        <v>30.0</v>
      </c>
      <c r="M344" s="642">
        <f ca="1">MIN(ROUNDDOWN($M$6*VLOOKUP($L$6,Taxas!$V$22:$W$30,2)/J344*2,0)/2,K344)</f>
        <v>30.0</v>
      </c>
      <c r="N344" s="642">
        <f t="shared" si="49"/>
        <v>1000000000.0</v>
      </c>
      <c r="O344" s="642">
        <f t="shared" si="49"/>
        <v>1000000000.0</v>
      </c>
      <c r="P344" s="642">
        <f t="shared" si="49"/>
        <v>1000000000.0</v>
      </c>
      <c r="Q344" s="642">
        <f t="shared" si="49"/>
        <v>1000000000.0</v>
      </c>
      <c r="R344" s="642">
        <f t="shared" si="49"/>
        <v>1000000000.0</v>
      </c>
      <c r="S344" s="642">
        <f t="shared" si="49"/>
        <v>1000000000.0</v>
      </c>
      <c r="T344" s="642">
        <f t="shared" si="49"/>
        <v>1000000000.0</v>
      </c>
      <c r="U344" s="642">
        <f t="shared" si="49"/>
        <v>1000000000.0</v>
      </c>
      <c r="V344" s="642">
        <f t="shared" si="49"/>
        <v>1000000000.0</v>
      </c>
      <c r="W344" s="642">
        <f t="shared" si="49"/>
        <v>1000000000.0</v>
      </c>
      <c r="X344" s="642">
        <f t="shared" si="50"/>
        <v>1000000000.0</v>
      </c>
      <c r="Y344" s="642">
        <f t="shared" si="50"/>
        <v>1000000000.0</v>
      </c>
      <c r="Z344" s="642">
        <f t="shared" si="50"/>
        <v>1000000000.0</v>
      </c>
      <c r="AA344" s="642">
        <f t="shared" si="50"/>
        <v>1000000000.0</v>
      </c>
      <c r="AB344" s="642">
        <f t="shared" si="50"/>
        <v>1000000000.0</v>
      </c>
      <c r="AC344" s="642">
        <f t="shared" si="50"/>
        <v>1000000000.0</v>
      </c>
      <c r="AD344" s="642">
        <f t="shared" si="50"/>
        <v>1000000000.0</v>
      </c>
      <c r="AE344" s="642">
        <f t="shared" si="50"/>
        <v>1000000000.0</v>
      </c>
      <c r="AF344" s="642">
        <f t="shared" si="50"/>
        <v>1000000000.0</v>
      </c>
      <c r="AG344" s="642">
        <f t="shared" si="50"/>
        <v>1000000000.0</v>
      </c>
      <c r="AH344" s="642">
        <f t="shared" si="51"/>
        <v>1000000000.0</v>
      </c>
      <c r="AI344" s="642">
        <f t="shared" si="51"/>
        <v>1000000000.0</v>
      </c>
      <c r="AJ344" s="642">
        <f t="shared" si="51"/>
        <v>1000000000.0</v>
      </c>
      <c r="AK344" s="642">
        <f t="shared" si="51"/>
        <v>1000000000.0</v>
      </c>
      <c r="AL344" s="642">
        <f t="shared" si="51"/>
        <v>1000000000.0</v>
      </c>
      <c r="AM344" s="642">
        <f t="shared" si="51"/>
        <v>1000000000.0</v>
      </c>
      <c r="AN344" s="642">
        <f t="shared" si="51"/>
        <v>1000000000.0</v>
      </c>
      <c r="AO344" s="642">
        <f t="shared" si="51"/>
        <v>1000000000.0</v>
      </c>
      <c r="AP344" s="642">
        <f t="shared" si="51"/>
        <v>1000000000.0</v>
      </c>
      <c r="AQ344" s="642">
        <f t="shared" si="51"/>
        <v>1000000000.0</v>
      </c>
      <c r="AR344" s="642">
        <f t="shared" si="52"/>
        <v>1000000000.0</v>
      </c>
      <c r="AS344" s="642">
        <f t="shared" si="52"/>
        <v>1000000000.0</v>
      </c>
      <c r="AT344" s="642">
        <f t="shared" si="52"/>
        <v>1000000000.0</v>
      </c>
      <c r="AU344" s="642">
        <f t="shared" si="52"/>
        <v>1000000000.0</v>
      </c>
      <c r="AV344" s="642">
        <f t="shared" si="52"/>
        <v>1000000000.0</v>
      </c>
      <c r="AW344" s="642">
        <f t="shared" si="52"/>
        <v>1000000000.0</v>
      </c>
      <c r="AX344" s="642">
        <f t="shared" si="52"/>
        <v>1000000000.0</v>
      </c>
      <c r="AY344" s="642">
        <f t="shared" si="52"/>
        <v>1000000000.0</v>
      </c>
      <c r="AZ344" s="642">
        <f t="shared" si="52"/>
        <v>1000000000.0</v>
      </c>
      <c r="BA344" s="642">
        <f t="shared" si="52"/>
        <v>1000000000.0</v>
      </c>
      <c r="BB344" s="642">
        <f t="shared" si="53"/>
        <v>1000000000.0</v>
      </c>
      <c r="BC344" s="642">
        <f t="shared" si="53"/>
        <v>1000000000.0</v>
      </c>
      <c r="BD344" s="642">
        <f t="shared" si="53"/>
        <v>1000000000.0</v>
      </c>
      <c r="BE344" s="642">
        <f t="shared" si="53"/>
        <v>1000000000.0</v>
      </c>
      <c r="BF344" s="642">
        <f t="shared" si="53"/>
        <v>1000000000.0</v>
      </c>
      <c r="BG344" s="642">
        <f t="shared" si="53"/>
        <v>1000000000.0</v>
      </c>
      <c r="BH344" s="642">
        <f t="shared" si="53"/>
        <v>1000000000.0</v>
      </c>
      <c r="BI344" s="642">
        <f t="shared" si="53"/>
        <v>1000000000.0</v>
      </c>
      <c r="BJ344" s="642">
        <f t="shared" si="53"/>
        <v>1000000000.0</v>
      </c>
      <c r="BK344" s="642">
        <f t="shared" si="53"/>
        <v>1000000000.0</v>
      </c>
      <c r="BL344" s="642">
        <f t="shared" si="54"/>
        <v>1000000000.0</v>
      </c>
      <c r="BM344" s="642">
        <f t="shared" si="54"/>
        <v>1000000000.0</v>
      </c>
      <c r="BN344" s="642">
        <f t="shared" si="54"/>
        <v>1000000000.0</v>
      </c>
      <c r="BO344" s="642">
        <f t="shared" si="54"/>
        <v>1000000000.0</v>
      </c>
      <c r="BP344" s="642">
        <f t="shared" si="54"/>
        <v>1000000000.0</v>
      </c>
      <c r="BQ344" s="642">
        <f t="shared" si="54"/>
        <v>1000000000.0</v>
      </c>
      <c r="BR344" s="642">
        <f t="shared" si="54"/>
        <v>1000000000.0</v>
      </c>
      <c r="BS344" s="642">
        <f t="shared" ca="1" si="54"/>
        <v>187.03065757490197</v>
      </c>
      <c r="BT344" s="642">
        <f t="shared" ca="1" si="54"/>
        <v>187.030657574902</v>
      </c>
      <c r="BU344" s="642">
        <f t="shared" ca="1" si="54"/>
        <v>187.030657574902</v>
      </c>
      <c r="BV344" s="642">
        <f t="shared" ca="1" si="55"/>
        <v>187.03065757490197</v>
      </c>
      <c r="BW344" s="642">
        <f t="shared" ca="1" si="55"/>
        <v>187.03065757490197</v>
      </c>
      <c r="BX344" s="642">
        <f t="shared" ca="1" si="55"/>
        <v>187.030657574902</v>
      </c>
      <c r="BY344" s="642">
        <f t="shared" ca="1" si="55"/>
        <v>187.03065757490197</v>
      </c>
      <c r="BZ344" s="642">
        <f t="shared" ca="1" si="55"/>
        <v>187.03065757490197</v>
      </c>
      <c r="CA344" s="642">
        <f t="shared" ca="1" si="55"/>
        <v>187.03065757490197</v>
      </c>
      <c r="CB344" s="642">
        <f t="shared" ca="1" si="55"/>
        <v>187.030657574902</v>
      </c>
      <c r="CC344" s="642">
        <f t="shared" ca="1" si="55"/>
        <v>187.03065757490197</v>
      </c>
      <c r="CD344" s="642">
        <f t="shared" ca="1" si="55"/>
        <v>187.03065757490197</v>
      </c>
      <c r="CE344" s="642">
        <f t="shared" ca="1" si="55"/>
        <v>187.030657574902</v>
      </c>
      <c r="CF344" s="642">
        <f t="shared" ca="1" si="56"/>
        <v>187.030657574902</v>
      </c>
      <c r="CG344" s="642">
        <f t="shared" ca="1" si="56"/>
        <v>187.03065757490197</v>
      </c>
      <c r="CH344" s="642">
        <f t="shared" ca="1" si="56"/>
        <v>187.03065757490197</v>
      </c>
      <c r="CI344" s="642">
        <f t="shared" ca="1" si="56"/>
        <v>187.030657574902</v>
      </c>
      <c r="CJ344" s="642">
        <f t="shared" ca="1" si="56"/>
        <v>187.03065757490197</v>
      </c>
      <c r="CK344" s="642">
        <f t="shared" ca="1" si="56"/>
        <v>187.03065757490197</v>
      </c>
      <c r="CL344" s="642">
        <f t="shared" ca="1" si="56"/>
        <v>187.03065757490197</v>
      </c>
      <c r="CM344" s="642">
        <f t="shared" ca="1" si="56"/>
        <v>187.03065757490197</v>
      </c>
      <c r="CN344" s="642">
        <f t="shared" ca="1" si="46"/>
        <v>187.03065757490197</v>
      </c>
      <c r="CO344" s="642">
        <f>2*$AD$61*MAX(0,$J$58+I344-$J$64)+IF(L344&lt;$J$38,1000000,0)</f>
        <v>117.16684658823529</v>
      </c>
      <c r="CP344" s="642">
        <f>2*IF($J$175&gt;0,IF($J$392/MIN($J$175,K344)&gt;$M$5*VLOOKUP($L$5,Taxas!$V$22:$W$30,2)/L344,$J$391/MIN($J$175,K344),$J$389/L344),$J$389/L344)</f>
        <v>0.3828154026666668</v>
      </c>
    </row>
    <row r="345" spans="9:94" hidden="1" x14ac:dyDescent="0.25">
      <c r="I345" s="642">
        <f>MIN(5*43,$J$57/2)</f>
        <v>215.0</v>
      </c>
      <c r="J345" s="646">
        <f t="shared" ca="1" si="44"/>
        <v>0.048859517098708304</v>
      </c>
      <c r="K345" s="642">
        <f t="shared" ca="1" si="45"/>
        <v>30.0</v>
      </c>
      <c r="L345" s="642">
        <f ca="1">MIN(ROUNDDOWN($M$5*VLOOKUP($L$5,Taxas!$V$22:$W$30,2)/J345*2,0)/2,K345)</f>
        <v>30.0</v>
      </c>
      <c r="M345" s="642">
        <f ca="1">MIN(ROUNDDOWN($M$6*VLOOKUP($L$6,Taxas!$V$22:$W$30,2)/J345*2,0)/2,K345)</f>
        <v>30.0</v>
      </c>
      <c r="N345" s="642">
        <f t="shared" si="49"/>
        <v>1000000000.0</v>
      </c>
      <c r="O345" s="642">
        <f t="shared" si="49"/>
        <v>1000000000.0</v>
      </c>
      <c r="P345" s="642">
        <f t="shared" si="49"/>
        <v>1000000000.0</v>
      </c>
      <c r="Q345" s="642">
        <f t="shared" si="49"/>
        <v>1000000000.0</v>
      </c>
      <c r="R345" s="642">
        <f t="shared" si="49"/>
        <v>1000000000.0</v>
      </c>
      <c r="S345" s="642">
        <f t="shared" si="49"/>
        <v>1000000000.0</v>
      </c>
      <c r="T345" s="642">
        <f t="shared" si="49"/>
        <v>1000000000.0</v>
      </c>
      <c r="U345" s="642">
        <f t="shared" si="49"/>
        <v>1000000000.0</v>
      </c>
      <c r="V345" s="642">
        <f t="shared" si="49"/>
        <v>1000000000.0</v>
      </c>
      <c r="W345" s="642">
        <f t="shared" si="49"/>
        <v>1000000000.0</v>
      </c>
      <c r="X345" s="642">
        <f t="shared" si="50"/>
        <v>1000000000.0</v>
      </c>
      <c r="Y345" s="642">
        <f t="shared" si="50"/>
        <v>1000000000.0</v>
      </c>
      <c r="Z345" s="642">
        <f t="shared" si="50"/>
        <v>1000000000.0</v>
      </c>
      <c r="AA345" s="642">
        <f t="shared" si="50"/>
        <v>1000000000.0</v>
      </c>
      <c r="AB345" s="642">
        <f t="shared" si="50"/>
        <v>1000000000.0</v>
      </c>
      <c r="AC345" s="642">
        <f t="shared" si="50"/>
        <v>1000000000.0</v>
      </c>
      <c r="AD345" s="642">
        <f t="shared" si="50"/>
        <v>1000000000.0</v>
      </c>
      <c r="AE345" s="642">
        <f t="shared" si="50"/>
        <v>1000000000.0</v>
      </c>
      <c r="AF345" s="642">
        <f t="shared" si="50"/>
        <v>1000000000.0</v>
      </c>
      <c r="AG345" s="642">
        <f t="shared" si="50"/>
        <v>1000000000.0</v>
      </c>
      <c r="AH345" s="642">
        <f t="shared" si="51"/>
        <v>1000000000.0</v>
      </c>
      <c r="AI345" s="642">
        <f t="shared" si="51"/>
        <v>1000000000.0</v>
      </c>
      <c r="AJ345" s="642">
        <f t="shared" si="51"/>
        <v>1000000000.0</v>
      </c>
      <c r="AK345" s="642">
        <f t="shared" si="51"/>
        <v>1000000000.0</v>
      </c>
      <c r="AL345" s="642">
        <f t="shared" si="51"/>
        <v>1000000000.0</v>
      </c>
      <c r="AM345" s="642">
        <f t="shared" si="51"/>
        <v>1000000000.0</v>
      </c>
      <c r="AN345" s="642">
        <f t="shared" si="51"/>
        <v>1000000000.0</v>
      </c>
      <c r="AO345" s="642">
        <f t="shared" si="51"/>
        <v>1000000000.0</v>
      </c>
      <c r="AP345" s="642">
        <f t="shared" si="51"/>
        <v>1000000000.0</v>
      </c>
      <c r="AQ345" s="642">
        <f t="shared" si="51"/>
        <v>1000000000.0</v>
      </c>
      <c r="AR345" s="642">
        <f t="shared" si="52"/>
        <v>1000000000.0</v>
      </c>
      <c r="AS345" s="642">
        <f t="shared" si="52"/>
        <v>1000000000.0</v>
      </c>
      <c r="AT345" s="642">
        <f t="shared" si="52"/>
        <v>1000000000.0</v>
      </c>
      <c r="AU345" s="642">
        <f t="shared" si="52"/>
        <v>1000000000.0</v>
      </c>
      <c r="AV345" s="642">
        <f t="shared" si="52"/>
        <v>1000000000.0</v>
      </c>
      <c r="AW345" s="642">
        <f t="shared" si="52"/>
        <v>1000000000.0</v>
      </c>
      <c r="AX345" s="642">
        <f t="shared" si="52"/>
        <v>1000000000.0</v>
      </c>
      <c r="AY345" s="642">
        <f t="shared" si="52"/>
        <v>1000000000.0</v>
      </c>
      <c r="AZ345" s="642">
        <f t="shared" si="52"/>
        <v>1000000000.0</v>
      </c>
      <c r="BA345" s="642">
        <f t="shared" si="52"/>
        <v>1000000000.0</v>
      </c>
      <c r="BB345" s="642">
        <f t="shared" si="53"/>
        <v>1000000000.0</v>
      </c>
      <c r="BC345" s="642">
        <f t="shared" si="53"/>
        <v>1000000000.0</v>
      </c>
      <c r="BD345" s="642">
        <f t="shared" si="53"/>
        <v>1000000000.0</v>
      </c>
      <c r="BE345" s="642">
        <f t="shared" si="53"/>
        <v>1000000000.0</v>
      </c>
      <c r="BF345" s="642">
        <f t="shared" si="53"/>
        <v>1000000000.0</v>
      </c>
      <c r="BG345" s="642">
        <f t="shared" si="53"/>
        <v>1000000000.0</v>
      </c>
      <c r="BH345" s="642">
        <f t="shared" si="53"/>
        <v>1000000000.0</v>
      </c>
      <c r="BI345" s="642">
        <f t="shared" si="53"/>
        <v>1000000000.0</v>
      </c>
      <c r="BJ345" s="642">
        <f t="shared" si="53"/>
        <v>1000000000.0</v>
      </c>
      <c r="BK345" s="642">
        <f t="shared" si="53"/>
        <v>1000000000.0</v>
      </c>
      <c r="BL345" s="642">
        <f t="shared" si="54"/>
        <v>1000000000.0</v>
      </c>
      <c r="BM345" s="642">
        <f t="shared" si="54"/>
        <v>1000000000.0</v>
      </c>
      <c r="BN345" s="642">
        <f t="shared" si="54"/>
        <v>1000000000.0</v>
      </c>
      <c r="BO345" s="642">
        <f t="shared" si="54"/>
        <v>1000000000.0</v>
      </c>
      <c r="BP345" s="642">
        <f t="shared" si="54"/>
        <v>1000000000.0</v>
      </c>
      <c r="BQ345" s="642">
        <f t="shared" si="54"/>
        <v>1000000000.0</v>
      </c>
      <c r="BR345" s="642">
        <f t="shared" si="54"/>
        <v>1000000000.0</v>
      </c>
      <c r="BS345" s="642">
        <f t="shared" si="54"/>
        <v>1000000000.0</v>
      </c>
      <c r="BT345" s="642">
        <f t="shared" ca="1" si="54"/>
        <v>187.7554735027451</v>
      </c>
      <c r="BU345" s="642">
        <f t="shared" ca="1" si="54"/>
        <v>187.75547350274513</v>
      </c>
      <c r="BV345" s="642">
        <f t="shared" ca="1" si="55"/>
        <v>187.75547350274513</v>
      </c>
      <c r="BW345" s="642">
        <f t="shared" ca="1" si="55"/>
        <v>187.7554735027451</v>
      </c>
      <c r="BX345" s="642">
        <f t="shared" ca="1" si="55"/>
        <v>187.75547350274513</v>
      </c>
      <c r="BY345" s="642">
        <f t="shared" ca="1" si="55"/>
        <v>187.75547350274513</v>
      </c>
      <c r="BZ345" s="642">
        <f t="shared" ca="1" si="55"/>
        <v>187.75547350274513</v>
      </c>
      <c r="CA345" s="642">
        <f t="shared" ca="1" si="55"/>
        <v>187.7554735027451</v>
      </c>
      <c r="CB345" s="642">
        <f t="shared" ca="1" si="55"/>
        <v>187.75547350274513</v>
      </c>
      <c r="CC345" s="642">
        <f t="shared" ca="1" si="55"/>
        <v>187.75547350274513</v>
      </c>
      <c r="CD345" s="642">
        <f t="shared" ca="1" si="55"/>
        <v>187.75547350274513</v>
      </c>
      <c r="CE345" s="642">
        <f t="shared" ca="1" si="55"/>
        <v>187.75547350274513</v>
      </c>
      <c r="CF345" s="642">
        <f t="shared" ca="1" si="56"/>
        <v>187.75547350274513</v>
      </c>
      <c r="CG345" s="642">
        <f t="shared" ca="1" si="56"/>
        <v>187.75547350274513</v>
      </c>
      <c r="CH345" s="642">
        <f t="shared" ca="1" si="56"/>
        <v>187.75547350274513</v>
      </c>
      <c r="CI345" s="642">
        <f t="shared" ca="1" si="56"/>
        <v>187.75547350274513</v>
      </c>
      <c r="CJ345" s="642">
        <f t="shared" ca="1" si="56"/>
        <v>187.75547350274513</v>
      </c>
      <c r="CK345" s="642">
        <f t="shared" ca="1" si="56"/>
        <v>187.75547350274513</v>
      </c>
      <c r="CL345" s="642">
        <f t="shared" ca="1" si="56"/>
        <v>187.75547350274513</v>
      </c>
      <c r="CM345" s="642">
        <f t="shared" ca="1" si="56"/>
        <v>187.75547350274513</v>
      </c>
      <c r="CN345" s="642">
        <f t="shared" ca="1" si="46"/>
        <v>187.7554735027451</v>
      </c>
      <c r="CO345" s="642">
        <f>2*$AD$61*MAX(0,$J$58+I345-$J$64)+IF(L345&lt;$J$38,1000000,0)</f>
        <v>119.80573952941177</v>
      </c>
      <c r="CP345" s="642">
        <f>2*IF($J$175&gt;0,IF($J$392/MIN($J$175,K345)&gt;$M$5*VLOOKUP($L$5,Taxas!$V$22:$W$30,2)/L345,$J$391/MIN($J$175,K345),$J$389/L345),$J$389/L345)</f>
        <v>0.3828154026666668</v>
      </c>
    </row>
    <row r="346" spans="9:94" hidden="1" x14ac:dyDescent="0.25">
      <c r="I346" s="642">
        <f>MIN(5*44,$J$57/2)</f>
        <v>220.0</v>
      </c>
      <c r="J346" s="646">
        <f t="shared" ca="1" si="44"/>
        <v>0.048859517098708304</v>
      </c>
      <c r="K346" s="642">
        <f t="shared" ca="1" si="45"/>
        <v>30.0</v>
      </c>
      <c r="L346" s="642">
        <f ca="1">MIN(ROUNDDOWN($M$5*VLOOKUP($L$5,Taxas!$V$22:$W$30,2)/J346*2,0)/2,K346)</f>
        <v>30.0</v>
      </c>
      <c r="M346" s="642">
        <f ca="1">MIN(ROUNDDOWN($M$6*VLOOKUP($L$6,Taxas!$V$22:$W$30,2)/J346*2,0)/2,K346)</f>
        <v>30.0</v>
      </c>
      <c r="N346" s="642">
        <f t="shared" si="49"/>
        <v>1000000000.0</v>
      </c>
      <c r="O346" s="642">
        <f t="shared" si="49"/>
        <v>1000000000.0</v>
      </c>
      <c r="P346" s="642">
        <f t="shared" si="49"/>
        <v>1000000000.0</v>
      </c>
      <c r="Q346" s="642">
        <f t="shared" si="49"/>
        <v>1000000000.0</v>
      </c>
      <c r="R346" s="642">
        <f t="shared" si="49"/>
        <v>1000000000.0</v>
      </c>
      <c r="S346" s="642">
        <f t="shared" si="49"/>
        <v>1000000000.0</v>
      </c>
      <c r="T346" s="642">
        <f t="shared" si="49"/>
        <v>1000000000.0</v>
      </c>
      <c r="U346" s="642">
        <f t="shared" si="49"/>
        <v>1000000000.0</v>
      </c>
      <c r="V346" s="642">
        <f t="shared" si="49"/>
        <v>1000000000.0</v>
      </c>
      <c r="W346" s="642">
        <f t="shared" si="49"/>
        <v>1000000000.0</v>
      </c>
      <c r="X346" s="642">
        <f t="shared" si="50"/>
        <v>1000000000.0</v>
      </c>
      <c r="Y346" s="642">
        <f t="shared" si="50"/>
        <v>1000000000.0</v>
      </c>
      <c r="Z346" s="642">
        <f t="shared" si="50"/>
        <v>1000000000.0</v>
      </c>
      <c r="AA346" s="642">
        <f t="shared" si="50"/>
        <v>1000000000.0</v>
      </c>
      <c r="AB346" s="642">
        <f t="shared" si="50"/>
        <v>1000000000.0</v>
      </c>
      <c r="AC346" s="642">
        <f t="shared" si="50"/>
        <v>1000000000.0</v>
      </c>
      <c r="AD346" s="642">
        <f t="shared" si="50"/>
        <v>1000000000.0</v>
      </c>
      <c r="AE346" s="642">
        <f t="shared" si="50"/>
        <v>1000000000.0</v>
      </c>
      <c r="AF346" s="642">
        <f t="shared" si="50"/>
        <v>1000000000.0</v>
      </c>
      <c r="AG346" s="642">
        <f t="shared" si="50"/>
        <v>1000000000.0</v>
      </c>
      <c r="AH346" s="642">
        <f t="shared" si="51"/>
        <v>1000000000.0</v>
      </c>
      <c r="AI346" s="642">
        <f t="shared" si="51"/>
        <v>1000000000.0</v>
      </c>
      <c r="AJ346" s="642">
        <f t="shared" si="51"/>
        <v>1000000000.0</v>
      </c>
      <c r="AK346" s="642">
        <f t="shared" si="51"/>
        <v>1000000000.0</v>
      </c>
      <c r="AL346" s="642">
        <f t="shared" si="51"/>
        <v>1000000000.0</v>
      </c>
      <c r="AM346" s="642">
        <f t="shared" si="51"/>
        <v>1000000000.0</v>
      </c>
      <c r="AN346" s="642">
        <f t="shared" si="51"/>
        <v>1000000000.0</v>
      </c>
      <c r="AO346" s="642">
        <f t="shared" si="51"/>
        <v>1000000000.0</v>
      </c>
      <c r="AP346" s="642">
        <f t="shared" si="51"/>
        <v>1000000000.0</v>
      </c>
      <c r="AQ346" s="642">
        <f t="shared" si="51"/>
        <v>1000000000.0</v>
      </c>
      <c r="AR346" s="642">
        <f t="shared" si="52"/>
        <v>1000000000.0</v>
      </c>
      <c r="AS346" s="642">
        <f t="shared" si="52"/>
        <v>1000000000.0</v>
      </c>
      <c r="AT346" s="642">
        <f t="shared" si="52"/>
        <v>1000000000.0</v>
      </c>
      <c r="AU346" s="642">
        <f t="shared" si="52"/>
        <v>1000000000.0</v>
      </c>
      <c r="AV346" s="642">
        <f t="shared" si="52"/>
        <v>1000000000.0</v>
      </c>
      <c r="AW346" s="642">
        <f t="shared" si="52"/>
        <v>1000000000.0</v>
      </c>
      <c r="AX346" s="642">
        <f t="shared" si="52"/>
        <v>1000000000.0</v>
      </c>
      <c r="AY346" s="642">
        <f t="shared" si="52"/>
        <v>1000000000.0</v>
      </c>
      <c r="AZ346" s="642">
        <f t="shared" si="52"/>
        <v>1000000000.0</v>
      </c>
      <c r="BA346" s="642">
        <f t="shared" si="52"/>
        <v>1000000000.0</v>
      </c>
      <c r="BB346" s="642">
        <f t="shared" si="53"/>
        <v>1000000000.0</v>
      </c>
      <c r="BC346" s="642">
        <f t="shared" si="53"/>
        <v>1000000000.0</v>
      </c>
      <c r="BD346" s="642">
        <f t="shared" si="53"/>
        <v>1000000000.0</v>
      </c>
      <c r="BE346" s="642">
        <f t="shared" si="53"/>
        <v>1000000000.0</v>
      </c>
      <c r="BF346" s="642">
        <f t="shared" si="53"/>
        <v>1000000000.0</v>
      </c>
      <c r="BG346" s="642">
        <f t="shared" si="53"/>
        <v>1000000000.0</v>
      </c>
      <c r="BH346" s="642">
        <f t="shared" si="53"/>
        <v>1000000000.0</v>
      </c>
      <c r="BI346" s="642">
        <f t="shared" si="53"/>
        <v>1000000000.0</v>
      </c>
      <c r="BJ346" s="642">
        <f t="shared" si="53"/>
        <v>1000000000.0</v>
      </c>
      <c r="BK346" s="642">
        <f t="shared" si="53"/>
        <v>1000000000.0</v>
      </c>
      <c r="BL346" s="642">
        <f t="shared" si="54"/>
        <v>1000000000.0</v>
      </c>
      <c r="BM346" s="642">
        <f t="shared" si="54"/>
        <v>1000000000.0</v>
      </c>
      <c r="BN346" s="642">
        <f t="shared" si="54"/>
        <v>1000000000.0</v>
      </c>
      <c r="BO346" s="642">
        <f t="shared" si="54"/>
        <v>1000000000.0</v>
      </c>
      <c r="BP346" s="642">
        <f t="shared" si="54"/>
        <v>1000000000.0</v>
      </c>
      <c r="BQ346" s="642">
        <f t="shared" si="54"/>
        <v>1000000000.0</v>
      </c>
      <c r="BR346" s="642">
        <f t="shared" si="54"/>
        <v>1000000000.0</v>
      </c>
      <c r="BS346" s="642">
        <f t="shared" si="54"/>
        <v>1000000000.0</v>
      </c>
      <c r="BT346" s="642">
        <f t="shared" si="54"/>
        <v>1000000000.0</v>
      </c>
      <c r="BU346" s="642">
        <f t="shared" ca="1" si="54"/>
        <v>188.48028943058824</v>
      </c>
      <c r="BV346" s="642">
        <f t="shared" ca="1" si="55"/>
        <v>188.48028943058827</v>
      </c>
      <c r="BW346" s="642">
        <f t="shared" ca="1" si="55"/>
        <v>188.48028943058827</v>
      </c>
      <c r="BX346" s="642">
        <f t="shared" ca="1" si="55"/>
        <v>188.48028943058824</v>
      </c>
      <c r="BY346" s="642">
        <f t="shared" ca="1" si="55"/>
        <v>188.48028943058824</v>
      </c>
      <c r="BZ346" s="642">
        <f t="shared" ca="1" si="55"/>
        <v>188.48028943058827</v>
      </c>
      <c r="CA346" s="642">
        <f t="shared" ca="1" si="55"/>
        <v>188.48028943058824</v>
      </c>
      <c r="CB346" s="642">
        <f t="shared" ca="1" si="55"/>
        <v>188.48028943058824</v>
      </c>
      <c r="CC346" s="642">
        <f t="shared" ca="1" si="55"/>
        <v>188.48028943058824</v>
      </c>
      <c r="CD346" s="642">
        <f t="shared" ca="1" si="55"/>
        <v>188.48028943058827</v>
      </c>
      <c r="CE346" s="642">
        <f t="shared" ca="1" si="55"/>
        <v>188.48028943058824</v>
      </c>
      <c r="CF346" s="642">
        <f t="shared" ca="1" si="56"/>
        <v>188.48028943058824</v>
      </c>
      <c r="CG346" s="642">
        <f t="shared" ca="1" si="56"/>
        <v>188.48028943058827</v>
      </c>
      <c r="CH346" s="642">
        <f t="shared" ca="1" si="56"/>
        <v>188.48028943058824</v>
      </c>
      <c r="CI346" s="642">
        <f t="shared" ca="1" si="56"/>
        <v>188.48028943058824</v>
      </c>
      <c r="CJ346" s="642">
        <f t="shared" ca="1" si="56"/>
        <v>188.48028943058824</v>
      </c>
      <c r="CK346" s="642">
        <f t="shared" ca="1" si="56"/>
        <v>188.48028943058824</v>
      </c>
      <c r="CL346" s="642">
        <f t="shared" ca="1" si="56"/>
        <v>188.48028943058824</v>
      </c>
      <c r="CM346" s="642">
        <f t="shared" ca="1" si="56"/>
        <v>188.48028943058824</v>
      </c>
      <c r="CN346" s="642">
        <f t="shared" ca="1" si="46"/>
        <v>188.48028943058824</v>
      </c>
      <c r="CO346" s="642">
        <f>2*$AD$61*MAX(0,$J$58+I346-$J$64)+IF(L346&lt;$J$38,1000000,0)</f>
        <v>122.44463247058823</v>
      </c>
      <c r="CP346" s="642">
        <f>2*IF($J$175&gt;0,IF($J$392/MIN($J$175,K346)&gt;$M$5*VLOOKUP($L$5,Taxas!$V$22:$W$30,2)/L346,$J$391/MIN($J$175,K346),$J$389/L346),$J$389/L346)</f>
        <v>0.3828154026666668</v>
      </c>
    </row>
    <row r="347" spans="9:94" hidden="1" x14ac:dyDescent="0.25">
      <c r="I347" s="642">
        <f>MIN(5*45,$J$57/2)</f>
        <v>225.0</v>
      </c>
      <c r="J347" s="646">
        <f t="shared" ca="1" si="44"/>
        <v>0.048859517098708304</v>
      </c>
      <c r="K347" s="642">
        <f t="shared" ca="1" si="45"/>
        <v>30.0</v>
      </c>
      <c r="L347" s="642">
        <f ca="1">MIN(ROUNDDOWN($M$5*VLOOKUP($L$5,Taxas!$V$22:$W$30,2)/J347*2,0)/2,K347)</f>
        <v>30.0</v>
      </c>
      <c r="M347" s="642">
        <f ca="1">MIN(ROUNDDOWN($M$6*VLOOKUP($L$6,Taxas!$V$22:$W$30,2)/J347*2,0)/2,K347)</f>
        <v>30.0</v>
      </c>
      <c r="N347" s="642">
        <f t="shared" si="49"/>
        <v>1000000000.0</v>
      </c>
      <c r="O347" s="642">
        <f t="shared" si="49"/>
        <v>1000000000.0</v>
      </c>
      <c r="P347" s="642">
        <f t="shared" si="49"/>
        <v>1000000000.0</v>
      </c>
      <c r="Q347" s="642">
        <f t="shared" si="49"/>
        <v>1000000000.0</v>
      </c>
      <c r="R347" s="642">
        <f t="shared" si="49"/>
        <v>1000000000.0</v>
      </c>
      <c r="S347" s="642">
        <f t="shared" si="49"/>
        <v>1000000000.0</v>
      </c>
      <c r="T347" s="642">
        <f t="shared" si="49"/>
        <v>1000000000.0</v>
      </c>
      <c r="U347" s="642">
        <f t="shared" si="49"/>
        <v>1000000000.0</v>
      </c>
      <c r="V347" s="642">
        <f t="shared" si="49"/>
        <v>1000000000.0</v>
      </c>
      <c r="W347" s="642">
        <f t="shared" si="49"/>
        <v>1000000000.0</v>
      </c>
      <c r="X347" s="642">
        <f t="shared" si="50"/>
        <v>1000000000.0</v>
      </c>
      <c r="Y347" s="642">
        <f t="shared" si="50"/>
        <v>1000000000.0</v>
      </c>
      <c r="Z347" s="642">
        <f t="shared" si="50"/>
        <v>1000000000.0</v>
      </c>
      <c r="AA347" s="642">
        <f t="shared" si="50"/>
        <v>1000000000.0</v>
      </c>
      <c r="AB347" s="642">
        <f t="shared" si="50"/>
        <v>1000000000.0</v>
      </c>
      <c r="AC347" s="642">
        <f t="shared" si="50"/>
        <v>1000000000.0</v>
      </c>
      <c r="AD347" s="642">
        <f t="shared" si="50"/>
        <v>1000000000.0</v>
      </c>
      <c r="AE347" s="642">
        <f t="shared" si="50"/>
        <v>1000000000.0</v>
      </c>
      <c r="AF347" s="642">
        <f t="shared" si="50"/>
        <v>1000000000.0</v>
      </c>
      <c r="AG347" s="642">
        <f t="shared" si="50"/>
        <v>1000000000.0</v>
      </c>
      <c r="AH347" s="642">
        <f t="shared" si="51"/>
        <v>1000000000.0</v>
      </c>
      <c r="AI347" s="642">
        <f t="shared" si="51"/>
        <v>1000000000.0</v>
      </c>
      <c r="AJ347" s="642">
        <f t="shared" si="51"/>
        <v>1000000000.0</v>
      </c>
      <c r="AK347" s="642">
        <f t="shared" si="51"/>
        <v>1000000000.0</v>
      </c>
      <c r="AL347" s="642">
        <f t="shared" si="51"/>
        <v>1000000000.0</v>
      </c>
      <c r="AM347" s="642">
        <f t="shared" si="51"/>
        <v>1000000000.0</v>
      </c>
      <c r="AN347" s="642">
        <f t="shared" si="51"/>
        <v>1000000000.0</v>
      </c>
      <c r="AO347" s="642">
        <f t="shared" si="51"/>
        <v>1000000000.0</v>
      </c>
      <c r="AP347" s="642">
        <f t="shared" si="51"/>
        <v>1000000000.0</v>
      </c>
      <c r="AQ347" s="642">
        <f t="shared" si="51"/>
        <v>1000000000.0</v>
      </c>
      <c r="AR347" s="642">
        <f t="shared" si="52"/>
        <v>1000000000.0</v>
      </c>
      <c r="AS347" s="642">
        <f t="shared" si="52"/>
        <v>1000000000.0</v>
      </c>
      <c r="AT347" s="642">
        <f t="shared" si="52"/>
        <v>1000000000.0</v>
      </c>
      <c r="AU347" s="642">
        <f t="shared" si="52"/>
        <v>1000000000.0</v>
      </c>
      <c r="AV347" s="642">
        <f t="shared" si="52"/>
        <v>1000000000.0</v>
      </c>
      <c r="AW347" s="642">
        <f t="shared" si="52"/>
        <v>1000000000.0</v>
      </c>
      <c r="AX347" s="642">
        <f t="shared" si="52"/>
        <v>1000000000.0</v>
      </c>
      <c r="AY347" s="642">
        <f t="shared" si="52"/>
        <v>1000000000.0</v>
      </c>
      <c r="AZ347" s="642">
        <f t="shared" si="52"/>
        <v>1000000000.0</v>
      </c>
      <c r="BA347" s="642">
        <f t="shared" si="52"/>
        <v>1000000000.0</v>
      </c>
      <c r="BB347" s="642">
        <f t="shared" si="53"/>
        <v>1000000000.0</v>
      </c>
      <c r="BC347" s="642">
        <f t="shared" si="53"/>
        <v>1000000000.0</v>
      </c>
      <c r="BD347" s="642">
        <f t="shared" si="53"/>
        <v>1000000000.0</v>
      </c>
      <c r="BE347" s="642">
        <f t="shared" si="53"/>
        <v>1000000000.0</v>
      </c>
      <c r="BF347" s="642">
        <f t="shared" si="53"/>
        <v>1000000000.0</v>
      </c>
      <c r="BG347" s="642">
        <f t="shared" si="53"/>
        <v>1000000000.0</v>
      </c>
      <c r="BH347" s="642">
        <f t="shared" si="53"/>
        <v>1000000000.0</v>
      </c>
      <c r="BI347" s="642">
        <f t="shared" si="53"/>
        <v>1000000000.0</v>
      </c>
      <c r="BJ347" s="642">
        <f t="shared" si="53"/>
        <v>1000000000.0</v>
      </c>
      <c r="BK347" s="642">
        <f t="shared" si="53"/>
        <v>1000000000.0</v>
      </c>
      <c r="BL347" s="642">
        <f t="shared" si="54"/>
        <v>1000000000.0</v>
      </c>
      <c r="BM347" s="642">
        <f t="shared" si="54"/>
        <v>1000000000.0</v>
      </c>
      <c r="BN347" s="642">
        <f t="shared" si="54"/>
        <v>1000000000.0</v>
      </c>
      <c r="BO347" s="642">
        <f t="shared" si="54"/>
        <v>1000000000.0</v>
      </c>
      <c r="BP347" s="642">
        <f t="shared" si="54"/>
        <v>1000000000.0</v>
      </c>
      <c r="BQ347" s="642">
        <f t="shared" si="54"/>
        <v>1000000000.0</v>
      </c>
      <c r="BR347" s="642">
        <f t="shared" si="54"/>
        <v>1000000000.0</v>
      </c>
      <c r="BS347" s="642">
        <f t="shared" si="54"/>
        <v>1000000000.0</v>
      </c>
      <c r="BT347" s="642">
        <f t="shared" si="54"/>
        <v>1000000000.0</v>
      </c>
      <c r="BU347" s="642">
        <f t="shared" si="54"/>
        <v>1000000000.0</v>
      </c>
      <c r="BV347" s="642">
        <f t="shared" ca="1" si="55"/>
        <v>189.20510535843138</v>
      </c>
      <c r="BW347" s="642">
        <f t="shared" ca="1" si="55"/>
        <v>189.2051053584314</v>
      </c>
      <c r="BX347" s="642">
        <f t="shared" ca="1" si="55"/>
        <v>189.2051053584314</v>
      </c>
      <c r="BY347" s="642">
        <f t="shared" ca="1" si="55"/>
        <v>189.20510535843138</v>
      </c>
      <c r="BZ347" s="642">
        <f t="shared" ca="1" si="55"/>
        <v>189.2051053584314</v>
      </c>
      <c r="CA347" s="642">
        <f t="shared" ca="1" si="55"/>
        <v>189.2051053584314</v>
      </c>
      <c r="CB347" s="642">
        <f t="shared" ca="1" si="55"/>
        <v>189.2051053584314</v>
      </c>
      <c r="CC347" s="642">
        <f t="shared" ca="1" si="55"/>
        <v>189.20510535843138</v>
      </c>
      <c r="CD347" s="642">
        <f t="shared" ca="1" si="55"/>
        <v>189.2051053584314</v>
      </c>
      <c r="CE347" s="642">
        <f t="shared" ca="1" si="55"/>
        <v>189.2051053584314</v>
      </c>
      <c r="CF347" s="642">
        <f t="shared" ca="1" si="56"/>
        <v>189.2051053584314</v>
      </c>
      <c r="CG347" s="642">
        <f t="shared" ca="1" si="56"/>
        <v>189.2051053584314</v>
      </c>
      <c r="CH347" s="642">
        <f t="shared" ca="1" si="56"/>
        <v>189.2051053584314</v>
      </c>
      <c r="CI347" s="642">
        <f t="shared" ca="1" si="56"/>
        <v>189.2051053584314</v>
      </c>
      <c r="CJ347" s="642">
        <f t="shared" ca="1" si="56"/>
        <v>189.20510535843138</v>
      </c>
      <c r="CK347" s="642">
        <f t="shared" ca="1" si="56"/>
        <v>189.2051053584314</v>
      </c>
      <c r="CL347" s="642">
        <f t="shared" ca="1" si="56"/>
        <v>189.2051053584314</v>
      </c>
      <c r="CM347" s="642">
        <f t="shared" ca="1" si="56"/>
        <v>189.2051053584314</v>
      </c>
      <c r="CN347" s="642">
        <f t="shared" ca="1" si="46"/>
        <v>189.20510535843138</v>
      </c>
      <c r="CO347" s="642">
        <f>2*$AD$61*MAX(0,$J$58+I347-$J$64)+IF(L347&lt;$J$38,1000000,0)</f>
        <v>125.08352541176471</v>
      </c>
      <c r="CP347" s="642">
        <f>2*IF($J$175&gt;0,IF($J$392/MIN($J$175,K347)&gt;$M$5*VLOOKUP($L$5,Taxas!$V$22:$W$30,2)/L347,$J$391/MIN($J$175,K347),$J$389/L347),$J$389/L347)</f>
        <v>0.3828154026666668</v>
      </c>
    </row>
    <row r="348" spans="9:94" hidden="1" x14ac:dyDescent="0.25">
      <c r="I348" s="642">
        <f>MIN(5*46,$J$57/2)</f>
        <v>230.0</v>
      </c>
      <c r="J348" s="646">
        <f t="shared" ca="1" si="44"/>
        <v>0.048859517098708304</v>
      </c>
      <c r="K348" s="642">
        <f t="shared" ca="1" si="45"/>
        <v>30.0</v>
      </c>
      <c r="L348" s="642">
        <f ca="1">MIN(ROUNDDOWN($M$5*VLOOKUP($L$5,Taxas!$V$22:$W$30,2)/J348*2,0)/2,K348)</f>
        <v>30.0</v>
      </c>
      <c r="M348" s="642">
        <f ca="1">MIN(ROUNDDOWN($M$6*VLOOKUP($L$6,Taxas!$V$22:$W$30,2)/J348*2,0)/2,K348)</f>
        <v>30.0</v>
      </c>
      <c r="N348" s="642">
        <f t="shared" si="49"/>
        <v>1000000000.0</v>
      </c>
      <c r="O348" s="642">
        <f t="shared" si="49"/>
        <v>1000000000.0</v>
      </c>
      <c r="P348" s="642">
        <f t="shared" si="49"/>
        <v>1000000000.0</v>
      </c>
      <c r="Q348" s="642">
        <f t="shared" si="49"/>
        <v>1000000000.0</v>
      </c>
      <c r="R348" s="642">
        <f t="shared" si="49"/>
        <v>1000000000.0</v>
      </c>
      <c r="S348" s="642">
        <f t="shared" si="49"/>
        <v>1000000000.0</v>
      </c>
      <c r="T348" s="642">
        <f t="shared" si="49"/>
        <v>1000000000.0</v>
      </c>
      <c r="U348" s="642">
        <f t="shared" si="49"/>
        <v>1000000000.0</v>
      </c>
      <c r="V348" s="642">
        <f t="shared" si="49"/>
        <v>1000000000.0</v>
      </c>
      <c r="W348" s="642">
        <f t="shared" si="49"/>
        <v>1000000000.0</v>
      </c>
      <c r="X348" s="642">
        <f t="shared" si="50"/>
        <v>1000000000.0</v>
      </c>
      <c r="Y348" s="642">
        <f t="shared" si="50"/>
        <v>1000000000.0</v>
      </c>
      <c r="Z348" s="642">
        <f t="shared" si="50"/>
        <v>1000000000.0</v>
      </c>
      <c r="AA348" s="642">
        <f t="shared" si="50"/>
        <v>1000000000.0</v>
      </c>
      <c r="AB348" s="642">
        <f t="shared" si="50"/>
        <v>1000000000.0</v>
      </c>
      <c r="AC348" s="642">
        <f t="shared" si="50"/>
        <v>1000000000.0</v>
      </c>
      <c r="AD348" s="642">
        <f t="shared" si="50"/>
        <v>1000000000.0</v>
      </c>
      <c r="AE348" s="642">
        <f t="shared" si="50"/>
        <v>1000000000.0</v>
      </c>
      <c r="AF348" s="642">
        <f t="shared" si="50"/>
        <v>1000000000.0</v>
      </c>
      <c r="AG348" s="642">
        <f t="shared" si="50"/>
        <v>1000000000.0</v>
      </c>
      <c r="AH348" s="642">
        <f t="shared" si="51"/>
        <v>1000000000.0</v>
      </c>
      <c r="AI348" s="642">
        <f t="shared" si="51"/>
        <v>1000000000.0</v>
      </c>
      <c r="AJ348" s="642">
        <f t="shared" si="51"/>
        <v>1000000000.0</v>
      </c>
      <c r="AK348" s="642">
        <f t="shared" si="51"/>
        <v>1000000000.0</v>
      </c>
      <c r="AL348" s="642">
        <f t="shared" si="51"/>
        <v>1000000000.0</v>
      </c>
      <c r="AM348" s="642">
        <f t="shared" si="51"/>
        <v>1000000000.0</v>
      </c>
      <c r="AN348" s="642">
        <f t="shared" si="51"/>
        <v>1000000000.0</v>
      </c>
      <c r="AO348" s="642">
        <f t="shared" si="51"/>
        <v>1000000000.0</v>
      </c>
      <c r="AP348" s="642">
        <f t="shared" si="51"/>
        <v>1000000000.0</v>
      </c>
      <c r="AQ348" s="642">
        <f t="shared" si="51"/>
        <v>1000000000.0</v>
      </c>
      <c r="AR348" s="642">
        <f t="shared" si="52"/>
        <v>1000000000.0</v>
      </c>
      <c r="AS348" s="642">
        <f t="shared" si="52"/>
        <v>1000000000.0</v>
      </c>
      <c r="AT348" s="642">
        <f t="shared" si="52"/>
        <v>1000000000.0</v>
      </c>
      <c r="AU348" s="642">
        <f t="shared" si="52"/>
        <v>1000000000.0</v>
      </c>
      <c r="AV348" s="642">
        <f t="shared" si="52"/>
        <v>1000000000.0</v>
      </c>
      <c r="AW348" s="642">
        <f t="shared" si="52"/>
        <v>1000000000.0</v>
      </c>
      <c r="AX348" s="642">
        <f t="shared" si="52"/>
        <v>1000000000.0</v>
      </c>
      <c r="AY348" s="642">
        <f t="shared" si="52"/>
        <v>1000000000.0</v>
      </c>
      <c r="AZ348" s="642">
        <f t="shared" si="52"/>
        <v>1000000000.0</v>
      </c>
      <c r="BA348" s="642">
        <f t="shared" si="52"/>
        <v>1000000000.0</v>
      </c>
      <c r="BB348" s="642">
        <f t="shared" si="53"/>
        <v>1000000000.0</v>
      </c>
      <c r="BC348" s="642">
        <f t="shared" si="53"/>
        <v>1000000000.0</v>
      </c>
      <c r="BD348" s="642">
        <f t="shared" si="53"/>
        <v>1000000000.0</v>
      </c>
      <c r="BE348" s="642">
        <f t="shared" si="53"/>
        <v>1000000000.0</v>
      </c>
      <c r="BF348" s="642">
        <f t="shared" si="53"/>
        <v>1000000000.0</v>
      </c>
      <c r="BG348" s="642">
        <f t="shared" si="53"/>
        <v>1000000000.0</v>
      </c>
      <c r="BH348" s="642">
        <f t="shared" si="53"/>
        <v>1000000000.0</v>
      </c>
      <c r="BI348" s="642">
        <f t="shared" si="53"/>
        <v>1000000000.0</v>
      </c>
      <c r="BJ348" s="642">
        <f t="shared" si="53"/>
        <v>1000000000.0</v>
      </c>
      <c r="BK348" s="642">
        <f t="shared" si="53"/>
        <v>1000000000.0</v>
      </c>
      <c r="BL348" s="642">
        <f t="shared" si="54"/>
        <v>1000000000.0</v>
      </c>
      <c r="BM348" s="642">
        <f t="shared" si="54"/>
        <v>1000000000.0</v>
      </c>
      <c r="BN348" s="642">
        <f t="shared" si="54"/>
        <v>1000000000.0</v>
      </c>
      <c r="BO348" s="642">
        <f t="shared" si="54"/>
        <v>1000000000.0</v>
      </c>
      <c r="BP348" s="642">
        <f t="shared" si="54"/>
        <v>1000000000.0</v>
      </c>
      <c r="BQ348" s="642">
        <f t="shared" si="54"/>
        <v>1000000000.0</v>
      </c>
      <c r="BR348" s="642">
        <f t="shared" si="54"/>
        <v>1000000000.0</v>
      </c>
      <c r="BS348" s="642">
        <f t="shared" si="54"/>
        <v>1000000000.0</v>
      </c>
      <c r="BT348" s="642">
        <f t="shared" si="54"/>
        <v>1000000000.0</v>
      </c>
      <c r="BU348" s="642">
        <f t="shared" si="54"/>
        <v>1000000000.0</v>
      </c>
      <c r="BV348" s="642">
        <f t="shared" si="55"/>
        <v>1000000000.0</v>
      </c>
      <c r="BW348" s="642">
        <f t="shared" ca="1" si="55"/>
        <v>189.92992128627452</v>
      </c>
      <c r="BX348" s="642">
        <f t="shared" ca="1" si="55"/>
        <v>189.92992128627455</v>
      </c>
      <c r="BY348" s="642">
        <f t="shared" ca="1" si="55"/>
        <v>189.92992128627455</v>
      </c>
      <c r="BZ348" s="642">
        <f t="shared" ca="1" si="55"/>
        <v>189.92992128627452</v>
      </c>
      <c r="CA348" s="642">
        <f t="shared" ca="1" si="55"/>
        <v>189.92992128627452</v>
      </c>
      <c r="CB348" s="642">
        <f t="shared" ca="1" si="55"/>
        <v>189.92992128627455</v>
      </c>
      <c r="CC348" s="642">
        <f t="shared" ca="1" si="55"/>
        <v>189.92992128627452</v>
      </c>
      <c r="CD348" s="642">
        <f t="shared" ca="1" si="55"/>
        <v>189.92992128627452</v>
      </c>
      <c r="CE348" s="642">
        <f t="shared" ca="1" si="55"/>
        <v>189.92992128627452</v>
      </c>
      <c r="CF348" s="642">
        <f t="shared" ca="1" si="56"/>
        <v>189.92992128627455</v>
      </c>
      <c r="CG348" s="642">
        <f t="shared" ca="1" si="56"/>
        <v>189.92992128627452</v>
      </c>
      <c r="CH348" s="642">
        <f t="shared" ca="1" si="56"/>
        <v>189.92992128627452</v>
      </c>
      <c r="CI348" s="642">
        <f t="shared" ca="1" si="56"/>
        <v>189.92992128627455</v>
      </c>
      <c r="CJ348" s="642">
        <f t="shared" ca="1" si="56"/>
        <v>189.92992128627452</v>
      </c>
      <c r="CK348" s="642">
        <f t="shared" ca="1" si="56"/>
        <v>189.92992128627452</v>
      </c>
      <c r="CL348" s="642">
        <f t="shared" ca="1" si="56"/>
        <v>189.92992128627452</v>
      </c>
      <c r="CM348" s="642">
        <f t="shared" ca="1" si="56"/>
        <v>189.92992128627455</v>
      </c>
      <c r="CN348" s="642">
        <f t="shared" ca="1" si="46"/>
        <v>189.92992128627452</v>
      </c>
      <c r="CO348" s="642">
        <f>2*$AD$61*MAX(0,$J$58+I348-$J$64)+IF(L348&lt;$J$38,1000000,0)</f>
        <v>127.72241835294118</v>
      </c>
      <c r="CP348" s="642">
        <f>2*IF($J$175&gt;0,IF($J$392/MIN($J$175,K348)&gt;$M$5*VLOOKUP($L$5,Taxas!$V$22:$W$30,2)/L348,$J$391/MIN($J$175,K348),$J$389/L348),$J$389/L348)</f>
        <v>0.3828154026666668</v>
      </c>
    </row>
    <row r="349" spans="9:94" hidden="1" x14ac:dyDescent="0.25">
      <c r="I349" s="642">
        <f>MIN(5*47,$J$57/2)</f>
        <v>235.0</v>
      </c>
      <c r="J349" s="646">
        <f t="shared" ca="1" si="44"/>
        <v>0.048859517098708304</v>
      </c>
      <c r="K349" s="642">
        <f t="shared" ca="1" si="45"/>
        <v>30.0</v>
      </c>
      <c r="L349" s="642">
        <f ca="1">MIN(ROUNDDOWN($M$5*VLOOKUP($L$5,Taxas!$V$22:$W$30,2)/J349*2,0)/2,K349)</f>
        <v>30.0</v>
      </c>
      <c r="M349" s="642">
        <f ca="1">MIN(ROUNDDOWN($M$6*VLOOKUP($L$6,Taxas!$V$22:$W$30,2)/J349*2,0)/2,K349)</f>
        <v>30.0</v>
      </c>
      <c r="N349" s="642">
        <f t="shared" si="49"/>
        <v>1000000000.0</v>
      </c>
      <c r="O349" s="642">
        <f t="shared" si="49"/>
        <v>1000000000.0</v>
      </c>
      <c r="P349" s="642">
        <f t="shared" si="49"/>
        <v>1000000000.0</v>
      </c>
      <c r="Q349" s="642">
        <f t="shared" si="49"/>
        <v>1000000000.0</v>
      </c>
      <c r="R349" s="642">
        <f t="shared" si="49"/>
        <v>1000000000.0</v>
      </c>
      <c r="S349" s="642">
        <f t="shared" si="49"/>
        <v>1000000000.0</v>
      </c>
      <c r="T349" s="642">
        <f t="shared" si="49"/>
        <v>1000000000.0</v>
      </c>
      <c r="U349" s="642">
        <f t="shared" si="49"/>
        <v>1000000000.0</v>
      </c>
      <c r="V349" s="642">
        <f t="shared" si="49"/>
        <v>1000000000.0</v>
      </c>
      <c r="W349" s="642">
        <f t="shared" si="49"/>
        <v>1000000000.0</v>
      </c>
      <c r="X349" s="642">
        <f t="shared" si="50"/>
        <v>1000000000.0</v>
      </c>
      <c r="Y349" s="642">
        <f t="shared" si="50"/>
        <v>1000000000.0</v>
      </c>
      <c r="Z349" s="642">
        <f t="shared" si="50"/>
        <v>1000000000.0</v>
      </c>
      <c r="AA349" s="642">
        <f t="shared" si="50"/>
        <v>1000000000.0</v>
      </c>
      <c r="AB349" s="642">
        <f t="shared" si="50"/>
        <v>1000000000.0</v>
      </c>
      <c r="AC349" s="642">
        <f t="shared" si="50"/>
        <v>1000000000.0</v>
      </c>
      <c r="AD349" s="642">
        <f t="shared" si="50"/>
        <v>1000000000.0</v>
      </c>
      <c r="AE349" s="642">
        <f t="shared" si="50"/>
        <v>1000000000.0</v>
      </c>
      <c r="AF349" s="642">
        <f t="shared" si="50"/>
        <v>1000000000.0</v>
      </c>
      <c r="AG349" s="642">
        <f t="shared" si="50"/>
        <v>1000000000.0</v>
      </c>
      <c r="AH349" s="642">
        <f t="shared" si="51"/>
        <v>1000000000.0</v>
      </c>
      <c r="AI349" s="642">
        <f t="shared" si="51"/>
        <v>1000000000.0</v>
      </c>
      <c r="AJ349" s="642">
        <f t="shared" si="51"/>
        <v>1000000000.0</v>
      </c>
      <c r="AK349" s="642">
        <f t="shared" si="51"/>
        <v>1000000000.0</v>
      </c>
      <c r="AL349" s="642">
        <f t="shared" si="51"/>
        <v>1000000000.0</v>
      </c>
      <c r="AM349" s="642">
        <f t="shared" si="51"/>
        <v>1000000000.0</v>
      </c>
      <c r="AN349" s="642">
        <f t="shared" si="51"/>
        <v>1000000000.0</v>
      </c>
      <c r="AO349" s="642">
        <f t="shared" si="51"/>
        <v>1000000000.0</v>
      </c>
      <c r="AP349" s="642">
        <f t="shared" si="51"/>
        <v>1000000000.0</v>
      </c>
      <c r="AQ349" s="642">
        <f t="shared" si="51"/>
        <v>1000000000.0</v>
      </c>
      <c r="AR349" s="642">
        <f t="shared" si="52"/>
        <v>1000000000.0</v>
      </c>
      <c r="AS349" s="642">
        <f t="shared" si="52"/>
        <v>1000000000.0</v>
      </c>
      <c r="AT349" s="642">
        <f t="shared" si="52"/>
        <v>1000000000.0</v>
      </c>
      <c r="AU349" s="642">
        <f t="shared" si="52"/>
        <v>1000000000.0</v>
      </c>
      <c r="AV349" s="642">
        <f t="shared" si="52"/>
        <v>1000000000.0</v>
      </c>
      <c r="AW349" s="642">
        <f t="shared" si="52"/>
        <v>1000000000.0</v>
      </c>
      <c r="AX349" s="642">
        <f t="shared" si="52"/>
        <v>1000000000.0</v>
      </c>
      <c r="AY349" s="642">
        <f t="shared" si="52"/>
        <v>1000000000.0</v>
      </c>
      <c r="AZ349" s="642">
        <f t="shared" si="52"/>
        <v>1000000000.0</v>
      </c>
      <c r="BA349" s="642">
        <f t="shared" si="52"/>
        <v>1000000000.0</v>
      </c>
      <c r="BB349" s="642">
        <f t="shared" si="53"/>
        <v>1000000000.0</v>
      </c>
      <c r="BC349" s="642">
        <f t="shared" si="53"/>
        <v>1000000000.0</v>
      </c>
      <c r="BD349" s="642">
        <f t="shared" si="53"/>
        <v>1000000000.0</v>
      </c>
      <c r="BE349" s="642">
        <f t="shared" si="53"/>
        <v>1000000000.0</v>
      </c>
      <c r="BF349" s="642">
        <f t="shared" si="53"/>
        <v>1000000000.0</v>
      </c>
      <c r="BG349" s="642">
        <f t="shared" si="53"/>
        <v>1000000000.0</v>
      </c>
      <c r="BH349" s="642">
        <f t="shared" si="53"/>
        <v>1000000000.0</v>
      </c>
      <c r="BI349" s="642">
        <f t="shared" si="53"/>
        <v>1000000000.0</v>
      </c>
      <c r="BJ349" s="642">
        <f t="shared" si="53"/>
        <v>1000000000.0</v>
      </c>
      <c r="BK349" s="642">
        <f t="shared" si="53"/>
        <v>1000000000.0</v>
      </c>
      <c r="BL349" s="642">
        <f t="shared" si="54"/>
        <v>1000000000.0</v>
      </c>
      <c r="BM349" s="642">
        <f t="shared" si="54"/>
        <v>1000000000.0</v>
      </c>
      <c r="BN349" s="642">
        <f t="shared" si="54"/>
        <v>1000000000.0</v>
      </c>
      <c r="BO349" s="642">
        <f t="shared" si="54"/>
        <v>1000000000.0</v>
      </c>
      <c r="BP349" s="642">
        <f t="shared" si="54"/>
        <v>1000000000.0</v>
      </c>
      <c r="BQ349" s="642">
        <f t="shared" si="54"/>
        <v>1000000000.0</v>
      </c>
      <c r="BR349" s="642">
        <f t="shared" si="54"/>
        <v>1000000000.0</v>
      </c>
      <c r="BS349" s="642">
        <f t="shared" si="54"/>
        <v>1000000000.0</v>
      </c>
      <c r="BT349" s="642">
        <f t="shared" si="54"/>
        <v>1000000000.0</v>
      </c>
      <c r="BU349" s="642">
        <f t="shared" si="54"/>
        <v>1000000000.0</v>
      </c>
      <c r="BV349" s="642">
        <f t="shared" si="55"/>
        <v>1000000000.0</v>
      </c>
      <c r="BW349" s="642">
        <f t="shared" si="55"/>
        <v>1000000000.0</v>
      </c>
      <c r="BX349" s="642">
        <f t="shared" ca="1" si="55"/>
        <v>190.65473721411766</v>
      </c>
      <c r="BY349" s="642">
        <f t="shared" ca="1" si="55"/>
        <v>190.6547372141177</v>
      </c>
      <c r="BZ349" s="642">
        <f t="shared" ca="1" si="55"/>
        <v>190.6547372141177</v>
      </c>
      <c r="CA349" s="642">
        <f t="shared" ca="1" si="55"/>
        <v>190.65473721411766</v>
      </c>
      <c r="CB349" s="642">
        <f t="shared" ca="1" si="55"/>
        <v>190.6547372141177</v>
      </c>
      <c r="CC349" s="642">
        <f t="shared" ca="1" si="55"/>
        <v>190.6547372141177</v>
      </c>
      <c r="CD349" s="642">
        <f t="shared" ca="1" si="55"/>
        <v>190.6547372141177</v>
      </c>
      <c r="CE349" s="642">
        <f t="shared" ca="1" si="55"/>
        <v>190.65473721411766</v>
      </c>
      <c r="CF349" s="642">
        <f t="shared" ca="1" si="56"/>
        <v>190.6547372141177</v>
      </c>
      <c r="CG349" s="642">
        <f t="shared" ca="1" si="56"/>
        <v>190.6547372141177</v>
      </c>
      <c r="CH349" s="642">
        <f t="shared" ca="1" si="56"/>
        <v>190.65473721411766</v>
      </c>
      <c r="CI349" s="642">
        <f t="shared" ca="1" si="56"/>
        <v>190.6547372141177</v>
      </c>
      <c r="CJ349" s="642">
        <f t="shared" ca="1" si="56"/>
        <v>190.6547372141177</v>
      </c>
      <c r="CK349" s="642">
        <f t="shared" ca="1" si="56"/>
        <v>190.6547372141177</v>
      </c>
      <c r="CL349" s="642">
        <f t="shared" ca="1" si="56"/>
        <v>190.65473721411766</v>
      </c>
      <c r="CM349" s="642">
        <f t="shared" ca="1" si="56"/>
        <v>190.6547372141177</v>
      </c>
      <c r="CN349" s="642">
        <f t="shared" ca="1" si="46"/>
        <v>190.65473721411766</v>
      </c>
      <c r="CO349" s="642">
        <f>2*$AD$61*MAX(0,$J$58+I349-$J$64)+IF(L349&lt;$J$38,1000000,0)</f>
        <v>130.36131129411766</v>
      </c>
      <c r="CP349" s="642">
        <f>2*IF($J$175&gt;0,IF($J$392/MIN($J$175,K349)&gt;$M$5*VLOOKUP($L$5,Taxas!$V$22:$W$30,2)/L349,$J$391/MIN($J$175,K349),$J$389/L349),$J$389/L349)</f>
        <v>0.3828154026666668</v>
      </c>
    </row>
    <row r="350" spans="9:94" hidden="1" x14ac:dyDescent="0.25">
      <c r="I350" s="642">
        <f>MIN(5*48,$J$57/2)</f>
        <v>240.0</v>
      </c>
      <c r="J350" s="646">
        <f t="shared" ca="1" si="44"/>
        <v>0.048859517098708304</v>
      </c>
      <c r="K350" s="642">
        <f t="shared" ca="1" si="45"/>
        <v>30.0</v>
      </c>
      <c r="L350" s="642">
        <f ca="1">MIN(ROUNDDOWN($M$5*VLOOKUP($L$5,Taxas!$V$22:$W$30,2)/J350*2,0)/2,K350)</f>
        <v>30.0</v>
      </c>
      <c r="M350" s="642">
        <f ca="1">MIN(ROUNDDOWN($M$6*VLOOKUP($L$6,Taxas!$V$22:$W$30,2)/J350*2,0)/2,K350)</f>
        <v>30.0</v>
      </c>
      <c r="N350" s="642">
        <f t="shared" si="49"/>
        <v>1000000000.0</v>
      </c>
      <c r="O350" s="642">
        <f t="shared" si="49"/>
        <v>1000000000.0</v>
      </c>
      <c r="P350" s="642">
        <f t="shared" si="49"/>
        <v>1000000000.0</v>
      </c>
      <c r="Q350" s="642">
        <f t="shared" si="49"/>
        <v>1000000000.0</v>
      </c>
      <c r="R350" s="642">
        <f t="shared" si="49"/>
        <v>1000000000.0</v>
      </c>
      <c r="S350" s="642">
        <f t="shared" si="49"/>
        <v>1000000000.0</v>
      </c>
      <c r="T350" s="642">
        <f t="shared" si="49"/>
        <v>1000000000.0</v>
      </c>
      <c r="U350" s="642">
        <f t="shared" si="49"/>
        <v>1000000000.0</v>
      </c>
      <c r="V350" s="642">
        <f t="shared" si="49"/>
        <v>1000000000.0</v>
      </c>
      <c r="W350" s="642">
        <f t="shared" si="49"/>
        <v>1000000000.0</v>
      </c>
      <c r="X350" s="642">
        <f t="shared" si="50"/>
        <v>1000000000.0</v>
      </c>
      <c r="Y350" s="642">
        <f t="shared" si="50"/>
        <v>1000000000.0</v>
      </c>
      <c r="Z350" s="642">
        <f t="shared" si="50"/>
        <v>1000000000.0</v>
      </c>
      <c r="AA350" s="642">
        <f t="shared" si="50"/>
        <v>1000000000.0</v>
      </c>
      <c r="AB350" s="642">
        <f t="shared" si="50"/>
        <v>1000000000.0</v>
      </c>
      <c r="AC350" s="642">
        <f t="shared" si="50"/>
        <v>1000000000.0</v>
      </c>
      <c r="AD350" s="642">
        <f t="shared" si="50"/>
        <v>1000000000.0</v>
      </c>
      <c r="AE350" s="642">
        <f t="shared" si="50"/>
        <v>1000000000.0</v>
      </c>
      <c r="AF350" s="642">
        <f t="shared" si="50"/>
        <v>1000000000.0</v>
      </c>
      <c r="AG350" s="642">
        <f t="shared" si="50"/>
        <v>1000000000.0</v>
      </c>
      <c r="AH350" s="642">
        <f t="shared" si="51"/>
        <v>1000000000.0</v>
      </c>
      <c r="AI350" s="642">
        <f t="shared" si="51"/>
        <v>1000000000.0</v>
      </c>
      <c r="AJ350" s="642">
        <f t="shared" si="51"/>
        <v>1000000000.0</v>
      </c>
      <c r="AK350" s="642">
        <f t="shared" si="51"/>
        <v>1000000000.0</v>
      </c>
      <c r="AL350" s="642">
        <f t="shared" si="51"/>
        <v>1000000000.0</v>
      </c>
      <c r="AM350" s="642">
        <f t="shared" si="51"/>
        <v>1000000000.0</v>
      </c>
      <c r="AN350" s="642">
        <f t="shared" si="51"/>
        <v>1000000000.0</v>
      </c>
      <c r="AO350" s="642">
        <f t="shared" si="51"/>
        <v>1000000000.0</v>
      </c>
      <c r="AP350" s="642">
        <f t="shared" si="51"/>
        <v>1000000000.0</v>
      </c>
      <c r="AQ350" s="642">
        <f t="shared" si="51"/>
        <v>1000000000.0</v>
      </c>
      <c r="AR350" s="642">
        <f t="shared" si="52"/>
        <v>1000000000.0</v>
      </c>
      <c r="AS350" s="642">
        <f t="shared" si="52"/>
        <v>1000000000.0</v>
      </c>
      <c r="AT350" s="642">
        <f t="shared" si="52"/>
        <v>1000000000.0</v>
      </c>
      <c r="AU350" s="642">
        <f t="shared" si="52"/>
        <v>1000000000.0</v>
      </c>
      <c r="AV350" s="642">
        <f t="shared" si="52"/>
        <v>1000000000.0</v>
      </c>
      <c r="AW350" s="642">
        <f t="shared" si="52"/>
        <v>1000000000.0</v>
      </c>
      <c r="AX350" s="642">
        <f t="shared" si="52"/>
        <v>1000000000.0</v>
      </c>
      <c r="AY350" s="642">
        <f t="shared" si="52"/>
        <v>1000000000.0</v>
      </c>
      <c r="AZ350" s="642">
        <f t="shared" si="52"/>
        <v>1000000000.0</v>
      </c>
      <c r="BA350" s="642">
        <f t="shared" si="52"/>
        <v>1000000000.0</v>
      </c>
      <c r="BB350" s="642">
        <f t="shared" si="53"/>
        <v>1000000000.0</v>
      </c>
      <c r="BC350" s="642">
        <f t="shared" si="53"/>
        <v>1000000000.0</v>
      </c>
      <c r="BD350" s="642">
        <f t="shared" si="53"/>
        <v>1000000000.0</v>
      </c>
      <c r="BE350" s="642">
        <f t="shared" si="53"/>
        <v>1000000000.0</v>
      </c>
      <c r="BF350" s="642">
        <f t="shared" si="53"/>
        <v>1000000000.0</v>
      </c>
      <c r="BG350" s="642">
        <f t="shared" si="53"/>
        <v>1000000000.0</v>
      </c>
      <c r="BH350" s="642">
        <f t="shared" si="53"/>
        <v>1000000000.0</v>
      </c>
      <c r="BI350" s="642">
        <f t="shared" si="53"/>
        <v>1000000000.0</v>
      </c>
      <c r="BJ350" s="642">
        <f t="shared" si="53"/>
        <v>1000000000.0</v>
      </c>
      <c r="BK350" s="642">
        <f t="shared" si="53"/>
        <v>1000000000.0</v>
      </c>
      <c r="BL350" s="642">
        <f t="shared" si="54"/>
        <v>1000000000.0</v>
      </c>
      <c r="BM350" s="642">
        <f t="shared" si="54"/>
        <v>1000000000.0</v>
      </c>
      <c r="BN350" s="642">
        <f t="shared" si="54"/>
        <v>1000000000.0</v>
      </c>
      <c r="BO350" s="642">
        <f t="shared" si="54"/>
        <v>1000000000.0</v>
      </c>
      <c r="BP350" s="642">
        <f t="shared" si="54"/>
        <v>1000000000.0</v>
      </c>
      <c r="BQ350" s="642">
        <f t="shared" si="54"/>
        <v>1000000000.0</v>
      </c>
      <c r="BR350" s="642">
        <f t="shared" si="54"/>
        <v>1000000000.0</v>
      </c>
      <c r="BS350" s="642">
        <f t="shared" si="54"/>
        <v>1000000000.0</v>
      </c>
      <c r="BT350" s="642">
        <f t="shared" si="54"/>
        <v>1000000000.0</v>
      </c>
      <c r="BU350" s="642">
        <f t="shared" si="54"/>
        <v>1000000000.0</v>
      </c>
      <c r="BV350" s="642">
        <f t="shared" si="55"/>
        <v>1000000000.0</v>
      </c>
      <c r="BW350" s="642">
        <f t="shared" si="55"/>
        <v>1000000000.0</v>
      </c>
      <c r="BX350" s="642">
        <f t="shared" si="55"/>
        <v>1000000000.0</v>
      </c>
      <c r="BY350" s="642">
        <f t="shared" ca="1" si="55"/>
        <v>191.3795531419608</v>
      </c>
      <c r="BZ350" s="642">
        <f t="shared" ca="1" si="55"/>
        <v>191.37955314196083</v>
      </c>
      <c r="CA350" s="642">
        <f t="shared" ca="1" si="55"/>
        <v>191.3795531419608</v>
      </c>
      <c r="CB350" s="642">
        <f t="shared" ca="1" si="55"/>
        <v>191.3795531419608</v>
      </c>
      <c r="CC350" s="642">
        <f t="shared" ca="1" si="55"/>
        <v>191.3795531419608</v>
      </c>
      <c r="CD350" s="642">
        <f t="shared" ca="1" si="55"/>
        <v>191.37955314196083</v>
      </c>
      <c r="CE350" s="642">
        <f t="shared" ca="1" si="55"/>
        <v>191.3795531419608</v>
      </c>
      <c r="CF350" s="642">
        <f t="shared" ca="1" si="56"/>
        <v>191.3795531419608</v>
      </c>
      <c r="CG350" s="642">
        <f t="shared" ca="1" si="56"/>
        <v>191.3795531419608</v>
      </c>
      <c r="CH350" s="642">
        <f t="shared" ca="1" si="56"/>
        <v>191.37955314196083</v>
      </c>
      <c r="CI350" s="642">
        <f t="shared" ca="1" si="56"/>
        <v>191.3795531419608</v>
      </c>
      <c r="CJ350" s="642">
        <f t="shared" ca="1" si="56"/>
        <v>191.3795531419608</v>
      </c>
      <c r="CK350" s="642">
        <f t="shared" ca="1" si="56"/>
        <v>191.37955314196083</v>
      </c>
      <c r="CL350" s="642">
        <f t="shared" ca="1" si="56"/>
        <v>191.3795531419608</v>
      </c>
      <c r="CM350" s="642">
        <f t="shared" ca="1" si="56"/>
        <v>191.3795531419608</v>
      </c>
      <c r="CN350" s="642">
        <f t="shared" ca="1" si="46"/>
        <v>191.3795531419608</v>
      </c>
      <c r="CO350" s="642">
        <f>2*$AD$61*MAX(0,$J$58+I350-$J$64)+IF(L350&lt;$J$38,1000000,0)</f>
        <v>133.00020423529412</v>
      </c>
      <c r="CP350" s="642">
        <f>2*IF($J$175&gt;0,IF($J$392/MIN($J$175,K350)&gt;$M$5*VLOOKUP($L$5,Taxas!$V$22:$W$30,2)/L350,$J$391/MIN($J$175,K350),$J$389/L350),$J$389/L350)</f>
        <v>0.3828154026666668</v>
      </c>
    </row>
    <row r="351" spans="9:94" hidden="1" x14ac:dyDescent="0.25">
      <c r="I351" s="642">
        <f>MIN(5*49,$J$57/2)</f>
        <v>245.0</v>
      </c>
      <c r="J351" s="646">
        <f t="shared" ca="1" si="44"/>
        <v>0.048859517098708304</v>
      </c>
      <c r="K351" s="642">
        <f t="shared" ca="1" si="45"/>
        <v>30.0</v>
      </c>
      <c r="L351" s="642">
        <f ca="1">MIN(ROUNDDOWN($M$5*VLOOKUP($L$5,Taxas!$V$22:$W$30,2)/J351*2,0)/2,K351)</f>
        <v>30.0</v>
      </c>
      <c r="M351" s="642">
        <f ca="1">MIN(ROUNDDOWN($M$6*VLOOKUP($L$6,Taxas!$V$22:$W$30,2)/J351*2,0)/2,K351)</f>
        <v>30.0</v>
      </c>
      <c r="N351" s="642">
        <f t="shared" si="49"/>
        <v>1000000000.0</v>
      </c>
      <c r="O351" s="642">
        <f t="shared" si="49"/>
        <v>1000000000.0</v>
      </c>
      <c r="P351" s="642">
        <f t="shared" si="49"/>
        <v>1000000000.0</v>
      </c>
      <c r="Q351" s="642">
        <f t="shared" si="49"/>
        <v>1000000000.0</v>
      </c>
      <c r="R351" s="642">
        <f t="shared" si="49"/>
        <v>1000000000.0</v>
      </c>
      <c r="S351" s="642">
        <f t="shared" si="49"/>
        <v>1000000000.0</v>
      </c>
      <c r="T351" s="642">
        <f t="shared" si="49"/>
        <v>1000000000.0</v>
      </c>
      <c r="U351" s="642">
        <f t="shared" si="49"/>
        <v>1000000000.0</v>
      </c>
      <c r="V351" s="642">
        <f t="shared" si="49"/>
        <v>1000000000.0</v>
      </c>
      <c r="W351" s="642">
        <f t="shared" si="49"/>
        <v>1000000000.0</v>
      </c>
      <c r="X351" s="642">
        <f t="shared" si="50"/>
        <v>1000000000.0</v>
      </c>
      <c r="Y351" s="642">
        <f t="shared" si="50"/>
        <v>1000000000.0</v>
      </c>
      <c r="Z351" s="642">
        <f t="shared" si="50"/>
        <v>1000000000.0</v>
      </c>
      <c r="AA351" s="642">
        <f t="shared" si="50"/>
        <v>1000000000.0</v>
      </c>
      <c r="AB351" s="642">
        <f t="shared" si="50"/>
        <v>1000000000.0</v>
      </c>
      <c r="AC351" s="642">
        <f t="shared" si="50"/>
        <v>1000000000.0</v>
      </c>
      <c r="AD351" s="642">
        <f t="shared" si="50"/>
        <v>1000000000.0</v>
      </c>
      <c r="AE351" s="642">
        <f t="shared" si="50"/>
        <v>1000000000.0</v>
      </c>
      <c r="AF351" s="642">
        <f t="shared" si="50"/>
        <v>1000000000.0</v>
      </c>
      <c r="AG351" s="642">
        <f t="shared" si="50"/>
        <v>1000000000.0</v>
      </c>
      <c r="AH351" s="642">
        <f t="shared" si="51"/>
        <v>1000000000.0</v>
      </c>
      <c r="AI351" s="642">
        <f t="shared" si="51"/>
        <v>1000000000.0</v>
      </c>
      <c r="AJ351" s="642">
        <f t="shared" si="51"/>
        <v>1000000000.0</v>
      </c>
      <c r="AK351" s="642">
        <f t="shared" si="51"/>
        <v>1000000000.0</v>
      </c>
      <c r="AL351" s="642">
        <f t="shared" si="51"/>
        <v>1000000000.0</v>
      </c>
      <c r="AM351" s="642">
        <f t="shared" si="51"/>
        <v>1000000000.0</v>
      </c>
      <c r="AN351" s="642">
        <f t="shared" si="51"/>
        <v>1000000000.0</v>
      </c>
      <c r="AO351" s="642">
        <f t="shared" si="51"/>
        <v>1000000000.0</v>
      </c>
      <c r="AP351" s="642">
        <f t="shared" si="51"/>
        <v>1000000000.0</v>
      </c>
      <c r="AQ351" s="642">
        <f t="shared" si="51"/>
        <v>1000000000.0</v>
      </c>
      <c r="AR351" s="642">
        <f t="shared" si="52"/>
        <v>1000000000.0</v>
      </c>
      <c r="AS351" s="642">
        <f t="shared" si="52"/>
        <v>1000000000.0</v>
      </c>
      <c r="AT351" s="642">
        <f t="shared" si="52"/>
        <v>1000000000.0</v>
      </c>
      <c r="AU351" s="642">
        <f t="shared" si="52"/>
        <v>1000000000.0</v>
      </c>
      <c r="AV351" s="642">
        <f t="shared" si="52"/>
        <v>1000000000.0</v>
      </c>
      <c r="AW351" s="642">
        <f t="shared" si="52"/>
        <v>1000000000.0</v>
      </c>
      <c r="AX351" s="642">
        <f t="shared" si="52"/>
        <v>1000000000.0</v>
      </c>
      <c r="AY351" s="642">
        <f t="shared" si="52"/>
        <v>1000000000.0</v>
      </c>
      <c r="AZ351" s="642">
        <f t="shared" si="52"/>
        <v>1000000000.0</v>
      </c>
      <c r="BA351" s="642">
        <f t="shared" si="52"/>
        <v>1000000000.0</v>
      </c>
      <c r="BB351" s="642">
        <f t="shared" si="53"/>
        <v>1000000000.0</v>
      </c>
      <c r="BC351" s="642">
        <f t="shared" si="53"/>
        <v>1000000000.0</v>
      </c>
      <c r="BD351" s="642">
        <f t="shared" si="53"/>
        <v>1000000000.0</v>
      </c>
      <c r="BE351" s="642">
        <f t="shared" si="53"/>
        <v>1000000000.0</v>
      </c>
      <c r="BF351" s="642">
        <f t="shared" si="53"/>
        <v>1000000000.0</v>
      </c>
      <c r="BG351" s="642">
        <f t="shared" si="53"/>
        <v>1000000000.0</v>
      </c>
      <c r="BH351" s="642">
        <f t="shared" si="53"/>
        <v>1000000000.0</v>
      </c>
      <c r="BI351" s="642">
        <f t="shared" si="53"/>
        <v>1000000000.0</v>
      </c>
      <c r="BJ351" s="642">
        <f t="shared" si="53"/>
        <v>1000000000.0</v>
      </c>
      <c r="BK351" s="642">
        <f t="shared" si="53"/>
        <v>1000000000.0</v>
      </c>
      <c r="BL351" s="642">
        <f t="shared" si="54"/>
        <v>1000000000.0</v>
      </c>
      <c r="BM351" s="642">
        <f t="shared" si="54"/>
        <v>1000000000.0</v>
      </c>
      <c r="BN351" s="642">
        <f t="shared" si="54"/>
        <v>1000000000.0</v>
      </c>
      <c r="BO351" s="642">
        <f t="shared" si="54"/>
        <v>1000000000.0</v>
      </c>
      <c r="BP351" s="642">
        <f t="shared" si="54"/>
        <v>1000000000.0</v>
      </c>
      <c r="BQ351" s="642">
        <f t="shared" si="54"/>
        <v>1000000000.0</v>
      </c>
      <c r="BR351" s="642">
        <f t="shared" si="54"/>
        <v>1000000000.0</v>
      </c>
      <c r="BS351" s="642">
        <f t="shared" si="54"/>
        <v>1000000000.0</v>
      </c>
      <c r="BT351" s="642">
        <f t="shared" si="54"/>
        <v>1000000000.0</v>
      </c>
      <c r="BU351" s="642">
        <f t="shared" si="54"/>
        <v>1000000000.0</v>
      </c>
      <c r="BV351" s="642">
        <f t="shared" si="55"/>
        <v>1000000000.0</v>
      </c>
      <c r="BW351" s="642">
        <f t="shared" si="55"/>
        <v>1000000000.0</v>
      </c>
      <c r="BX351" s="642">
        <f t="shared" si="55"/>
        <v>1000000000.0</v>
      </c>
      <c r="BY351" s="642">
        <f t="shared" si="55"/>
        <v>1000000000.0</v>
      </c>
      <c r="BZ351" s="642">
        <f t="shared" ca="1" si="55"/>
        <v>192.10436906980394</v>
      </c>
      <c r="CA351" s="642">
        <f t="shared" ca="1" si="55"/>
        <v>192.10436906980394</v>
      </c>
      <c r="CB351" s="642">
        <f t="shared" ca="1" si="55"/>
        <v>192.10436906980394</v>
      </c>
      <c r="CC351" s="642">
        <f t="shared" ca="1" si="55"/>
        <v>192.10436906980394</v>
      </c>
      <c r="CD351" s="642">
        <f t="shared" ca="1" si="55"/>
        <v>192.10436906980397</v>
      </c>
      <c r="CE351" s="642">
        <f t="shared" ca="1" si="55"/>
        <v>192.10436906980394</v>
      </c>
      <c r="CF351" s="642">
        <f t="shared" ca="1" si="56"/>
        <v>192.10436906980394</v>
      </c>
      <c r="CG351" s="642">
        <f t="shared" ca="1" si="56"/>
        <v>192.10436906980394</v>
      </c>
      <c r="CH351" s="642">
        <f t="shared" ca="1" si="56"/>
        <v>192.1043690698039</v>
      </c>
      <c r="CI351" s="642">
        <f t="shared" ca="1" si="56"/>
        <v>192.10436906980394</v>
      </c>
      <c r="CJ351" s="642">
        <f t="shared" ca="1" si="56"/>
        <v>192.10436906980394</v>
      </c>
      <c r="CK351" s="642">
        <f t="shared" ca="1" si="56"/>
        <v>192.10436906980397</v>
      </c>
      <c r="CL351" s="642">
        <f t="shared" ca="1" si="56"/>
        <v>192.10436906980394</v>
      </c>
      <c r="CM351" s="642">
        <f t="shared" ca="1" si="56"/>
        <v>192.10436906980394</v>
      </c>
      <c r="CN351" s="642">
        <f t="shared" ca="1" si="46"/>
        <v>192.1043690698039</v>
      </c>
      <c r="CO351" s="642">
        <f>2*$AD$61*MAX(0,$J$58+I351-$J$64)+IF(L351&lt;$J$38,1000000,0)</f>
        <v>135.63909717647059</v>
      </c>
      <c r="CP351" s="642">
        <f>2*IF($J$175&gt;0,IF($J$392/MIN($J$175,K351)&gt;$M$5*VLOOKUP($L$5,Taxas!$V$22:$W$30,2)/L351,$J$391/MIN($J$175,K351),$J$389/L351),$J$389/L351)</f>
        <v>0.3828154026666668</v>
      </c>
    </row>
    <row r="352" spans="9:94" hidden="1" x14ac:dyDescent="0.25">
      <c r="I352" s="642">
        <f>MIN(5*50,$J$57/2)</f>
        <v>250.0</v>
      </c>
      <c r="J352" s="646">
        <f t="shared" ca="1" si="44"/>
        <v>0.048859517098708304</v>
      </c>
      <c r="K352" s="642">
        <f t="shared" ca="1" si="45"/>
        <v>30.0</v>
      </c>
      <c r="L352" s="642">
        <f ca="1">MIN(ROUNDDOWN($M$5*VLOOKUP($L$5,Taxas!$V$22:$W$30,2)/J352*2,0)/2,K352)</f>
        <v>30.0</v>
      </c>
      <c r="M352" s="642">
        <f ca="1">MIN(ROUNDDOWN($M$6*VLOOKUP($L$6,Taxas!$V$22:$W$30,2)/J352*2,0)/2,K352)</f>
        <v>30.0</v>
      </c>
      <c r="N352" s="642">
        <f t="shared" si="49"/>
        <v>1000000000.0</v>
      </c>
      <c r="O352" s="642">
        <f t="shared" si="49"/>
        <v>1000000000.0</v>
      </c>
      <c r="P352" s="642">
        <f t="shared" si="49"/>
        <v>1000000000.0</v>
      </c>
      <c r="Q352" s="642">
        <f t="shared" si="49"/>
        <v>1000000000.0</v>
      </c>
      <c r="R352" s="642">
        <f t="shared" si="49"/>
        <v>1000000000.0</v>
      </c>
      <c r="S352" s="642">
        <f t="shared" si="49"/>
        <v>1000000000.0</v>
      </c>
      <c r="T352" s="642">
        <f t="shared" si="49"/>
        <v>1000000000.0</v>
      </c>
      <c r="U352" s="642">
        <f t="shared" si="49"/>
        <v>1000000000.0</v>
      </c>
      <c r="V352" s="642">
        <f t="shared" si="49"/>
        <v>1000000000.0</v>
      </c>
      <c r="W352" s="642">
        <f t="shared" si="49"/>
        <v>1000000000.0</v>
      </c>
      <c r="X352" s="642">
        <f t="shared" si="50"/>
        <v>1000000000.0</v>
      </c>
      <c r="Y352" s="642">
        <f t="shared" si="50"/>
        <v>1000000000.0</v>
      </c>
      <c r="Z352" s="642">
        <f t="shared" si="50"/>
        <v>1000000000.0</v>
      </c>
      <c r="AA352" s="642">
        <f t="shared" si="50"/>
        <v>1000000000.0</v>
      </c>
      <c r="AB352" s="642">
        <f t="shared" si="50"/>
        <v>1000000000.0</v>
      </c>
      <c r="AC352" s="642">
        <f t="shared" si="50"/>
        <v>1000000000.0</v>
      </c>
      <c r="AD352" s="642">
        <f t="shared" si="50"/>
        <v>1000000000.0</v>
      </c>
      <c r="AE352" s="642">
        <f t="shared" si="50"/>
        <v>1000000000.0</v>
      </c>
      <c r="AF352" s="642">
        <f t="shared" si="50"/>
        <v>1000000000.0</v>
      </c>
      <c r="AG352" s="642">
        <f t="shared" si="50"/>
        <v>1000000000.0</v>
      </c>
      <c r="AH352" s="642">
        <f t="shared" si="51"/>
        <v>1000000000.0</v>
      </c>
      <c r="AI352" s="642">
        <f t="shared" si="51"/>
        <v>1000000000.0</v>
      </c>
      <c r="AJ352" s="642">
        <f t="shared" si="51"/>
        <v>1000000000.0</v>
      </c>
      <c r="AK352" s="642">
        <f t="shared" si="51"/>
        <v>1000000000.0</v>
      </c>
      <c r="AL352" s="642">
        <f t="shared" si="51"/>
        <v>1000000000.0</v>
      </c>
      <c r="AM352" s="642">
        <f t="shared" si="51"/>
        <v>1000000000.0</v>
      </c>
      <c r="AN352" s="642">
        <f t="shared" si="51"/>
        <v>1000000000.0</v>
      </c>
      <c r="AO352" s="642">
        <f t="shared" si="51"/>
        <v>1000000000.0</v>
      </c>
      <c r="AP352" s="642">
        <f t="shared" si="51"/>
        <v>1000000000.0</v>
      </c>
      <c r="AQ352" s="642">
        <f t="shared" si="51"/>
        <v>1000000000.0</v>
      </c>
      <c r="AR352" s="642">
        <f t="shared" si="52"/>
        <v>1000000000.0</v>
      </c>
      <c r="AS352" s="642">
        <f t="shared" si="52"/>
        <v>1000000000.0</v>
      </c>
      <c r="AT352" s="642">
        <f t="shared" si="52"/>
        <v>1000000000.0</v>
      </c>
      <c r="AU352" s="642">
        <f t="shared" si="52"/>
        <v>1000000000.0</v>
      </c>
      <c r="AV352" s="642">
        <f t="shared" si="52"/>
        <v>1000000000.0</v>
      </c>
      <c r="AW352" s="642">
        <f t="shared" si="52"/>
        <v>1000000000.0</v>
      </c>
      <c r="AX352" s="642">
        <f t="shared" si="52"/>
        <v>1000000000.0</v>
      </c>
      <c r="AY352" s="642">
        <f t="shared" si="52"/>
        <v>1000000000.0</v>
      </c>
      <c r="AZ352" s="642">
        <f t="shared" si="52"/>
        <v>1000000000.0</v>
      </c>
      <c r="BA352" s="642">
        <f t="shared" si="52"/>
        <v>1000000000.0</v>
      </c>
      <c r="BB352" s="642">
        <f t="shared" si="53"/>
        <v>1000000000.0</v>
      </c>
      <c r="BC352" s="642">
        <f t="shared" si="53"/>
        <v>1000000000.0</v>
      </c>
      <c r="BD352" s="642">
        <f t="shared" si="53"/>
        <v>1000000000.0</v>
      </c>
      <c r="BE352" s="642">
        <f t="shared" si="53"/>
        <v>1000000000.0</v>
      </c>
      <c r="BF352" s="642">
        <f t="shared" si="53"/>
        <v>1000000000.0</v>
      </c>
      <c r="BG352" s="642">
        <f t="shared" si="53"/>
        <v>1000000000.0</v>
      </c>
      <c r="BH352" s="642">
        <f t="shared" si="53"/>
        <v>1000000000.0</v>
      </c>
      <c r="BI352" s="642">
        <f t="shared" si="53"/>
        <v>1000000000.0</v>
      </c>
      <c r="BJ352" s="642">
        <f t="shared" si="53"/>
        <v>1000000000.0</v>
      </c>
      <c r="BK352" s="642">
        <f t="shared" si="53"/>
        <v>1000000000.0</v>
      </c>
      <c r="BL352" s="642">
        <f t="shared" si="54"/>
        <v>1000000000.0</v>
      </c>
      <c r="BM352" s="642">
        <f t="shared" si="54"/>
        <v>1000000000.0</v>
      </c>
      <c r="BN352" s="642">
        <f t="shared" si="54"/>
        <v>1000000000.0</v>
      </c>
      <c r="BO352" s="642">
        <f t="shared" si="54"/>
        <v>1000000000.0</v>
      </c>
      <c r="BP352" s="642">
        <f t="shared" si="54"/>
        <v>1000000000.0</v>
      </c>
      <c r="BQ352" s="642">
        <f t="shared" si="54"/>
        <v>1000000000.0</v>
      </c>
      <c r="BR352" s="642">
        <f t="shared" si="54"/>
        <v>1000000000.0</v>
      </c>
      <c r="BS352" s="642">
        <f t="shared" si="54"/>
        <v>1000000000.0</v>
      </c>
      <c r="BT352" s="642">
        <f t="shared" si="54"/>
        <v>1000000000.0</v>
      </c>
      <c r="BU352" s="642">
        <f t="shared" si="54"/>
        <v>1000000000.0</v>
      </c>
      <c r="BV352" s="642">
        <f t="shared" si="55"/>
        <v>1000000000.0</v>
      </c>
      <c r="BW352" s="642">
        <f t="shared" si="55"/>
        <v>1000000000.0</v>
      </c>
      <c r="BX352" s="642">
        <f t="shared" si="55"/>
        <v>1000000000.0</v>
      </c>
      <c r="BY352" s="642">
        <f t="shared" si="55"/>
        <v>1000000000.0</v>
      </c>
      <c r="BZ352" s="642">
        <f t="shared" si="55"/>
        <v>1000000000.0</v>
      </c>
      <c r="CA352" s="642">
        <f t="shared" ca="1" si="55"/>
        <v>192.82918499764705</v>
      </c>
      <c r="CB352" s="642">
        <f t="shared" ca="1" si="55"/>
        <v>192.82918499764708</v>
      </c>
      <c r="CC352" s="642">
        <f t="shared" ca="1" si="55"/>
        <v>192.82918499764708</v>
      </c>
      <c r="CD352" s="642">
        <f t="shared" ca="1" si="55"/>
        <v>192.82918499764708</v>
      </c>
      <c r="CE352" s="642">
        <f t="shared" ca="1" si="55"/>
        <v>192.82918499764708</v>
      </c>
      <c r="CF352" s="642">
        <f t="shared" ca="1" si="56"/>
        <v>192.82918499764708</v>
      </c>
      <c r="CG352" s="642">
        <f t="shared" ca="1" si="56"/>
        <v>192.82918499764708</v>
      </c>
      <c r="CH352" s="642">
        <f t="shared" ca="1" si="56"/>
        <v>192.82918499764708</v>
      </c>
      <c r="CI352" s="642">
        <f t="shared" ca="1" si="56"/>
        <v>192.82918499764708</v>
      </c>
      <c r="CJ352" s="642">
        <f t="shared" ca="1" si="56"/>
        <v>192.82918499764708</v>
      </c>
      <c r="CK352" s="642">
        <f t="shared" ca="1" si="56"/>
        <v>192.82918499764708</v>
      </c>
      <c r="CL352" s="642">
        <f t="shared" ca="1" si="56"/>
        <v>192.82918499764708</v>
      </c>
      <c r="CM352" s="642">
        <f t="shared" ca="1" si="56"/>
        <v>192.82918499764708</v>
      </c>
      <c r="CN352" s="642">
        <f t="shared" ca="1" si="46"/>
        <v>192.82918499764705</v>
      </c>
      <c r="CO352" s="642">
        <f>2*$AD$61*MAX(0,$J$58+I352-$J$64)+IF(L352&lt;$J$38,1000000,0)</f>
        <v>138.27799011764705</v>
      </c>
      <c r="CP352" s="642">
        <f>2*IF($J$175&gt;0,IF($J$392/MIN($J$175,K352)&gt;$M$5*VLOOKUP($L$5,Taxas!$V$22:$W$30,2)/L352,$J$391/MIN($J$175,K352),$J$389/L352),$J$389/L352)</f>
        <v>0.3828154026666668</v>
      </c>
    </row>
    <row r="353" spans="9:94" hidden="1" x14ac:dyDescent="0.25">
      <c r="I353" s="642">
        <f>MIN(5*51,$J$57/2)</f>
        <v>255.0</v>
      </c>
      <c r="J353" s="646">
        <f t="shared" ca="1" si="44"/>
        <v>0.048859517098708304</v>
      </c>
      <c r="K353" s="642">
        <f t="shared" ca="1" si="45"/>
        <v>30.0</v>
      </c>
      <c r="L353" s="642">
        <f ca="1">MIN(ROUNDDOWN($M$5*VLOOKUP($L$5,Taxas!$V$22:$W$30,2)/J353*2,0)/2,K353)</f>
        <v>30.0</v>
      </c>
      <c r="M353" s="642">
        <f ca="1">MIN(ROUNDDOWN($M$6*VLOOKUP($L$6,Taxas!$V$22:$W$30,2)/J353*2,0)/2,K353)</f>
        <v>30.0</v>
      </c>
      <c r="N353" s="642">
        <f t="shared" ref="N353:W362" si="57">IF(OR($I353&lt;$J$59,N$302-$I353&lt;$J$59),1000000000,$CO353+N$301+$CP353*(N$302-$I353))</f>
        <v>1000000000.0</v>
      </c>
      <c r="O353" s="642">
        <f t="shared" si="57"/>
        <v>1000000000.0</v>
      </c>
      <c r="P353" s="642">
        <f t="shared" si="57"/>
        <v>1000000000.0</v>
      </c>
      <c r="Q353" s="642">
        <f t="shared" si="57"/>
        <v>1000000000.0</v>
      </c>
      <c r="R353" s="642">
        <f t="shared" si="57"/>
        <v>1000000000.0</v>
      </c>
      <c r="S353" s="642">
        <f t="shared" si="57"/>
        <v>1000000000.0</v>
      </c>
      <c r="T353" s="642">
        <f t="shared" si="57"/>
        <v>1000000000.0</v>
      </c>
      <c r="U353" s="642">
        <f t="shared" si="57"/>
        <v>1000000000.0</v>
      </c>
      <c r="V353" s="642">
        <f t="shared" si="57"/>
        <v>1000000000.0</v>
      </c>
      <c r="W353" s="642">
        <f t="shared" si="57"/>
        <v>1000000000.0</v>
      </c>
      <c r="X353" s="642">
        <f t="shared" ref="X353:AG362" si="58">IF(OR($I353&lt;$J$59,X$302-$I353&lt;$J$59),1000000000,$CO353+X$301+$CP353*(X$302-$I353))</f>
        <v>1000000000.0</v>
      </c>
      <c r="Y353" s="642">
        <f t="shared" si="58"/>
        <v>1000000000.0</v>
      </c>
      <c r="Z353" s="642">
        <f t="shared" si="58"/>
        <v>1000000000.0</v>
      </c>
      <c r="AA353" s="642">
        <f t="shared" si="58"/>
        <v>1000000000.0</v>
      </c>
      <c r="AB353" s="642">
        <f t="shared" si="58"/>
        <v>1000000000.0</v>
      </c>
      <c r="AC353" s="642">
        <f t="shared" si="58"/>
        <v>1000000000.0</v>
      </c>
      <c r="AD353" s="642">
        <f t="shared" si="58"/>
        <v>1000000000.0</v>
      </c>
      <c r="AE353" s="642">
        <f t="shared" si="58"/>
        <v>1000000000.0</v>
      </c>
      <c r="AF353" s="642">
        <f t="shared" si="58"/>
        <v>1000000000.0</v>
      </c>
      <c r="AG353" s="642">
        <f t="shared" si="58"/>
        <v>1000000000.0</v>
      </c>
      <c r="AH353" s="642">
        <f t="shared" ref="AH353:AQ362" si="59">IF(OR($I353&lt;$J$59,AH$302-$I353&lt;$J$59),1000000000,$CO353+AH$301+$CP353*(AH$302-$I353))</f>
        <v>1000000000.0</v>
      </c>
      <c r="AI353" s="642">
        <f t="shared" si="59"/>
        <v>1000000000.0</v>
      </c>
      <c r="AJ353" s="642">
        <f t="shared" si="59"/>
        <v>1000000000.0</v>
      </c>
      <c r="AK353" s="642">
        <f t="shared" si="59"/>
        <v>1000000000.0</v>
      </c>
      <c r="AL353" s="642">
        <f t="shared" si="59"/>
        <v>1000000000.0</v>
      </c>
      <c r="AM353" s="642">
        <f t="shared" si="59"/>
        <v>1000000000.0</v>
      </c>
      <c r="AN353" s="642">
        <f t="shared" si="59"/>
        <v>1000000000.0</v>
      </c>
      <c r="AO353" s="642">
        <f t="shared" si="59"/>
        <v>1000000000.0</v>
      </c>
      <c r="AP353" s="642">
        <f t="shared" si="59"/>
        <v>1000000000.0</v>
      </c>
      <c r="AQ353" s="642">
        <f t="shared" si="59"/>
        <v>1000000000.0</v>
      </c>
      <c r="AR353" s="642">
        <f t="shared" ref="AR353:BA362" si="60">IF(OR($I353&lt;$J$59,AR$302-$I353&lt;$J$59),1000000000,$CO353+AR$301+$CP353*(AR$302-$I353))</f>
        <v>1000000000.0</v>
      </c>
      <c r="AS353" s="642">
        <f t="shared" si="60"/>
        <v>1000000000.0</v>
      </c>
      <c r="AT353" s="642">
        <f t="shared" si="60"/>
        <v>1000000000.0</v>
      </c>
      <c r="AU353" s="642">
        <f t="shared" si="60"/>
        <v>1000000000.0</v>
      </c>
      <c r="AV353" s="642">
        <f t="shared" si="60"/>
        <v>1000000000.0</v>
      </c>
      <c r="AW353" s="642">
        <f t="shared" si="60"/>
        <v>1000000000.0</v>
      </c>
      <c r="AX353" s="642">
        <f t="shared" si="60"/>
        <v>1000000000.0</v>
      </c>
      <c r="AY353" s="642">
        <f t="shared" si="60"/>
        <v>1000000000.0</v>
      </c>
      <c r="AZ353" s="642">
        <f t="shared" si="60"/>
        <v>1000000000.0</v>
      </c>
      <c r="BA353" s="642">
        <f t="shared" si="60"/>
        <v>1000000000.0</v>
      </c>
      <c r="BB353" s="642">
        <f t="shared" ref="BB353:BK362" si="61">IF(OR($I353&lt;$J$59,BB$302-$I353&lt;$J$59),1000000000,$CO353+BB$301+$CP353*(BB$302-$I353))</f>
        <v>1000000000.0</v>
      </c>
      <c r="BC353" s="642">
        <f t="shared" si="61"/>
        <v>1000000000.0</v>
      </c>
      <c r="BD353" s="642">
        <f t="shared" si="61"/>
        <v>1000000000.0</v>
      </c>
      <c r="BE353" s="642">
        <f t="shared" si="61"/>
        <v>1000000000.0</v>
      </c>
      <c r="BF353" s="642">
        <f t="shared" si="61"/>
        <v>1000000000.0</v>
      </c>
      <c r="BG353" s="642">
        <f t="shared" si="61"/>
        <v>1000000000.0</v>
      </c>
      <c r="BH353" s="642">
        <f t="shared" si="61"/>
        <v>1000000000.0</v>
      </c>
      <c r="BI353" s="642">
        <f t="shared" si="61"/>
        <v>1000000000.0</v>
      </c>
      <c r="BJ353" s="642">
        <f t="shared" si="61"/>
        <v>1000000000.0</v>
      </c>
      <c r="BK353" s="642">
        <f t="shared" si="61"/>
        <v>1000000000.0</v>
      </c>
      <c r="BL353" s="642">
        <f t="shared" ref="BL353:BU362" si="62">IF(OR($I353&lt;$J$59,BL$302-$I353&lt;$J$59),1000000000,$CO353+BL$301+$CP353*(BL$302-$I353))</f>
        <v>1000000000.0</v>
      </c>
      <c r="BM353" s="642">
        <f t="shared" si="62"/>
        <v>1000000000.0</v>
      </c>
      <c r="BN353" s="642">
        <f t="shared" si="62"/>
        <v>1000000000.0</v>
      </c>
      <c r="BO353" s="642">
        <f t="shared" si="62"/>
        <v>1000000000.0</v>
      </c>
      <c r="BP353" s="642">
        <f t="shared" si="62"/>
        <v>1000000000.0</v>
      </c>
      <c r="BQ353" s="642">
        <f t="shared" si="62"/>
        <v>1000000000.0</v>
      </c>
      <c r="BR353" s="642">
        <f t="shared" si="62"/>
        <v>1000000000.0</v>
      </c>
      <c r="BS353" s="642">
        <f t="shared" si="62"/>
        <v>1000000000.0</v>
      </c>
      <c r="BT353" s="642">
        <f t="shared" si="62"/>
        <v>1000000000.0</v>
      </c>
      <c r="BU353" s="642">
        <f t="shared" si="62"/>
        <v>1000000000.0</v>
      </c>
      <c r="BV353" s="642">
        <f t="shared" ref="BV353:CE362" si="63">IF(OR($I353&lt;$J$59,BV$302-$I353&lt;$J$59),1000000000,$CO353+BV$301+$CP353*(BV$302-$I353))</f>
        <v>1000000000.0</v>
      </c>
      <c r="BW353" s="642">
        <f t="shared" si="63"/>
        <v>1000000000.0</v>
      </c>
      <c r="BX353" s="642">
        <f t="shared" si="63"/>
        <v>1000000000.0</v>
      </c>
      <c r="BY353" s="642">
        <f t="shared" si="63"/>
        <v>1000000000.0</v>
      </c>
      <c r="BZ353" s="642">
        <f t="shared" si="63"/>
        <v>1000000000.0</v>
      </c>
      <c r="CA353" s="642">
        <f t="shared" si="63"/>
        <v>1000000000.0</v>
      </c>
      <c r="CB353" s="642">
        <f t="shared" ca="1" si="63"/>
        <v>193.5540009254902</v>
      </c>
      <c r="CC353" s="642">
        <f t="shared" ca="1" si="63"/>
        <v>193.55400092549021</v>
      </c>
      <c r="CD353" s="642">
        <f t="shared" ca="1" si="63"/>
        <v>193.55400092549021</v>
      </c>
      <c r="CE353" s="642">
        <f t="shared" ca="1" si="63"/>
        <v>193.5540009254902</v>
      </c>
      <c r="CF353" s="642">
        <f t="shared" ref="CF353:CM362" ca="1" si="64">IF(OR($I353&lt;$J$59,CF$302-$I353&lt;$J$59),1000000000,$CO353+CF$301+$CP353*(CF$302-$I353))</f>
        <v>193.5540009254902</v>
      </c>
      <c r="CG353" s="642">
        <f t="shared" ca="1" si="64"/>
        <v>193.55400092549021</v>
      </c>
      <c r="CH353" s="642">
        <f t="shared" ca="1" si="64"/>
        <v>193.5540009254902</v>
      </c>
      <c r="CI353" s="642">
        <f t="shared" ca="1" si="64"/>
        <v>193.5540009254902</v>
      </c>
      <c r="CJ353" s="642">
        <f t="shared" ca="1" si="64"/>
        <v>193.5540009254902</v>
      </c>
      <c r="CK353" s="642">
        <f t="shared" ca="1" si="64"/>
        <v>193.55400092549021</v>
      </c>
      <c r="CL353" s="642">
        <f t="shared" ca="1" si="64"/>
        <v>193.5540009254902</v>
      </c>
      <c r="CM353" s="642">
        <f t="shared" ca="1" si="64"/>
        <v>193.5540009254902</v>
      </c>
      <c r="CN353" s="642">
        <f t="shared" ca="1" si="46"/>
        <v>193.5540009254902</v>
      </c>
      <c r="CO353" s="642">
        <f>2*$AD$61*MAX(0,$J$58+I353-$J$64)+IF(L353&lt;$J$38,1000000,0)</f>
        <v>140.91688305882352</v>
      </c>
      <c r="CP353" s="642">
        <f>2*IF($J$175&gt;0,IF($J$392/MIN($J$175,K353)&gt;$M$5*VLOOKUP($L$5,Taxas!$V$22:$W$30,2)/L353,$J$391/MIN($J$175,K353),$J$389/L353),$J$389/L353)</f>
        <v>0.3828154026666668</v>
      </c>
    </row>
    <row r="354" spans="9:94" hidden="1" x14ac:dyDescent="0.25">
      <c r="I354" s="642">
        <f>MIN(5*52,$J$57/2)</f>
        <v>260.0</v>
      </c>
      <c r="J354" s="646">
        <f t="shared" ca="1" si="44"/>
        <v>0.048859517098708304</v>
      </c>
      <c r="K354" s="642">
        <f t="shared" ca="1" si="45"/>
        <v>30.0</v>
      </c>
      <c r="L354" s="642">
        <f ca="1">MIN(ROUNDDOWN($M$5*VLOOKUP($L$5,Taxas!$V$22:$W$30,2)/J354*2,0)/2,K354)</f>
        <v>30.0</v>
      </c>
      <c r="M354" s="642">
        <f ca="1">MIN(ROUNDDOWN($M$6*VLOOKUP($L$6,Taxas!$V$22:$W$30,2)/J354*2,0)/2,K354)</f>
        <v>30.0</v>
      </c>
      <c r="N354" s="642">
        <f t="shared" si="57"/>
        <v>1000000000.0</v>
      </c>
      <c r="O354" s="642">
        <f t="shared" si="57"/>
        <v>1000000000.0</v>
      </c>
      <c r="P354" s="642">
        <f t="shared" si="57"/>
        <v>1000000000.0</v>
      </c>
      <c r="Q354" s="642">
        <f t="shared" si="57"/>
        <v>1000000000.0</v>
      </c>
      <c r="R354" s="642">
        <f t="shared" si="57"/>
        <v>1000000000.0</v>
      </c>
      <c r="S354" s="642">
        <f t="shared" si="57"/>
        <v>1000000000.0</v>
      </c>
      <c r="T354" s="642">
        <f t="shared" si="57"/>
        <v>1000000000.0</v>
      </c>
      <c r="U354" s="642">
        <f t="shared" si="57"/>
        <v>1000000000.0</v>
      </c>
      <c r="V354" s="642">
        <f t="shared" si="57"/>
        <v>1000000000.0</v>
      </c>
      <c r="W354" s="642">
        <f t="shared" si="57"/>
        <v>1000000000.0</v>
      </c>
      <c r="X354" s="642">
        <f t="shared" si="58"/>
        <v>1000000000.0</v>
      </c>
      <c r="Y354" s="642">
        <f t="shared" si="58"/>
        <v>1000000000.0</v>
      </c>
      <c r="Z354" s="642">
        <f t="shared" si="58"/>
        <v>1000000000.0</v>
      </c>
      <c r="AA354" s="642">
        <f t="shared" si="58"/>
        <v>1000000000.0</v>
      </c>
      <c r="AB354" s="642">
        <f t="shared" si="58"/>
        <v>1000000000.0</v>
      </c>
      <c r="AC354" s="642">
        <f t="shared" si="58"/>
        <v>1000000000.0</v>
      </c>
      <c r="AD354" s="642">
        <f t="shared" si="58"/>
        <v>1000000000.0</v>
      </c>
      <c r="AE354" s="642">
        <f t="shared" si="58"/>
        <v>1000000000.0</v>
      </c>
      <c r="AF354" s="642">
        <f t="shared" si="58"/>
        <v>1000000000.0</v>
      </c>
      <c r="AG354" s="642">
        <f t="shared" si="58"/>
        <v>1000000000.0</v>
      </c>
      <c r="AH354" s="642">
        <f t="shared" si="59"/>
        <v>1000000000.0</v>
      </c>
      <c r="AI354" s="642">
        <f t="shared" si="59"/>
        <v>1000000000.0</v>
      </c>
      <c r="AJ354" s="642">
        <f t="shared" si="59"/>
        <v>1000000000.0</v>
      </c>
      <c r="AK354" s="642">
        <f t="shared" si="59"/>
        <v>1000000000.0</v>
      </c>
      <c r="AL354" s="642">
        <f t="shared" si="59"/>
        <v>1000000000.0</v>
      </c>
      <c r="AM354" s="642">
        <f t="shared" si="59"/>
        <v>1000000000.0</v>
      </c>
      <c r="AN354" s="642">
        <f t="shared" si="59"/>
        <v>1000000000.0</v>
      </c>
      <c r="AO354" s="642">
        <f t="shared" si="59"/>
        <v>1000000000.0</v>
      </c>
      <c r="AP354" s="642">
        <f t="shared" si="59"/>
        <v>1000000000.0</v>
      </c>
      <c r="AQ354" s="642">
        <f t="shared" si="59"/>
        <v>1000000000.0</v>
      </c>
      <c r="AR354" s="642">
        <f t="shared" si="60"/>
        <v>1000000000.0</v>
      </c>
      <c r="AS354" s="642">
        <f t="shared" si="60"/>
        <v>1000000000.0</v>
      </c>
      <c r="AT354" s="642">
        <f t="shared" si="60"/>
        <v>1000000000.0</v>
      </c>
      <c r="AU354" s="642">
        <f t="shared" si="60"/>
        <v>1000000000.0</v>
      </c>
      <c r="AV354" s="642">
        <f t="shared" si="60"/>
        <v>1000000000.0</v>
      </c>
      <c r="AW354" s="642">
        <f t="shared" si="60"/>
        <v>1000000000.0</v>
      </c>
      <c r="AX354" s="642">
        <f t="shared" si="60"/>
        <v>1000000000.0</v>
      </c>
      <c r="AY354" s="642">
        <f t="shared" si="60"/>
        <v>1000000000.0</v>
      </c>
      <c r="AZ354" s="642">
        <f t="shared" si="60"/>
        <v>1000000000.0</v>
      </c>
      <c r="BA354" s="642">
        <f t="shared" si="60"/>
        <v>1000000000.0</v>
      </c>
      <c r="BB354" s="642">
        <f t="shared" si="61"/>
        <v>1000000000.0</v>
      </c>
      <c r="BC354" s="642">
        <f t="shared" si="61"/>
        <v>1000000000.0</v>
      </c>
      <c r="BD354" s="642">
        <f t="shared" si="61"/>
        <v>1000000000.0</v>
      </c>
      <c r="BE354" s="642">
        <f t="shared" si="61"/>
        <v>1000000000.0</v>
      </c>
      <c r="BF354" s="642">
        <f t="shared" si="61"/>
        <v>1000000000.0</v>
      </c>
      <c r="BG354" s="642">
        <f t="shared" si="61"/>
        <v>1000000000.0</v>
      </c>
      <c r="BH354" s="642">
        <f t="shared" si="61"/>
        <v>1000000000.0</v>
      </c>
      <c r="BI354" s="642">
        <f t="shared" si="61"/>
        <v>1000000000.0</v>
      </c>
      <c r="BJ354" s="642">
        <f t="shared" si="61"/>
        <v>1000000000.0</v>
      </c>
      <c r="BK354" s="642">
        <f t="shared" si="61"/>
        <v>1000000000.0</v>
      </c>
      <c r="BL354" s="642">
        <f t="shared" si="62"/>
        <v>1000000000.0</v>
      </c>
      <c r="BM354" s="642">
        <f t="shared" si="62"/>
        <v>1000000000.0</v>
      </c>
      <c r="BN354" s="642">
        <f t="shared" si="62"/>
        <v>1000000000.0</v>
      </c>
      <c r="BO354" s="642">
        <f t="shared" si="62"/>
        <v>1000000000.0</v>
      </c>
      <c r="BP354" s="642">
        <f t="shared" si="62"/>
        <v>1000000000.0</v>
      </c>
      <c r="BQ354" s="642">
        <f t="shared" si="62"/>
        <v>1000000000.0</v>
      </c>
      <c r="BR354" s="642">
        <f t="shared" si="62"/>
        <v>1000000000.0</v>
      </c>
      <c r="BS354" s="642">
        <f t="shared" si="62"/>
        <v>1000000000.0</v>
      </c>
      <c r="BT354" s="642">
        <f t="shared" si="62"/>
        <v>1000000000.0</v>
      </c>
      <c r="BU354" s="642">
        <f t="shared" si="62"/>
        <v>1000000000.0</v>
      </c>
      <c r="BV354" s="642">
        <f t="shared" si="63"/>
        <v>1000000000.0</v>
      </c>
      <c r="BW354" s="642">
        <f t="shared" si="63"/>
        <v>1000000000.0</v>
      </c>
      <c r="BX354" s="642">
        <f t="shared" si="63"/>
        <v>1000000000.0</v>
      </c>
      <c r="BY354" s="642">
        <f t="shared" si="63"/>
        <v>1000000000.0</v>
      </c>
      <c r="BZ354" s="642">
        <f t="shared" si="63"/>
        <v>1000000000.0</v>
      </c>
      <c r="CA354" s="642">
        <f t="shared" si="63"/>
        <v>1000000000.0</v>
      </c>
      <c r="CB354" s="642">
        <f t="shared" si="63"/>
        <v>1000000000.0</v>
      </c>
      <c r="CC354" s="642">
        <f t="shared" ca="1" si="63"/>
        <v>194.27881685333335</v>
      </c>
      <c r="CD354" s="642">
        <f t="shared" ca="1" si="63"/>
        <v>194.27881685333338</v>
      </c>
      <c r="CE354" s="642">
        <f t="shared" ca="1" si="63"/>
        <v>194.27881685333335</v>
      </c>
      <c r="CF354" s="642">
        <f t="shared" ca="1" si="64"/>
        <v>194.27881685333335</v>
      </c>
      <c r="CG354" s="642">
        <f t="shared" ca="1" si="64"/>
        <v>194.27881685333335</v>
      </c>
      <c r="CH354" s="642">
        <f t="shared" ca="1" si="64"/>
        <v>194.27881685333335</v>
      </c>
      <c r="CI354" s="642">
        <f t="shared" ca="1" si="64"/>
        <v>194.27881685333335</v>
      </c>
      <c r="CJ354" s="642">
        <f t="shared" ca="1" si="64"/>
        <v>194.27881685333335</v>
      </c>
      <c r="CK354" s="642">
        <f t="shared" ca="1" si="64"/>
        <v>194.27881685333335</v>
      </c>
      <c r="CL354" s="642">
        <f t="shared" ca="1" si="64"/>
        <v>194.27881685333335</v>
      </c>
      <c r="CM354" s="642">
        <f t="shared" ca="1" si="64"/>
        <v>194.27881685333335</v>
      </c>
      <c r="CN354" s="642">
        <f t="shared" ca="1" si="46"/>
        <v>194.27881685333335</v>
      </c>
      <c r="CO354" s="642">
        <f>2*$AD$61*MAX(0,$J$58+I354-$J$64)+IF(L354&lt;$J$38,1000000,0)</f>
        <v>143.555776</v>
      </c>
      <c r="CP354" s="642">
        <f>2*IF($J$175&gt;0,IF($J$392/MIN($J$175,K354)&gt;$M$5*VLOOKUP($L$5,Taxas!$V$22:$W$30,2)/L354,$J$391/MIN($J$175,K354),$J$389/L354),$J$389/L354)</f>
        <v>0.3828154026666668</v>
      </c>
    </row>
    <row r="355" spans="9:94" hidden="1" x14ac:dyDescent="0.25">
      <c r="I355" s="642">
        <f>MIN(5*53,$J$57/2)</f>
        <v>265.0</v>
      </c>
      <c r="J355" s="646">
        <f t="shared" ca="1" si="44"/>
        <v>0.048859517098708304</v>
      </c>
      <c r="K355" s="642">
        <f t="shared" ca="1" si="45"/>
        <v>30.0</v>
      </c>
      <c r="L355" s="642">
        <f ca="1">MIN(ROUNDDOWN($M$5*VLOOKUP($L$5,Taxas!$V$22:$W$30,2)/J355*2,0)/2,K355)</f>
        <v>30.0</v>
      </c>
      <c r="M355" s="642">
        <f ca="1">MIN(ROUNDDOWN($M$6*VLOOKUP($L$6,Taxas!$V$22:$W$30,2)/J355*2,0)/2,K355)</f>
        <v>30.0</v>
      </c>
      <c r="N355" s="642">
        <f t="shared" si="57"/>
        <v>1000000000.0</v>
      </c>
      <c r="O355" s="642">
        <f t="shared" si="57"/>
        <v>1000000000.0</v>
      </c>
      <c r="P355" s="642">
        <f t="shared" si="57"/>
        <v>1000000000.0</v>
      </c>
      <c r="Q355" s="642">
        <f t="shared" si="57"/>
        <v>1000000000.0</v>
      </c>
      <c r="R355" s="642">
        <f t="shared" si="57"/>
        <v>1000000000.0</v>
      </c>
      <c r="S355" s="642">
        <f t="shared" si="57"/>
        <v>1000000000.0</v>
      </c>
      <c r="T355" s="642">
        <f t="shared" si="57"/>
        <v>1000000000.0</v>
      </c>
      <c r="U355" s="642">
        <f t="shared" si="57"/>
        <v>1000000000.0</v>
      </c>
      <c r="V355" s="642">
        <f t="shared" si="57"/>
        <v>1000000000.0</v>
      </c>
      <c r="W355" s="642">
        <f t="shared" si="57"/>
        <v>1000000000.0</v>
      </c>
      <c r="X355" s="642">
        <f t="shared" si="58"/>
        <v>1000000000.0</v>
      </c>
      <c r="Y355" s="642">
        <f t="shared" si="58"/>
        <v>1000000000.0</v>
      </c>
      <c r="Z355" s="642">
        <f t="shared" si="58"/>
        <v>1000000000.0</v>
      </c>
      <c r="AA355" s="642">
        <f t="shared" si="58"/>
        <v>1000000000.0</v>
      </c>
      <c r="AB355" s="642">
        <f t="shared" si="58"/>
        <v>1000000000.0</v>
      </c>
      <c r="AC355" s="642">
        <f t="shared" si="58"/>
        <v>1000000000.0</v>
      </c>
      <c r="AD355" s="642">
        <f t="shared" si="58"/>
        <v>1000000000.0</v>
      </c>
      <c r="AE355" s="642">
        <f t="shared" si="58"/>
        <v>1000000000.0</v>
      </c>
      <c r="AF355" s="642">
        <f t="shared" si="58"/>
        <v>1000000000.0</v>
      </c>
      <c r="AG355" s="642">
        <f t="shared" si="58"/>
        <v>1000000000.0</v>
      </c>
      <c r="AH355" s="642">
        <f t="shared" si="59"/>
        <v>1000000000.0</v>
      </c>
      <c r="AI355" s="642">
        <f t="shared" si="59"/>
        <v>1000000000.0</v>
      </c>
      <c r="AJ355" s="642">
        <f t="shared" si="59"/>
        <v>1000000000.0</v>
      </c>
      <c r="AK355" s="642">
        <f t="shared" si="59"/>
        <v>1000000000.0</v>
      </c>
      <c r="AL355" s="642">
        <f t="shared" si="59"/>
        <v>1000000000.0</v>
      </c>
      <c r="AM355" s="642">
        <f t="shared" si="59"/>
        <v>1000000000.0</v>
      </c>
      <c r="AN355" s="642">
        <f t="shared" si="59"/>
        <v>1000000000.0</v>
      </c>
      <c r="AO355" s="642">
        <f t="shared" si="59"/>
        <v>1000000000.0</v>
      </c>
      <c r="AP355" s="642">
        <f t="shared" si="59"/>
        <v>1000000000.0</v>
      </c>
      <c r="AQ355" s="642">
        <f t="shared" si="59"/>
        <v>1000000000.0</v>
      </c>
      <c r="AR355" s="642">
        <f t="shared" si="60"/>
        <v>1000000000.0</v>
      </c>
      <c r="AS355" s="642">
        <f t="shared" si="60"/>
        <v>1000000000.0</v>
      </c>
      <c r="AT355" s="642">
        <f t="shared" si="60"/>
        <v>1000000000.0</v>
      </c>
      <c r="AU355" s="642">
        <f t="shared" si="60"/>
        <v>1000000000.0</v>
      </c>
      <c r="AV355" s="642">
        <f t="shared" si="60"/>
        <v>1000000000.0</v>
      </c>
      <c r="AW355" s="642">
        <f t="shared" si="60"/>
        <v>1000000000.0</v>
      </c>
      <c r="AX355" s="642">
        <f t="shared" si="60"/>
        <v>1000000000.0</v>
      </c>
      <c r="AY355" s="642">
        <f t="shared" si="60"/>
        <v>1000000000.0</v>
      </c>
      <c r="AZ355" s="642">
        <f t="shared" si="60"/>
        <v>1000000000.0</v>
      </c>
      <c r="BA355" s="642">
        <f t="shared" si="60"/>
        <v>1000000000.0</v>
      </c>
      <c r="BB355" s="642">
        <f t="shared" si="61"/>
        <v>1000000000.0</v>
      </c>
      <c r="BC355" s="642">
        <f t="shared" si="61"/>
        <v>1000000000.0</v>
      </c>
      <c r="BD355" s="642">
        <f t="shared" si="61"/>
        <v>1000000000.0</v>
      </c>
      <c r="BE355" s="642">
        <f t="shared" si="61"/>
        <v>1000000000.0</v>
      </c>
      <c r="BF355" s="642">
        <f t="shared" si="61"/>
        <v>1000000000.0</v>
      </c>
      <c r="BG355" s="642">
        <f t="shared" si="61"/>
        <v>1000000000.0</v>
      </c>
      <c r="BH355" s="642">
        <f t="shared" si="61"/>
        <v>1000000000.0</v>
      </c>
      <c r="BI355" s="642">
        <f t="shared" si="61"/>
        <v>1000000000.0</v>
      </c>
      <c r="BJ355" s="642">
        <f t="shared" si="61"/>
        <v>1000000000.0</v>
      </c>
      <c r="BK355" s="642">
        <f t="shared" si="61"/>
        <v>1000000000.0</v>
      </c>
      <c r="BL355" s="642">
        <f t="shared" si="62"/>
        <v>1000000000.0</v>
      </c>
      <c r="BM355" s="642">
        <f t="shared" si="62"/>
        <v>1000000000.0</v>
      </c>
      <c r="BN355" s="642">
        <f t="shared" si="62"/>
        <v>1000000000.0</v>
      </c>
      <c r="BO355" s="642">
        <f t="shared" si="62"/>
        <v>1000000000.0</v>
      </c>
      <c r="BP355" s="642">
        <f t="shared" si="62"/>
        <v>1000000000.0</v>
      </c>
      <c r="BQ355" s="642">
        <f t="shared" si="62"/>
        <v>1000000000.0</v>
      </c>
      <c r="BR355" s="642">
        <f t="shared" si="62"/>
        <v>1000000000.0</v>
      </c>
      <c r="BS355" s="642">
        <f t="shared" si="62"/>
        <v>1000000000.0</v>
      </c>
      <c r="BT355" s="642">
        <f t="shared" si="62"/>
        <v>1000000000.0</v>
      </c>
      <c r="BU355" s="642">
        <f t="shared" si="62"/>
        <v>1000000000.0</v>
      </c>
      <c r="BV355" s="642">
        <f t="shared" si="63"/>
        <v>1000000000.0</v>
      </c>
      <c r="BW355" s="642">
        <f t="shared" si="63"/>
        <v>1000000000.0</v>
      </c>
      <c r="BX355" s="642">
        <f t="shared" si="63"/>
        <v>1000000000.0</v>
      </c>
      <c r="BY355" s="642">
        <f t="shared" si="63"/>
        <v>1000000000.0</v>
      </c>
      <c r="BZ355" s="642">
        <f t="shared" si="63"/>
        <v>1000000000.0</v>
      </c>
      <c r="CA355" s="642">
        <f t="shared" si="63"/>
        <v>1000000000.0</v>
      </c>
      <c r="CB355" s="642">
        <f t="shared" si="63"/>
        <v>1000000000.0</v>
      </c>
      <c r="CC355" s="642">
        <f t="shared" si="63"/>
        <v>1000000000.0</v>
      </c>
      <c r="CD355" s="642">
        <f t="shared" ca="1" si="63"/>
        <v>195.0036327811765</v>
      </c>
      <c r="CE355" s="642">
        <f t="shared" ca="1" si="63"/>
        <v>195.0036327811765</v>
      </c>
      <c r="CF355" s="642">
        <f t="shared" ca="1" si="64"/>
        <v>195.0036327811765</v>
      </c>
      <c r="CG355" s="642">
        <f t="shared" ca="1" si="64"/>
        <v>195.0036327811765</v>
      </c>
      <c r="CH355" s="642">
        <f t="shared" ca="1" si="64"/>
        <v>195.00363278117652</v>
      </c>
      <c r="CI355" s="642">
        <f t="shared" ca="1" si="64"/>
        <v>195.0036327811765</v>
      </c>
      <c r="CJ355" s="642">
        <f t="shared" ca="1" si="64"/>
        <v>195.0036327811765</v>
      </c>
      <c r="CK355" s="642">
        <f t="shared" ca="1" si="64"/>
        <v>195.0036327811765</v>
      </c>
      <c r="CL355" s="642">
        <f t="shared" ca="1" si="64"/>
        <v>195.00363278117646</v>
      </c>
      <c r="CM355" s="642">
        <f t="shared" ca="1" si="64"/>
        <v>195.0036327811765</v>
      </c>
      <c r="CN355" s="642">
        <f t="shared" ca="1" si="46"/>
        <v>195.00363278117646</v>
      </c>
      <c r="CO355" s="642">
        <f>2*$AD$61*MAX(0,$J$58+I355-$J$64)+IF(L355&lt;$J$38,1000000,0)</f>
        <v>146.19466894117647</v>
      </c>
      <c r="CP355" s="642">
        <f>2*IF($J$175&gt;0,IF($J$392/MIN($J$175,K355)&gt;$M$5*VLOOKUP($L$5,Taxas!$V$22:$W$30,2)/L355,$J$391/MIN($J$175,K355),$J$389/L355),$J$389/L355)</f>
        <v>0.3828154026666668</v>
      </c>
    </row>
    <row r="356" spans="9:94" hidden="1" x14ac:dyDescent="0.25">
      <c r="I356" s="642">
        <f>MIN(5*54,$J$57/2)</f>
        <v>270.0</v>
      </c>
      <c r="J356" s="646">
        <f t="shared" ca="1" si="44"/>
        <v>0.048859517098708304</v>
      </c>
      <c r="K356" s="642">
        <f t="shared" ca="1" si="45"/>
        <v>30.0</v>
      </c>
      <c r="L356" s="642">
        <f ca="1">MIN(ROUNDDOWN($M$5*VLOOKUP($L$5,Taxas!$V$22:$W$30,2)/J356*2,0)/2,K356)</f>
        <v>30.0</v>
      </c>
      <c r="M356" s="642">
        <f ca="1">MIN(ROUNDDOWN($M$6*VLOOKUP($L$6,Taxas!$V$22:$W$30,2)/J356*2,0)/2,K356)</f>
        <v>30.0</v>
      </c>
      <c r="N356" s="642">
        <f t="shared" si="57"/>
        <v>1000000000.0</v>
      </c>
      <c r="O356" s="642">
        <f t="shared" si="57"/>
        <v>1000000000.0</v>
      </c>
      <c r="P356" s="642">
        <f t="shared" si="57"/>
        <v>1000000000.0</v>
      </c>
      <c r="Q356" s="642">
        <f t="shared" si="57"/>
        <v>1000000000.0</v>
      </c>
      <c r="R356" s="642">
        <f t="shared" si="57"/>
        <v>1000000000.0</v>
      </c>
      <c r="S356" s="642">
        <f t="shared" si="57"/>
        <v>1000000000.0</v>
      </c>
      <c r="T356" s="642">
        <f t="shared" si="57"/>
        <v>1000000000.0</v>
      </c>
      <c r="U356" s="642">
        <f t="shared" si="57"/>
        <v>1000000000.0</v>
      </c>
      <c r="V356" s="642">
        <f t="shared" si="57"/>
        <v>1000000000.0</v>
      </c>
      <c r="W356" s="642">
        <f t="shared" si="57"/>
        <v>1000000000.0</v>
      </c>
      <c r="X356" s="642">
        <f t="shared" si="58"/>
        <v>1000000000.0</v>
      </c>
      <c r="Y356" s="642">
        <f t="shared" si="58"/>
        <v>1000000000.0</v>
      </c>
      <c r="Z356" s="642">
        <f t="shared" si="58"/>
        <v>1000000000.0</v>
      </c>
      <c r="AA356" s="642">
        <f t="shared" si="58"/>
        <v>1000000000.0</v>
      </c>
      <c r="AB356" s="642">
        <f t="shared" si="58"/>
        <v>1000000000.0</v>
      </c>
      <c r="AC356" s="642">
        <f t="shared" si="58"/>
        <v>1000000000.0</v>
      </c>
      <c r="AD356" s="642">
        <f t="shared" si="58"/>
        <v>1000000000.0</v>
      </c>
      <c r="AE356" s="642">
        <f t="shared" si="58"/>
        <v>1000000000.0</v>
      </c>
      <c r="AF356" s="642">
        <f t="shared" si="58"/>
        <v>1000000000.0</v>
      </c>
      <c r="AG356" s="642">
        <f t="shared" si="58"/>
        <v>1000000000.0</v>
      </c>
      <c r="AH356" s="642">
        <f t="shared" si="59"/>
        <v>1000000000.0</v>
      </c>
      <c r="AI356" s="642">
        <f t="shared" si="59"/>
        <v>1000000000.0</v>
      </c>
      <c r="AJ356" s="642">
        <f t="shared" si="59"/>
        <v>1000000000.0</v>
      </c>
      <c r="AK356" s="642">
        <f t="shared" si="59"/>
        <v>1000000000.0</v>
      </c>
      <c r="AL356" s="642">
        <f t="shared" si="59"/>
        <v>1000000000.0</v>
      </c>
      <c r="AM356" s="642">
        <f t="shared" si="59"/>
        <v>1000000000.0</v>
      </c>
      <c r="AN356" s="642">
        <f t="shared" si="59"/>
        <v>1000000000.0</v>
      </c>
      <c r="AO356" s="642">
        <f t="shared" si="59"/>
        <v>1000000000.0</v>
      </c>
      <c r="AP356" s="642">
        <f t="shared" si="59"/>
        <v>1000000000.0</v>
      </c>
      <c r="AQ356" s="642">
        <f t="shared" si="59"/>
        <v>1000000000.0</v>
      </c>
      <c r="AR356" s="642">
        <f t="shared" si="60"/>
        <v>1000000000.0</v>
      </c>
      <c r="AS356" s="642">
        <f t="shared" si="60"/>
        <v>1000000000.0</v>
      </c>
      <c r="AT356" s="642">
        <f t="shared" si="60"/>
        <v>1000000000.0</v>
      </c>
      <c r="AU356" s="642">
        <f t="shared" si="60"/>
        <v>1000000000.0</v>
      </c>
      <c r="AV356" s="642">
        <f t="shared" si="60"/>
        <v>1000000000.0</v>
      </c>
      <c r="AW356" s="642">
        <f t="shared" si="60"/>
        <v>1000000000.0</v>
      </c>
      <c r="AX356" s="642">
        <f t="shared" si="60"/>
        <v>1000000000.0</v>
      </c>
      <c r="AY356" s="642">
        <f t="shared" si="60"/>
        <v>1000000000.0</v>
      </c>
      <c r="AZ356" s="642">
        <f t="shared" si="60"/>
        <v>1000000000.0</v>
      </c>
      <c r="BA356" s="642">
        <f t="shared" si="60"/>
        <v>1000000000.0</v>
      </c>
      <c r="BB356" s="642">
        <f t="shared" si="61"/>
        <v>1000000000.0</v>
      </c>
      <c r="BC356" s="642">
        <f t="shared" si="61"/>
        <v>1000000000.0</v>
      </c>
      <c r="BD356" s="642">
        <f t="shared" si="61"/>
        <v>1000000000.0</v>
      </c>
      <c r="BE356" s="642">
        <f t="shared" si="61"/>
        <v>1000000000.0</v>
      </c>
      <c r="BF356" s="642">
        <f t="shared" si="61"/>
        <v>1000000000.0</v>
      </c>
      <c r="BG356" s="642">
        <f t="shared" si="61"/>
        <v>1000000000.0</v>
      </c>
      <c r="BH356" s="642">
        <f t="shared" si="61"/>
        <v>1000000000.0</v>
      </c>
      <c r="BI356" s="642">
        <f t="shared" si="61"/>
        <v>1000000000.0</v>
      </c>
      <c r="BJ356" s="642">
        <f t="shared" si="61"/>
        <v>1000000000.0</v>
      </c>
      <c r="BK356" s="642">
        <f t="shared" si="61"/>
        <v>1000000000.0</v>
      </c>
      <c r="BL356" s="642">
        <f t="shared" si="62"/>
        <v>1000000000.0</v>
      </c>
      <c r="BM356" s="642">
        <f t="shared" si="62"/>
        <v>1000000000.0</v>
      </c>
      <c r="BN356" s="642">
        <f t="shared" si="62"/>
        <v>1000000000.0</v>
      </c>
      <c r="BO356" s="642">
        <f t="shared" si="62"/>
        <v>1000000000.0</v>
      </c>
      <c r="BP356" s="642">
        <f t="shared" si="62"/>
        <v>1000000000.0</v>
      </c>
      <c r="BQ356" s="642">
        <f t="shared" si="62"/>
        <v>1000000000.0</v>
      </c>
      <c r="BR356" s="642">
        <f t="shared" si="62"/>
        <v>1000000000.0</v>
      </c>
      <c r="BS356" s="642">
        <f t="shared" si="62"/>
        <v>1000000000.0</v>
      </c>
      <c r="BT356" s="642">
        <f t="shared" si="62"/>
        <v>1000000000.0</v>
      </c>
      <c r="BU356" s="642">
        <f t="shared" si="62"/>
        <v>1000000000.0</v>
      </c>
      <c r="BV356" s="642">
        <f t="shared" si="63"/>
        <v>1000000000.0</v>
      </c>
      <c r="BW356" s="642">
        <f t="shared" si="63"/>
        <v>1000000000.0</v>
      </c>
      <c r="BX356" s="642">
        <f t="shared" si="63"/>
        <v>1000000000.0</v>
      </c>
      <c r="BY356" s="642">
        <f t="shared" si="63"/>
        <v>1000000000.0</v>
      </c>
      <c r="BZ356" s="642">
        <f t="shared" si="63"/>
        <v>1000000000.0</v>
      </c>
      <c r="CA356" s="642">
        <f t="shared" si="63"/>
        <v>1000000000.0</v>
      </c>
      <c r="CB356" s="642">
        <f t="shared" si="63"/>
        <v>1000000000.0</v>
      </c>
      <c r="CC356" s="642">
        <f t="shared" si="63"/>
        <v>1000000000.0</v>
      </c>
      <c r="CD356" s="642">
        <f t="shared" si="63"/>
        <v>1000000000.0</v>
      </c>
      <c r="CE356" s="642">
        <f t="shared" ca="1" si="63"/>
        <v>195.7284487090196</v>
      </c>
      <c r="CF356" s="642">
        <f t="shared" ca="1" si="64"/>
        <v>195.72844870901963</v>
      </c>
      <c r="CG356" s="642">
        <f t="shared" ca="1" si="64"/>
        <v>195.72844870901963</v>
      </c>
      <c r="CH356" s="642">
        <f t="shared" ca="1" si="64"/>
        <v>195.7284487090196</v>
      </c>
      <c r="CI356" s="642">
        <f t="shared" ca="1" si="64"/>
        <v>195.72844870901963</v>
      </c>
      <c r="CJ356" s="642">
        <f t="shared" ca="1" si="64"/>
        <v>195.72844870901963</v>
      </c>
      <c r="CK356" s="642">
        <f t="shared" ca="1" si="64"/>
        <v>195.72844870901963</v>
      </c>
      <c r="CL356" s="642">
        <f t="shared" ca="1" si="64"/>
        <v>195.7284487090196</v>
      </c>
      <c r="CM356" s="642">
        <f t="shared" ca="1" si="64"/>
        <v>195.72844870901963</v>
      </c>
      <c r="CN356" s="642">
        <f t="shared" ca="1" si="46"/>
        <v>195.7284487090196</v>
      </c>
      <c r="CO356" s="642">
        <f>2*$AD$61*MAX(0,$J$58+I356-$J$64)+IF(L356&lt;$J$38,1000000,0)</f>
        <v>148.83356188235294</v>
      </c>
      <c r="CP356" s="642">
        <f>2*IF($J$175&gt;0,IF($J$392/MIN($J$175,K356)&gt;$M$5*VLOOKUP($L$5,Taxas!$V$22:$W$30,2)/L356,$J$391/MIN($J$175,K356),$J$389/L356),$J$389/L356)</f>
        <v>0.3828154026666668</v>
      </c>
    </row>
    <row r="357" spans="9:94" hidden="1" x14ac:dyDescent="0.25">
      <c r="I357" s="642">
        <f>MIN(5*55,$J$57/2)</f>
        <v>275.0</v>
      </c>
      <c r="J357" s="646">
        <f t="shared" ca="1" si="44"/>
        <v>0.048859517098708304</v>
      </c>
      <c r="K357" s="642">
        <f t="shared" ca="1" si="45"/>
        <v>30.0</v>
      </c>
      <c r="L357" s="642">
        <f ca="1">MIN(ROUNDDOWN($M$5*VLOOKUP($L$5,Taxas!$V$22:$W$30,2)/J357*2,0)/2,K357)</f>
        <v>30.0</v>
      </c>
      <c r="M357" s="642">
        <f ca="1">MIN(ROUNDDOWN($M$6*VLOOKUP($L$6,Taxas!$V$22:$W$30,2)/J357*2,0)/2,K357)</f>
        <v>30.0</v>
      </c>
      <c r="N357" s="642">
        <f t="shared" si="57"/>
        <v>1000000000.0</v>
      </c>
      <c r="O357" s="642">
        <f t="shared" si="57"/>
        <v>1000000000.0</v>
      </c>
      <c r="P357" s="642">
        <f t="shared" si="57"/>
        <v>1000000000.0</v>
      </c>
      <c r="Q357" s="642">
        <f t="shared" si="57"/>
        <v>1000000000.0</v>
      </c>
      <c r="R357" s="642">
        <f t="shared" si="57"/>
        <v>1000000000.0</v>
      </c>
      <c r="S357" s="642">
        <f t="shared" si="57"/>
        <v>1000000000.0</v>
      </c>
      <c r="T357" s="642">
        <f t="shared" si="57"/>
        <v>1000000000.0</v>
      </c>
      <c r="U357" s="642">
        <f t="shared" si="57"/>
        <v>1000000000.0</v>
      </c>
      <c r="V357" s="642">
        <f t="shared" si="57"/>
        <v>1000000000.0</v>
      </c>
      <c r="W357" s="642">
        <f t="shared" si="57"/>
        <v>1000000000.0</v>
      </c>
      <c r="X357" s="642">
        <f t="shared" si="58"/>
        <v>1000000000.0</v>
      </c>
      <c r="Y357" s="642">
        <f t="shared" si="58"/>
        <v>1000000000.0</v>
      </c>
      <c r="Z357" s="642">
        <f t="shared" si="58"/>
        <v>1000000000.0</v>
      </c>
      <c r="AA357" s="642">
        <f t="shared" si="58"/>
        <v>1000000000.0</v>
      </c>
      <c r="AB357" s="642">
        <f t="shared" si="58"/>
        <v>1000000000.0</v>
      </c>
      <c r="AC357" s="642">
        <f t="shared" si="58"/>
        <v>1000000000.0</v>
      </c>
      <c r="AD357" s="642">
        <f t="shared" si="58"/>
        <v>1000000000.0</v>
      </c>
      <c r="AE357" s="642">
        <f t="shared" si="58"/>
        <v>1000000000.0</v>
      </c>
      <c r="AF357" s="642">
        <f t="shared" si="58"/>
        <v>1000000000.0</v>
      </c>
      <c r="AG357" s="642">
        <f t="shared" si="58"/>
        <v>1000000000.0</v>
      </c>
      <c r="AH357" s="642">
        <f t="shared" si="59"/>
        <v>1000000000.0</v>
      </c>
      <c r="AI357" s="642">
        <f t="shared" si="59"/>
        <v>1000000000.0</v>
      </c>
      <c r="AJ357" s="642">
        <f t="shared" si="59"/>
        <v>1000000000.0</v>
      </c>
      <c r="AK357" s="642">
        <f t="shared" si="59"/>
        <v>1000000000.0</v>
      </c>
      <c r="AL357" s="642">
        <f t="shared" si="59"/>
        <v>1000000000.0</v>
      </c>
      <c r="AM357" s="642">
        <f t="shared" si="59"/>
        <v>1000000000.0</v>
      </c>
      <c r="AN357" s="642">
        <f t="shared" si="59"/>
        <v>1000000000.0</v>
      </c>
      <c r="AO357" s="642">
        <f t="shared" si="59"/>
        <v>1000000000.0</v>
      </c>
      <c r="AP357" s="642">
        <f t="shared" si="59"/>
        <v>1000000000.0</v>
      </c>
      <c r="AQ357" s="642">
        <f t="shared" si="59"/>
        <v>1000000000.0</v>
      </c>
      <c r="AR357" s="642">
        <f t="shared" si="60"/>
        <v>1000000000.0</v>
      </c>
      <c r="AS357" s="642">
        <f t="shared" si="60"/>
        <v>1000000000.0</v>
      </c>
      <c r="AT357" s="642">
        <f t="shared" si="60"/>
        <v>1000000000.0</v>
      </c>
      <c r="AU357" s="642">
        <f t="shared" si="60"/>
        <v>1000000000.0</v>
      </c>
      <c r="AV357" s="642">
        <f t="shared" si="60"/>
        <v>1000000000.0</v>
      </c>
      <c r="AW357" s="642">
        <f t="shared" si="60"/>
        <v>1000000000.0</v>
      </c>
      <c r="AX357" s="642">
        <f t="shared" si="60"/>
        <v>1000000000.0</v>
      </c>
      <c r="AY357" s="642">
        <f t="shared" si="60"/>
        <v>1000000000.0</v>
      </c>
      <c r="AZ357" s="642">
        <f t="shared" si="60"/>
        <v>1000000000.0</v>
      </c>
      <c r="BA357" s="642">
        <f t="shared" si="60"/>
        <v>1000000000.0</v>
      </c>
      <c r="BB357" s="642">
        <f t="shared" si="61"/>
        <v>1000000000.0</v>
      </c>
      <c r="BC357" s="642">
        <f t="shared" si="61"/>
        <v>1000000000.0</v>
      </c>
      <c r="BD357" s="642">
        <f t="shared" si="61"/>
        <v>1000000000.0</v>
      </c>
      <c r="BE357" s="642">
        <f t="shared" si="61"/>
        <v>1000000000.0</v>
      </c>
      <c r="BF357" s="642">
        <f t="shared" si="61"/>
        <v>1000000000.0</v>
      </c>
      <c r="BG357" s="642">
        <f t="shared" si="61"/>
        <v>1000000000.0</v>
      </c>
      <c r="BH357" s="642">
        <f t="shared" si="61"/>
        <v>1000000000.0</v>
      </c>
      <c r="BI357" s="642">
        <f t="shared" si="61"/>
        <v>1000000000.0</v>
      </c>
      <c r="BJ357" s="642">
        <f t="shared" si="61"/>
        <v>1000000000.0</v>
      </c>
      <c r="BK357" s="642">
        <f t="shared" si="61"/>
        <v>1000000000.0</v>
      </c>
      <c r="BL357" s="642">
        <f t="shared" si="62"/>
        <v>1000000000.0</v>
      </c>
      <c r="BM357" s="642">
        <f t="shared" si="62"/>
        <v>1000000000.0</v>
      </c>
      <c r="BN357" s="642">
        <f t="shared" si="62"/>
        <v>1000000000.0</v>
      </c>
      <c r="BO357" s="642">
        <f t="shared" si="62"/>
        <v>1000000000.0</v>
      </c>
      <c r="BP357" s="642">
        <f t="shared" si="62"/>
        <v>1000000000.0</v>
      </c>
      <c r="BQ357" s="642">
        <f t="shared" si="62"/>
        <v>1000000000.0</v>
      </c>
      <c r="BR357" s="642">
        <f t="shared" si="62"/>
        <v>1000000000.0</v>
      </c>
      <c r="BS357" s="642">
        <f t="shared" si="62"/>
        <v>1000000000.0</v>
      </c>
      <c r="BT357" s="642">
        <f t="shared" si="62"/>
        <v>1000000000.0</v>
      </c>
      <c r="BU357" s="642">
        <f t="shared" si="62"/>
        <v>1000000000.0</v>
      </c>
      <c r="BV357" s="642">
        <f t="shared" si="63"/>
        <v>1000000000.0</v>
      </c>
      <c r="BW357" s="642">
        <f t="shared" si="63"/>
        <v>1000000000.0</v>
      </c>
      <c r="BX357" s="642">
        <f t="shared" si="63"/>
        <v>1000000000.0</v>
      </c>
      <c r="BY357" s="642">
        <f t="shared" si="63"/>
        <v>1000000000.0</v>
      </c>
      <c r="BZ357" s="642">
        <f t="shared" si="63"/>
        <v>1000000000.0</v>
      </c>
      <c r="CA357" s="642">
        <f t="shared" si="63"/>
        <v>1000000000.0</v>
      </c>
      <c r="CB357" s="642">
        <f t="shared" si="63"/>
        <v>1000000000.0</v>
      </c>
      <c r="CC357" s="642">
        <f t="shared" si="63"/>
        <v>1000000000.0</v>
      </c>
      <c r="CD357" s="642">
        <f t="shared" si="63"/>
        <v>1000000000.0</v>
      </c>
      <c r="CE357" s="642">
        <f t="shared" si="63"/>
        <v>1000000000.0</v>
      </c>
      <c r="CF357" s="642">
        <f t="shared" ca="1" si="64"/>
        <v>196.45326463686274</v>
      </c>
      <c r="CG357" s="642">
        <f t="shared" ca="1" si="64"/>
        <v>196.45326463686277</v>
      </c>
      <c r="CH357" s="642">
        <f t="shared" ca="1" si="64"/>
        <v>196.45326463686277</v>
      </c>
      <c r="CI357" s="642">
        <f t="shared" ca="1" si="64"/>
        <v>196.45326463686274</v>
      </c>
      <c r="CJ357" s="642">
        <f t="shared" ca="1" si="64"/>
        <v>196.45326463686274</v>
      </c>
      <c r="CK357" s="642">
        <f t="shared" ca="1" si="64"/>
        <v>196.45326463686277</v>
      </c>
      <c r="CL357" s="642">
        <f t="shared" ca="1" si="64"/>
        <v>196.45326463686274</v>
      </c>
      <c r="CM357" s="642">
        <f t="shared" ca="1" si="64"/>
        <v>196.45326463686274</v>
      </c>
      <c r="CN357" s="642">
        <f t="shared" ca="1" si="46"/>
        <v>196.45326463686274</v>
      </c>
      <c r="CO357" s="642">
        <f>2*$AD$61*MAX(0,$J$58+I357-$J$64)+IF(L357&lt;$J$38,1000000,0)</f>
        <v>151.4724548235294</v>
      </c>
      <c r="CP357" s="642">
        <f>2*IF($J$175&gt;0,IF($J$392/MIN($J$175,K357)&gt;$M$5*VLOOKUP($L$5,Taxas!$V$22:$W$30,2)/L357,$J$391/MIN($J$175,K357),$J$389/L357),$J$389/L357)</f>
        <v>0.3828154026666668</v>
      </c>
    </row>
    <row r="358" spans="9:94" hidden="1" x14ac:dyDescent="0.25">
      <c r="I358" s="642">
        <f>MIN(5*56,$J$57/2)</f>
        <v>280.0</v>
      </c>
      <c r="J358" s="646">
        <f t="shared" ca="1" si="44"/>
        <v>0.048859517098708304</v>
      </c>
      <c r="K358" s="642">
        <f t="shared" ca="1" si="45"/>
        <v>30.0</v>
      </c>
      <c r="L358" s="642">
        <f ca="1">MIN(ROUNDDOWN($M$5*VLOOKUP($L$5,Taxas!$V$22:$W$30,2)/J358*2,0)/2,K358)</f>
        <v>30.0</v>
      </c>
      <c r="M358" s="642">
        <f ca="1">MIN(ROUNDDOWN($M$6*VLOOKUP($L$6,Taxas!$V$22:$W$30,2)/J358*2,0)/2,K358)</f>
        <v>30.0</v>
      </c>
      <c r="N358" s="642">
        <f t="shared" si="57"/>
        <v>1000000000.0</v>
      </c>
      <c r="O358" s="642">
        <f t="shared" si="57"/>
        <v>1000000000.0</v>
      </c>
      <c r="P358" s="642">
        <f t="shared" si="57"/>
        <v>1000000000.0</v>
      </c>
      <c r="Q358" s="642">
        <f t="shared" si="57"/>
        <v>1000000000.0</v>
      </c>
      <c r="R358" s="642">
        <f t="shared" si="57"/>
        <v>1000000000.0</v>
      </c>
      <c r="S358" s="642">
        <f t="shared" si="57"/>
        <v>1000000000.0</v>
      </c>
      <c r="T358" s="642">
        <f t="shared" si="57"/>
        <v>1000000000.0</v>
      </c>
      <c r="U358" s="642">
        <f t="shared" si="57"/>
        <v>1000000000.0</v>
      </c>
      <c r="V358" s="642">
        <f t="shared" si="57"/>
        <v>1000000000.0</v>
      </c>
      <c r="W358" s="642">
        <f t="shared" si="57"/>
        <v>1000000000.0</v>
      </c>
      <c r="X358" s="642">
        <f t="shared" si="58"/>
        <v>1000000000.0</v>
      </c>
      <c r="Y358" s="642">
        <f t="shared" si="58"/>
        <v>1000000000.0</v>
      </c>
      <c r="Z358" s="642">
        <f t="shared" si="58"/>
        <v>1000000000.0</v>
      </c>
      <c r="AA358" s="642">
        <f t="shared" si="58"/>
        <v>1000000000.0</v>
      </c>
      <c r="AB358" s="642">
        <f t="shared" si="58"/>
        <v>1000000000.0</v>
      </c>
      <c r="AC358" s="642">
        <f t="shared" si="58"/>
        <v>1000000000.0</v>
      </c>
      <c r="AD358" s="642">
        <f t="shared" si="58"/>
        <v>1000000000.0</v>
      </c>
      <c r="AE358" s="642">
        <f t="shared" si="58"/>
        <v>1000000000.0</v>
      </c>
      <c r="AF358" s="642">
        <f t="shared" si="58"/>
        <v>1000000000.0</v>
      </c>
      <c r="AG358" s="642">
        <f t="shared" si="58"/>
        <v>1000000000.0</v>
      </c>
      <c r="AH358" s="642">
        <f t="shared" si="59"/>
        <v>1000000000.0</v>
      </c>
      <c r="AI358" s="642">
        <f t="shared" si="59"/>
        <v>1000000000.0</v>
      </c>
      <c r="AJ358" s="642">
        <f t="shared" si="59"/>
        <v>1000000000.0</v>
      </c>
      <c r="AK358" s="642">
        <f t="shared" si="59"/>
        <v>1000000000.0</v>
      </c>
      <c r="AL358" s="642">
        <f t="shared" si="59"/>
        <v>1000000000.0</v>
      </c>
      <c r="AM358" s="642">
        <f t="shared" si="59"/>
        <v>1000000000.0</v>
      </c>
      <c r="AN358" s="642">
        <f t="shared" si="59"/>
        <v>1000000000.0</v>
      </c>
      <c r="AO358" s="642">
        <f t="shared" si="59"/>
        <v>1000000000.0</v>
      </c>
      <c r="AP358" s="642">
        <f t="shared" si="59"/>
        <v>1000000000.0</v>
      </c>
      <c r="AQ358" s="642">
        <f t="shared" si="59"/>
        <v>1000000000.0</v>
      </c>
      <c r="AR358" s="642">
        <f t="shared" si="60"/>
        <v>1000000000.0</v>
      </c>
      <c r="AS358" s="642">
        <f t="shared" si="60"/>
        <v>1000000000.0</v>
      </c>
      <c r="AT358" s="642">
        <f t="shared" si="60"/>
        <v>1000000000.0</v>
      </c>
      <c r="AU358" s="642">
        <f t="shared" si="60"/>
        <v>1000000000.0</v>
      </c>
      <c r="AV358" s="642">
        <f t="shared" si="60"/>
        <v>1000000000.0</v>
      </c>
      <c r="AW358" s="642">
        <f t="shared" si="60"/>
        <v>1000000000.0</v>
      </c>
      <c r="AX358" s="642">
        <f t="shared" si="60"/>
        <v>1000000000.0</v>
      </c>
      <c r="AY358" s="642">
        <f t="shared" si="60"/>
        <v>1000000000.0</v>
      </c>
      <c r="AZ358" s="642">
        <f t="shared" si="60"/>
        <v>1000000000.0</v>
      </c>
      <c r="BA358" s="642">
        <f t="shared" si="60"/>
        <v>1000000000.0</v>
      </c>
      <c r="BB358" s="642">
        <f t="shared" si="61"/>
        <v>1000000000.0</v>
      </c>
      <c r="BC358" s="642">
        <f t="shared" si="61"/>
        <v>1000000000.0</v>
      </c>
      <c r="BD358" s="642">
        <f t="shared" si="61"/>
        <v>1000000000.0</v>
      </c>
      <c r="BE358" s="642">
        <f t="shared" si="61"/>
        <v>1000000000.0</v>
      </c>
      <c r="BF358" s="642">
        <f t="shared" si="61"/>
        <v>1000000000.0</v>
      </c>
      <c r="BG358" s="642">
        <f t="shared" si="61"/>
        <v>1000000000.0</v>
      </c>
      <c r="BH358" s="642">
        <f t="shared" si="61"/>
        <v>1000000000.0</v>
      </c>
      <c r="BI358" s="642">
        <f t="shared" si="61"/>
        <v>1000000000.0</v>
      </c>
      <c r="BJ358" s="642">
        <f t="shared" si="61"/>
        <v>1000000000.0</v>
      </c>
      <c r="BK358" s="642">
        <f t="shared" si="61"/>
        <v>1000000000.0</v>
      </c>
      <c r="BL358" s="642">
        <f t="shared" si="62"/>
        <v>1000000000.0</v>
      </c>
      <c r="BM358" s="642">
        <f t="shared" si="62"/>
        <v>1000000000.0</v>
      </c>
      <c r="BN358" s="642">
        <f t="shared" si="62"/>
        <v>1000000000.0</v>
      </c>
      <c r="BO358" s="642">
        <f t="shared" si="62"/>
        <v>1000000000.0</v>
      </c>
      <c r="BP358" s="642">
        <f t="shared" si="62"/>
        <v>1000000000.0</v>
      </c>
      <c r="BQ358" s="642">
        <f t="shared" si="62"/>
        <v>1000000000.0</v>
      </c>
      <c r="BR358" s="642">
        <f t="shared" si="62"/>
        <v>1000000000.0</v>
      </c>
      <c r="BS358" s="642">
        <f t="shared" si="62"/>
        <v>1000000000.0</v>
      </c>
      <c r="BT358" s="642">
        <f t="shared" si="62"/>
        <v>1000000000.0</v>
      </c>
      <c r="BU358" s="642">
        <f t="shared" si="62"/>
        <v>1000000000.0</v>
      </c>
      <c r="BV358" s="642">
        <f t="shared" si="63"/>
        <v>1000000000.0</v>
      </c>
      <c r="BW358" s="642">
        <f t="shared" si="63"/>
        <v>1000000000.0</v>
      </c>
      <c r="BX358" s="642">
        <f t="shared" si="63"/>
        <v>1000000000.0</v>
      </c>
      <c r="BY358" s="642">
        <f t="shared" si="63"/>
        <v>1000000000.0</v>
      </c>
      <c r="BZ358" s="642">
        <f t="shared" si="63"/>
        <v>1000000000.0</v>
      </c>
      <c r="CA358" s="642">
        <f t="shared" si="63"/>
        <v>1000000000.0</v>
      </c>
      <c r="CB358" s="642">
        <f t="shared" si="63"/>
        <v>1000000000.0</v>
      </c>
      <c r="CC358" s="642">
        <f t="shared" si="63"/>
        <v>1000000000.0</v>
      </c>
      <c r="CD358" s="642">
        <f t="shared" si="63"/>
        <v>1000000000.0</v>
      </c>
      <c r="CE358" s="642">
        <f t="shared" si="63"/>
        <v>1000000000.0</v>
      </c>
      <c r="CF358" s="642">
        <f t="shared" si="64"/>
        <v>1000000000.0</v>
      </c>
      <c r="CG358" s="642">
        <f t="shared" ca="1" si="64"/>
        <v>197.17808056470588</v>
      </c>
      <c r="CH358" s="642">
        <f t="shared" ca="1" si="64"/>
        <v>197.17808056470588</v>
      </c>
      <c r="CI358" s="642">
        <f t="shared" ca="1" si="64"/>
        <v>197.17808056470588</v>
      </c>
      <c r="CJ358" s="642">
        <f t="shared" ca="1" si="64"/>
        <v>197.17808056470588</v>
      </c>
      <c r="CK358" s="642">
        <f t="shared" ca="1" si="64"/>
        <v>197.1780805647059</v>
      </c>
      <c r="CL358" s="642">
        <f t="shared" ca="1" si="64"/>
        <v>197.17808056470588</v>
      </c>
      <c r="CM358" s="642">
        <f t="shared" ca="1" si="64"/>
        <v>197.17808056470588</v>
      </c>
      <c r="CN358" s="642">
        <f t="shared" ca="1" si="46"/>
        <v>197.17808056470588</v>
      </c>
      <c r="CO358" s="642">
        <f>2*$AD$61*MAX(0,$J$58+I358-$J$64)+IF(L358&lt;$J$38,1000000,0)</f>
        <v>154.11134776470587</v>
      </c>
      <c r="CP358" s="642">
        <f>2*IF($J$175&gt;0,IF($J$392/MIN($J$175,K358)&gt;$M$5*VLOOKUP($L$5,Taxas!$V$22:$W$30,2)/L358,$J$391/MIN($J$175,K358),$J$389/L358),$J$389/L358)</f>
        <v>0.3828154026666668</v>
      </c>
    </row>
    <row r="359" spans="9:94" hidden="1" x14ac:dyDescent="0.25">
      <c r="I359" s="642">
        <f>MIN(5*57,$J$57/2)</f>
        <v>285.0</v>
      </c>
      <c r="J359" s="646">
        <f t="shared" ca="1" si="44"/>
        <v>0.048859517098708304</v>
      </c>
      <c r="K359" s="642">
        <f t="shared" ca="1" si="45"/>
        <v>30.0</v>
      </c>
      <c r="L359" s="642">
        <f ca="1">MIN(ROUNDDOWN($M$5*VLOOKUP($L$5,Taxas!$V$22:$W$30,2)/J359*2,0)/2,K359)</f>
        <v>30.0</v>
      </c>
      <c r="M359" s="642">
        <f ca="1">MIN(ROUNDDOWN($M$6*VLOOKUP($L$6,Taxas!$V$22:$W$30,2)/J359*2,0)/2,K359)</f>
        <v>30.0</v>
      </c>
      <c r="N359" s="642">
        <f t="shared" si="57"/>
        <v>1000000000.0</v>
      </c>
      <c r="O359" s="642">
        <f t="shared" si="57"/>
        <v>1000000000.0</v>
      </c>
      <c r="P359" s="642">
        <f t="shared" si="57"/>
        <v>1000000000.0</v>
      </c>
      <c r="Q359" s="642">
        <f t="shared" si="57"/>
        <v>1000000000.0</v>
      </c>
      <c r="R359" s="642">
        <f t="shared" si="57"/>
        <v>1000000000.0</v>
      </c>
      <c r="S359" s="642">
        <f t="shared" si="57"/>
        <v>1000000000.0</v>
      </c>
      <c r="T359" s="642">
        <f t="shared" si="57"/>
        <v>1000000000.0</v>
      </c>
      <c r="U359" s="642">
        <f t="shared" si="57"/>
        <v>1000000000.0</v>
      </c>
      <c r="V359" s="642">
        <f t="shared" si="57"/>
        <v>1000000000.0</v>
      </c>
      <c r="W359" s="642">
        <f t="shared" si="57"/>
        <v>1000000000.0</v>
      </c>
      <c r="X359" s="642">
        <f t="shared" si="58"/>
        <v>1000000000.0</v>
      </c>
      <c r="Y359" s="642">
        <f t="shared" si="58"/>
        <v>1000000000.0</v>
      </c>
      <c r="Z359" s="642">
        <f t="shared" si="58"/>
        <v>1000000000.0</v>
      </c>
      <c r="AA359" s="642">
        <f t="shared" si="58"/>
        <v>1000000000.0</v>
      </c>
      <c r="AB359" s="642">
        <f t="shared" si="58"/>
        <v>1000000000.0</v>
      </c>
      <c r="AC359" s="642">
        <f t="shared" si="58"/>
        <v>1000000000.0</v>
      </c>
      <c r="AD359" s="642">
        <f t="shared" si="58"/>
        <v>1000000000.0</v>
      </c>
      <c r="AE359" s="642">
        <f t="shared" si="58"/>
        <v>1000000000.0</v>
      </c>
      <c r="AF359" s="642">
        <f t="shared" si="58"/>
        <v>1000000000.0</v>
      </c>
      <c r="AG359" s="642">
        <f t="shared" si="58"/>
        <v>1000000000.0</v>
      </c>
      <c r="AH359" s="642">
        <f t="shared" si="59"/>
        <v>1000000000.0</v>
      </c>
      <c r="AI359" s="642">
        <f t="shared" si="59"/>
        <v>1000000000.0</v>
      </c>
      <c r="AJ359" s="642">
        <f t="shared" si="59"/>
        <v>1000000000.0</v>
      </c>
      <c r="AK359" s="642">
        <f t="shared" si="59"/>
        <v>1000000000.0</v>
      </c>
      <c r="AL359" s="642">
        <f t="shared" si="59"/>
        <v>1000000000.0</v>
      </c>
      <c r="AM359" s="642">
        <f t="shared" si="59"/>
        <v>1000000000.0</v>
      </c>
      <c r="AN359" s="642">
        <f t="shared" si="59"/>
        <v>1000000000.0</v>
      </c>
      <c r="AO359" s="642">
        <f t="shared" si="59"/>
        <v>1000000000.0</v>
      </c>
      <c r="AP359" s="642">
        <f t="shared" si="59"/>
        <v>1000000000.0</v>
      </c>
      <c r="AQ359" s="642">
        <f t="shared" si="59"/>
        <v>1000000000.0</v>
      </c>
      <c r="AR359" s="642">
        <f t="shared" si="60"/>
        <v>1000000000.0</v>
      </c>
      <c r="AS359" s="642">
        <f t="shared" si="60"/>
        <v>1000000000.0</v>
      </c>
      <c r="AT359" s="642">
        <f t="shared" si="60"/>
        <v>1000000000.0</v>
      </c>
      <c r="AU359" s="642">
        <f t="shared" si="60"/>
        <v>1000000000.0</v>
      </c>
      <c r="AV359" s="642">
        <f t="shared" si="60"/>
        <v>1000000000.0</v>
      </c>
      <c r="AW359" s="642">
        <f t="shared" si="60"/>
        <v>1000000000.0</v>
      </c>
      <c r="AX359" s="642">
        <f t="shared" si="60"/>
        <v>1000000000.0</v>
      </c>
      <c r="AY359" s="642">
        <f t="shared" si="60"/>
        <v>1000000000.0</v>
      </c>
      <c r="AZ359" s="642">
        <f t="shared" si="60"/>
        <v>1000000000.0</v>
      </c>
      <c r="BA359" s="642">
        <f t="shared" si="60"/>
        <v>1000000000.0</v>
      </c>
      <c r="BB359" s="642">
        <f t="shared" si="61"/>
        <v>1000000000.0</v>
      </c>
      <c r="BC359" s="642">
        <f t="shared" si="61"/>
        <v>1000000000.0</v>
      </c>
      <c r="BD359" s="642">
        <f t="shared" si="61"/>
        <v>1000000000.0</v>
      </c>
      <c r="BE359" s="642">
        <f t="shared" si="61"/>
        <v>1000000000.0</v>
      </c>
      <c r="BF359" s="642">
        <f t="shared" si="61"/>
        <v>1000000000.0</v>
      </c>
      <c r="BG359" s="642">
        <f t="shared" si="61"/>
        <v>1000000000.0</v>
      </c>
      <c r="BH359" s="642">
        <f t="shared" si="61"/>
        <v>1000000000.0</v>
      </c>
      <c r="BI359" s="642">
        <f t="shared" si="61"/>
        <v>1000000000.0</v>
      </c>
      <c r="BJ359" s="642">
        <f t="shared" si="61"/>
        <v>1000000000.0</v>
      </c>
      <c r="BK359" s="642">
        <f t="shared" si="61"/>
        <v>1000000000.0</v>
      </c>
      <c r="BL359" s="642">
        <f t="shared" si="62"/>
        <v>1000000000.0</v>
      </c>
      <c r="BM359" s="642">
        <f t="shared" si="62"/>
        <v>1000000000.0</v>
      </c>
      <c r="BN359" s="642">
        <f t="shared" si="62"/>
        <v>1000000000.0</v>
      </c>
      <c r="BO359" s="642">
        <f t="shared" si="62"/>
        <v>1000000000.0</v>
      </c>
      <c r="BP359" s="642">
        <f t="shared" si="62"/>
        <v>1000000000.0</v>
      </c>
      <c r="BQ359" s="642">
        <f t="shared" si="62"/>
        <v>1000000000.0</v>
      </c>
      <c r="BR359" s="642">
        <f t="shared" si="62"/>
        <v>1000000000.0</v>
      </c>
      <c r="BS359" s="642">
        <f t="shared" si="62"/>
        <v>1000000000.0</v>
      </c>
      <c r="BT359" s="642">
        <f t="shared" si="62"/>
        <v>1000000000.0</v>
      </c>
      <c r="BU359" s="642">
        <f t="shared" si="62"/>
        <v>1000000000.0</v>
      </c>
      <c r="BV359" s="642">
        <f t="shared" si="63"/>
        <v>1000000000.0</v>
      </c>
      <c r="BW359" s="642">
        <f t="shared" si="63"/>
        <v>1000000000.0</v>
      </c>
      <c r="BX359" s="642">
        <f t="shared" si="63"/>
        <v>1000000000.0</v>
      </c>
      <c r="BY359" s="642">
        <f t="shared" si="63"/>
        <v>1000000000.0</v>
      </c>
      <c r="BZ359" s="642">
        <f t="shared" si="63"/>
        <v>1000000000.0</v>
      </c>
      <c r="CA359" s="642">
        <f t="shared" si="63"/>
        <v>1000000000.0</v>
      </c>
      <c r="CB359" s="642">
        <f t="shared" si="63"/>
        <v>1000000000.0</v>
      </c>
      <c r="CC359" s="642">
        <f t="shared" si="63"/>
        <v>1000000000.0</v>
      </c>
      <c r="CD359" s="642">
        <f t="shared" si="63"/>
        <v>1000000000.0</v>
      </c>
      <c r="CE359" s="642">
        <f t="shared" si="63"/>
        <v>1000000000.0</v>
      </c>
      <c r="CF359" s="642">
        <f t="shared" si="64"/>
        <v>1000000000.0</v>
      </c>
      <c r="CG359" s="642">
        <f t="shared" si="64"/>
        <v>1000000000.0</v>
      </c>
      <c r="CH359" s="642">
        <f t="shared" ca="1" si="64"/>
        <v>197.90289649254902</v>
      </c>
      <c r="CI359" s="642">
        <f t="shared" ca="1" si="64"/>
        <v>197.90289649254905</v>
      </c>
      <c r="CJ359" s="642">
        <f t="shared" ca="1" si="64"/>
        <v>197.90289649254905</v>
      </c>
      <c r="CK359" s="642">
        <f t="shared" ca="1" si="64"/>
        <v>197.90289649254905</v>
      </c>
      <c r="CL359" s="642">
        <f t="shared" ca="1" si="64"/>
        <v>197.90289649254902</v>
      </c>
      <c r="CM359" s="642">
        <f t="shared" ca="1" si="64"/>
        <v>197.90289649254905</v>
      </c>
      <c r="CN359" s="642">
        <f t="shared" ca="1" si="46"/>
        <v>197.90289649254902</v>
      </c>
      <c r="CO359" s="642">
        <f>2*$AD$61*MAX(0,$J$58+I359-$J$64)+IF(L359&lt;$J$38,1000000,0)</f>
        <v>156.75024070588236</v>
      </c>
      <c r="CP359" s="642">
        <f>2*IF($J$175&gt;0,IF($J$392/MIN($J$175,K359)&gt;$M$5*VLOOKUP($L$5,Taxas!$V$22:$W$30,2)/L359,$J$391/MIN($J$175,K359),$J$389/L359),$J$389/L359)</f>
        <v>0.3828154026666668</v>
      </c>
    </row>
    <row r="360" spans="9:94" hidden="1" x14ac:dyDescent="0.25">
      <c r="I360" s="642">
        <f>MIN(5*58,$J$57/2)</f>
        <v>290.0</v>
      </c>
      <c r="J360" s="646">
        <f t="shared" ca="1" si="44"/>
        <v>0.048859517098708304</v>
      </c>
      <c r="K360" s="642">
        <f t="shared" ca="1" si="45"/>
        <v>30.0</v>
      </c>
      <c r="L360" s="642">
        <f ca="1">MIN(ROUNDDOWN($M$5*VLOOKUP($L$5,Taxas!$V$22:$W$30,2)/J360*2,0)/2,K360)</f>
        <v>30.0</v>
      </c>
      <c r="M360" s="642">
        <f ca="1">MIN(ROUNDDOWN($M$6*VLOOKUP($L$6,Taxas!$V$22:$W$30,2)/J360*2,0)/2,K360)</f>
        <v>30.0</v>
      </c>
      <c r="N360" s="642">
        <f t="shared" si="57"/>
        <v>1000000000.0</v>
      </c>
      <c r="O360" s="642">
        <f t="shared" si="57"/>
        <v>1000000000.0</v>
      </c>
      <c r="P360" s="642">
        <f t="shared" si="57"/>
        <v>1000000000.0</v>
      </c>
      <c r="Q360" s="642">
        <f t="shared" si="57"/>
        <v>1000000000.0</v>
      </c>
      <c r="R360" s="642">
        <f t="shared" si="57"/>
        <v>1000000000.0</v>
      </c>
      <c r="S360" s="642">
        <f t="shared" si="57"/>
        <v>1000000000.0</v>
      </c>
      <c r="T360" s="642">
        <f t="shared" si="57"/>
        <v>1000000000.0</v>
      </c>
      <c r="U360" s="642">
        <f t="shared" si="57"/>
        <v>1000000000.0</v>
      </c>
      <c r="V360" s="642">
        <f t="shared" si="57"/>
        <v>1000000000.0</v>
      </c>
      <c r="W360" s="642">
        <f t="shared" si="57"/>
        <v>1000000000.0</v>
      </c>
      <c r="X360" s="642">
        <f t="shared" si="58"/>
        <v>1000000000.0</v>
      </c>
      <c r="Y360" s="642">
        <f t="shared" si="58"/>
        <v>1000000000.0</v>
      </c>
      <c r="Z360" s="642">
        <f t="shared" si="58"/>
        <v>1000000000.0</v>
      </c>
      <c r="AA360" s="642">
        <f t="shared" si="58"/>
        <v>1000000000.0</v>
      </c>
      <c r="AB360" s="642">
        <f t="shared" si="58"/>
        <v>1000000000.0</v>
      </c>
      <c r="AC360" s="642">
        <f t="shared" si="58"/>
        <v>1000000000.0</v>
      </c>
      <c r="AD360" s="642">
        <f t="shared" si="58"/>
        <v>1000000000.0</v>
      </c>
      <c r="AE360" s="642">
        <f t="shared" si="58"/>
        <v>1000000000.0</v>
      </c>
      <c r="AF360" s="642">
        <f t="shared" si="58"/>
        <v>1000000000.0</v>
      </c>
      <c r="AG360" s="642">
        <f t="shared" si="58"/>
        <v>1000000000.0</v>
      </c>
      <c r="AH360" s="642">
        <f t="shared" si="59"/>
        <v>1000000000.0</v>
      </c>
      <c r="AI360" s="642">
        <f t="shared" si="59"/>
        <v>1000000000.0</v>
      </c>
      <c r="AJ360" s="642">
        <f t="shared" si="59"/>
        <v>1000000000.0</v>
      </c>
      <c r="AK360" s="642">
        <f t="shared" si="59"/>
        <v>1000000000.0</v>
      </c>
      <c r="AL360" s="642">
        <f t="shared" si="59"/>
        <v>1000000000.0</v>
      </c>
      <c r="AM360" s="642">
        <f t="shared" si="59"/>
        <v>1000000000.0</v>
      </c>
      <c r="AN360" s="642">
        <f t="shared" si="59"/>
        <v>1000000000.0</v>
      </c>
      <c r="AO360" s="642">
        <f t="shared" si="59"/>
        <v>1000000000.0</v>
      </c>
      <c r="AP360" s="642">
        <f t="shared" si="59"/>
        <v>1000000000.0</v>
      </c>
      <c r="AQ360" s="642">
        <f t="shared" si="59"/>
        <v>1000000000.0</v>
      </c>
      <c r="AR360" s="642">
        <f t="shared" si="60"/>
        <v>1000000000.0</v>
      </c>
      <c r="AS360" s="642">
        <f t="shared" si="60"/>
        <v>1000000000.0</v>
      </c>
      <c r="AT360" s="642">
        <f t="shared" si="60"/>
        <v>1000000000.0</v>
      </c>
      <c r="AU360" s="642">
        <f t="shared" si="60"/>
        <v>1000000000.0</v>
      </c>
      <c r="AV360" s="642">
        <f t="shared" si="60"/>
        <v>1000000000.0</v>
      </c>
      <c r="AW360" s="642">
        <f t="shared" si="60"/>
        <v>1000000000.0</v>
      </c>
      <c r="AX360" s="642">
        <f t="shared" si="60"/>
        <v>1000000000.0</v>
      </c>
      <c r="AY360" s="642">
        <f t="shared" si="60"/>
        <v>1000000000.0</v>
      </c>
      <c r="AZ360" s="642">
        <f t="shared" si="60"/>
        <v>1000000000.0</v>
      </c>
      <c r="BA360" s="642">
        <f t="shared" si="60"/>
        <v>1000000000.0</v>
      </c>
      <c r="BB360" s="642">
        <f t="shared" si="61"/>
        <v>1000000000.0</v>
      </c>
      <c r="BC360" s="642">
        <f t="shared" si="61"/>
        <v>1000000000.0</v>
      </c>
      <c r="BD360" s="642">
        <f t="shared" si="61"/>
        <v>1000000000.0</v>
      </c>
      <c r="BE360" s="642">
        <f t="shared" si="61"/>
        <v>1000000000.0</v>
      </c>
      <c r="BF360" s="642">
        <f t="shared" si="61"/>
        <v>1000000000.0</v>
      </c>
      <c r="BG360" s="642">
        <f t="shared" si="61"/>
        <v>1000000000.0</v>
      </c>
      <c r="BH360" s="642">
        <f t="shared" si="61"/>
        <v>1000000000.0</v>
      </c>
      <c r="BI360" s="642">
        <f t="shared" si="61"/>
        <v>1000000000.0</v>
      </c>
      <c r="BJ360" s="642">
        <f t="shared" si="61"/>
        <v>1000000000.0</v>
      </c>
      <c r="BK360" s="642">
        <f t="shared" si="61"/>
        <v>1000000000.0</v>
      </c>
      <c r="BL360" s="642">
        <f t="shared" si="62"/>
        <v>1000000000.0</v>
      </c>
      <c r="BM360" s="642">
        <f t="shared" si="62"/>
        <v>1000000000.0</v>
      </c>
      <c r="BN360" s="642">
        <f t="shared" si="62"/>
        <v>1000000000.0</v>
      </c>
      <c r="BO360" s="642">
        <f t="shared" si="62"/>
        <v>1000000000.0</v>
      </c>
      <c r="BP360" s="642">
        <f t="shared" si="62"/>
        <v>1000000000.0</v>
      </c>
      <c r="BQ360" s="642">
        <f t="shared" si="62"/>
        <v>1000000000.0</v>
      </c>
      <c r="BR360" s="642">
        <f t="shared" si="62"/>
        <v>1000000000.0</v>
      </c>
      <c r="BS360" s="642">
        <f t="shared" si="62"/>
        <v>1000000000.0</v>
      </c>
      <c r="BT360" s="642">
        <f t="shared" si="62"/>
        <v>1000000000.0</v>
      </c>
      <c r="BU360" s="642">
        <f t="shared" si="62"/>
        <v>1000000000.0</v>
      </c>
      <c r="BV360" s="642">
        <f t="shared" si="63"/>
        <v>1000000000.0</v>
      </c>
      <c r="BW360" s="642">
        <f t="shared" si="63"/>
        <v>1000000000.0</v>
      </c>
      <c r="BX360" s="642">
        <f t="shared" si="63"/>
        <v>1000000000.0</v>
      </c>
      <c r="BY360" s="642">
        <f t="shared" si="63"/>
        <v>1000000000.0</v>
      </c>
      <c r="BZ360" s="642">
        <f t="shared" si="63"/>
        <v>1000000000.0</v>
      </c>
      <c r="CA360" s="642">
        <f t="shared" si="63"/>
        <v>1000000000.0</v>
      </c>
      <c r="CB360" s="642">
        <f t="shared" si="63"/>
        <v>1000000000.0</v>
      </c>
      <c r="CC360" s="642">
        <f t="shared" si="63"/>
        <v>1000000000.0</v>
      </c>
      <c r="CD360" s="642">
        <f t="shared" si="63"/>
        <v>1000000000.0</v>
      </c>
      <c r="CE360" s="642">
        <f t="shared" si="63"/>
        <v>1000000000.0</v>
      </c>
      <c r="CF360" s="642">
        <f t="shared" si="64"/>
        <v>1000000000.0</v>
      </c>
      <c r="CG360" s="642">
        <f t="shared" si="64"/>
        <v>1000000000.0</v>
      </c>
      <c r="CH360" s="642">
        <f t="shared" si="64"/>
        <v>1000000000.0</v>
      </c>
      <c r="CI360" s="642">
        <f t="shared" ca="1" si="64"/>
        <v>198.62771242039216</v>
      </c>
      <c r="CJ360" s="642">
        <f t="shared" ca="1" si="64"/>
        <v>198.62771242039219</v>
      </c>
      <c r="CK360" s="642">
        <f t="shared" ca="1" si="64"/>
        <v>198.62771242039219</v>
      </c>
      <c r="CL360" s="642">
        <f t="shared" ca="1" si="64"/>
        <v>198.62771242039216</v>
      </c>
      <c r="CM360" s="642">
        <f t="shared" ca="1" si="64"/>
        <v>198.62771242039219</v>
      </c>
      <c r="CN360" s="642">
        <f t="shared" ca="1" si="46"/>
        <v>198.62771242039216</v>
      </c>
      <c r="CO360" s="642">
        <f>2*$AD$61*MAX(0,$J$58+I360-$J$64)+IF(L360&lt;$J$38,1000000,0)</f>
        <v>159.38913364705883</v>
      </c>
      <c r="CP360" s="642">
        <f>2*IF($J$175&gt;0,IF($J$392/MIN($J$175,K360)&gt;$M$5*VLOOKUP($L$5,Taxas!$V$22:$W$30,2)/L360,$J$391/MIN($J$175,K360),$J$389/L360),$J$389/L360)</f>
        <v>0.3828154026666668</v>
      </c>
    </row>
    <row r="361" spans="9:94" hidden="1" x14ac:dyDescent="0.25">
      <c r="I361" s="642">
        <f>MIN(5*59,$J$57/2)</f>
        <v>295.0</v>
      </c>
      <c r="J361" s="646">
        <f t="shared" ca="1" si="44"/>
        <v>0.048859517098708304</v>
      </c>
      <c r="K361" s="642">
        <f t="shared" ca="1" si="45"/>
        <v>30.0</v>
      </c>
      <c r="L361" s="642">
        <f ca="1">MIN(ROUNDDOWN($M$5*VLOOKUP($L$5,Taxas!$V$22:$W$30,2)/J361*2,0)/2,K361)</f>
        <v>30.0</v>
      </c>
      <c r="M361" s="642">
        <f ca="1">MIN(ROUNDDOWN($M$6*VLOOKUP($L$6,Taxas!$V$22:$W$30,2)/J361*2,0)/2,K361)</f>
        <v>30.0</v>
      </c>
      <c r="N361" s="642">
        <f t="shared" si="57"/>
        <v>1000000000.0</v>
      </c>
      <c r="O361" s="642">
        <f t="shared" si="57"/>
        <v>1000000000.0</v>
      </c>
      <c r="P361" s="642">
        <f t="shared" si="57"/>
        <v>1000000000.0</v>
      </c>
      <c r="Q361" s="642">
        <f t="shared" si="57"/>
        <v>1000000000.0</v>
      </c>
      <c r="R361" s="642">
        <f t="shared" si="57"/>
        <v>1000000000.0</v>
      </c>
      <c r="S361" s="642">
        <f t="shared" si="57"/>
        <v>1000000000.0</v>
      </c>
      <c r="T361" s="642">
        <f t="shared" si="57"/>
        <v>1000000000.0</v>
      </c>
      <c r="U361" s="642">
        <f t="shared" si="57"/>
        <v>1000000000.0</v>
      </c>
      <c r="V361" s="642">
        <f t="shared" si="57"/>
        <v>1000000000.0</v>
      </c>
      <c r="W361" s="642">
        <f t="shared" si="57"/>
        <v>1000000000.0</v>
      </c>
      <c r="X361" s="642">
        <f t="shared" si="58"/>
        <v>1000000000.0</v>
      </c>
      <c r="Y361" s="642">
        <f t="shared" si="58"/>
        <v>1000000000.0</v>
      </c>
      <c r="Z361" s="642">
        <f t="shared" si="58"/>
        <v>1000000000.0</v>
      </c>
      <c r="AA361" s="642">
        <f t="shared" si="58"/>
        <v>1000000000.0</v>
      </c>
      <c r="AB361" s="642">
        <f t="shared" si="58"/>
        <v>1000000000.0</v>
      </c>
      <c r="AC361" s="642">
        <f t="shared" si="58"/>
        <v>1000000000.0</v>
      </c>
      <c r="AD361" s="642">
        <f t="shared" si="58"/>
        <v>1000000000.0</v>
      </c>
      <c r="AE361" s="642">
        <f t="shared" si="58"/>
        <v>1000000000.0</v>
      </c>
      <c r="AF361" s="642">
        <f t="shared" si="58"/>
        <v>1000000000.0</v>
      </c>
      <c r="AG361" s="642">
        <f t="shared" si="58"/>
        <v>1000000000.0</v>
      </c>
      <c r="AH361" s="642">
        <f t="shared" si="59"/>
        <v>1000000000.0</v>
      </c>
      <c r="AI361" s="642">
        <f t="shared" si="59"/>
        <v>1000000000.0</v>
      </c>
      <c r="AJ361" s="642">
        <f t="shared" si="59"/>
        <v>1000000000.0</v>
      </c>
      <c r="AK361" s="642">
        <f t="shared" si="59"/>
        <v>1000000000.0</v>
      </c>
      <c r="AL361" s="642">
        <f t="shared" si="59"/>
        <v>1000000000.0</v>
      </c>
      <c r="AM361" s="642">
        <f t="shared" si="59"/>
        <v>1000000000.0</v>
      </c>
      <c r="AN361" s="642">
        <f t="shared" si="59"/>
        <v>1000000000.0</v>
      </c>
      <c r="AO361" s="642">
        <f t="shared" si="59"/>
        <v>1000000000.0</v>
      </c>
      <c r="AP361" s="642">
        <f t="shared" si="59"/>
        <v>1000000000.0</v>
      </c>
      <c r="AQ361" s="642">
        <f t="shared" si="59"/>
        <v>1000000000.0</v>
      </c>
      <c r="AR361" s="642">
        <f t="shared" si="60"/>
        <v>1000000000.0</v>
      </c>
      <c r="AS361" s="642">
        <f t="shared" si="60"/>
        <v>1000000000.0</v>
      </c>
      <c r="AT361" s="642">
        <f t="shared" si="60"/>
        <v>1000000000.0</v>
      </c>
      <c r="AU361" s="642">
        <f t="shared" si="60"/>
        <v>1000000000.0</v>
      </c>
      <c r="AV361" s="642">
        <f t="shared" si="60"/>
        <v>1000000000.0</v>
      </c>
      <c r="AW361" s="642">
        <f t="shared" si="60"/>
        <v>1000000000.0</v>
      </c>
      <c r="AX361" s="642">
        <f t="shared" si="60"/>
        <v>1000000000.0</v>
      </c>
      <c r="AY361" s="642">
        <f t="shared" si="60"/>
        <v>1000000000.0</v>
      </c>
      <c r="AZ361" s="642">
        <f t="shared" si="60"/>
        <v>1000000000.0</v>
      </c>
      <c r="BA361" s="642">
        <f t="shared" si="60"/>
        <v>1000000000.0</v>
      </c>
      <c r="BB361" s="642">
        <f t="shared" si="61"/>
        <v>1000000000.0</v>
      </c>
      <c r="BC361" s="642">
        <f t="shared" si="61"/>
        <v>1000000000.0</v>
      </c>
      <c r="BD361" s="642">
        <f t="shared" si="61"/>
        <v>1000000000.0</v>
      </c>
      <c r="BE361" s="642">
        <f t="shared" si="61"/>
        <v>1000000000.0</v>
      </c>
      <c r="BF361" s="642">
        <f t="shared" si="61"/>
        <v>1000000000.0</v>
      </c>
      <c r="BG361" s="642">
        <f t="shared" si="61"/>
        <v>1000000000.0</v>
      </c>
      <c r="BH361" s="642">
        <f t="shared" si="61"/>
        <v>1000000000.0</v>
      </c>
      <c r="BI361" s="642">
        <f t="shared" si="61"/>
        <v>1000000000.0</v>
      </c>
      <c r="BJ361" s="642">
        <f t="shared" si="61"/>
        <v>1000000000.0</v>
      </c>
      <c r="BK361" s="642">
        <f t="shared" si="61"/>
        <v>1000000000.0</v>
      </c>
      <c r="BL361" s="642">
        <f t="shared" si="62"/>
        <v>1000000000.0</v>
      </c>
      <c r="BM361" s="642">
        <f t="shared" si="62"/>
        <v>1000000000.0</v>
      </c>
      <c r="BN361" s="642">
        <f t="shared" si="62"/>
        <v>1000000000.0</v>
      </c>
      <c r="BO361" s="642">
        <f t="shared" si="62"/>
        <v>1000000000.0</v>
      </c>
      <c r="BP361" s="642">
        <f t="shared" si="62"/>
        <v>1000000000.0</v>
      </c>
      <c r="BQ361" s="642">
        <f t="shared" si="62"/>
        <v>1000000000.0</v>
      </c>
      <c r="BR361" s="642">
        <f t="shared" si="62"/>
        <v>1000000000.0</v>
      </c>
      <c r="BS361" s="642">
        <f t="shared" si="62"/>
        <v>1000000000.0</v>
      </c>
      <c r="BT361" s="642">
        <f t="shared" si="62"/>
        <v>1000000000.0</v>
      </c>
      <c r="BU361" s="642">
        <f t="shared" si="62"/>
        <v>1000000000.0</v>
      </c>
      <c r="BV361" s="642">
        <f t="shared" si="63"/>
        <v>1000000000.0</v>
      </c>
      <c r="BW361" s="642">
        <f t="shared" si="63"/>
        <v>1000000000.0</v>
      </c>
      <c r="BX361" s="642">
        <f t="shared" si="63"/>
        <v>1000000000.0</v>
      </c>
      <c r="BY361" s="642">
        <f t="shared" si="63"/>
        <v>1000000000.0</v>
      </c>
      <c r="BZ361" s="642">
        <f t="shared" si="63"/>
        <v>1000000000.0</v>
      </c>
      <c r="CA361" s="642">
        <f t="shared" si="63"/>
        <v>1000000000.0</v>
      </c>
      <c r="CB361" s="642">
        <f t="shared" si="63"/>
        <v>1000000000.0</v>
      </c>
      <c r="CC361" s="642">
        <f t="shared" si="63"/>
        <v>1000000000.0</v>
      </c>
      <c r="CD361" s="642">
        <f t="shared" si="63"/>
        <v>1000000000.0</v>
      </c>
      <c r="CE361" s="642">
        <f t="shared" si="63"/>
        <v>1000000000.0</v>
      </c>
      <c r="CF361" s="642">
        <f t="shared" si="64"/>
        <v>1000000000.0</v>
      </c>
      <c r="CG361" s="642">
        <f t="shared" si="64"/>
        <v>1000000000.0</v>
      </c>
      <c r="CH361" s="642">
        <f t="shared" si="64"/>
        <v>1000000000.0</v>
      </c>
      <c r="CI361" s="642">
        <f t="shared" si="64"/>
        <v>1000000000.0</v>
      </c>
      <c r="CJ361" s="642">
        <f t="shared" ca="1" si="64"/>
        <v>199.3525283482353</v>
      </c>
      <c r="CK361" s="642">
        <f t="shared" ca="1" si="64"/>
        <v>199.35252834823532</v>
      </c>
      <c r="CL361" s="642">
        <f t="shared" ca="1" si="64"/>
        <v>199.3525283482353</v>
      </c>
      <c r="CM361" s="642">
        <f t="shared" ca="1" si="64"/>
        <v>199.3525283482353</v>
      </c>
      <c r="CN361" s="642">
        <f t="shared" ca="1" si="46"/>
        <v>199.3525283482353</v>
      </c>
      <c r="CO361" s="642">
        <f>2*$AD$61*MAX(0,$J$58+I361-$J$64)+IF(L361&lt;$J$38,1000000,0)</f>
        <v>162.0280265882353</v>
      </c>
      <c r="CP361" s="642">
        <f>2*IF($J$175&gt;0,IF($J$392/MIN($J$175,K361)&gt;$M$5*VLOOKUP($L$5,Taxas!$V$22:$W$30,2)/L361,$J$391/MIN($J$175,K361),$J$389/L361),$J$389/L361)</f>
        <v>0.3828154026666668</v>
      </c>
    </row>
    <row r="362" spans="9:94" hidden="1" x14ac:dyDescent="0.25">
      <c r="I362" s="642">
        <f>MIN(5*60,$J$57/2)</f>
        <v>300.0</v>
      </c>
      <c r="J362" s="646">
        <f t="shared" ca="1" si="44"/>
        <v>0.048859517098708304</v>
      </c>
      <c r="K362" s="642">
        <f t="shared" ca="1" si="45"/>
        <v>30.0</v>
      </c>
      <c r="L362" s="642">
        <f ca="1">MIN(ROUNDDOWN($M$5*VLOOKUP($L$5,Taxas!$V$22:$W$30,2)/J362*2,0)/2,K362)</f>
        <v>30.0</v>
      </c>
      <c r="M362" s="642">
        <f ca="1">MIN(ROUNDDOWN($M$6*VLOOKUP($L$6,Taxas!$V$22:$W$30,2)/J362*2,0)/2,K362)</f>
        <v>30.0</v>
      </c>
      <c r="N362" s="642">
        <f t="shared" si="57"/>
        <v>1000000000.0</v>
      </c>
      <c r="O362" s="642">
        <f t="shared" si="57"/>
        <v>1000000000.0</v>
      </c>
      <c r="P362" s="642">
        <f t="shared" si="57"/>
        <v>1000000000.0</v>
      </c>
      <c r="Q362" s="642">
        <f t="shared" si="57"/>
        <v>1000000000.0</v>
      </c>
      <c r="R362" s="642">
        <f t="shared" si="57"/>
        <v>1000000000.0</v>
      </c>
      <c r="S362" s="642">
        <f t="shared" si="57"/>
        <v>1000000000.0</v>
      </c>
      <c r="T362" s="642">
        <f t="shared" si="57"/>
        <v>1000000000.0</v>
      </c>
      <c r="U362" s="642">
        <f t="shared" si="57"/>
        <v>1000000000.0</v>
      </c>
      <c r="V362" s="642">
        <f t="shared" si="57"/>
        <v>1000000000.0</v>
      </c>
      <c r="W362" s="642">
        <f t="shared" si="57"/>
        <v>1000000000.0</v>
      </c>
      <c r="X362" s="642">
        <f t="shared" si="58"/>
        <v>1000000000.0</v>
      </c>
      <c r="Y362" s="642">
        <f t="shared" si="58"/>
        <v>1000000000.0</v>
      </c>
      <c r="Z362" s="642">
        <f t="shared" si="58"/>
        <v>1000000000.0</v>
      </c>
      <c r="AA362" s="642">
        <f t="shared" si="58"/>
        <v>1000000000.0</v>
      </c>
      <c r="AB362" s="642">
        <f t="shared" si="58"/>
        <v>1000000000.0</v>
      </c>
      <c r="AC362" s="642">
        <f t="shared" si="58"/>
        <v>1000000000.0</v>
      </c>
      <c r="AD362" s="642">
        <f t="shared" si="58"/>
        <v>1000000000.0</v>
      </c>
      <c r="AE362" s="642">
        <f t="shared" si="58"/>
        <v>1000000000.0</v>
      </c>
      <c r="AF362" s="642">
        <f t="shared" si="58"/>
        <v>1000000000.0</v>
      </c>
      <c r="AG362" s="642">
        <f t="shared" si="58"/>
        <v>1000000000.0</v>
      </c>
      <c r="AH362" s="642">
        <f t="shared" si="59"/>
        <v>1000000000.0</v>
      </c>
      <c r="AI362" s="642">
        <f t="shared" si="59"/>
        <v>1000000000.0</v>
      </c>
      <c r="AJ362" s="642">
        <f t="shared" si="59"/>
        <v>1000000000.0</v>
      </c>
      <c r="AK362" s="642">
        <f t="shared" si="59"/>
        <v>1000000000.0</v>
      </c>
      <c r="AL362" s="642">
        <f t="shared" si="59"/>
        <v>1000000000.0</v>
      </c>
      <c r="AM362" s="642">
        <f t="shared" si="59"/>
        <v>1000000000.0</v>
      </c>
      <c r="AN362" s="642">
        <f t="shared" si="59"/>
        <v>1000000000.0</v>
      </c>
      <c r="AO362" s="642">
        <f t="shared" si="59"/>
        <v>1000000000.0</v>
      </c>
      <c r="AP362" s="642">
        <f t="shared" si="59"/>
        <v>1000000000.0</v>
      </c>
      <c r="AQ362" s="642">
        <f t="shared" si="59"/>
        <v>1000000000.0</v>
      </c>
      <c r="AR362" s="642">
        <f t="shared" si="60"/>
        <v>1000000000.0</v>
      </c>
      <c r="AS362" s="642">
        <f t="shared" si="60"/>
        <v>1000000000.0</v>
      </c>
      <c r="AT362" s="642">
        <f t="shared" si="60"/>
        <v>1000000000.0</v>
      </c>
      <c r="AU362" s="642">
        <f t="shared" si="60"/>
        <v>1000000000.0</v>
      </c>
      <c r="AV362" s="642">
        <f t="shared" si="60"/>
        <v>1000000000.0</v>
      </c>
      <c r="AW362" s="642">
        <f t="shared" si="60"/>
        <v>1000000000.0</v>
      </c>
      <c r="AX362" s="642">
        <f t="shared" si="60"/>
        <v>1000000000.0</v>
      </c>
      <c r="AY362" s="642">
        <f t="shared" si="60"/>
        <v>1000000000.0</v>
      </c>
      <c r="AZ362" s="642">
        <f t="shared" si="60"/>
        <v>1000000000.0</v>
      </c>
      <c r="BA362" s="642">
        <f t="shared" si="60"/>
        <v>1000000000.0</v>
      </c>
      <c r="BB362" s="642">
        <f t="shared" si="61"/>
        <v>1000000000.0</v>
      </c>
      <c r="BC362" s="642">
        <f t="shared" si="61"/>
        <v>1000000000.0</v>
      </c>
      <c r="BD362" s="642">
        <f t="shared" si="61"/>
        <v>1000000000.0</v>
      </c>
      <c r="BE362" s="642">
        <f t="shared" si="61"/>
        <v>1000000000.0</v>
      </c>
      <c r="BF362" s="642">
        <f t="shared" si="61"/>
        <v>1000000000.0</v>
      </c>
      <c r="BG362" s="642">
        <f t="shared" si="61"/>
        <v>1000000000.0</v>
      </c>
      <c r="BH362" s="642">
        <f t="shared" si="61"/>
        <v>1000000000.0</v>
      </c>
      <c r="BI362" s="642">
        <f t="shared" si="61"/>
        <v>1000000000.0</v>
      </c>
      <c r="BJ362" s="642">
        <f t="shared" si="61"/>
        <v>1000000000.0</v>
      </c>
      <c r="BK362" s="642">
        <f t="shared" si="61"/>
        <v>1000000000.0</v>
      </c>
      <c r="BL362" s="642">
        <f t="shared" si="62"/>
        <v>1000000000.0</v>
      </c>
      <c r="BM362" s="642">
        <f t="shared" si="62"/>
        <v>1000000000.0</v>
      </c>
      <c r="BN362" s="642">
        <f t="shared" si="62"/>
        <v>1000000000.0</v>
      </c>
      <c r="BO362" s="642">
        <f t="shared" si="62"/>
        <v>1000000000.0</v>
      </c>
      <c r="BP362" s="642">
        <f t="shared" si="62"/>
        <v>1000000000.0</v>
      </c>
      <c r="BQ362" s="642">
        <f t="shared" si="62"/>
        <v>1000000000.0</v>
      </c>
      <c r="BR362" s="642">
        <f t="shared" si="62"/>
        <v>1000000000.0</v>
      </c>
      <c r="BS362" s="642">
        <f t="shared" si="62"/>
        <v>1000000000.0</v>
      </c>
      <c r="BT362" s="642">
        <f t="shared" si="62"/>
        <v>1000000000.0</v>
      </c>
      <c r="BU362" s="642">
        <f t="shared" si="62"/>
        <v>1000000000.0</v>
      </c>
      <c r="BV362" s="642">
        <f t="shared" si="63"/>
        <v>1000000000.0</v>
      </c>
      <c r="BW362" s="642">
        <f t="shared" si="63"/>
        <v>1000000000.0</v>
      </c>
      <c r="BX362" s="642">
        <f t="shared" si="63"/>
        <v>1000000000.0</v>
      </c>
      <c r="BY362" s="642">
        <f t="shared" si="63"/>
        <v>1000000000.0</v>
      </c>
      <c r="BZ362" s="642">
        <f t="shared" si="63"/>
        <v>1000000000.0</v>
      </c>
      <c r="CA362" s="642">
        <f t="shared" si="63"/>
        <v>1000000000.0</v>
      </c>
      <c r="CB362" s="642">
        <f t="shared" si="63"/>
        <v>1000000000.0</v>
      </c>
      <c r="CC362" s="642">
        <f t="shared" si="63"/>
        <v>1000000000.0</v>
      </c>
      <c r="CD362" s="642">
        <f t="shared" si="63"/>
        <v>1000000000.0</v>
      </c>
      <c r="CE362" s="642">
        <f t="shared" si="63"/>
        <v>1000000000.0</v>
      </c>
      <c r="CF362" s="642">
        <f t="shared" si="64"/>
        <v>1000000000.0</v>
      </c>
      <c r="CG362" s="642">
        <f t="shared" si="64"/>
        <v>1000000000.0</v>
      </c>
      <c r="CH362" s="642">
        <f t="shared" si="64"/>
        <v>1000000000.0</v>
      </c>
      <c r="CI362" s="642">
        <f t="shared" si="64"/>
        <v>1000000000.0</v>
      </c>
      <c r="CJ362" s="642">
        <f t="shared" si="64"/>
        <v>1000000000.0</v>
      </c>
      <c r="CK362" s="642">
        <f t="shared" ca="1" si="64"/>
        <v>200.07734427607843</v>
      </c>
      <c r="CL362" s="642">
        <f t="shared" ca="1" si="64"/>
        <v>200.07734427607843</v>
      </c>
      <c r="CM362" s="642">
        <f t="shared" ca="1" si="64"/>
        <v>200.07734427607843</v>
      </c>
      <c r="CN362" s="642">
        <f t="shared" ca="1" si="46"/>
        <v>200.07734427607843</v>
      </c>
      <c r="CO362" s="642">
        <f>2*$AD$61*MAX(0,$J$58+I362-$J$64)+IF(L362&lt;$J$38,1000000,0)</f>
        <v>164.66691952941176</v>
      </c>
      <c r="CP362" s="642">
        <f>2*IF($J$175&gt;0,IF($J$392/MIN($J$175,K362)&gt;$M$5*VLOOKUP($L$5,Taxas!$V$22:$W$30,2)/L362,$J$391/MIN($J$175,K362),$J$389/L362),$J$389/L362)</f>
        <v>0.3828154026666668</v>
      </c>
    </row>
    <row r="363" spans="9:94" hidden="1" x14ac:dyDescent="0.25">
      <c r="I363" s="642">
        <f>MIN(5*61,$J$57/2)</f>
        <v>305.0</v>
      </c>
      <c r="J363" s="646">
        <f t="shared" ca="1" si="44"/>
        <v>0.048859517098708304</v>
      </c>
      <c r="K363" s="642">
        <f t="shared" ca="1" si="45"/>
        <v>30.0</v>
      </c>
      <c r="L363" s="642">
        <f ca="1">MIN(ROUNDDOWN($M$5*VLOOKUP($L$5,Taxas!$V$22:$W$30,2)/J363*2,0)/2,K363)</f>
        <v>30.0</v>
      </c>
      <c r="M363" s="642">
        <f ca="1">MIN(ROUNDDOWN($M$6*VLOOKUP($L$6,Taxas!$V$22:$W$30,2)/J363*2,0)/2,K363)</f>
        <v>30.0</v>
      </c>
      <c r="N363" s="642">
        <f t="shared" ref="N363:W372" si="65">IF(OR($I363&lt;$J$59,N$302-$I363&lt;$J$59),1000000000,$CO363+N$301+$CP363*(N$302-$I363))</f>
        <v>1000000000.0</v>
      </c>
      <c r="O363" s="642">
        <f t="shared" si="65"/>
        <v>1000000000.0</v>
      </c>
      <c r="P363" s="642">
        <f t="shared" si="65"/>
        <v>1000000000.0</v>
      </c>
      <c r="Q363" s="642">
        <f t="shared" si="65"/>
        <v>1000000000.0</v>
      </c>
      <c r="R363" s="642">
        <f t="shared" si="65"/>
        <v>1000000000.0</v>
      </c>
      <c r="S363" s="642">
        <f t="shared" si="65"/>
        <v>1000000000.0</v>
      </c>
      <c r="T363" s="642">
        <f t="shared" si="65"/>
        <v>1000000000.0</v>
      </c>
      <c r="U363" s="642">
        <f t="shared" si="65"/>
        <v>1000000000.0</v>
      </c>
      <c r="V363" s="642">
        <f t="shared" si="65"/>
        <v>1000000000.0</v>
      </c>
      <c r="W363" s="642">
        <f t="shared" si="65"/>
        <v>1000000000.0</v>
      </c>
      <c r="X363" s="642">
        <f t="shared" ref="X363:AG372" si="66">IF(OR($I363&lt;$J$59,X$302-$I363&lt;$J$59),1000000000,$CO363+X$301+$CP363*(X$302-$I363))</f>
        <v>1000000000.0</v>
      </c>
      <c r="Y363" s="642">
        <f t="shared" si="66"/>
        <v>1000000000.0</v>
      </c>
      <c r="Z363" s="642">
        <f t="shared" si="66"/>
        <v>1000000000.0</v>
      </c>
      <c r="AA363" s="642">
        <f t="shared" si="66"/>
        <v>1000000000.0</v>
      </c>
      <c r="AB363" s="642">
        <f t="shared" si="66"/>
        <v>1000000000.0</v>
      </c>
      <c r="AC363" s="642">
        <f t="shared" si="66"/>
        <v>1000000000.0</v>
      </c>
      <c r="AD363" s="642">
        <f t="shared" si="66"/>
        <v>1000000000.0</v>
      </c>
      <c r="AE363" s="642">
        <f t="shared" si="66"/>
        <v>1000000000.0</v>
      </c>
      <c r="AF363" s="642">
        <f t="shared" si="66"/>
        <v>1000000000.0</v>
      </c>
      <c r="AG363" s="642">
        <f t="shared" si="66"/>
        <v>1000000000.0</v>
      </c>
      <c r="AH363" s="642">
        <f t="shared" ref="AH363:AQ372" si="67">IF(OR($I363&lt;$J$59,AH$302-$I363&lt;$J$59),1000000000,$CO363+AH$301+$CP363*(AH$302-$I363))</f>
        <v>1000000000.0</v>
      </c>
      <c r="AI363" s="642">
        <f t="shared" si="67"/>
        <v>1000000000.0</v>
      </c>
      <c r="AJ363" s="642">
        <f t="shared" si="67"/>
        <v>1000000000.0</v>
      </c>
      <c r="AK363" s="642">
        <f t="shared" si="67"/>
        <v>1000000000.0</v>
      </c>
      <c r="AL363" s="642">
        <f t="shared" si="67"/>
        <v>1000000000.0</v>
      </c>
      <c r="AM363" s="642">
        <f t="shared" si="67"/>
        <v>1000000000.0</v>
      </c>
      <c r="AN363" s="642">
        <f t="shared" si="67"/>
        <v>1000000000.0</v>
      </c>
      <c r="AO363" s="642">
        <f t="shared" si="67"/>
        <v>1000000000.0</v>
      </c>
      <c r="AP363" s="642">
        <f t="shared" si="67"/>
        <v>1000000000.0</v>
      </c>
      <c r="AQ363" s="642">
        <f t="shared" si="67"/>
        <v>1000000000.0</v>
      </c>
      <c r="AR363" s="642">
        <f t="shared" ref="AR363:BA372" si="68">IF(OR($I363&lt;$J$59,AR$302-$I363&lt;$J$59),1000000000,$CO363+AR$301+$CP363*(AR$302-$I363))</f>
        <v>1000000000.0</v>
      </c>
      <c r="AS363" s="642">
        <f t="shared" si="68"/>
        <v>1000000000.0</v>
      </c>
      <c r="AT363" s="642">
        <f t="shared" si="68"/>
        <v>1000000000.0</v>
      </c>
      <c r="AU363" s="642">
        <f t="shared" si="68"/>
        <v>1000000000.0</v>
      </c>
      <c r="AV363" s="642">
        <f t="shared" si="68"/>
        <v>1000000000.0</v>
      </c>
      <c r="AW363" s="642">
        <f t="shared" si="68"/>
        <v>1000000000.0</v>
      </c>
      <c r="AX363" s="642">
        <f t="shared" si="68"/>
        <v>1000000000.0</v>
      </c>
      <c r="AY363" s="642">
        <f t="shared" si="68"/>
        <v>1000000000.0</v>
      </c>
      <c r="AZ363" s="642">
        <f t="shared" si="68"/>
        <v>1000000000.0</v>
      </c>
      <c r="BA363" s="642">
        <f t="shared" si="68"/>
        <v>1000000000.0</v>
      </c>
      <c r="BB363" s="642">
        <f t="shared" ref="BB363:BK372" si="69">IF(OR($I363&lt;$J$59,BB$302-$I363&lt;$J$59),1000000000,$CO363+BB$301+$CP363*(BB$302-$I363))</f>
        <v>1000000000.0</v>
      </c>
      <c r="BC363" s="642">
        <f t="shared" si="69"/>
        <v>1000000000.0</v>
      </c>
      <c r="BD363" s="642">
        <f t="shared" si="69"/>
        <v>1000000000.0</v>
      </c>
      <c r="BE363" s="642">
        <f t="shared" si="69"/>
        <v>1000000000.0</v>
      </c>
      <c r="BF363" s="642">
        <f t="shared" si="69"/>
        <v>1000000000.0</v>
      </c>
      <c r="BG363" s="642">
        <f t="shared" si="69"/>
        <v>1000000000.0</v>
      </c>
      <c r="BH363" s="642">
        <f t="shared" si="69"/>
        <v>1000000000.0</v>
      </c>
      <c r="BI363" s="642">
        <f t="shared" si="69"/>
        <v>1000000000.0</v>
      </c>
      <c r="BJ363" s="642">
        <f t="shared" si="69"/>
        <v>1000000000.0</v>
      </c>
      <c r="BK363" s="642">
        <f t="shared" si="69"/>
        <v>1000000000.0</v>
      </c>
      <c r="BL363" s="642">
        <f t="shared" ref="BL363:BU372" si="70">IF(OR($I363&lt;$J$59,BL$302-$I363&lt;$J$59),1000000000,$CO363+BL$301+$CP363*(BL$302-$I363))</f>
        <v>1000000000.0</v>
      </c>
      <c r="BM363" s="642">
        <f t="shared" si="70"/>
        <v>1000000000.0</v>
      </c>
      <c r="BN363" s="642">
        <f t="shared" si="70"/>
        <v>1000000000.0</v>
      </c>
      <c r="BO363" s="642">
        <f t="shared" si="70"/>
        <v>1000000000.0</v>
      </c>
      <c r="BP363" s="642">
        <f t="shared" si="70"/>
        <v>1000000000.0</v>
      </c>
      <c r="BQ363" s="642">
        <f t="shared" si="70"/>
        <v>1000000000.0</v>
      </c>
      <c r="BR363" s="642">
        <f t="shared" si="70"/>
        <v>1000000000.0</v>
      </c>
      <c r="BS363" s="642">
        <f t="shared" si="70"/>
        <v>1000000000.0</v>
      </c>
      <c r="BT363" s="642">
        <f t="shared" si="70"/>
        <v>1000000000.0</v>
      </c>
      <c r="BU363" s="642">
        <f t="shared" si="70"/>
        <v>1000000000.0</v>
      </c>
      <c r="BV363" s="642">
        <f t="shared" ref="BV363:CE372" si="71">IF(OR($I363&lt;$J$59,BV$302-$I363&lt;$J$59),1000000000,$CO363+BV$301+$CP363*(BV$302-$I363))</f>
        <v>1000000000.0</v>
      </c>
      <c r="BW363" s="642">
        <f t="shared" si="71"/>
        <v>1000000000.0</v>
      </c>
      <c r="BX363" s="642">
        <f t="shared" si="71"/>
        <v>1000000000.0</v>
      </c>
      <c r="BY363" s="642">
        <f t="shared" si="71"/>
        <v>1000000000.0</v>
      </c>
      <c r="BZ363" s="642">
        <f t="shared" si="71"/>
        <v>1000000000.0</v>
      </c>
      <c r="CA363" s="642">
        <f t="shared" si="71"/>
        <v>1000000000.0</v>
      </c>
      <c r="CB363" s="642">
        <f t="shared" si="71"/>
        <v>1000000000.0</v>
      </c>
      <c r="CC363" s="642">
        <f t="shared" si="71"/>
        <v>1000000000.0</v>
      </c>
      <c r="CD363" s="642">
        <f t="shared" si="71"/>
        <v>1000000000.0</v>
      </c>
      <c r="CE363" s="642">
        <f t="shared" si="71"/>
        <v>1000000000.0</v>
      </c>
      <c r="CF363" s="642">
        <f t="shared" ref="CF363:CM372" si="72">IF(OR($I363&lt;$J$59,CF$302-$I363&lt;$J$59),1000000000,$CO363+CF$301+$CP363*(CF$302-$I363))</f>
        <v>1000000000.0</v>
      </c>
      <c r="CG363" s="642">
        <f t="shared" si="72"/>
        <v>1000000000.0</v>
      </c>
      <c r="CH363" s="642">
        <f t="shared" si="72"/>
        <v>1000000000.0</v>
      </c>
      <c r="CI363" s="642">
        <f t="shared" si="72"/>
        <v>1000000000.0</v>
      </c>
      <c r="CJ363" s="642">
        <f t="shared" si="72"/>
        <v>1000000000.0</v>
      </c>
      <c r="CK363" s="642">
        <f t="shared" si="72"/>
        <v>1000000000.0</v>
      </c>
      <c r="CL363" s="642">
        <f t="shared" ca="1" si="72"/>
        <v>200.80216020392155</v>
      </c>
      <c r="CM363" s="642">
        <f t="shared" ca="1" si="72"/>
        <v>200.80216020392157</v>
      </c>
      <c r="CN363" s="642">
        <f t="shared" ca="1" si="46"/>
        <v>200.80216020392155</v>
      </c>
      <c r="CO363" s="642">
        <f>2*$AD$61*MAX(0,$J$58+I363-$J$64)+IF(L363&lt;$J$38,1000000,0)</f>
        <v>167.30581247058822</v>
      </c>
      <c r="CP363" s="642">
        <f>2*IF($J$175&gt;0,IF($J$392/MIN($J$175,K363)&gt;$M$5*VLOOKUP($L$5,Taxas!$V$22:$W$30,2)/L363,$J$391/MIN($J$175,K363),$J$389/L363),$J$389/L363)</f>
        <v>0.3828154026666668</v>
      </c>
    </row>
    <row r="364" spans="9:94" hidden="1" x14ac:dyDescent="0.25">
      <c r="I364" s="642">
        <f>MIN(5*62,$J$57/2)</f>
        <v>310.0</v>
      </c>
      <c r="J364" s="646">
        <f t="shared" ca="1" si="44"/>
        <v>0.048859517098708304</v>
      </c>
      <c r="K364" s="642">
        <f t="shared" ca="1" si="45"/>
        <v>30.0</v>
      </c>
      <c r="L364" s="642">
        <f ca="1">MIN(ROUNDDOWN($M$5*VLOOKUP($L$5,Taxas!$V$22:$W$30,2)/J364*2,0)/2,K364)</f>
        <v>30.0</v>
      </c>
      <c r="M364" s="642">
        <f ca="1">MIN(ROUNDDOWN($M$6*VLOOKUP($L$6,Taxas!$V$22:$W$30,2)/J364*2,0)/2,K364)</f>
        <v>30.0</v>
      </c>
      <c r="N364" s="642">
        <f t="shared" si="65"/>
        <v>1000000000.0</v>
      </c>
      <c r="O364" s="642">
        <f t="shared" si="65"/>
        <v>1000000000.0</v>
      </c>
      <c r="P364" s="642">
        <f t="shared" si="65"/>
        <v>1000000000.0</v>
      </c>
      <c r="Q364" s="642">
        <f t="shared" si="65"/>
        <v>1000000000.0</v>
      </c>
      <c r="R364" s="642">
        <f t="shared" si="65"/>
        <v>1000000000.0</v>
      </c>
      <c r="S364" s="642">
        <f t="shared" si="65"/>
        <v>1000000000.0</v>
      </c>
      <c r="T364" s="642">
        <f t="shared" si="65"/>
        <v>1000000000.0</v>
      </c>
      <c r="U364" s="642">
        <f t="shared" si="65"/>
        <v>1000000000.0</v>
      </c>
      <c r="V364" s="642">
        <f t="shared" si="65"/>
        <v>1000000000.0</v>
      </c>
      <c r="W364" s="642">
        <f t="shared" si="65"/>
        <v>1000000000.0</v>
      </c>
      <c r="X364" s="642">
        <f t="shared" si="66"/>
        <v>1000000000.0</v>
      </c>
      <c r="Y364" s="642">
        <f t="shared" si="66"/>
        <v>1000000000.0</v>
      </c>
      <c r="Z364" s="642">
        <f t="shared" si="66"/>
        <v>1000000000.0</v>
      </c>
      <c r="AA364" s="642">
        <f t="shared" si="66"/>
        <v>1000000000.0</v>
      </c>
      <c r="AB364" s="642">
        <f t="shared" si="66"/>
        <v>1000000000.0</v>
      </c>
      <c r="AC364" s="642">
        <f t="shared" si="66"/>
        <v>1000000000.0</v>
      </c>
      <c r="AD364" s="642">
        <f t="shared" si="66"/>
        <v>1000000000.0</v>
      </c>
      <c r="AE364" s="642">
        <f t="shared" si="66"/>
        <v>1000000000.0</v>
      </c>
      <c r="AF364" s="642">
        <f t="shared" si="66"/>
        <v>1000000000.0</v>
      </c>
      <c r="AG364" s="642">
        <f t="shared" si="66"/>
        <v>1000000000.0</v>
      </c>
      <c r="AH364" s="642">
        <f t="shared" si="67"/>
        <v>1000000000.0</v>
      </c>
      <c r="AI364" s="642">
        <f t="shared" si="67"/>
        <v>1000000000.0</v>
      </c>
      <c r="AJ364" s="642">
        <f t="shared" si="67"/>
        <v>1000000000.0</v>
      </c>
      <c r="AK364" s="642">
        <f t="shared" si="67"/>
        <v>1000000000.0</v>
      </c>
      <c r="AL364" s="642">
        <f t="shared" si="67"/>
        <v>1000000000.0</v>
      </c>
      <c r="AM364" s="642">
        <f t="shared" si="67"/>
        <v>1000000000.0</v>
      </c>
      <c r="AN364" s="642">
        <f t="shared" si="67"/>
        <v>1000000000.0</v>
      </c>
      <c r="AO364" s="642">
        <f t="shared" si="67"/>
        <v>1000000000.0</v>
      </c>
      <c r="AP364" s="642">
        <f t="shared" si="67"/>
        <v>1000000000.0</v>
      </c>
      <c r="AQ364" s="642">
        <f t="shared" si="67"/>
        <v>1000000000.0</v>
      </c>
      <c r="AR364" s="642">
        <f t="shared" si="68"/>
        <v>1000000000.0</v>
      </c>
      <c r="AS364" s="642">
        <f t="shared" si="68"/>
        <v>1000000000.0</v>
      </c>
      <c r="AT364" s="642">
        <f t="shared" si="68"/>
        <v>1000000000.0</v>
      </c>
      <c r="AU364" s="642">
        <f t="shared" si="68"/>
        <v>1000000000.0</v>
      </c>
      <c r="AV364" s="642">
        <f t="shared" si="68"/>
        <v>1000000000.0</v>
      </c>
      <c r="AW364" s="642">
        <f t="shared" si="68"/>
        <v>1000000000.0</v>
      </c>
      <c r="AX364" s="642">
        <f t="shared" si="68"/>
        <v>1000000000.0</v>
      </c>
      <c r="AY364" s="642">
        <f t="shared" si="68"/>
        <v>1000000000.0</v>
      </c>
      <c r="AZ364" s="642">
        <f t="shared" si="68"/>
        <v>1000000000.0</v>
      </c>
      <c r="BA364" s="642">
        <f t="shared" si="68"/>
        <v>1000000000.0</v>
      </c>
      <c r="BB364" s="642">
        <f t="shared" si="69"/>
        <v>1000000000.0</v>
      </c>
      <c r="BC364" s="642">
        <f t="shared" si="69"/>
        <v>1000000000.0</v>
      </c>
      <c r="BD364" s="642">
        <f t="shared" si="69"/>
        <v>1000000000.0</v>
      </c>
      <c r="BE364" s="642">
        <f t="shared" si="69"/>
        <v>1000000000.0</v>
      </c>
      <c r="BF364" s="642">
        <f t="shared" si="69"/>
        <v>1000000000.0</v>
      </c>
      <c r="BG364" s="642">
        <f t="shared" si="69"/>
        <v>1000000000.0</v>
      </c>
      <c r="BH364" s="642">
        <f t="shared" si="69"/>
        <v>1000000000.0</v>
      </c>
      <c r="BI364" s="642">
        <f t="shared" si="69"/>
        <v>1000000000.0</v>
      </c>
      <c r="BJ364" s="642">
        <f t="shared" si="69"/>
        <v>1000000000.0</v>
      </c>
      <c r="BK364" s="642">
        <f t="shared" si="69"/>
        <v>1000000000.0</v>
      </c>
      <c r="BL364" s="642">
        <f t="shared" si="70"/>
        <v>1000000000.0</v>
      </c>
      <c r="BM364" s="642">
        <f t="shared" si="70"/>
        <v>1000000000.0</v>
      </c>
      <c r="BN364" s="642">
        <f t="shared" si="70"/>
        <v>1000000000.0</v>
      </c>
      <c r="BO364" s="642">
        <f t="shared" si="70"/>
        <v>1000000000.0</v>
      </c>
      <c r="BP364" s="642">
        <f t="shared" si="70"/>
        <v>1000000000.0</v>
      </c>
      <c r="BQ364" s="642">
        <f t="shared" si="70"/>
        <v>1000000000.0</v>
      </c>
      <c r="BR364" s="642">
        <f t="shared" si="70"/>
        <v>1000000000.0</v>
      </c>
      <c r="BS364" s="642">
        <f t="shared" si="70"/>
        <v>1000000000.0</v>
      </c>
      <c r="BT364" s="642">
        <f t="shared" si="70"/>
        <v>1000000000.0</v>
      </c>
      <c r="BU364" s="642">
        <f t="shared" si="70"/>
        <v>1000000000.0</v>
      </c>
      <c r="BV364" s="642">
        <f t="shared" si="71"/>
        <v>1000000000.0</v>
      </c>
      <c r="BW364" s="642">
        <f t="shared" si="71"/>
        <v>1000000000.0</v>
      </c>
      <c r="BX364" s="642">
        <f t="shared" si="71"/>
        <v>1000000000.0</v>
      </c>
      <c r="BY364" s="642">
        <f t="shared" si="71"/>
        <v>1000000000.0</v>
      </c>
      <c r="BZ364" s="642">
        <f t="shared" si="71"/>
        <v>1000000000.0</v>
      </c>
      <c r="CA364" s="642">
        <f t="shared" si="71"/>
        <v>1000000000.0</v>
      </c>
      <c r="CB364" s="642">
        <f t="shared" si="71"/>
        <v>1000000000.0</v>
      </c>
      <c r="CC364" s="642">
        <f t="shared" si="71"/>
        <v>1000000000.0</v>
      </c>
      <c r="CD364" s="642">
        <f t="shared" si="71"/>
        <v>1000000000.0</v>
      </c>
      <c r="CE364" s="642">
        <f t="shared" si="71"/>
        <v>1000000000.0</v>
      </c>
      <c r="CF364" s="642">
        <f t="shared" si="72"/>
        <v>1000000000.0</v>
      </c>
      <c r="CG364" s="642">
        <f t="shared" si="72"/>
        <v>1000000000.0</v>
      </c>
      <c r="CH364" s="642">
        <f t="shared" si="72"/>
        <v>1000000000.0</v>
      </c>
      <c r="CI364" s="642">
        <f t="shared" si="72"/>
        <v>1000000000.0</v>
      </c>
      <c r="CJ364" s="642">
        <f t="shared" si="72"/>
        <v>1000000000.0</v>
      </c>
      <c r="CK364" s="642">
        <f t="shared" si="72"/>
        <v>1000000000.0</v>
      </c>
      <c r="CL364" s="642">
        <f t="shared" si="72"/>
        <v>1000000000.0</v>
      </c>
      <c r="CM364" s="642">
        <f t="shared" ca="1" si="72"/>
        <v>201.5269761317647</v>
      </c>
      <c r="CN364" s="642">
        <f t="shared" ca="1" si="46"/>
        <v>201.5269761317647</v>
      </c>
      <c r="CO364" s="642">
        <f>2*$AD$61*MAX(0,$J$58+I364-$J$64)+IF(L364&lt;$J$38,1000000,0)</f>
        <v>169.94470541176472</v>
      </c>
      <c r="CP364" s="642">
        <f>2*IF($J$175&gt;0,IF($J$392/MIN($J$175,K364)&gt;$M$5*VLOOKUP($L$5,Taxas!$V$22:$W$30,2)/L364,$J$391/MIN($J$175,K364),$J$389/L364),$J$389/L364)</f>
        <v>0.3828154026666668</v>
      </c>
    </row>
    <row r="365" spans="9:94" hidden="1" x14ac:dyDescent="0.25">
      <c r="I365" s="642">
        <f>MIN(5*63,$J$57/2)</f>
        <v>315.0</v>
      </c>
      <c r="J365" s="646">
        <f t="shared" ca="1" si="44"/>
        <v>0.048859517098708304</v>
      </c>
      <c r="K365" s="642">
        <f t="shared" ca="1" si="45"/>
        <v>30.0</v>
      </c>
      <c r="L365" s="642">
        <f ca="1">MIN(ROUNDDOWN($M$5*VLOOKUP($L$5,Taxas!$V$22:$W$30,2)/J365*2,0)/2,K365)</f>
        <v>30.0</v>
      </c>
      <c r="M365" s="642">
        <f ca="1">MIN(ROUNDDOWN($M$6*VLOOKUP($L$6,Taxas!$V$22:$W$30,2)/J365*2,0)/2,K365)</f>
        <v>30.0</v>
      </c>
      <c r="N365" s="642">
        <f t="shared" si="65"/>
        <v>1000000000.0</v>
      </c>
      <c r="O365" s="642">
        <f t="shared" si="65"/>
        <v>1000000000.0</v>
      </c>
      <c r="P365" s="642">
        <f t="shared" si="65"/>
        <v>1000000000.0</v>
      </c>
      <c r="Q365" s="642">
        <f t="shared" si="65"/>
        <v>1000000000.0</v>
      </c>
      <c r="R365" s="642">
        <f t="shared" si="65"/>
        <v>1000000000.0</v>
      </c>
      <c r="S365" s="642">
        <f t="shared" si="65"/>
        <v>1000000000.0</v>
      </c>
      <c r="T365" s="642">
        <f t="shared" si="65"/>
        <v>1000000000.0</v>
      </c>
      <c r="U365" s="642">
        <f t="shared" si="65"/>
        <v>1000000000.0</v>
      </c>
      <c r="V365" s="642">
        <f t="shared" si="65"/>
        <v>1000000000.0</v>
      </c>
      <c r="W365" s="642">
        <f t="shared" si="65"/>
        <v>1000000000.0</v>
      </c>
      <c r="X365" s="642">
        <f t="shared" si="66"/>
        <v>1000000000.0</v>
      </c>
      <c r="Y365" s="642">
        <f t="shared" si="66"/>
        <v>1000000000.0</v>
      </c>
      <c r="Z365" s="642">
        <f t="shared" si="66"/>
        <v>1000000000.0</v>
      </c>
      <c r="AA365" s="642">
        <f t="shared" si="66"/>
        <v>1000000000.0</v>
      </c>
      <c r="AB365" s="642">
        <f t="shared" si="66"/>
        <v>1000000000.0</v>
      </c>
      <c r="AC365" s="642">
        <f t="shared" si="66"/>
        <v>1000000000.0</v>
      </c>
      <c r="AD365" s="642">
        <f t="shared" si="66"/>
        <v>1000000000.0</v>
      </c>
      <c r="AE365" s="642">
        <f t="shared" si="66"/>
        <v>1000000000.0</v>
      </c>
      <c r="AF365" s="642">
        <f t="shared" si="66"/>
        <v>1000000000.0</v>
      </c>
      <c r="AG365" s="642">
        <f t="shared" si="66"/>
        <v>1000000000.0</v>
      </c>
      <c r="AH365" s="642">
        <f t="shared" si="67"/>
        <v>1000000000.0</v>
      </c>
      <c r="AI365" s="642">
        <f t="shared" si="67"/>
        <v>1000000000.0</v>
      </c>
      <c r="AJ365" s="642">
        <f t="shared" si="67"/>
        <v>1000000000.0</v>
      </c>
      <c r="AK365" s="642">
        <f t="shared" si="67"/>
        <v>1000000000.0</v>
      </c>
      <c r="AL365" s="642">
        <f t="shared" si="67"/>
        <v>1000000000.0</v>
      </c>
      <c r="AM365" s="642">
        <f t="shared" si="67"/>
        <v>1000000000.0</v>
      </c>
      <c r="AN365" s="642">
        <f t="shared" si="67"/>
        <v>1000000000.0</v>
      </c>
      <c r="AO365" s="642">
        <f t="shared" si="67"/>
        <v>1000000000.0</v>
      </c>
      <c r="AP365" s="642">
        <f t="shared" si="67"/>
        <v>1000000000.0</v>
      </c>
      <c r="AQ365" s="642">
        <f t="shared" si="67"/>
        <v>1000000000.0</v>
      </c>
      <c r="AR365" s="642">
        <f t="shared" si="68"/>
        <v>1000000000.0</v>
      </c>
      <c r="AS365" s="642">
        <f t="shared" si="68"/>
        <v>1000000000.0</v>
      </c>
      <c r="AT365" s="642">
        <f t="shared" si="68"/>
        <v>1000000000.0</v>
      </c>
      <c r="AU365" s="642">
        <f t="shared" si="68"/>
        <v>1000000000.0</v>
      </c>
      <c r="AV365" s="642">
        <f t="shared" si="68"/>
        <v>1000000000.0</v>
      </c>
      <c r="AW365" s="642">
        <f t="shared" si="68"/>
        <v>1000000000.0</v>
      </c>
      <c r="AX365" s="642">
        <f t="shared" si="68"/>
        <v>1000000000.0</v>
      </c>
      <c r="AY365" s="642">
        <f t="shared" si="68"/>
        <v>1000000000.0</v>
      </c>
      <c r="AZ365" s="642">
        <f t="shared" si="68"/>
        <v>1000000000.0</v>
      </c>
      <c r="BA365" s="642">
        <f t="shared" si="68"/>
        <v>1000000000.0</v>
      </c>
      <c r="BB365" s="642">
        <f t="shared" si="69"/>
        <v>1000000000.0</v>
      </c>
      <c r="BC365" s="642">
        <f t="shared" si="69"/>
        <v>1000000000.0</v>
      </c>
      <c r="BD365" s="642">
        <f t="shared" si="69"/>
        <v>1000000000.0</v>
      </c>
      <c r="BE365" s="642">
        <f t="shared" si="69"/>
        <v>1000000000.0</v>
      </c>
      <c r="BF365" s="642">
        <f t="shared" si="69"/>
        <v>1000000000.0</v>
      </c>
      <c r="BG365" s="642">
        <f t="shared" si="69"/>
        <v>1000000000.0</v>
      </c>
      <c r="BH365" s="642">
        <f t="shared" si="69"/>
        <v>1000000000.0</v>
      </c>
      <c r="BI365" s="642">
        <f t="shared" si="69"/>
        <v>1000000000.0</v>
      </c>
      <c r="BJ365" s="642">
        <f t="shared" si="69"/>
        <v>1000000000.0</v>
      </c>
      <c r="BK365" s="642">
        <f t="shared" si="69"/>
        <v>1000000000.0</v>
      </c>
      <c r="BL365" s="642">
        <f t="shared" si="70"/>
        <v>1000000000.0</v>
      </c>
      <c r="BM365" s="642">
        <f t="shared" si="70"/>
        <v>1000000000.0</v>
      </c>
      <c r="BN365" s="642">
        <f t="shared" si="70"/>
        <v>1000000000.0</v>
      </c>
      <c r="BO365" s="642">
        <f t="shared" si="70"/>
        <v>1000000000.0</v>
      </c>
      <c r="BP365" s="642">
        <f t="shared" si="70"/>
        <v>1000000000.0</v>
      </c>
      <c r="BQ365" s="642">
        <f t="shared" si="70"/>
        <v>1000000000.0</v>
      </c>
      <c r="BR365" s="642">
        <f t="shared" si="70"/>
        <v>1000000000.0</v>
      </c>
      <c r="BS365" s="642">
        <f t="shared" si="70"/>
        <v>1000000000.0</v>
      </c>
      <c r="BT365" s="642">
        <f t="shared" si="70"/>
        <v>1000000000.0</v>
      </c>
      <c r="BU365" s="642">
        <f t="shared" si="70"/>
        <v>1000000000.0</v>
      </c>
      <c r="BV365" s="642">
        <f t="shared" si="71"/>
        <v>1000000000.0</v>
      </c>
      <c r="BW365" s="642">
        <f t="shared" si="71"/>
        <v>1000000000.0</v>
      </c>
      <c r="BX365" s="642">
        <f t="shared" si="71"/>
        <v>1000000000.0</v>
      </c>
      <c r="BY365" s="642">
        <f t="shared" si="71"/>
        <v>1000000000.0</v>
      </c>
      <c r="BZ365" s="642">
        <f t="shared" si="71"/>
        <v>1000000000.0</v>
      </c>
      <c r="CA365" s="642">
        <f t="shared" si="71"/>
        <v>1000000000.0</v>
      </c>
      <c r="CB365" s="642">
        <f t="shared" si="71"/>
        <v>1000000000.0</v>
      </c>
      <c r="CC365" s="642">
        <f t="shared" si="71"/>
        <v>1000000000.0</v>
      </c>
      <c r="CD365" s="642">
        <f t="shared" si="71"/>
        <v>1000000000.0</v>
      </c>
      <c r="CE365" s="642">
        <f t="shared" si="71"/>
        <v>1000000000.0</v>
      </c>
      <c r="CF365" s="642">
        <f t="shared" si="72"/>
        <v>1000000000.0</v>
      </c>
      <c r="CG365" s="642">
        <f t="shared" si="72"/>
        <v>1000000000.0</v>
      </c>
      <c r="CH365" s="642">
        <f t="shared" si="72"/>
        <v>1000000000.0</v>
      </c>
      <c r="CI365" s="642">
        <f t="shared" si="72"/>
        <v>1000000000.0</v>
      </c>
      <c r="CJ365" s="642">
        <f t="shared" si="72"/>
        <v>1000000000.0</v>
      </c>
      <c r="CK365" s="642">
        <f t="shared" si="72"/>
        <v>1000000000.0</v>
      </c>
      <c r="CL365" s="642">
        <f t="shared" si="72"/>
        <v>1000000000.0</v>
      </c>
      <c r="CM365" s="642">
        <f t="shared" si="72"/>
        <v>1000000000.0</v>
      </c>
      <c r="CN365" s="642">
        <f t="shared" si="46"/>
        <v>1000000000.0</v>
      </c>
      <c r="CO365" s="642">
        <f>2*$AD$61*MAX(0,$J$58+I365-$J$64)+IF(L365&lt;$J$38,1000000,0)</f>
        <v>172.58359835294118</v>
      </c>
      <c r="CP365" s="642">
        <f>2*IF($J$175&gt;0,IF($J$392/MIN($J$175,K365)&gt;$M$5*VLOOKUP($L$5,Taxas!$V$22:$W$30,2)/L365,$J$391/MIN($J$175,K365),$J$389/L365),$J$389/L365)</f>
        <v>0.3828154026666668</v>
      </c>
    </row>
    <row r="366" spans="9:94" hidden="1" x14ac:dyDescent="0.25">
      <c r="I366" s="642">
        <f>MIN(5*64,$J$57/2)</f>
        <v>320.0</v>
      </c>
      <c r="J366" s="646">
        <f t="shared" ca="1" si="44"/>
        <v>0.048859517098708304</v>
      </c>
      <c r="K366" s="642">
        <f t="shared" ca="1" si="45"/>
        <v>30.0</v>
      </c>
      <c r="L366" s="642">
        <f ca="1">MIN(ROUNDDOWN($M$5*VLOOKUP($L$5,Taxas!$V$22:$W$30,2)/J366*2,0)/2,K366)</f>
        <v>30.0</v>
      </c>
      <c r="M366" s="642">
        <f ca="1">MIN(ROUNDDOWN($M$6*VLOOKUP($L$6,Taxas!$V$22:$W$30,2)/J366*2,0)/2,K366)</f>
        <v>30.0</v>
      </c>
      <c r="N366" s="642">
        <f t="shared" si="65"/>
        <v>1000000000.0</v>
      </c>
      <c r="O366" s="642">
        <f t="shared" si="65"/>
        <v>1000000000.0</v>
      </c>
      <c r="P366" s="642">
        <f t="shared" si="65"/>
        <v>1000000000.0</v>
      </c>
      <c r="Q366" s="642">
        <f t="shared" si="65"/>
        <v>1000000000.0</v>
      </c>
      <c r="R366" s="642">
        <f t="shared" si="65"/>
        <v>1000000000.0</v>
      </c>
      <c r="S366" s="642">
        <f t="shared" si="65"/>
        <v>1000000000.0</v>
      </c>
      <c r="T366" s="642">
        <f t="shared" si="65"/>
        <v>1000000000.0</v>
      </c>
      <c r="U366" s="642">
        <f t="shared" si="65"/>
        <v>1000000000.0</v>
      </c>
      <c r="V366" s="642">
        <f t="shared" si="65"/>
        <v>1000000000.0</v>
      </c>
      <c r="W366" s="642">
        <f t="shared" si="65"/>
        <v>1000000000.0</v>
      </c>
      <c r="X366" s="642">
        <f t="shared" si="66"/>
        <v>1000000000.0</v>
      </c>
      <c r="Y366" s="642">
        <f t="shared" si="66"/>
        <v>1000000000.0</v>
      </c>
      <c r="Z366" s="642">
        <f t="shared" si="66"/>
        <v>1000000000.0</v>
      </c>
      <c r="AA366" s="642">
        <f t="shared" si="66"/>
        <v>1000000000.0</v>
      </c>
      <c r="AB366" s="642">
        <f t="shared" si="66"/>
        <v>1000000000.0</v>
      </c>
      <c r="AC366" s="642">
        <f t="shared" si="66"/>
        <v>1000000000.0</v>
      </c>
      <c r="AD366" s="642">
        <f t="shared" si="66"/>
        <v>1000000000.0</v>
      </c>
      <c r="AE366" s="642">
        <f t="shared" si="66"/>
        <v>1000000000.0</v>
      </c>
      <c r="AF366" s="642">
        <f t="shared" si="66"/>
        <v>1000000000.0</v>
      </c>
      <c r="AG366" s="642">
        <f t="shared" si="66"/>
        <v>1000000000.0</v>
      </c>
      <c r="AH366" s="642">
        <f t="shared" si="67"/>
        <v>1000000000.0</v>
      </c>
      <c r="AI366" s="642">
        <f t="shared" si="67"/>
        <v>1000000000.0</v>
      </c>
      <c r="AJ366" s="642">
        <f t="shared" si="67"/>
        <v>1000000000.0</v>
      </c>
      <c r="AK366" s="642">
        <f t="shared" si="67"/>
        <v>1000000000.0</v>
      </c>
      <c r="AL366" s="642">
        <f t="shared" si="67"/>
        <v>1000000000.0</v>
      </c>
      <c r="AM366" s="642">
        <f t="shared" si="67"/>
        <v>1000000000.0</v>
      </c>
      <c r="AN366" s="642">
        <f t="shared" si="67"/>
        <v>1000000000.0</v>
      </c>
      <c r="AO366" s="642">
        <f t="shared" si="67"/>
        <v>1000000000.0</v>
      </c>
      <c r="AP366" s="642">
        <f t="shared" si="67"/>
        <v>1000000000.0</v>
      </c>
      <c r="AQ366" s="642">
        <f t="shared" si="67"/>
        <v>1000000000.0</v>
      </c>
      <c r="AR366" s="642">
        <f t="shared" si="68"/>
        <v>1000000000.0</v>
      </c>
      <c r="AS366" s="642">
        <f t="shared" si="68"/>
        <v>1000000000.0</v>
      </c>
      <c r="AT366" s="642">
        <f t="shared" si="68"/>
        <v>1000000000.0</v>
      </c>
      <c r="AU366" s="642">
        <f t="shared" si="68"/>
        <v>1000000000.0</v>
      </c>
      <c r="AV366" s="642">
        <f t="shared" si="68"/>
        <v>1000000000.0</v>
      </c>
      <c r="AW366" s="642">
        <f t="shared" si="68"/>
        <v>1000000000.0</v>
      </c>
      <c r="AX366" s="642">
        <f t="shared" si="68"/>
        <v>1000000000.0</v>
      </c>
      <c r="AY366" s="642">
        <f t="shared" si="68"/>
        <v>1000000000.0</v>
      </c>
      <c r="AZ366" s="642">
        <f t="shared" si="68"/>
        <v>1000000000.0</v>
      </c>
      <c r="BA366" s="642">
        <f t="shared" si="68"/>
        <v>1000000000.0</v>
      </c>
      <c r="BB366" s="642">
        <f t="shared" si="69"/>
        <v>1000000000.0</v>
      </c>
      <c r="BC366" s="642">
        <f t="shared" si="69"/>
        <v>1000000000.0</v>
      </c>
      <c r="BD366" s="642">
        <f t="shared" si="69"/>
        <v>1000000000.0</v>
      </c>
      <c r="BE366" s="642">
        <f t="shared" si="69"/>
        <v>1000000000.0</v>
      </c>
      <c r="BF366" s="642">
        <f t="shared" si="69"/>
        <v>1000000000.0</v>
      </c>
      <c r="BG366" s="642">
        <f t="shared" si="69"/>
        <v>1000000000.0</v>
      </c>
      <c r="BH366" s="642">
        <f t="shared" si="69"/>
        <v>1000000000.0</v>
      </c>
      <c r="BI366" s="642">
        <f t="shared" si="69"/>
        <v>1000000000.0</v>
      </c>
      <c r="BJ366" s="642">
        <f t="shared" si="69"/>
        <v>1000000000.0</v>
      </c>
      <c r="BK366" s="642">
        <f t="shared" si="69"/>
        <v>1000000000.0</v>
      </c>
      <c r="BL366" s="642">
        <f t="shared" si="70"/>
        <v>1000000000.0</v>
      </c>
      <c r="BM366" s="642">
        <f t="shared" si="70"/>
        <v>1000000000.0</v>
      </c>
      <c r="BN366" s="642">
        <f t="shared" si="70"/>
        <v>1000000000.0</v>
      </c>
      <c r="BO366" s="642">
        <f t="shared" si="70"/>
        <v>1000000000.0</v>
      </c>
      <c r="BP366" s="642">
        <f t="shared" si="70"/>
        <v>1000000000.0</v>
      </c>
      <c r="BQ366" s="642">
        <f t="shared" si="70"/>
        <v>1000000000.0</v>
      </c>
      <c r="BR366" s="642">
        <f t="shared" si="70"/>
        <v>1000000000.0</v>
      </c>
      <c r="BS366" s="642">
        <f t="shared" si="70"/>
        <v>1000000000.0</v>
      </c>
      <c r="BT366" s="642">
        <f t="shared" si="70"/>
        <v>1000000000.0</v>
      </c>
      <c r="BU366" s="642">
        <f t="shared" si="70"/>
        <v>1000000000.0</v>
      </c>
      <c r="BV366" s="642">
        <f t="shared" si="71"/>
        <v>1000000000.0</v>
      </c>
      <c r="BW366" s="642">
        <f t="shared" si="71"/>
        <v>1000000000.0</v>
      </c>
      <c r="BX366" s="642">
        <f t="shared" si="71"/>
        <v>1000000000.0</v>
      </c>
      <c r="BY366" s="642">
        <f t="shared" si="71"/>
        <v>1000000000.0</v>
      </c>
      <c r="BZ366" s="642">
        <f t="shared" si="71"/>
        <v>1000000000.0</v>
      </c>
      <c r="CA366" s="642">
        <f t="shared" si="71"/>
        <v>1000000000.0</v>
      </c>
      <c r="CB366" s="642">
        <f t="shared" si="71"/>
        <v>1000000000.0</v>
      </c>
      <c r="CC366" s="642">
        <f t="shared" si="71"/>
        <v>1000000000.0</v>
      </c>
      <c r="CD366" s="642">
        <f t="shared" si="71"/>
        <v>1000000000.0</v>
      </c>
      <c r="CE366" s="642">
        <f t="shared" si="71"/>
        <v>1000000000.0</v>
      </c>
      <c r="CF366" s="642">
        <f t="shared" si="72"/>
        <v>1000000000.0</v>
      </c>
      <c r="CG366" s="642">
        <f t="shared" si="72"/>
        <v>1000000000.0</v>
      </c>
      <c r="CH366" s="642">
        <f t="shared" si="72"/>
        <v>1000000000.0</v>
      </c>
      <c r="CI366" s="642">
        <f t="shared" si="72"/>
        <v>1000000000.0</v>
      </c>
      <c r="CJ366" s="642">
        <f t="shared" si="72"/>
        <v>1000000000.0</v>
      </c>
      <c r="CK366" s="642">
        <f t="shared" si="72"/>
        <v>1000000000.0</v>
      </c>
      <c r="CL366" s="642">
        <f t="shared" si="72"/>
        <v>1000000000.0</v>
      </c>
      <c r="CM366" s="642">
        <f t="shared" si="72"/>
        <v>1000000000.0</v>
      </c>
      <c r="CN366" s="642">
        <f t="shared" si="46"/>
        <v>1000000000.0</v>
      </c>
      <c r="CO366" s="642">
        <f>2*$AD$61*MAX(0,$J$58+I366-$J$64)+IF(L366&lt;$J$38,1000000,0)</f>
        <v>175.22249129411765</v>
      </c>
      <c r="CP366" s="642">
        <f>2*IF($J$175&gt;0,IF($J$392/MIN($J$175,K366)&gt;$M$5*VLOOKUP($L$5,Taxas!$V$22:$W$30,2)/L366,$J$391/MIN($J$175,K366),$J$389/L366),$J$389/L366)</f>
        <v>0.3828154026666668</v>
      </c>
    </row>
    <row r="367" spans="9:94" hidden="1" x14ac:dyDescent="0.25">
      <c r="I367" s="642">
        <f>MIN(5*65,$J$57/2)</f>
        <v>325.0</v>
      </c>
      <c r="J367" s="646">
        <f t="shared" ref="J367:J398" ca="1" si="73">IF(I367&gt;=INDEX($J$43:$J$53,11),INDEX($U$43:$U$53,11),INDEX($U$43:$U$53,MIN(MATCH(I367,$J$43:$J$53,1),10))+(I367-INDEX($J$43:$J$53,MIN(MATCH(I367,$J$43:$J$53,1),10)))*(INDEX($U$43:$U$53,MIN(MATCH(I367,$J$43:$J$53,1),10)+1)-INDEX($U$43:$U$53,MIN(MATCH(I367,$J$43:$J$53,1),10)))/(INDEX($J$43:$J$53,MIN(MATCH(I367,$J$43:$J$53,1),10)+1)-INDEX($J$43:$J$53,MIN(MATCH(I367,$J$43:$J$53,1),10))))</f>
        <v>0.048859517098708304</v>
      </c>
      <c r="K367" s="642">
        <f t="shared" ref="K367:K380" ca="1" si="74">INDEX($W$43:$W$53,MIN(MATCH(I367,$J$43:$J$53,1),11))</f>
        <v>30.0</v>
      </c>
      <c r="L367" s="642">
        <f ca="1">MIN(ROUNDDOWN($M$5*VLOOKUP($L$5,Taxas!$V$22:$W$30,2)/J367*2,0)/2,K367)</f>
        <v>30.0</v>
      </c>
      <c r="M367" s="642">
        <f ca="1">MIN(ROUNDDOWN($M$6*VLOOKUP($L$6,Taxas!$V$22:$W$30,2)/J367*2,0)/2,K367)</f>
        <v>30.0</v>
      </c>
      <c r="N367" s="642">
        <f t="shared" si="65"/>
        <v>1000000000.0</v>
      </c>
      <c r="O367" s="642">
        <f t="shared" si="65"/>
        <v>1000000000.0</v>
      </c>
      <c r="P367" s="642">
        <f t="shared" si="65"/>
        <v>1000000000.0</v>
      </c>
      <c r="Q367" s="642">
        <f t="shared" si="65"/>
        <v>1000000000.0</v>
      </c>
      <c r="R367" s="642">
        <f t="shared" si="65"/>
        <v>1000000000.0</v>
      </c>
      <c r="S367" s="642">
        <f t="shared" si="65"/>
        <v>1000000000.0</v>
      </c>
      <c r="T367" s="642">
        <f t="shared" si="65"/>
        <v>1000000000.0</v>
      </c>
      <c r="U367" s="642">
        <f t="shared" si="65"/>
        <v>1000000000.0</v>
      </c>
      <c r="V367" s="642">
        <f t="shared" si="65"/>
        <v>1000000000.0</v>
      </c>
      <c r="W367" s="642">
        <f t="shared" si="65"/>
        <v>1000000000.0</v>
      </c>
      <c r="X367" s="642">
        <f t="shared" si="66"/>
        <v>1000000000.0</v>
      </c>
      <c r="Y367" s="642">
        <f t="shared" si="66"/>
        <v>1000000000.0</v>
      </c>
      <c r="Z367" s="642">
        <f t="shared" si="66"/>
        <v>1000000000.0</v>
      </c>
      <c r="AA367" s="642">
        <f t="shared" si="66"/>
        <v>1000000000.0</v>
      </c>
      <c r="AB367" s="642">
        <f t="shared" si="66"/>
        <v>1000000000.0</v>
      </c>
      <c r="AC367" s="642">
        <f t="shared" si="66"/>
        <v>1000000000.0</v>
      </c>
      <c r="AD367" s="642">
        <f t="shared" si="66"/>
        <v>1000000000.0</v>
      </c>
      <c r="AE367" s="642">
        <f t="shared" si="66"/>
        <v>1000000000.0</v>
      </c>
      <c r="AF367" s="642">
        <f t="shared" si="66"/>
        <v>1000000000.0</v>
      </c>
      <c r="AG367" s="642">
        <f t="shared" si="66"/>
        <v>1000000000.0</v>
      </c>
      <c r="AH367" s="642">
        <f t="shared" si="67"/>
        <v>1000000000.0</v>
      </c>
      <c r="AI367" s="642">
        <f t="shared" si="67"/>
        <v>1000000000.0</v>
      </c>
      <c r="AJ367" s="642">
        <f t="shared" si="67"/>
        <v>1000000000.0</v>
      </c>
      <c r="AK367" s="642">
        <f t="shared" si="67"/>
        <v>1000000000.0</v>
      </c>
      <c r="AL367" s="642">
        <f t="shared" si="67"/>
        <v>1000000000.0</v>
      </c>
      <c r="AM367" s="642">
        <f t="shared" si="67"/>
        <v>1000000000.0</v>
      </c>
      <c r="AN367" s="642">
        <f t="shared" si="67"/>
        <v>1000000000.0</v>
      </c>
      <c r="AO367" s="642">
        <f t="shared" si="67"/>
        <v>1000000000.0</v>
      </c>
      <c r="AP367" s="642">
        <f t="shared" si="67"/>
        <v>1000000000.0</v>
      </c>
      <c r="AQ367" s="642">
        <f t="shared" si="67"/>
        <v>1000000000.0</v>
      </c>
      <c r="AR367" s="642">
        <f t="shared" si="68"/>
        <v>1000000000.0</v>
      </c>
      <c r="AS367" s="642">
        <f t="shared" si="68"/>
        <v>1000000000.0</v>
      </c>
      <c r="AT367" s="642">
        <f t="shared" si="68"/>
        <v>1000000000.0</v>
      </c>
      <c r="AU367" s="642">
        <f t="shared" si="68"/>
        <v>1000000000.0</v>
      </c>
      <c r="AV367" s="642">
        <f t="shared" si="68"/>
        <v>1000000000.0</v>
      </c>
      <c r="AW367" s="642">
        <f t="shared" si="68"/>
        <v>1000000000.0</v>
      </c>
      <c r="AX367" s="642">
        <f t="shared" si="68"/>
        <v>1000000000.0</v>
      </c>
      <c r="AY367" s="642">
        <f t="shared" si="68"/>
        <v>1000000000.0</v>
      </c>
      <c r="AZ367" s="642">
        <f t="shared" si="68"/>
        <v>1000000000.0</v>
      </c>
      <c r="BA367" s="642">
        <f t="shared" si="68"/>
        <v>1000000000.0</v>
      </c>
      <c r="BB367" s="642">
        <f t="shared" si="69"/>
        <v>1000000000.0</v>
      </c>
      <c r="BC367" s="642">
        <f t="shared" si="69"/>
        <v>1000000000.0</v>
      </c>
      <c r="BD367" s="642">
        <f t="shared" si="69"/>
        <v>1000000000.0</v>
      </c>
      <c r="BE367" s="642">
        <f t="shared" si="69"/>
        <v>1000000000.0</v>
      </c>
      <c r="BF367" s="642">
        <f t="shared" si="69"/>
        <v>1000000000.0</v>
      </c>
      <c r="BG367" s="642">
        <f t="shared" si="69"/>
        <v>1000000000.0</v>
      </c>
      <c r="BH367" s="642">
        <f t="shared" si="69"/>
        <v>1000000000.0</v>
      </c>
      <c r="BI367" s="642">
        <f t="shared" si="69"/>
        <v>1000000000.0</v>
      </c>
      <c r="BJ367" s="642">
        <f t="shared" si="69"/>
        <v>1000000000.0</v>
      </c>
      <c r="BK367" s="642">
        <f t="shared" si="69"/>
        <v>1000000000.0</v>
      </c>
      <c r="BL367" s="642">
        <f t="shared" si="70"/>
        <v>1000000000.0</v>
      </c>
      <c r="BM367" s="642">
        <f t="shared" si="70"/>
        <v>1000000000.0</v>
      </c>
      <c r="BN367" s="642">
        <f t="shared" si="70"/>
        <v>1000000000.0</v>
      </c>
      <c r="BO367" s="642">
        <f t="shared" si="70"/>
        <v>1000000000.0</v>
      </c>
      <c r="BP367" s="642">
        <f t="shared" si="70"/>
        <v>1000000000.0</v>
      </c>
      <c r="BQ367" s="642">
        <f t="shared" si="70"/>
        <v>1000000000.0</v>
      </c>
      <c r="BR367" s="642">
        <f t="shared" si="70"/>
        <v>1000000000.0</v>
      </c>
      <c r="BS367" s="642">
        <f t="shared" si="70"/>
        <v>1000000000.0</v>
      </c>
      <c r="BT367" s="642">
        <f t="shared" si="70"/>
        <v>1000000000.0</v>
      </c>
      <c r="BU367" s="642">
        <f t="shared" si="70"/>
        <v>1000000000.0</v>
      </c>
      <c r="BV367" s="642">
        <f t="shared" si="71"/>
        <v>1000000000.0</v>
      </c>
      <c r="BW367" s="642">
        <f t="shared" si="71"/>
        <v>1000000000.0</v>
      </c>
      <c r="BX367" s="642">
        <f t="shared" si="71"/>
        <v>1000000000.0</v>
      </c>
      <c r="BY367" s="642">
        <f t="shared" si="71"/>
        <v>1000000000.0</v>
      </c>
      <c r="BZ367" s="642">
        <f t="shared" si="71"/>
        <v>1000000000.0</v>
      </c>
      <c r="CA367" s="642">
        <f t="shared" si="71"/>
        <v>1000000000.0</v>
      </c>
      <c r="CB367" s="642">
        <f t="shared" si="71"/>
        <v>1000000000.0</v>
      </c>
      <c r="CC367" s="642">
        <f t="shared" si="71"/>
        <v>1000000000.0</v>
      </c>
      <c r="CD367" s="642">
        <f t="shared" si="71"/>
        <v>1000000000.0</v>
      </c>
      <c r="CE367" s="642">
        <f t="shared" si="71"/>
        <v>1000000000.0</v>
      </c>
      <c r="CF367" s="642">
        <f t="shared" si="72"/>
        <v>1000000000.0</v>
      </c>
      <c r="CG367" s="642">
        <f t="shared" si="72"/>
        <v>1000000000.0</v>
      </c>
      <c r="CH367" s="642">
        <f t="shared" si="72"/>
        <v>1000000000.0</v>
      </c>
      <c r="CI367" s="642">
        <f t="shared" si="72"/>
        <v>1000000000.0</v>
      </c>
      <c r="CJ367" s="642">
        <f t="shared" si="72"/>
        <v>1000000000.0</v>
      </c>
      <c r="CK367" s="642">
        <f t="shared" si="72"/>
        <v>1000000000.0</v>
      </c>
      <c r="CL367" s="642">
        <f t="shared" si="72"/>
        <v>1000000000.0</v>
      </c>
      <c r="CM367" s="642">
        <f t="shared" si="72"/>
        <v>1000000000.0</v>
      </c>
      <c r="CN367" s="642">
        <f t="shared" ref="CN367:CN398" si="75">MIN(N367:CM367)</f>
        <v>1000000000.0</v>
      </c>
      <c r="CO367" s="642">
        <f>2*$AD$61*MAX(0,$J$58+I367-$J$64)+IF(L367&lt;$J$38,1000000,0)</f>
        <v>177.8613842352941</v>
      </c>
      <c r="CP367" s="642">
        <f>2*IF($J$175&gt;0,IF($J$392/MIN($J$175,K367)&gt;$M$5*VLOOKUP($L$5,Taxas!$V$22:$W$30,2)/L367,$J$391/MIN($J$175,K367),$J$389/L367),$J$389/L367)</f>
        <v>0.3828154026666668</v>
      </c>
    </row>
    <row r="368" spans="9:94" hidden="1" x14ac:dyDescent="0.25">
      <c r="I368" s="642">
        <f>MIN(5*66,$J$57/2)</f>
        <v>330.0</v>
      </c>
      <c r="J368" s="646">
        <f t="shared" ca="1" si="73"/>
        <v>0.048859517098708304</v>
      </c>
      <c r="K368" s="642">
        <f t="shared" ca="1" si="74"/>
        <v>30.0</v>
      </c>
      <c r="L368" s="642">
        <f ca="1">MIN(ROUNDDOWN($M$5*VLOOKUP($L$5,Taxas!$V$22:$W$30,2)/J368*2,0)/2,K368)</f>
        <v>30.0</v>
      </c>
      <c r="M368" s="642">
        <f ca="1">MIN(ROUNDDOWN($M$6*VLOOKUP($L$6,Taxas!$V$22:$W$30,2)/J368*2,0)/2,K368)</f>
        <v>30.0</v>
      </c>
      <c r="N368" s="642">
        <f t="shared" si="65"/>
        <v>1000000000.0</v>
      </c>
      <c r="O368" s="642">
        <f t="shared" si="65"/>
        <v>1000000000.0</v>
      </c>
      <c r="P368" s="642">
        <f t="shared" si="65"/>
        <v>1000000000.0</v>
      </c>
      <c r="Q368" s="642">
        <f t="shared" si="65"/>
        <v>1000000000.0</v>
      </c>
      <c r="R368" s="642">
        <f t="shared" si="65"/>
        <v>1000000000.0</v>
      </c>
      <c r="S368" s="642">
        <f t="shared" si="65"/>
        <v>1000000000.0</v>
      </c>
      <c r="T368" s="642">
        <f t="shared" si="65"/>
        <v>1000000000.0</v>
      </c>
      <c r="U368" s="642">
        <f t="shared" si="65"/>
        <v>1000000000.0</v>
      </c>
      <c r="V368" s="642">
        <f t="shared" si="65"/>
        <v>1000000000.0</v>
      </c>
      <c r="W368" s="642">
        <f t="shared" si="65"/>
        <v>1000000000.0</v>
      </c>
      <c r="X368" s="642">
        <f t="shared" si="66"/>
        <v>1000000000.0</v>
      </c>
      <c r="Y368" s="642">
        <f t="shared" si="66"/>
        <v>1000000000.0</v>
      </c>
      <c r="Z368" s="642">
        <f t="shared" si="66"/>
        <v>1000000000.0</v>
      </c>
      <c r="AA368" s="642">
        <f t="shared" si="66"/>
        <v>1000000000.0</v>
      </c>
      <c r="AB368" s="642">
        <f t="shared" si="66"/>
        <v>1000000000.0</v>
      </c>
      <c r="AC368" s="642">
        <f t="shared" si="66"/>
        <v>1000000000.0</v>
      </c>
      <c r="AD368" s="642">
        <f t="shared" si="66"/>
        <v>1000000000.0</v>
      </c>
      <c r="AE368" s="642">
        <f t="shared" si="66"/>
        <v>1000000000.0</v>
      </c>
      <c r="AF368" s="642">
        <f t="shared" si="66"/>
        <v>1000000000.0</v>
      </c>
      <c r="AG368" s="642">
        <f t="shared" si="66"/>
        <v>1000000000.0</v>
      </c>
      <c r="AH368" s="642">
        <f t="shared" si="67"/>
        <v>1000000000.0</v>
      </c>
      <c r="AI368" s="642">
        <f t="shared" si="67"/>
        <v>1000000000.0</v>
      </c>
      <c r="AJ368" s="642">
        <f t="shared" si="67"/>
        <v>1000000000.0</v>
      </c>
      <c r="AK368" s="642">
        <f t="shared" si="67"/>
        <v>1000000000.0</v>
      </c>
      <c r="AL368" s="642">
        <f t="shared" si="67"/>
        <v>1000000000.0</v>
      </c>
      <c r="AM368" s="642">
        <f t="shared" si="67"/>
        <v>1000000000.0</v>
      </c>
      <c r="AN368" s="642">
        <f t="shared" si="67"/>
        <v>1000000000.0</v>
      </c>
      <c r="AO368" s="642">
        <f t="shared" si="67"/>
        <v>1000000000.0</v>
      </c>
      <c r="AP368" s="642">
        <f t="shared" si="67"/>
        <v>1000000000.0</v>
      </c>
      <c r="AQ368" s="642">
        <f t="shared" si="67"/>
        <v>1000000000.0</v>
      </c>
      <c r="AR368" s="642">
        <f t="shared" si="68"/>
        <v>1000000000.0</v>
      </c>
      <c r="AS368" s="642">
        <f t="shared" si="68"/>
        <v>1000000000.0</v>
      </c>
      <c r="AT368" s="642">
        <f t="shared" si="68"/>
        <v>1000000000.0</v>
      </c>
      <c r="AU368" s="642">
        <f t="shared" si="68"/>
        <v>1000000000.0</v>
      </c>
      <c r="AV368" s="642">
        <f t="shared" si="68"/>
        <v>1000000000.0</v>
      </c>
      <c r="AW368" s="642">
        <f t="shared" si="68"/>
        <v>1000000000.0</v>
      </c>
      <c r="AX368" s="642">
        <f t="shared" si="68"/>
        <v>1000000000.0</v>
      </c>
      <c r="AY368" s="642">
        <f t="shared" si="68"/>
        <v>1000000000.0</v>
      </c>
      <c r="AZ368" s="642">
        <f t="shared" si="68"/>
        <v>1000000000.0</v>
      </c>
      <c r="BA368" s="642">
        <f t="shared" si="68"/>
        <v>1000000000.0</v>
      </c>
      <c r="BB368" s="642">
        <f t="shared" si="69"/>
        <v>1000000000.0</v>
      </c>
      <c r="BC368" s="642">
        <f t="shared" si="69"/>
        <v>1000000000.0</v>
      </c>
      <c r="BD368" s="642">
        <f t="shared" si="69"/>
        <v>1000000000.0</v>
      </c>
      <c r="BE368" s="642">
        <f t="shared" si="69"/>
        <v>1000000000.0</v>
      </c>
      <c r="BF368" s="642">
        <f t="shared" si="69"/>
        <v>1000000000.0</v>
      </c>
      <c r="BG368" s="642">
        <f t="shared" si="69"/>
        <v>1000000000.0</v>
      </c>
      <c r="BH368" s="642">
        <f t="shared" si="69"/>
        <v>1000000000.0</v>
      </c>
      <c r="BI368" s="642">
        <f t="shared" si="69"/>
        <v>1000000000.0</v>
      </c>
      <c r="BJ368" s="642">
        <f t="shared" si="69"/>
        <v>1000000000.0</v>
      </c>
      <c r="BK368" s="642">
        <f t="shared" si="69"/>
        <v>1000000000.0</v>
      </c>
      <c r="BL368" s="642">
        <f t="shared" si="70"/>
        <v>1000000000.0</v>
      </c>
      <c r="BM368" s="642">
        <f t="shared" si="70"/>
        <v>1000000000.0</v>
      </c>
      <c r="BN368" s="642">
        <f t="shared" si="70"/>
        <v>1000000000.0</v>
      </c>
      <c r="BO368" s="642">
        <f t="shared" si="70"/>
        <v>1000000000.0</v>
      </c>
      <c r="BP368" s="642">
        <f t="shared" si="70"/>
        <v>1000000000.0</v>
      </c>
      <c r="BQ368" s="642">
        <f t="shared" si="70"/>
        <v>1000000000.0</v>
      </c>
      <c r="BR368" s="642">
        <f t="shared" si="70"/>
        <v>1000000000.0</v>
      </c>
      <c r="BS368" s="642">
        <f t="shared" si="70"/>
        <v>1000000000.0</v>
      </c>
      <c r="BT368" s="642">
        <f t="shared" si="70"/>
        <v>1000000000.0</v>
      </c>
      <c r="BU368" s="642">
        <f t="shared" si="70"/>
        <v>1000000000.0</v>
      </c>
      <c r="BV368" s="642">
        <f t="shared" si="71"/>
        <v>1000000000.0</v>
      </c>
      <c r="BW368" s="642">
        <f t="shared" si="71"/>
        <v>1000000000.0</v>
      </c>
      <c r="BX368" s="642">
        <f t="shared" si="71"/>
        <v>1000000000.0</v>
      </c>
      <c r="BY368" s="642">
        <f t="shared" si="71"/>
        <v>1000000000.0</v>
      </c>
      <c r="BZ368" s="642">
        <f t="shared" si="71"/>
        <v>1000000000.0</v>
      </c>
      <c r="CA368" s="642">
        <f t="shared" si="71"/>
        <v>1000000000.0</v>
      </c>
      <c r="CB368" s="642">
        <f t="shared" si="71"/>
        <v>1000000000.0</v>
      </c>
      <c r="CC368" s="642">
        <f t="shared" si="71"/>
        <v>1000000000.0</v>
      </c>
      <c r="CD368" s="642">
        <f t="shared" si="71"/>
        <v>1000000000.0</v>
      </c>
      <c r="CE368" s="642">
        <f t="shared" si="71"/>
        <v>1000000000.0</v>
      </c>
      <c r="CF368" s="642">
        <f t="shared" si="72"/>
        <v>1000000000.0</v>
      </c>
      <c r="CG368" s="642">
        <f t="shared" si="72"/>
        <v>1000000000.0</v>
      </c>
      <c r="CH368" s="642">
        <f t="shared" si="72"/>
        <v>1000000000.0</v>
      </c>
      <c r="CI368" s="642">
        <f t="shared" si="72"/>
        <v>1000000000.0</v>
      </c>
      <c r="CJ368" s="642">
        <f t="shared" si="72"/>
        <v>1000000000.0</v>
      </c>
      <c r="CK368" s="642">
        <f t="shared" si="72"/>
        <v>1000000000.0</v>
      </c>
      <c r="CL368" s="642">
        <f t="shared" si="72"/>
        <v>1000000000.0</v>
      </c>
      <c r="CM368" s="642">
        <f t="shared" si="72"/>
        <v>1000000000.0</v>
      </c>
      <c r="CN368" s="642">
        <f t="shared" si="75"/>
        <v>1000000000.0</v>
      </c>
      <c r="CO368" s="642">
        <f>2*$AD$61*MAX(0,$J$58+I368-$J$64)+IF(L368&lt;$J$38,1000000,0)</f>
        <v>180.50027717647058</v>
      </c>
      <c r="CP368" s="642">
        <f>2*IF($J$175&gt;0,IF($J$392/MIN($J$175,K368)&gt;$M$5*VLOOKUP($L$5,Taxas!$V$22:$W$30,2)/L368,$J$391/MIN($J$175,K368),$J$389/L368),$J$389/L368)</f>
        <v>0.3828154026666668</v>
      </c>
    </row>
    <row r="369" spans="9:94" hidden="1" x14ac:dyDescent="0.25">
      <c r="I369" s="642">
        <f>MIN(5*67,$J$57/2)</f>
        <v>335.0</v>
      </c>
      <c r="J369" s="646">
        <f t="shared" ca="1" si="73"/>
        <v>0.048859517098708304</v>
      </c>
      <c r="K369" s="642">
        <f t="shared" ca="1" si="74"/>
        <v>30.0</v>
      </c>
      <c r="L369" s="642">
        <f ca="1">MIN(ROUNDDOWN($M$5*VLOOKUP($L$5,Taxas!$V$22:$W$30,2)/J369*2,0)/2,K369)</f>
        <v>30.0</v>
      </c>
      <c r="M369" s="642">
        <f ca="1">MIN(ROUNDDOWN($M$6*VLOOKUP($L$6,Taxas!$V$22:$W$30,2)/J369*2,0)/2,K369)</f>
        <v>30.0</v>
      </c>
      <c r="N369" s="642">
        <f t="shared" si="65"/>
        <v>1000000000.0</v>
      </c>
      <c r="O369" s="642">
        <f t="shared" si="65"/>
        <v>1000000000.0</v>
      </c>
      <c r="P369" s="642">
        <f t="shared" si="65"/>
        <v>1000000000.0</v>
      </c>
      <c r="Q369" s="642">
        <f t="shared" si="65"/>
        <v>1000000000.0</v>
      </c>
      <c r="R369" s="642">
        <f t="shared" si="65"/>
        <v>1000000000.0</v>
      </c>
      <c r="S369" s="642">
        <f t="shared" si="65"/>
        <v>1000000000.0</v>
      </c>
      <c r="T369" s="642">
        <f t="shared" si="65"/>
        <v>1000000000.0</v>
      </c>
      <c r="U369" s="642">
        <f t="shared" si="65"/>
        <v>1000000000.0</v>
      </c>
      <c r="V369" s="642">
        <f t="shared" si="65"/>
        <v>1000000000.0</v>
      </c>
      <c r="W369" s="642">
        <f t="shared" si="65"/>
        <v>1000000000.0</v>
      </c>
      <c r="X369" s="642">
        <f t="shared" si="66"/>
        <v>1000000000.0</v>
      </c>
      <c r="Y369" s="642">
        <f t="shared" si="66"/>
        <v>1000000000.0</v>
      </c>
      <c r="Z369" s="642">
        <f t="shared" si="66"/>
        <v>1000000000.0</v>
      </c>
      <c r="AA369" s="642">
        <f t="shared" si="66"/>
        <v>1000000000.0</v>
      </c>
      <c r="AB369" s="642">
        <f t="shared" si="66"/>
        <v>1000000000.0</v>
      </c>
      <c r="AC369" s="642">
        <f t="shared" si="66"/>
        <v>1000000000.0</v>
      </c>
      <c r="AD369" s="642">
        <f t="shared" si="66"/>
        <v>1000000000.0</v>
      </c>
      <c r="AE369" s="642">
        <f t="shared" si="66"/>
        <v>1000000000.0</v>
      </c>
      <c r="AF369" s="642">
        <f t="shared" si="66"/>
        <v>1000000000.0</v>
      </c>
      <c r="AG369" s="642">
        <f t="shared" si="66"/>
        <v>1000000000.0</v>
      </c>
      <c r="AH369" s="642">
        <f t="shared" si="67"/>
        <v>1000000000.0</v>
      </c>
      <c r="AI369" s="642">
        <f t="shared" si="67"/>
        <v>1000000000.0</v>
      </c>
      <c r="AJ369" s="642">
        <f t="shared" si="67"/>
        <v>1000000000.0</v>
      </c>
      <c r="AK369" s="642">
        <f t="shared" si="67"/>
        <v>1000000000.0</v>
      </c>
      <c r="AL369" s="642">
        <f t="shared" si="67"/>
        <v>1000000000.0</v>
      </c>
      <c r="AM369" s="642">
        <f t="shared" si="67"/>
        <v>1000000000.0</v>
      </c>
      <c r="AN369" s="642">
        <f t="shared" si="67"/>
        <v>1000000000.0</v>
      </c>
      <c r="AO369" s="642">
        <f t="shared" si="67"/>
        <v>1000000000.0</v>
      </c>
      <c r="AP369" s="642">
        <f t="shared" si="67"/>
        <v>1000000000.0</v>
      </c>
      <c r="AQ369" s="642">
        <f t="shared" si="67"/>
        <v>1000000000.0</v>
      </c>
      <c r="AR369" s="642">
        <f t="shared" si="68"/>
        <v>1000000000.0</v>
      </c>
      <c r="AS369" s="642">
        <f t="shared" si="68"/>
        <v>1000000000.0</v>
      </c>
      <c r="AT369" s="642">
        <f t="shared" si="68"/>
        <v>1000000000.0</v>
      </c>
      <c r="AU369" s="642">
        <f t="shared" si="68"/>
        <v>1000000000.0</v>
      </c>
      <c r="AV369" s="642">
        <f t="shared" si="68"/>
        <v>1000000000.0</v>
      </c>
      <c r="AW369" s="642">
        <f t="shared" si="68"/>
        <v>1000000000.0</v>
      </c>
      <c r="AX369" s="642">
        <f t="shared" si="68"/>
        <v>1000000000.0</v>
      </c>
      <c r="AY369" s="642">
        <f t="shared" si="68"/>
        <v>1000000000.0</v>
      </c>
      <c r="AZ369" s="642">
        <f t="shared" si="68"/>
        <v>1000000000.0</v>
      </c>
      <c r="BA369" s="642">
        <f t="shared" si="68"/>
        <v>1000000000.0</v>
      </c>
      <c r="BB369" s="642">
        <f t="shared" si="69"/>
        <v>1000000000.0</v>
      </c>
      <c r="BC369" s="642">
        <f t="shared" si="69"/>
        <v>1000000000.0</v>
      </c>
      <c r="BD369" s="642">
        <f t="shared" si="69"/>
        <v>1000000000.0</v>
      </c>
      <c r="BE369" s="642">
        <f t="shared" si="69"/>
        <v>1000000000.0</v>
      </c>
      <c r="BF369" s="642">
        <f t="shared" si="69"/>
        <v>1000000000.0</v>
      </c>
      <c r="BG369" s="642">
        <f t="shared" si="69"/>
        <v>1000000000.0</v>
      </c>
      <c r="BH369" s="642">
        <f t="shared" si="69"/>
        <v>1000000000.0</v>
      </c>
      <c r="BI369" s="642">
        <f t="shared" si="69"/>
        <v>1000000000.0</v>
      </c>
      <c r="BJ369" s="642">
        <f t="shared" si="69"/>
        <v>1000000000.0</v>
      </c>
      <c r="BK369" s="642">
        <f t="shared" si="69"/>
        <v>1000000000.0</v>
      </c>
      <c r="BL369" s="642">
        <f t="shared" si="70"/>
        <v>1000000000.0</v>
      </c>
      <c r="BM369" s="642">
        <f t="shared" si="70"/>
        <v>1000000000.0</v>
      </c>
      <c r="BN369" s="642">
        <f t="shared" si="70"/>
        <v>1000000000.0</v>
      </c>
      <c r="BO369" s="642">
        <f t="shared" si="70"/>
        <v>1000000000.0</v>
      </c>
      <c r="BP369" s="642">
        <f t="shared" si="70"/>
        <v>1000000000.0</v>
      </c>
      <c r="BQ369" s="642">
        <f t="shared" si="70"/>
        <v>1000000000.0</v>
      </c>
      <c r="BR369" s="642">
        <f t="shared" si="70"/>
        <v>1000000000.0</v>
      </c>
      <c r="BS369" s="642">
        <f t="shared" si="70"/>
        <v>1000000000.0</v>
      </c>
      <c r="BT369" s="642">
        <f t="shared" si="70"/>
        <v>1000000000.0</v>
      </c>
      <c r="BU369" s="642">
        <f t="shared" si="70"/>
        <v>1000000000.0</v>
      </c>
      <c r="BV369" s="642">
        <f t="shared" si="71"/>
        <v>1000000000.0</v>
      </c>
      <c r="BW369" s="642">
        <f t="shared" si="71"/>
        <v>1000000000.0</v>
      </c>
      <c r="BX369" s="642">
        <f t="shared" si="71"/>
        <v>1000000000.0</v>
      </c>
      <c r="BY369" s="642">
        <f t="shared" si="71"/>
        <v>1000000000.0</v>
      </c>
      <c r="BZ369" s="642">
        <f t="shared" si="71"/>
        <v>1000000000.0</v>
      </c>
      <c r="CA369" s="642">
        <f t="shared" si="71"/>
        <v>1000000000.0</v>
      </c>
      <c r="CB369" s="642">
        <f t="shared" si="71"/>
        <v>1000000000.0</v>
      </c>
      <c r="CC369" s="642">
        <f t="shared" si="71"/>
        <v>1000000000.0</v>
      </c>
      <c r="CD369" s="642">
        <f t="shared" si="71"/>
        <v>1000000000.0</v>
      </c>
      <c r="CE369" s="642">
        <f t="shared" si="71"/>
        <v>1000000000.0</v>
      </c>
      <c r="CF369" s="642">
        <f t="shared" si="72"/>
        <v>1000000000.0</v>
      </c>
      <c r="CG369" s="642">
        <f t="shared" si="72"/>
        <v>1000000000.0</v>
      </c>
      <c r="CH369" s="642">
        <f t="shared" si="72"/>
        <v>1000000000.0</v>
      </c>
      <c r="CI369" s="642">
        <f t="shared" si="72"/>
        <v>1000000000.0</v>
      </c>
      <c r="CJ369" s="642">
        <f t="shared" si="72"/>
        <v>1000000000.0</v>
      </c>
      <c r="CK369" s="642">
        <f t="shared" si="72"/>
        <v>1000000000.0</v>
      </c>
      <c r="CL369" s="642">
        <f t="shared" si="72"/>
        <v>1000000000.0</v>
      </c>
      <c r="CM369" s="642">
        <f t="shared" si="72"/>
        <v>1000000000.0</v>
      </c>
      <c r="CN369" s="642">
        <f t="shared" si="75"/>
        <v>1000000000.0</v>
      </c>
      <c r="CO369" s="642">
        <f>2*$AD$61*MAX(0,$J$58+I369-$J$64)+IF(L369&lt;$J$38,1000000,0)</f>
        <v>183.13917011764707</v>
      </c>
      <c r="CP369" s="642">
        <f>2*IF($J$175&gt;0,IF($J$392/MIN($J$175,K369)&gt;$M$5*VLOOKUP($L$5,Taxas!$V$22:$W$30,2)/L369,$J$391/MIN($J$175,K369),$J$389/L369),$J$389/L369)</f>
        <v>0.3828154026666668</v>
      </c>
    </row>
    <row r="370" spans="9:94" hidden="1" x14ac:dyDescent="0.25">
      <c r="I370" s="642">
        <f>MIN(5*68,$J$57/2)</f>
        <v>340.0</v>
      </c>
      <c r="J370" s="646">
        <f t="shared" ca="1" si="73"/>
        <v>0.048859517098708304</v>
      </c>
      <c r="K370" s="642">
        <f t="shared" ca="1" si="74"/>
        <v>30.0</v>
      </c>
      <c r="L370" s="642">
        <f ca="1">MIN(ROUNDDOWN($M$5*VLOOKUP($L$5,Taxas!$V$22:$W$30,2)/J370*2,0)/2,K370)</f>
        <v>30.0</v>
      </c>
      <c r="M370" s="642">
        <f ca="1">MIN(ROUNDDOWN($M$6*VLOOKUP($L$6,Taxas!$V$22:$W$30,2)/J370*2,0)/2,K370)</f>
        <v>30.0</v>
      </c>
      <c r="N370" s="642">
        <f t="shared" si="65"/>
        <v>1000000000.0</v>
      </c>
      <c r="O370" s="642">
        <f t="shared" si="65"/>
        <v>1000000000.0</v>
      </c>
      <c r="P370" s="642">
        <f t="shared" si="65"/>
        <v>1000000000.0</v>
      </c>
      <c r="Q370" s="642">
        <f t="shared" si="65"/>
        <v>1000000000.0</v>
      </c>
      <c r="R370" s="642">
        <f t="shared" si="65"/>
        <v>1000000000.0</v>
      </c>
      <c r="S370" s="642">
        <f t="shared" si="65"/>
        <v>1000000000.0</v>
      </c>
      <c r="T370" s="642">
        <f t="shared" si="65"/>
        <v>1000000000.0</v>
      </c>
      <c r="U370" s="642">
        <f t="shared" si="65"/>
        <v>1000000000.0</v>
      </c>
      <c r="V370" s="642">
        <f t="shared" si="65"/>
        <v>1000000000.0</v>
      </c>
      <c r="W370" s="642">
        <f t="shared" si="65"/>
        <v>1000000000.0</v>
      </c>
      <c r="X370" s="642">
        <f t="shared" si="66"/>
        <v>1000000000.0</v>
      </c>
      <c r="Y370" s="642">
        <f t="shared" si="66"/>
        <v>1000000000.0</v>
      </c>
      <c r="Z370" s="642">
        <f t="shared" si="66"/>
        <v>1000000000.0</v>
      </c>
      <c r="AA370" s="642">
        <f t="shared" si="66"/>
        <v>1000000000.0</v>
      </c>
      <c r="AB370" s="642">
        <f t="shared" si="66"/>
        <v>1000000000.0</v>
      </c>
      <c r="AC370" s="642">
        <f t="shared" si="66"/>
        <v>1000000000.0</v>
      </c>
      <c r="AD370" s="642">
        <f t="shared" si="66"/>
        <v>1000000000.0</v>
      </c>
      <c r="AE370" s="642">
        <f t="shared" si="66"/>
        <v>1000000000.0</v>
      </c>
      <c r="AF370" s="642">
        <f t="shared" si="66"/>
        <v>1000000000.0</v>
      </c>
      <c r="AG370" s="642">
        <f t="shared" si="66"/>
        <v>1000000000.0</v>
      </c>
      <c r="AH370" s="642">
        <f t="shared" si="67"/>
        <v>1000000000.0</v>
      </c>
      <c r="AI370" s="642">
        <f t="shared" si="67"/>
        <v>1000000000.0</v>
      </c>
      <c r="AJ370" s="642">
        <f t="shared" si="67"/>
        <v>1000000000.0</v>
      </c>
      <c r="AK370" s="642">
        <f t="shared" si="67"/>
        <v>1000000000.0</v>
      </c>
      <c r="AL370" s="642">
        <f t="shared" si="67"/>
        <v>1000000000.0</v>
      </c>
      <c r="AM370" s="642">
        <f t="shared" si="67"/>
        <v>1000000000.0</v>
      </c>
      <c r="AN370" s="642">
        <f t="shared" si="67"/>
        <v>1000000000.0</v>
      </c>
      <c r="AO370" s="642">
        <f t="shared" si="67"/>
        <v>1000000000.0</v>
      </c>
      <c r="AP370" s="642">
        <f t="shared" si="67"/>
        <v>1000000000.0</v>
      </c>
      <c r="AQ370" s="642">
        <f t="shared" si="67"/>
        <v>1000000000.0</v>
      </c>
      <c r="AR370" s="642">
        <f t="shared" si="68"/>
        <v>1000000000.0</v>
      </c>
      <c r="AS370" s="642">
        <f t="shared" si="68"/>
        <v>1000000000.0</v>
      </c>
      <c r="AT370" s="642">
        <f t="shared" si="68"/>
        <v>1000000000.0</v>
      </c>
      <c r="AU370" s="642">
        <f t="shared" si="68"/>
        <v>1000000000.0</v>
      </c>
      <c r="AV370" s="642">
        <f t="shared" si="68"/>
        <v>1000000000.0</v>
      </c>
      <c r="AW370" s="642">
        <f t="shared" si="68"/>
        <v>1000000000.0</v>
      </c>
      <c r="AX370" s="642">
        <f t="shared" si="68"/>
        <v>1000000000.0</v>
      </c>
      <c r="AY370" s="642">
        <f t="shared" si="68"/>
        <v>1000000000.0</v>
      </c>
      <c r="AZ370" s="642">
        <f t="shared" si="68"/>
        <v>1000000000.0</v>
      </c>
      <c r="BA370" s="642">
        <f t="shared" si="68"/>
        <v>1000000000.0</v>
      </c>
      <c r="BB370" s="642">
        <f t="shared" si="69"/>
        <v>1000000000.0</v>
      </c>
      <c r="BC370" s="642">
        <f t="shared" si="69"/>
        <v>1000000000.0</v>
      </c>
      <c r="BD370" s="642">
        <f t="shared" si="69"/>
        <v>1000000000.0</v>
      </c>
      <c r="BE370" s="642">
        <f t="shared" si="69"/>
        <v>1000000000.0</v>
      </c>
      <c r="BF370" s="642">
        <f t="shared" si="69"/>
        <v>1000000000.0</v>
      </c>
      <c r="BG370" s="642">
        <f t="shared" si="69"/>
        <v>1000000000.0</v>
      </c>
      <c r="BH370" s="642">
        <f t="shared" si="69"/>
        <v>1000000000.0</v>
      </c>
      <c r="BI370" s="642">
        <f t="shared" si="69"/>
        <v>1000000000.0</v>
      </c>
      <c r="BJ370" s="642">
        <f t="shared" si="69"/>
        <v>1000000000.0</v>
      </c>
      <c r="BK370" s="642">
        <f t="shared" si="69"/>
        <v>1000000000.0</v>
      </c>
      <c r="BL370" s="642">
        <f t="shared" si="70"/>
        <v>1000000000.0</v>
      </c>
      <c r="BM370" s="642">
        <f t="shared" si="70"/>
        <v>1000000000.0</v>
      </c>
      <c r="BN370" s="642">
        <f t="shared" si="70"/>
        <v>1000000000.0</v>
      </c>
      <c r="BO370" s="642">
        <f t="shared" si="70"/>
        <v>1000000000.0</v>
      </c>
      <c r="BP370" s="642">
        <f t="shared" si="70"/>
        <v>1000000000.0</v>
      </c>
      <c r="BQ370" s="642">
        <f t="shared" si="70"/>
        <v>1000000000.0</v>
      </c>
      <c r="BR370" s="642">
        <f t="shared" si="70"/>
        <v>1000000000.0</v>
      </c>
      <c r="BS370" s="642">
        <f t="shared" si="70"/>
        <v>1000000000.0</v>
      </c>
      <c r="BT370" s="642">
        <f t="shared" si="70"/>
        <v>1000000000.0</v>
      </c>
      <c r="BU370" s="642">
        <f t="shared" si="70"/>
        <v>1000000000.0</v>
      </c>
      <c r="BV370" s="642">
        <f t="shared" si="71"/>
        <v>1000000000.0</v>
      </c>
      <c r="BW370" s="642">
        <f t="shared" si="71"/>
        <v>1000000000.0</v>
      </c>
      <c r="BX370" s="642">
        <f t="shared" si="71"/>
        <v>1000000000.0</v>
      </c>
      <c r="BY370" s="642">
        <f t="shared" si="71"/>
        <v>1000000000.0</v>
      </c>
      <c r="BZ370" s="642">
        <f t="shared" si="71"/>
        <v>1000000000.0</v>
      </c>
      <c r="CA370" s="642">
        <f t="shared" si="71"/>
        <v>1000000000.0</v>
      </c>
      <c r="CB370" s="642">
        <f t="shared" si="71"/>
        <v>1000000000.0</v>
      </c>
      <c r="CC370" s="642">
        <f t="shared" si="71"/>
        <v>1000000000.0</v>
      </c>
      <c r="CD370" s="642">
        <f t="shared" si="71"/>
        <v>1000000000.0</v>
      </c>
      <c r="CE370" s="642">
        <f t="shared" si="71"/>
        <v>1000000000.0</v>
      </c>
      <c r="CF370" s="642">
        <f t="shared" si="72"/>
        <v>1000000000.0</v>
      </c>
      <c r="CG370" s="642">
        <f t="shared" si="72"/>
        <v>1000000000.0</v>
      </c>
      <c r="CH370" s="642">
        <f t="shared" si="72"/>
        <v>1000000000.0</v>
      </c>
      <c r="CI370" s="642">
        <f t="shared" si="72"/>
        <v>1000000000.0</v>
      </c>
      <c r="CJ370" s="642">
        <f t="shared" si="72"/>
        <v>1000000000.0</v>
      </c>
      <c r="CK370" s="642">
        <f t="shared" si="72"/>
        <v>1000000000.0</v>
      </c>
      <c r="CL370" s="642">
        <f t="shared" si="72"/>
        <v>1000000000.0</v>
      </c>
      <c r="CM370" s="642">
        <f t="shared" si="72"/>
        <v>1000000000.0</v>
      </c>
      <c r="CN370" s="642">
        <f t="shared" si="75"/>
        <v>1000000000.0</v>
      </c>
      <c r="CO370" s="642">
        <f>2*$AD$61*MAX(0,$J$58+I370-$J$64)+IF(L370&lt;$J$38,1000000,0)</f>
        <v>185.77806305882353</v>
      </c>
      <c r="CP370" s="642">
        <f>2*IF($J$175&gt;0,IF($J$392/MIN($J$175,K370)&gt;$M$5*VLOOKUP($L$5,Taxas!$V$22:$W$30,2)/L370,$J$391/MIN($J$175,K370),$J$389/L370),$J$389/L370)</f>
        <v>0.3828154026666668</v>
      </c>
    </row>
    <row r="371" spans="9:94" hidden="1" x14ac:dyDescent="0.25">
      <c r="I371" s="642">
        <f>MIN(5*69,$J$57/2)</f>
        <v>345.0</v>
      </c>
      <c r="J371" s="646">
        <f t="shared" ca="1" si="73"/>
        <v>0.048859517098708304</v>
      </c>
      <c r="K371" s="642">
        <f t="shared" ca="1" si="74"/>
        <v>30.0</v>
      </c>
      <c r="L371" s="642">
        <f ca="1">MIN(ROUNDDOWN($M$5*VLOOKUP($L$5,Taxas!$V$22:$W$30,2)/J371*2,0)/2,K371)</f>
        <v>30.0</v>
      </c>
      <c r="M371" s="642">
        <f ca="1">MIN(ROUNDDOWN($M$6*VLOOKUP($L$6,Taxas!$V$22:$W$30,2)/J371*2,0)/2,K371)</f>
        <v>30.0</v>
      </c>
      <c r="N371" s="642">
        <f t="shared" si="65"/>
        <v>1000000000.0</v>
      </c>
      <c r="O371" s="642">
        <f t="shared" si="65"/>
        <v>1000000000.0</v>
      </c>
      <c r="P371" s="642">
        <f t="shared" si="65"/>
        <v>1000000000.0</v>
      </c>
      <c r="Q371" s="642">
        <f t="shared" si="65"/>
        <v>1000000000.0</v>
      </c>
      <c r="R371" s="642">
        <f t="shared" si="65"/>
        <v>1000000000.0</v>
      </c>
      <c r="S371" s="642">
        <f t="shared" si="65"/>
        <v>1000000000.0</v>
      </c>
      <c r="T371" s="642">
        <f t="shared" si="65"/>
        <v>1000000000.0</v>
      </c>
      <c r="U371" s="642">
        <f t="shared" si="65"/>
        <v>1000000000.0</v>
      </c>
      <c r="V371" s="642">
        <f t="shared" si="65"/>
        <v>1000000000.0</v>
      </c>
      <c r="W371" s="642">
        <f t="shared" si="65"/>
        <v>1000000000.0</v>
      </c>
      <c r="X371" s="642">
        <f t="shared" si="66"/>
        <v>1000000000.0</v>
      </c>
      <c r="Y371" s="642">
        <f t="shared" si="66"/>
        <v>1000000000.0</v>
      </c>
      <c r="Z371" s="642">
        <f t="shared" si="66"/>
        <v>1000000000.0</v>
      </c>
      <c r="AA371" s="642">
        <f t="shared" si="66"/>
        <v>1000000000.0</v>
      </c>
      <c r="AB371" s="642">
        <f t="shared" si="66"/>
        <v>1000000000.0</v>
      </c>
      <c r="AC371" s="642">
        <f t="shared" si="66"/>
        <v>1000000000.0</v>
      </c>
      <c r="AD371" s="642">
        <f t="shared" si="66"/>
        <v>1000000000.0</v>
      </c>
      <c r="AE371" s="642">
        <f t="shared" si="66"/>
        <v>1000000000.0</v>
      </c>
      <c r="AF371" s="642">
        <f t="shared" si="66"/>
        <v>1000000000.0</v>
      </c>
      <c r="AG371" s="642">
        <f t="shared" si="66"/>
        <v>1000000000.0</v>
      </c>
      <c r="AH371" s="642">
        <f t="shared" si="67"/>
        <v>1000000000.0</v>
      </c>
      <c r="AI371" s="642">
        <f t="shared" si="67"/>
        <v>1000000000.0</v>
      </c>
      <c r="AJ371" s="642">
        <f t="shared" si="67"/>
        <v>1000000000.0</v>
      </c>
      <c r="AK371" s="642">
        <f t="shared" si="67"/>
        <v>1000000000.0</v>
      </c>
      <c r="AL371" s="642">
        <f t="shared" si="67"/>
        <v>1000000000.0</v>
      </c>
      <c r="AM371" s="642">
        <f t="shared" si="67"/>
        <v>1000000000.0</v>
      </c>
      <c r="AN371" s="642">
        <f t="shared" si="67"/>
        <v>1000000000.0</v>
      </c>
      <c r="AO371" s="642">
        <f t="shared" si="67"/>
        <v>1000000000.0</v>
      </c>
      <c r="AP371" s="642">
        <f t="shared" si="67"/>
        <v>1000000000.0</v>
      </c>
      <c r="AQ371" s="642">
        <f t="shared" si="67"/>
        <v>1000000000.0</v>
      </c>
      <c r="AR371" s="642">
        <f t="shared" si="68"/>
        <v>1000000000.0</v>
      </c>
      <c r="AS371" s="642">
        <f t="shared" si="68"/>
        <v>1000000000.0</v>
      </c>
      <c r="AT371" s="642">
        <f t="shared" si="68"/>
        <v>1000000000.0</v>
      </c>
      <c r="AU371" s="642">
        <f t="shared" si="68"/>
        <v>1000000000.0</v>
      </c>
      <c r="AV371" s="642">
        <f t="shared" si="68"/>
        <v>1000000000.0</v>
      </c>
      <c r="AW371" s="642">
        <f t="shared" si="68"/>
        <v>1000000000.0</v>
      </c>
      <c r="AX371" s="642">
        <f t="shared" si="68"/>
        <v>1000000000.0</v>
      </c>
      <c r="AY371" s="642">
        <f t="shared" si="68"/>
        <v>1000000000.0</v>
      </c>
      <c r="AZ371" s="642">
        <f t="shared" si="68"/>
        <v>1000000000.0</v>
      </c>
      <c r="BA371" s="642">
        <f t="shared" si="68"/>
        <v>1000000000.0</v>
      </c>
      <c r="BB371" s="642">
        <f t="shared" si="69"/>
        <v>1000000000.0</v>
      </c>
      <c r="BC371" s="642">
        <f t="shared" si="69"/>
        <v>1000000000.0</v>
      </c>
      <c r="BD371" s="642">
        <f t="shared" si="69"/>
        <v>1000000000.0</v>
      </c>
      <c r="BE371" s="642">
        <f t="shared" si="69"/>
        <v>1000000000.0</v>
      </c>
      <c r="BF371" s="642">
        <f t="shared" si="69"/>
        <v>1000000000.0</v>
      </c>
      <c r="BG371" s="642">
        <f t="shared" si="69"/>
        <v>1000000000.0</v>
      </c>
      <c r="BH371" s="642">
        <f t="shared" si="69"/>
        <v>1000000000.0</v>
      </c>
      <c r="BI371" s="642">
        <f t="shared" si="69"/>
        <v>1000000000.0</v>
      </c>
      <c r="BJ371" s="642">
        <f t="shared" si="69"/>
        <v>1000000000.0</v>
      </c>
      <c r="BK371" s="642">
        <f t="shared" si="69"/>
        <v>1000000000.0</v>
      </c>
      <c r="BL371" s="642">
        <f t="shared" si="70"/>
        <v>1000000000.0</v>
      </c>
      <c r="BM371" s="642">
        <f t="shared" si="70"/>
        <v>1000000000.0</v>
      </c>
      <c r="BN371" s="642">
        <f t="shared" si="70"/>
        <v>1000000000.0</v>
      </c>
      <c r="BO371" s="642">
        <f t="shared" si="70"/>
        <v>1000000000.0</v>
      </c>
      <c r="BP371" s="642">
        <f t="shared" si="70"/>
        <v>1000000000.0</v>
      </c>
      <c r="BQ371" s="642">
        <f t="shared" si="70"/>
        <v>1000000000.0</v>
      </c>
      <c r="BR371" s="642">
        <f t="shared" si="70"/>
        <v>1000000000.0</v>
      </c>
      <c r="BS371" s="642">
        <f t="shared" si="70"/>
        <v>1000000000.0</v>
      </c>
      <c r="BT371" s="642">
        <f t="shared" si="70"/>
        <v>1000000000.0</v>
      </c>
      <c r="BU371" s="642">
        <f t="shared" si="70"/>
        <v>1000000000.0</v>
      </c>
      <c r="BV371" s="642">
        <f t="shared" si="71"/>
        <v>1000000000.0</v>
      </c>
      <c r="BW371" s="642">
        <f t="shared" si="71"/>
        <v>1000000000.0</v>
      </c>
      <c r="BX371" s="642">
        <f t="shared" si="71"/>
        <v>1000000000.0</v>
      </c>
      <c r="BY371" s="642">
        <f t="shared" si="71"/>
        <v>1000000000.0</v>
      </c>
      <c r="BZ371" s="642">
        <f t="shared" si="71"/>
        <v>1000000000.0</v>
      </c>
      <c r="CA371" s="642">
        <f t="shared" si="71"/>
        <v>1000000000.0</v>
      </c>
      <c r="CB371" s="642">
        <f t="shared" si="71"/>
        <v>1000000000.0</v>
      </c>
      <c r="CC371" s="642">
        <f t="shared" si="71"/>
        <v>1000000000.0</v>
      </c>
      <c r="CD371" s="642">
        <f t="shared" si="71"/>
        <v>1000000000.0</v>
      </c>
      <c r="CE371" s="642">
        <f t="shared" si="71"/>
        <v>1000000000.0</v>
      </c>
      <c r="CF371" s="642">
        <f t="shared" si="72"/>
        <v>1000000000.0</v>
      </c>
      <c r="CG371" s="642">
        <f t="shared" si="72"/>
        <v>1000000000.0</v>
      </c>
      <c r="CH371" s="642">
        <f t="shared" si="72"/>
        <v>1000000000.0</v>
      </c>
      <c r="CI371" s="642">
        <f t="shared" si="72"/>
        <v>1000000000.0</v>
      </c>
      <c r="CJ371" s="642">
        <f t="shared" si="72"/>
        <v>1000000000.0</v>
      </c>
      <c r="CK371" s="642">
        <f t="shared" si="72"/>
        <v>1000000000.0</v>
      </c>
      <c r="CL371" s="642">
        <f t="shared" si="72"/>
        <v>1000000000.0</v>
      </c>
      <c r="CM371" s="642">
        <f t="shared" si="72"/>
        <v>1000000000.0</v>
      </c>
      <c r="CN371" s="642">
        <f t="shared" si="75"/>
        <v>1000000000.0</v>
      </c>
      <c r="CO371" s="642">
        <f>2*$AD$61*MAX(0,$J$58+I371-$J$64)+IF(L371&lt;$J$38,1000000,0)</f>
        <v>188.416956</v>
      </c>
      <c r="CP371" s="642">
        <f>2*IF($J$175&gt;0,IF($J$392/MIN($J$175,K371)&gt;$M$5*VLOOKUP($L$5,Taxas!$V$22:$W$30,2)/L371,$J$391/MIN($J$175,K371),$J$389/L371),$J$389/L371)</f>
        <v>0.3828154026666668</v>
      </c>
    </row>
    <row r="372" spans="9:94" hidden="1" x14ac:dyDescent="0.25">
      <c r="I372" s="642">
        <f>MIN(5*70,$J$57/2)</f>
        <v>350.0</v>
      </c>
      <c r="J372" s="646">
        <f t="shared" ca="1" si="73"/>
        <v>0.048859517098708304</v>
      </c>
      <c r="K372" s="642">
        <f t="shared" ca="1" si="74"/>
        <v>30.0</v>
      </c>
      <c r="L372" s="642">
        <f ca="1">MIN(ROUNDDOWN($M$5*VLOOKUP($L$5,Taxas!$V$22:$W$30,2)/J372*2,0)/2,K372)</f>
        <v>30.0</v>
      </c>
      <c r="M372" s="642">
        <f ca="1">MIN(ROUNDDOWN($M$6*VLOOKUP($L$6,Taxas!$V$22:$W$30,2)/J372*2,0)/2,K372)</f>
        <v>30.0</v>
      </c>
      <c r="N372" s="642">
        <f t="shared" si="65"/>
        <v>1000000000.0</v>
      </c>
      <c r="O372" s="642">
        <f t="shared" si="65"/>
        <v>1000000000.0</v>
      </c>
      <c r="P372" s="642">
        <f t="shared" si="65"/>
        <v>1000000000.0</v>
      </c>
      <c r="Q372" s="642">
        <f t="shared" si="65"/>
        <v>1000000000.0</v>
      </c>
      <c r="R372" s="642">
        <f t="shared" si="65"/>
        <v>1000000000.0</v>
      </c>
      <c r="S372" s="642">
        <f t="shared" si="65"/>
        <v>1000000000.0</v>
      </c>
      <c r="T372" s="642">
        <f t="shared" si="65"/>
        <v>1000000000.0</v>
      </c>
      <c r="U372" s="642">
        <f t="shared" si="65"/>
        <v>1000000000.0</v>
      </c>
      <c r="V372" s="642">
        <f t="shared" si="65"/>
        <v>1000000000.0</v>
      </c>
      <c r="W372" s="642">
        <f t="shared" si="65"/>
        <v>1000000000.0</v>
      </c>
      <c r="X372" s="642">
        <f t="shared" si="66"/>
        <v>1000000000.0</v>
      </c>
      <c r="Y372" s="642">
        <f t="shared" si="66"/>
        <v>1000000000.0</v>
      </c>
      <c r="Z372" s="642">
        <f t="shared" si="66"/>
        <v>1000000000.0</v>
      </c>
      <c r="AA372" s="642">
        <f t="shared" si="66"/>
        <v>1000000000.0</v>
      </c>
      <c r="AB372" s="642">
        <f t="shared" si="66"/>
        <v>1000000000.0</v>
      </c>
      <c r="AC372" s="642">
        <f t="shared" si="66"/>
        <v>1000000000.0</v>
      </c>
      <c r="AD372" s="642">
        <f t="shared" si="66"/>
        <v>1000000000.0</v>
      </c>
      <c r="AE372" s="642">
        <f t="shared" si="66"/>
        <v>1000000000.0</v>
      </c>
      <c r="AF372" s="642">
        <f t="shared" si="66"/>
        <v>1000000000.0</v>
      </c>
      <c r="AG372" s="642">
        <f t="shared" si="66"/>
        <v>1000000000.0</v>
      </c>
      <c r="AH372" s="642">
        <f t="shared" si="67"/>
        <v>1000000000.0</v>
      </c>
      <c r="AI372" s="642">
        <f t="shared" si="67"/>
        <v>1000000000.0</v>
      </c>
      <c r="AJ372" s="642">
        <f t="shared" si="67"/>
        <v>1000000000.0</v>
      </c>
      <c r="AK372" s="642">
        <f t="shared" si="67"/>
        <v>1000000000.0</v>
      </c>
      <c r="AL372" s="642">
        <f t="shared" si="67"/>
        <v>1000000000.0</v>
      </c>
      <c r="AM372" s="642">
        <f t="shared" si="67"/>
        <v>1000000000.0</v>
      </c>
      <c r="AN372" s="642">
        <f t="shared" si="67"/>
        <v>1000000000.0</v>
      </c>
      <c r="AO372" s="642">
        <f t="shared" si="67"/>
        <v>1000000000.0</v>
      </c>
      <c r="AP372" s="642">
        <f t="shared" si="67"/>
        <v>1000000000.0</v>
      </c>
      <c r="AQ372" s="642">
        <f t="shared" si="67"/>
        <v>1000000000.0</v>
      </c>
      <c r="AR372" s="642">
        <f t="shared" si="68"/>
        <v>1000000000.0</v>
      </c>
      <c r="AS372" s="642">
        <f t="shared" si="68"/>
        <v>1000000000.0</v>
      </c>
      <c r="AT372" s="642">
        <f t="shared" si="68"/>
        <v>1000000000.0</v>
      </c>
      <c r="AU372" s="642">
        <f t="shared" si="68"/>
        <v>1000000000.0</v>
      </c>
      <c r="AV372" s="642">
        <f t="shared" si="68"/>
        <v>1000000000.0</v>
      </c>
      <c r="AW372" s="642">
        <f t="shared" si="68"/>
        <v>1000000000.0</v>
      </c>
      <c r="AX372" s="642">
        <f t="shared" si="68"/>
        <v>1000000000.0</v>
      </c>
      <c r="AY372" s="642">
        <f t="shared" si="68"/>
        <v>1000000000.0</v>
      </c>
      <c r="AZ372" s="642">
        <f t="shared" si="68"/>
        <v>1000000000.0</v>
      </c>
      <c r="BA372" s="642">
        <f t="shared" si="68"/>
        <v>1000000000.0</v>
      </c>
      <c r="BB372" s="642">
        <f t="shared" si="69"/>
        <v>1000000000.0</v>
      </c>
      <c r="BC372" s="642">
        <f t="shared" si="69"/>
        <v>1000000000.0</v>
      </c>
      <c r="BD372" s="642">
        <f t="shared" si="69"/>
        <v>1000000000.0</v>
      </c>
      <c r="BE372" s="642">
        <f t="shared" si="69"/>
        <v>1000000000.0</v>
      </c>
      <c r="BF372" s="642">
        <f t="shared" si="69"/>
        <v>1000000000.0</v>
      </c>
      <c r="BG372" s="642">
        <f t="shared" si="69"/>
        <v>1000000000.0</v>
      </c>
      <c r="BH372" s="642">
        <f t="shared" si="69"/>
        <v>1000000000.0</v>
      </c>
      <c r="BI372" s="642">
        <f t="shared" si="69"/>
        <v>1000000000.0</v>
      </c>
      <c r="BJ372" s="642">
        <f t="shared" si="69"/>
        <v>1000000000.0</v>
      </c>
      <c r="BK372" s="642">
        <f t="shared" si="69"/>
        <v>1000000000.0</v>
      </c>
      <c r="BL372" s="642">
        <f t="shared" si="70"/>
        <v>1000000000.0</v>
      </c>
      <c r="BM372" s="642">
        <f t="shared" si="70"/>
        <v>1000000000.0</v>
      </c>
      <c r="BN372" s="642">
        <f t="shared" si="70"/>
        <v>1000000000.0</v>
      </c>
      <c r="BO372" s="642">
        <f t="shared" si="70"/>
        <v>1000000000.0</v>
      </c>
      <c r="BP372" s="642">
        <f t="shared" si="70"/>
        <v>1000000000.0</v>
      </c>
      <c r="BQ372" s="642">
        <f t="shared" si="70"/>
        <v>1000000000.0</v>
      </c>
      <c r="BR372" s="642">
        <f t="shared" si="70"/>
        <v>1000000000.0</v>
      </c>
      <c r="BS372" s="642">
        <f t="shared" si="70"/>
        <v>1000000000.0</v>
      </c>
      <c r="BT372" s="642">
        <f t="shared" si="70"/>
        <v>1000000000.0</v>
      </c>
      <c r="BU372" s="642">
        <f t="shared" si="70"/>
        <v>1000000000.0</v>
      </c>
      <c r="BV372" s="642">
        <f t="shared" si="71"/>
        <v>1000000000.0</v>
      </c>
      <c r="BW372" s="642">
        <f t="shared" si="71"/>
        <v>1000000000.0</v>
      </c>
      <c r="BX372" s="642">
        <f t="shared" si="71"/>
        <v>1000000000.0</v>
      </c>
      <c r="BY372" s="642">
        <f t="shared" si="71"/>
        <v>1000000000.0</v>
      </c>
      <c r="BZ372" s="642">
        <f t="shared" si="71"/>
        <v>1000000000.0</v>
      </c>
      <c r="CA372" s="642">
        <f t="shared" si="71"/>
        <v>1000000000.0</v>
      </c>
      <c r="CB372" s="642">
        <f t="shared" si="71"/>
        <v>1000000000.0</v>
      </c>
      <c r="CC372" s="642">
        <f t="shared" si="71"/>
        <v>1000000000.0</v>
      </c>
      <c r="CD372" s="642">
        <f t="shared" si="71"/>
        <v>1000000000.0</v>
      </c>
      <c r="CE372" s="642">
        <f t="shared" si="71"/>
        <v>1000000000.0</v>
      </c>
      <c r="CF372" s="642">
        <f t="shared" si="72"/>
        <v>1000000000.0</v>
      </c>
      <c r="CG372" s="642">
        <f t="shared" si="72"/>
        <v>1000000000.0</v>
      </c>
      <c r="CH372" s="642">
        <f t="shared" si="72"/>
        <v>1000000000.0</v>
      </c>
      <c r="CI372" s="642">
        <f t="shared" si="72"/>
        <v>1000000000.0</v>
      </c>
      <c r="CJ372" s="642">
        <f t="shared" si="72"/>
        <v>1000000000.0</v>
      </c>
      <c r="CK372" s="642">
        <f t="shared" si="72"/>
        <v>1000000000.0</v>
      </c>
      <c r="CL372" s="642">
        <f t="shared" si="72"/>
        <v>1000000000.0</v>
      </c>
      <c r="CM372" s="642">
        <f t="shared" si="72"/>
        <v>1000000000.0</v>
      </c>
      <c r="CN372" s="642">
        <f t="shared" si="75"/>
        <v>1000000000.0</v>
      </c>
      <c r="CO372" s="642">
        <f>2*$AD$61*MAX(0,$J$58+I372-$J$64)+IF(L372&lt;$J$38,1000000,0)</f>
        <v>191.05584894117646</v>
      </c>
      <c r="CP372" s="642">
        <f>2*IF($J$175&gt;0,IF($J$392/MIN($J$175,K372)&gt;$M$5*VLOOKUP($L$5,Taxas!$V$22:$W$30,2)/L372,$J$391/MIN($J$175,K372),$J$389/L372),$J$389/L372)</f>
        <v>0.3828154026666668</v>
      </c>
    </row>
    <row r="373" spans="9:94" hidden="1" x14ac:dyDescent="0.25">
      <c r="I373" s="642">
        <f>MIN(5*71,$J$57/2)</f>
        <v>355.0</v>
      </c>
      <c r="J373" s="646">
        <f t="shared" ca="1" si="73"/>
        <v>0.048859517098708304</v>
      </c>
      <c r="K373" s="642">
        <f t="shared" ca="1" si="74"/>
        <v>30.0</v>
      </c>
      <c r="L373" s="642">
        <f ca="1">MIN(ROUNDDOWN($M$5*VLOOKUP($L$5,Taxas!$V$22:$W$30,2)/J373*2,0)/2,K373)</f>
        <v>30.0</v>
      </c>
      <c r="M373" s="642">
        <f ca="1">MIN(ROUNDDOWN($M$6*VLOOKUP($L$6,Taxas!$V$22:$W$30,2)/J373*2,0)/2,K373)</f>
        <v>30.0</v>
      </c>
      <c r="N373" s="642">
        <f t="shared" ref="N373:W380" si="78">IF(OR($I373&lt;$J$59,N$302-$I373&lt;$J$59),1000000000,$CO373+N$301+$CP373*(N$302-$I373))</f>
        <v>1000000000.0</v>
      </c>
      <c r="O373" s="642">
        <f t="shared" si="78"/>
        <v>1000000000.0</v>
      </c>
      <c r="P373" s="642">
        <f t="shared" si="78"/>
        <v>1000000000.0</v>
      </c>
      <c r="Q373" s="642">
        <f t="shared" si="78"/>
        <v>1000000000.0</v>
      </c>
      <c r="R373" s="642">
        <f t="shared" si="78"/>
        <v>1000000000.0</v>
      </c>
      <c r="S373" s="642">
        <f t="shared" si="78"/>
        <v>1000000000.0</v>
      </c>
      <c r="T373" s="642">
        <f t="shared" si="78"/>
        <v>1000000000.0</v>
      </c>
      <c r="U373" s="642">
        <f t="shared" si="78"/>
        <v>1000000000.0</v>
      </c>
      <c r="V373" s="642">
        <f t="shared" si="78"/>
        <v>1000000000.0</v>
      </c>
      <c r="W373" s="642">
        <f t="shared" si="78"/>
        <v>1000000000.0</v>
      </c>
      <c r="X373" s="642">
        <f t="shared" ref="X373:AG380" si="79">IF(OR($I373&lt;$J$59,X$302-$I373&lt;$J$59),1000000000,$CO373+X$301+$CP373*(X$302-$I373))</f>
        <v>1000000000.0</v>
      </c>
      <c r="Y373" s="642">
        <f t="shared" si="79"/>
        <v>1000000000.0</v>
      </c>
      <c r="Z373" s="642">
        <f t="shared" si="79"/>
        <v>1000000000.0</v>
      </c>
      <c r="AA373" s="642">
        <f t="shared" si="79"/>
        <v>1000000000.0</v>
      </c>
      <c r="AB373" s="642">
        <f t="shared" si="79"/>
        <v>1000000000.0</v>
      </c>
      <c r="AC373" s="642">
        <f t="shared" si="79"/>
        <v>1000000000.0</v>
      </c>
      <c r="AD373" s="642">
        <f t="shared" si="79"/>
        <v>1000000000.0</v>
      </c>
      <c r="AE373" s="642">
        <f t="shared" si="79"/>
        <v>1000000000.0</v>
      </c>
      <c r="AF373" s="642">
        <f t="shared" si="79"/>
        <v>1000000000.0</v>
      </c>
      <c r="AG373" s="642">
        <f t="shared" si="79"/>
        <v>1000000000.0</v>
      </c>
      <c r="AH373" s="642">
        <f t="shared" ref="AH373:AQ380" si="80">IF(OR($I373&lt;$J$59,AH$302-$I373&lt;$J$59),1000000000,$CO373+AH$301+$CP373*(AH$302-$I373))</f>
        <v>1000000000.0</v>
      </c>
      <c r="AI373" s="642">
        <f t="shared" si="80"/>
        <v>1000000000.0</v>
      </c>
      <c r="AJ373" s="642">
        <f t="shared" si="80"/>
        <v>1000000000.0</v>
      </c>
      <c r="AK373" s="642">
        <f t="shared" si="80"/>
        <v>1000000000.0</v>
      </c>
      <c r="AL373" s="642">
        <f t="shared" si="80"/>
        <v>1000000000.0</v>
      </c>
      <c r="AM373" s="642">
        <f t="shared" si="80"/>
        <v>1000000000.0</v>
      </c>
      <c r="AN373" s="642">
        <f t="shared" si="80"/>
        <v>1000000000.0</v>
      </c>
      <c r="AO373" s="642">
        <f t="shared" si="80"/>
        <v>1000000000.0</v>
      </c>
      <c r="AP373" s="642">
        <f t="shared" si="80"/>
        <v>1000000000.0</v>
      </c>
      <c r="AQ373" s="642">
        <f t="shared" si="80"/>
        <v>1000000000.0</v>
      </c>
      <c r="AR373" s="642">
        <f t="shared" ref="AR373:BA380" si="81">IF(OR($I373&lt;$J$59,AR$302-$I373&lt;$J$59),1000000000,$CO373+AR$301+$CP373*(AR$302-$I373))</f>
        <v>1000000000.0</v>
      </c>
      <c r="AS373" s="642">
        <f t="shared" si="81"/>
        <v>1000000000.0</v>
      </c>
      <c r="AT373" s="642">
        <f t="shared" si="81"/>
        <v>1000000000.0</v>
      </c>
      <c r="AU373" s="642">
        <f t="shared" si="81"/>
        <v>1000000000.0</v>
      </c>
      <c r="AV373" s="642">
        <f t="shared" si="81"/>
        <v>1000000000.0</v>
      </c>
      <c r="AW373" s="642">
        <f t="shared" si="81"/>
        <v>1000000000.0</v>
      </c>
      <c r="AX373" s="642">
        <f t="shared" si="81"/>
        <v>1000000000.0</v>
      </c>
      <c r="AY373" s="642">
        <f t="shared" si="81"/>
        <v>1000000000.0</v>
      </c>
      <c r="AZ373" s="642">
        <f t="shared" si="81"/>
        <v>1000000000.0</v>
      </c>
      <c r="BA373" s="642">
        <f t="shared" si="81"/>
        <v>1000000000.0</v>
      </c>
      <c r="BB373" s="642">
        <f t="shared" ref="BB373:BK380" si="82">IF(OR($I373&lt;$J$59,BB$302-$I373&lt;$J$59),1000000000,$CO373+BB$301+$CP373*(BB$302-$I373))</f>
        <v>1000000000.0</v>
      </c>
      <c r="BC373" s="642">
        <f t="shared" si="82"/>
        <v>1000000000.0</v>
      </c>
      <c r="BD373" s="642">
        <f t="shared" si="82"/>
        <v>1000000000.0</v>
      </c>
      <c r="BE373" s="642">
        <f t="shared" si="82"/>
        <v>1000000000.0</v>
      </c>
      <c r="BF373" s="642">
        <f t="shared" si="82"/>
        <v>1000000000.0</v>
      </c>
      <c r="BG373" s="642">
        <f t="shared" si="82"/>
        <v>1000000000.0</v>
      </c>
      <c r="BH373" s="642">
        <f t="shared" si="82"/>
        <v>1000000000.0</v>
      </c>
      <c r="BI373" s="642">
        <f t="shared" si="82"/>
        <v>1000000000.0</v>
      </c>
      <c r="BJ373" s="642">
        <f t="shared" si="82"/>
        <v>1000000000.0</v>
      </c>
      <c r="BK373" s="642">
        <f t="shared" si="82"/>
        <v>1000000000.0</v>
      </c>
      <c r="BL373" s="642">
        <f t="shared" ref="BL373:BU380" si="83">IF(OR($I373&lt;$J$59,BL$302-$I373&lt;$J$59),1000000000,$CO373+BL$301+$CP373*(BL$302-$I373))</f>
        <v>1000000000.0</v>
      </c>
      <c r="BM373" s="642">
        <f t="shared" si="83"/>
        <v>1000000000.0</v>
      </c>
      <c r="BN373" s="642">
        <f t="shared" si="83"/>
        <v>1000000000.0</v>
      </c>
      <c r="BO373" s="642">
        <f t="shared" si="83"/>
        <v>1000000000.0</v>
      </c>
      <c r="BP373" s="642">
        <f t="shared" si="83"/>
        <v>1000000000.0</v>
      </c>
      <c r="BQ373" s="642">
        <f t="shared" si="83"/>
        <v>1000000000.0</v>
      </c>
      <c r="BR373" s="642">
        <f t="shared" si="83"/>
        <v>1000000000.0</v>
      </c>
      <c r="BS373" s="642">
        <f t="shared" si="83"/>
        <v>1000000000.0</v>
      </c>
      <c r="BT373" s="642">
        <f t="shared" si="83"/>
        <v>1000000000.0</v>
      </c>
      <c r="BU373" s="642">
        <f t="shared" si="83"/>
        <v>1000000000.0</v>
      </c>
      <c r="BV373" s="642">
        <f t="shared" ref="BV373:CE380" si="84">IF(OR($I373&lt;$J$59,BV$302-$I373&lt;$J$59),1000000000,$CO373+BV$301+$CP373*(BV$302-$I373))</f>
        <v>1000000000.0</v>
      </c>
      <c r="BW373" s="642">
        <f t="shared" si="84"/>
        <v>1000000000.0</v>
      </c>
      <c r="BX373" s="642">
        <f t="shared" si="84"/>
        <v>1000000000.0</v>
      </c>
      <c r="BY373" s="642">
        <f t="shared" si="84"/>
        <v>1000000000.0</v>
      </c>
      <c r="BZ373" s="642">
        <f t="shared" si="84"/>
        <v>1000000000.0</v>
      </c>
      <c r="CA373" s="642">
        <f t="shared" si="84"/>
        <v>1000000000.0</v>
      </c>
      <c r="CB373" s="642">
        <f t="shared" si="84"/>
        <v>1000000000.0</v>
      </c>
      <c r="CC373" s="642">
        <f t="shared" si="84"/>
        <v>1000000000.0</v>
      </c>
      <c r="CD373" s="642">
        <f t="shared" si="84"/>
        <v>1000000000.0</v>
      </c>
      <c r="CE373" s="642">
        <f t="shared" si="84"/>
        <v>1000000000.0</v>
      </c>
      <c r="CF373" s="642">
        <f t="shared" ref="CF373:CM380" si="85">IF(OR($I373&lt;$J$59,CF$302-$I373&lt;$J$59),1000000000,$CO373+CF$301+$CP373*(CF$302-$I373))</f>
        <v>1000000000.0</v>
      </c>
      <c r="CG373" s="642">
        <f t="shared" si="85"/>
        <v>1000000000.0</v>
      </c>
      <c r="CH373" s="642">
        <f t="shared" si="85"/>
        <v>1000000000.0</v>
      </c>
      <c r="CI373" s="642">
        <f t="shared" si="85"/>
        <v>1000000000.0</v>
      </c>
      <c r="CJ373" s="642">
        <f t="shared" si="85"/>
        <v>1000000000.0</v>
      </c>
      <c r="CK373" s="642">
        <f t="shared" si="85"/>
        <v>1000000000.0</v>
      </c>
      <c r="CL373" s="642">
        <f t="shared" si="85"/>
        <v>1000000000.0</v>
      </c>
      <c r="CM373" s="642">
        <f t="shared" si="85"/>
        <v>1000000000.0</v>
      </c>
      <c r="CN373" s="642">
        <f t="shared" si="75"/>
        <v>1000000000.0</v>
      </c>
      <c r="CO373" s="642">
        <f>2*$AD$61*MAX(0,$J$58+I373-$J$64)+IF(L373&lt;$J$38,1000000,0)</f>
        <v>193.69474188235293</v>
      </c>
      <c r="CP373" s="642">
        <f>2*IF($J$175&gt;0,IF($J$392/MIN($J$175,K373)&gt;$M$5*VLOOKUP($L$5,Taxas!$V$22:$W$30,2)/L373,$J$391/MIN($J$175,K373),$J$389/L373),$J$389/L373)</f>
        <v>0.3828154026666668</v>
      </c>
    </row>
    <row r="374" spans="9:94" hidden="1" x14ac:dyDescent="0.25">
      <c r="I374" s="642">
        <f>MIN(5*72,$J$57/2)</f>
        <v>360.0</v>
      </c>
      <c r="J374" s="646">
        <f t="shared" ca="1" si="73"/>
        <v>0.048859517098708304</v>
      </c>
      <c r="K374" s="642">
        <f t="shared" ca="1" si="74"/>
        <v>30.0</v>
      </c>
      <c r="L374" s="642">
        <f ca="1">MIN(ROUNDDOWN($M$5*VLOOKUP($L$5,Taxas!$V$22:$W$30,2)/J374*2,0)/2,K374)</f>
        <v>30.0</v>
      </c>
      <c r="M374" s="642">
        <f ca="1">MIN(ROUNDDOWN($M$6*VLOOKUP($L$6,Taxas!$V$22:$W$30,2)/J374*2,0)/2,K374)</f>
        <v>30.0</v>
      </c>
      <c r="N374" s="642">
        <f t="shared" si="78"/>
        <v>1000000000.0</v>
      </c>
      <c r="O374" s="642">
        <f t="shared" si="78"/>
        <v>1000000000.0</v>
      </c>
      <c r="P374" s="642">
        <f t="shared" si="78"/>
        <v>1000000000.0</v>
      </c>
      <c r="Q374" s="642">
        <f t="shared" si="78"/>
        <v>1000000000.0</v>
      </c>
      <c r="R374" s="642">
        <f t="shared" si="78"/>
        <v>1000000000.0</v>
      </c>
      <c r="S374" s="642">
        <f t="shared" si="78"/>
        <v>1000000000.0</v>
      </c>
      <c r="T374" s="642">
        <f t="shared" si="78"/>
        <v>1000000000.0</v>
      </c>
      <c r="U374" s="642">
        <f t="shared" si="78"/>
        <v>1000000000.0</v>
      </c>
      <c r="V374" s="642">
        <f t="shared" si="78"/>
        <v>1000000000.0</v>
      </c>
      <c r="W374" s="642">
        <f t="shared" si="78"/>
        <v>1000000000.0</v>
      </c>
      <c r="X374" s="642">
        <f t="shared" si="79"/>
        <v>1000000000.0</v>
      </c>
      <c r="Y374" s="642">
        <f t="shared" si="79"/>
        <v>1000000000.0</v>
      </c>
      <c r="Z374" s="642">
        <f t="shared" si="79"/>
        <v>1000000000.0</v>
      </c>
      <c r="AA374" s="642">
        <f t="shared" si="79"/>
        <v>1000000000.0</v>
      </c>
      <c r="AB374" s="642">
        <f t="shared" si="79"/>
        <v>1000000000.0</v>
      </c>
      <c r="AC374" s="642">
        <f t="shared" si="79"/>
        <v>1000000000.0</v>
      </c>
      <c r="AD374" s="642">
        <f t="shared" si="79"/>
        <v>1000000000.0</v>
      </c>
      <c r="AE374" s="642">
        <f t="shared" si="79"/>
        <v>1000000000.0</v>
      </c>
      <c r="AF374" s="642">
        <f t="shared" si="79"/>
        <v>1000000000.0</v>
      </c>
      <c r="AG374" s="642">
        <f t="shared" si="79"/>
        <v>1000000000.0</v>
      </c>
      <c r="AH374" s="642">
        <f t="shared" si="80"/>
        <v>1000000000.0</v>
      </c>
      <c r="AI374" s="642">
        <f t="shared" si="80"/>
        <v>1000000000.0</v>
      </c>
      <c r="AJ374" s="642">
        <f t="shared" si="80"/>
        <v>1000000000.0</v>
      </c>
      <c r="AK374" s="642">
        <f t="shared" si="80"/>
        <v>1000000000.0</v>
      </c>
      <c r="AL374" s="642">
        <f t="shared" si="80"/>
        <v>1000000000.0</v>
      </c>
      <c r="AM374" s="642">
        <f t="shared" si="80"/>
        <v>1000000000.0</v>
      </c>
      <c r="AN374" s="642">
        <f t="shared" si="80"/>
        <v>1000000000.0</v>
      </c>
      <c r="AO374" s="642">
        <f t="shared" si="80"/>
        <v>1000000000.0</v>
      </c>
      <c r="AP374" s="642">
        <f t="shared" si="80"/>
        <v>1000000000.0</v>
      </c>
      <c r="AQ374" s="642">
        <f t="shared" si="80"/>
        <v>1000000000.0</v>
      </c>
      <c r="AR374" s="642">
        <f t="shared" si="81"/>
        <v>1000000000.0</v>
      </c>
      <c r="AS374" s="642">
        <f t="shared" si="81"/>
        <v>1000000000.0</v>
      </c>
      <c r="AT374" s="642">
        <f t="shared" si="81"/>
        <v>1000000000.0</v>
      </c>
      <c r="AU374" s="642">
        <f t="shared" si="81"/>
        <v>1000000000.0</v>
      </c>
      <c r="AV374" s="642">
        <f t="shared" si="81"/>
        <v>1000000000.0</v>
      </c>
      <c r="AW374" s="642">
        <f t="shared" si="81"/>
        <v>1000000000.0</v>
      </c>
      <c r="AX374" s="642">
        <f t="shared" si="81"/>
        <v>1000000000.0</v>
      </c>
      <c r="AY374" s="642">
        <f t="shared" si="81"/>
        <v>1000000000.0</v>
      </c>
      <c r="AZ374" s="642">
        <f t="shared" si="81"/>
        <v>1000000000.0</v>
      </c>
      <c r="BA374" s="642">
        <f t="shared" si="81"/>
        <v>1000000000.0</v>
      </c>
      <c r="BB374" s="642">
        <f t="shared" si="82"/>
        <v>1000000000.0</v>
      </c>
      <c r="BC374" s="642">
        <f t="shared" si="82"/>
        <v>1000000000.0</v>
      </c>
      <c r="BD374" s="642">
        <f t="shared" si="82"/>
        <v>1000000000.0</v>
      </c>
      <c r="BE374" s="642">
        <f t="shared" si="82"/>
        <v>1000000000.0</v>
      </c>
      <c r="BF374" s="642">
        <f t="shared" si="82"/>
        <v>1000000000.0</v>
      </c>
      <c r="BG374" s="642">
        <f t="shared" si="82"/>
        <v>1000000000.0</v>
      </c>
      <c r="BH374" s="642">
        <f t="shared" si="82"/>
        <v>1000000000.0</v>
      </c>
      <c r="BI374" s="642">
        <f t="shared" si="82"/>
        <v>1000000000.0</v>
      </c>
      <c r="BJ374" s="642">
        <f t="shared" si="82"/>
        <v>1000000000.0</v>
      </c>
      <c r="BK374" s="642">
        <f t="shared" si="82"/>
        <v>1000000000.0</v>
      </c>
      <c r="BL374" s="642">
        <f t="shared" si="83"/>
        <v>1000000000.0</v>
      </c>
      <c r="BM374" s="642">
        <f t="shared" si="83"/>
        <v>1000000000.0</v>
      </c>
      <c r="BN374" s="642">
        <f t="shared" si="83"/>
        <v>1000000000.0</v>
      </c>
      <c r="BO374" s="642">
        <f t="shared" si="83"/>
        <v>1000000000.0</v>
      </c>
      <c r="BP374" s="642">
        <f t="shared" si="83"/>
        <v>1000000000.0</v>
      </c>
      <c r="BQ374" s="642">
        <f t="shared" si="83"/>
        <v>1000000000.0</v>
      </c>
      <c r="BR374" s="642">
        <f t="shared" si="83"/>
        <v>1000000000.0</v>
      </c>
      <c r="BS374" s="642">
        <f t="shared" si="83"/>
        <v>1000000000.0</v>
      </c>
      <c r="BT374" s="642">
        <f t="shared" si="83"/>
        <v>1000000000.0</v>
      </c>
      <c r="BU374" s="642">
        <f t="shared" si="83"/>
        <v>1000000000.0</v>
      </c>
      <c r="BV374" s="642">
        <f t="shared" si="84"/>
        <v>1000000000.0</v>
      </c>
      <c r="BW374" s="642">
        <f t="shared" si="84"/>
        <v>1000000000.0</v>
      </c>
      <c r="BX374" s="642">
        <f t="shared" si="84"/>
        <v>1000000000.0</v>
      </c>
      <c r="BY374" s="642">
        <f t="shared" si="84"/>
        <v>1000000000.0</v>
      </c>
      <c r="BZ374" s="642">
        <f t="shared" si="84"/>
        <v>1000000000.0</v>
      </c>
      <c r="CA374" s="642">
        <f t="shared" si="84"/>
        <v>1000000000.0</v>
      </c>
      <c r="CB374" s="642">
        <f t="shared" si="84"/>
        <v>1000000000.0</v>
      </c>
      <c r="CC374" s="642">
        <f t="shared" si="84"/>
        <v>1000000000.0</v>
      </c>
      <c r="CD374" s="642">
        <f t="shared" si="84"/>
        <v>1000000000.0</v>
      </c>
      <c r="CE374" s="642">
        <f t="shared" si="84"/>
        <v>1000000000.0</v>
      </c>
      <c r="CF374" s="642">
        <f t="shared" si="85"/>
        <v>1000000000.0</v>
      </c>
      <c r="CG374" s="642">
        <f t="shared" si="85"/>
        <v>1000000000.0</v>
      </c>
      <c r="CH374" s="642">
        <f t="shared" si="85"/>
        <v>1000000000.0</v>
      </c>
      <c r="CI374" s="642">
        <f t="shared" si="85"/>
        <v>1000000000.0</v>
      </c>
      <c r="CJ374" s="642">
        <f t="shared" si="85"/>
        <v>1000000000.0</v>
      </c>
      <c r="CK374" s="642">
        <f t="shared" si="85"/>
        <v>1000000000.0</v>
      </c>
      <c r="CL374" s="642">
        <f t="shared" si="85"/>
        <v>1000000000.0</v>
      </c>
      <c r="CM374" s="642">
        <f t="shared" si="85"/>
        <v>1000000000.0</v>
      </c>
      <c r="CN374" s="642">
        <f t="shared" si="75"/>
        <v>1000000000.0</v>
      </c>
      <c r="CO374" s="642">
        <f>2*$AD$61*MAX(0,$J$58+I374-$J$64)+IF(L374&lt;$J$38,1000000,0)</f>
        <v>196.33363482352942</v>
      </c>
      <c r="CP374" s="642">
        <f>2*IF($J$175&gt;0,IF($J$392/MIN($J$175,K374)&gt;$M$5*VLOOKUP($L$5,Taxas!$V$22:$W$30,2)/L374,$J$391/MIN($J$175,K374),$J$389/L374),$J$389/L374)</f>
        <v>0.3828154026666668</v>
      </c>
    </row>
    <row r="375" spans="9:94" hidden="1" x14ac:dyDescent="0.25">
      <c r="I375" s="642">
        <f>MIN(5*73,$J$57/2)</f>
        <v>365.0</v>
      </c>
      <c r="J375" s="646">
        <f t="shared" ca="1" si="73"/>
        <v>0.048859517098708304</v>
      </c>
      <c r="K375" s="642">
        <f t="shared" ca="1" si="74"/>
        <v>30.0</v>
      </c>
      <c r="L375" s="642">
        <f ca="1">MIN(ROUNDDOWN($M$5*VLOOKUP($L$5,Taxas!$V$22:$W$30,2)/J375*2,0)/2,K375)</f>
        <v>30.0</v>
      </c>
      <c r="M375" s="642">
        <f ca="1">MIN(ROUNDDOWN($M$6*VLOOKUP($L$6,Taxas!$V$22:$W$30,2)/J375*2,0)/2,K375)</f>
        <v>30.0</v>
      </c>
      <c r="N375" s="642">
        <f t="shared" si="78"/>
        <v>1000000000.0</v>
      </c>
      <c r="O375" s="642">
        <f t="shared" si="78"/>
        <v>1000000000.0</v>
      </c>
      <c r="P375" s="642">
        <f t="shared" si="78"/>
        <v>1000000000.0</v>
      </c>
      <c r="Q375" s="642">
        <f t="shared" si="78"/>
        <v>1000000000.0</v>
      </c>
      <c r="R375" s="642">
        <f t="shared" si="78"/>
        <v>1000000000.0</v>
      </c>
      <c r="S375" s="642">
        <f t="shared" si="78"/>
        <v>1000000000.0</v>
      </c>
      <c r="T375" s="642">
        <f t="shared" si="78"/>
        <v>1000000000.0</v>
      </c>
      <c r="U375" s="642">
        <f t="shared" si="78"/>
        <v>1000000000.0</v>
      </c>
      <c r="V375" s="642">
        <f t="shared" si="78"/>
        <v>1000000000.0</v>
      </c>
      <c r="W375" s="642">
        <f t="shared" si="78"/>
        <v>1000000000.0</v>
      </c>
      <c r="X375" s="642">
        <f t="shared" si="79"/>
        <v>1000000000.0</v>
      </c>
      <c r="Y375" s="642">
        <f t="shared" si="79"/>
        <v>1000000000.0</v>
      </c>
      <c r="Z375" s="642">
        <f t="shared" si="79"/>
        <v>1000000000.0</v>
      </c>
      <c r="AA375" s="642">
        <f t="shared" si="79"/>
        <v>1000000000.0</v>
      </c>
      <c r="AB375" s="642">
        <f t="shared" si="79"/>
        <v>1000000000.0</v>
      </c>
      <c r="AC375" s="642">
        <f t="shared" si="79"/>
        <v>1000000000.0</v>
      </c>
      <c r="AD375" s="642">
        <f t="shared" si="79"/>
        <v>1000000000.0</v>
      </c>
      <c r="AE375" s="642">
        <f t="shared" si="79"/>
        <v>1000000000.0</v>
      </c>
      <c r="AF375" s="642">
        <f t="shared" si="79"/>
        <v>1000000000.0</v>
      </c>
      <c r="AG375" s="642">
        <f t="shared" si="79"/>
        <v>1000000000.0</v>
      </c>
      <c r="AH375" s="642">
        <f t="shared" si="80"/>
        <v>1000000000.0</v>
      </c>
      <c r="AI375" s="642">
        <f t="shared" si="80"/>
        <v>1000000000.0</v>
      </c>
      <c r="AJ375" s="642">
        <f t="shared" si="80"/>
        <v>1000000000.0</v>
      </c>
      <c r="AK375" s="642">
        <f t="shared" si="80"/>
        <v>1000000000.0</v>
      </c>
      <c r="AL375" s="642">
        <f t="shared" si="80"/>
        <v>1000000000.0</v>
      </c>
      <c r="AM375" s="642">
        <f t="shared" si="80"/>
        <v>1000000000.0</v>
      </c>
      <c r="AN375" s="642">
        <f t="shared" si="80"/>
        <v>1000000000.0</v>
      </c>
      <c r="AO375" s="642">
        <f t="shared" si="80"/>
        <v>1000000000.0</v>
      </c>
      <c r="AP375" s="642">
        <f t="shared" si="80"/>
        <v>1000000000.0</v>
      </c>
      <c r="AQ375" s="642">
        <f t="shared" si="80"/>
        <v>1000000000.0</v>
      </c>
      <c r="AR375" s="642">
        <f t="shared" si="81"/>
        <v>1000000000.0</v>
      </c>
      <c r="AS375" s="642">
        <f t="shared" si="81"/>
        <v>1000000000.0</v>
      </c>
      <c r="AT375" s="642">
        <f t="shared" si="81"/>
        <v>1000000000.0</v>
      </c>
      <c r="AU375" s="642">
        <f t="shared" si="81"/>
        <v>1000000000.0</v>
      </c>
      <c r="AV375" s="642">
        <f t="shared" si="81"/>
        <v>1000000000.0</v>
      </c>
      <c r="AW375" s="642">
        <f t="shared" si="81"/>
        <v>1000000000.0</v>
      </c>
      <c r="AX375" s="642">
        <f t="shared" si="81"/>
        <v>1000000000.0</v>
      </c>
      <c r="AY375" s="642">
        <f t="shared" si="81"/>
        <v>1000000000.0</v>
      </c>
      <c r="AZ375" s="642">
        <f t="shared" si="81"/>
        <v>1000000000.0</v>
      </c>
      <c r="BA375" s="642">
        <f t="shared" si="81"/>
        <v>1000000000.0</v>
      </c>
      <c r="BB375" s="642">
        <f t="shared" si="82"/>
        <v>1000000000.0</v>
      </c>
      <c r="BC375" s="642">
        <f t="shared" si="82"/>
        <v>1000000000.0</v>
      </c>
      <c r="BD375" s="642">
        <f t="shared" si="82"/>
        <v>1000000000.0</v>
      </c>
      <c r="BE375" s="642">
        <f t="shared" si="82"/>
        <v>1000000000.0</v>
      </c>
      <c r="BF375" s="642">
        <f t="shared" si="82"/>
        <v>1000000000.0</v>
      </c>
      <c r="BG375" s="642">
        <f t="shared" si="82"/>
        <v>1000000000.0</v>
      </c>
      <c r="BH375" s="642">
        <f t="shared" si="82"/>
        <v>1000000000.0</v>
      </c>
      <c r="BI375" s="642">
        <f t="shared" si="82"/>
        <v>1000000000.0</v>
      </c>
      <c r="BJ375" s="642">
        <f t="shared" si="82"/>
        <v>1000000000.0</v>
      </c>
      <c r="BK375" s="642">
        <f t="shared" si="82"/>
        <v>1000000000.0</v>
      </c>
      <c r="BL375" s="642">
        <f t="shared" si="83"/>
        <v>1000000000.0</v>
      </c>
      <c r="BM375" s="642">
        <f t="shared" si="83"/>
        <v>1000000000.0</v>
      </c>
      <c r="BN375" s="642">
        <f t="shared" si="83"/>
        <v>1000000000.0</v>
      </c>
      <c r="BO375" s="642">
        <f t="shared" si="83"/>
        <v>1000000000.0</v>
      </c>
      <c r="BP375" s="642">
        <f t="shared" si="83"/>
        <v>1000000000.0</v>
      </c>
      <c r="BQ375" s="642">
        <f t="shared" si="83"/>
        <v>1000000000.0</v>
      </c>
      <c r="BR375" s="642">
        <f t="shared" si="83"/>
        <v>1000000000.0</v>
      </c>
      <c r="BS375" s="642">
        <f t="shared" si="83"/>
        <v>1000000000.0</v>
      </c>
      <c r="BT375" s="642">
        <f t="shared" si="83"/>
        <v>1000000000.0</v>
      </c>
      <c r="BU375" s="642">
        <f t="shared" si="83"/>
        <v>1000000000.0</v>
      </c>
      <c r="BV375" s="642">
        <f t="shared" si="84"/>
        <v>1000000000.0</v>
      </c>
      <c r="BW375" s="642">
        <f t="shared" si="84"/>
        <v>1000000000.0</v>
      </c>
      <c r="BX375" s="642">
        <f t="shared" si="84"/>
        <v>1000000000.0</v>
      </c>
      <c r="BY375" s="642">
        <f t="shared" si="84"/>
        <v>1000000000.0</v>
      </c>
      <c r="BZ375" s="642">
        <f t="shared" si="84"/>
        <v>1000000000.0</v>
      </c>
      <c r="CA375" s="642">
        <f t="shared" si="84"/>
        <v>1000000000.0</v>
      </c>
      <c r="CB375" s="642">
        <f t="shared" si="84"/>
        <v>1000000000.0</v>
      </c>
      <c r="CC375" s="642">
        <f t="shared" si="84"/>
        <v>1000000000.0</v>
      </c>
      <c r="CD375" s="642">
        <f t="shared" si="84"/>
        <v>1000000000.0</v>
      </c>
      <c r="CE375" s="642">
        <f t="shared" si="84"/>
        <v>1000000000.0</v>
      </c>
      <c r="CF375" s="642">
        <f t="shared" si="85"/>
        <v>1000000000.0</v>
      </c>
      <c r="CG375" s="642">
        <f t="shared" si="85"/>
        <v>1000000000.0</v>
      </c>
      <c r="CH375" s="642">
        <f t="shared" si="85"/>
        <v>1000000000.0</v>
      </c>
      <c r="CI375" s="642">
        <f t="shared" si="85"/>
        <v>1000000000.0</v>
      </c>
      <c r="CJ375" s="642">
        <f t="shared" si="85"/>
        <v>1000000000.0</v>
      </c>
      <c r="CK375" s="642">
        <f t="shared" si="85"/>
        <v>1000000000.0</v>
      </c>
      <c r="CL375" s="642">
        <f t="shared" si="85"/>
        <v>1000000000.0</v>
      </c>
      <c r="CM375" s="642">
        <f t="shared" si="85"/>
        <v>1000000000.0</v>
      </c>
      <c r="CN375" s="642">
        <f t="shared" si="75"/>
        <v>1000000000.0</v>
      </c>
      <c r="CO375" s="642">
        <f>2*$AD$61*MAX(0,$J$58+I375-$J$64)+IF(L375&lt;$J$38,1000000,0)</f>
        <v>198.9725277647059</v>
      </c>
      <c r="CP375" s="642">
        <f>2*IF($J$175&gt;0,IF($J$392/MIN($J$175,K375)&gt;$M$5*VLOOKUP($L$5,Taxas!$V$22:$W$30,2)/L375,$J$391/MIN($J$175,K375),$J$389/L375),$J$389/L375)</f>
        <v>0.3828154026666668</v>
      </c>
    </row>
    <row r="376" spans="9:94" hidden="1" x14ac:dyDescent="0.25">
      <c r="I376" s="642">
        <f>MIN(5*74,$J$57/2)</f>
        <v>370.0</v>
      </c>
      <c r="J376" s="646">
        <f t="shared" ca="1" si="73"/>
        <v>0.048859517098708304</v>
      </c>
      <c r="K376" s="642">
        <f t="shared" ca="1" si="74"/>
        <v>30.0</v>
      </c>
      <c r="L376" s="642">
        <f ca="1">MIN(ROUNDDOWN($M$5*VLOOKUP($L$5,Taxas!$V$22:$W$30,2)/J376*2,0)/2,K376)</f>
        <v>30.0</v>
      </c>
      <c r="M376" s="642">
        <f ca="1">MIN(ROUNDDOWN($M$6*VLOOKUP($L$6,Taxas!$V$22:$W$30,2)/J376*2,0)/2,K376)</f>
        <v>30.0</v>
      </c>
      <c r="N376" s="642">
        <f t="shared" si="78"/>
        <v>1000000000.0</v>
      </c>
      <c r="O376" s="642">
        <f t="shared" si="78"/>
        <v>1000000000.0</v>
      </c>
      <c r="P376" s="642">
        <f t="shared" si="78"/>
        <v>1000000000.0</v>
      </c>
      <c r="Q376" s="642">
        <f t="shared" si="78"/>
        <v>1000000000.0</v>
      </c>
      <c r="R376" s="642">
        <f t="shared" si="78"/>
        <v>1000000000.0</v>
      </c>
      <c r="S376" s="642">
        <f t="shared" si="78"/>
        <v>1000000000.0</v>
      </c>
      <c r="T376" s="642">
        <f t="shared" si="78"/>
        <v>1000000000.0</v>
      </c>
      <c r="U376" s="642">
        <f t="shared" si="78"/>
        <v>1000000000.0</v>
      </c>
      <c r="V376" s="642">
        <f t="shared" si="78"/>
        <v>1000000000.0</v>
      </c>
      <c r="W376" s="642">
        <f t="shared" si="78"/>
        <v>1000000000.0</v>
      </c>
      <c r="X376" s="642">
        <f t="shared" si="79"/>
        <v>1000000000.0</v>
      </c>
      <c r="Y376" s="642">
        <f t="shared" si="79"/>
        <v>1000000000.0</v>
      </c>
      <c r="Z376" s="642">
        <f t="shared" si="79"/>
        <v>1000000000.0</v>
      </c>
      <c r="AA376" s="642">
        <f t="shared" si="79"/>
        <v>1000000000.0</v>
      </c>
      <c r="AB376" s="642">
        <f t="shared" si="79"/>
        <v>1000000000.0</v>
      </c>
      <c r="AC376" s="642">
        <f t="shared" si="79"/>
        <v>1000000000.0</v>
      </c>
      <c r="AD376" s="642">
        <f t="shared" si="79"/>
        <v>1000000000.0</v>
      </c>
      <c r="AE376" s="642">
        <f t="shared" si="79"/>
        <v>1000000000.0</v>
      </c>
      <c r="AF376" s="642">
        <f t="shared" si="79"/>
        <v>1000000000.0</v>
      </c>
      <c r="AG376" s="642">
        <f t="shared" si="79"/>
        <v>1000000000.0</v>
      </c>
      <c r="AH376" s="642">
        <f t="shared" si="80"/>
        <v>1000000000.0</v>
      </c>
      <c r="AI376" s="642">
        <f t="shared" si="80"/>
        <v>1000000000.0</v>
      </c>
      <c r="AJ376" s="642">
        <f t="shared" si="80"/>
        <v>1000000000.0</v>
      </c>
      <c r="AK376" s="642">
        <f t="shared" si="80"/>
        <v>1000000000.0</v>
      </c>
      <c r="AL376" s="642">
        <f t="shared" si="80"/>
        <v>1000000000.0</v>
      </c>
      <c r="AM376" s="642">
        <f t="shared" si="80"/>
        <v>1000000000.0</v>
      </c>
      <c r="AN376" s="642">
        <f t="shared" si="80"/>
        <v>1000000000.0</v>
      </c>
      <c r="AO376" s="642">
        <f t="shared" si="80"/>
        <v>1000000000.0</v>
      </c>
      <c r="AP376" s="642">
        <f t="shared" si="80"/>
        <v>1000000000.0</v>
      </c>
      <c r="AQ376" s="642">
        <f t="shared" si="80"/>
        <v>1000000000.0</v>
      </c>
      <c r="AR376" s="642">
        <f t="shared" si="81"/>
        <v>1000000000.0</v>
      </c>
      <c r="AS376" s="642">
        <f t="shared" si="81"/>
        <v>1000000000.0</v>
      </c>
      <c r="AT376" s="642">
        <f t="shared" si="81"/>
        <v>1000000000.0</v>
      </c>
      <c r="AU376" s="642">
        <f t="shared" si="81"/>
        <v>1000000000.0</v>
      </c>
      <c r="AV376" s="642">
        <f t="shared" si="81"/>
        <v>1000000000.0</v>
      </c>
      <c r="AW376" s="642">
        <f t="shared" si="81"/>
        <v>1000000000.0</v>
      </c>
      <c r="AX376" s="642">
        <f t="shared" si="81"/>
        <v>1000000000.0</v>
      </c>
      <c r="AY376" s="642">
        <f t="shared" si="81"/>
        <v>1000000000.0</v>
      </c>
      <c r="AZ376" s="642">
        <f t="shared" si="81"/>
        <v>1000000000.0</v>
      </c>
      <c r="BA376" s="642">
        <f t="shared" si="81"/>
        <v>1000000000.0</v>
      </c>
      <c r="BB376" s="642">
        <f t="shared" si="82"/>
        <v>1000000000.0</v>
      </c>
      <c r="BC376" s="642">
        <f t="shared" si="82"/>
        <v>1000000000.0</v>
      </c>
      <c r="BD376" s="642">
        <f t="shared" si="82"/>
        <v>1000000000.0</v>
      </c>
      <c r="BE376" s="642">
        <f t="shared" si="82"/>
        <v>1000000000.0</v>
      </c>
      <c r="BF376" s="642">
        <f t="shared" si="82"/>
        <v>1000000000.0</v>
      </c>
      <c r="BG376" s="642">
        <f t="shared" si="82"/>
        <v>1000000000.0</v>
      </c>
      <c r="BH376" s="642">
        <f t="shared" si="82"/>
        <v>1000000000.0</v>
      </c>
      <c r="BI376" s="642">
        <f t="shared" si="82"/>
        <v>1000000000.0</v>
      </c>
      <c r="BJ376" s="642">
        <f t="shared" si="82"/>
        <v>1000000000.0</v>
      </c>
      <c r="BK376" s="642">
        <f t="shared" si="82"/>
        <v>1000000000.0</v>
      </c>
      <c r="BL376" s="642">
        <f t="shared" si="83"/>
        <v>1000000000.0</v>
      </c>
      <c r="BM376" s="642">
        <f t="shared" si="83"/>
        <v>1000000000.0</v>
      </c>
      <c r="BN376" s="642">
        <f t="shared" si="83"/>
        <v>1000000000.0</v>
      </c>
      <c r="BO376" s="642">
        <f t="shared" si="83"/>
        <v>1000000000.0</v>
      </c>
      <c r="BP376" s="642">
        <f t="shared" si="83"/>
        <v>1000000000.0</v>
      </c>
      <c r="BQ376" s="642">
        <f t="shared" si="83"/>
        <v>1000000000.0</v>
      </c>
      <c r="BR376" s="642">
        <f t="shared" si="83"/>
        <v>1000000000.0</v>
      </c>
      <c r="BS376" s="642">
        <f t="shared" si="83"/>
        <v>1000000000.0</v>
      </c>
      <c r="BT376" s="642">
        <f t="shared" si="83"/>
        <v>1000000000.0</v>
      </c>
      <c r="BU376" s="642">
        <f t="shared" si="83"/>
        <v>1000000000.0</v>
      </c>
      <c r="BV376" s="642">
        <f t="shared" si="84"/>
        <v>1000000000.0</v>
      </c>
      <c r="BW376" s="642">
        <f t="shared" si="84"/>
        <v>1000000000.0</v>
      </c>
      <c r="BX376" s="642">
        <f t="shared" si="84"/>
        <v>1000000000.0</v>
      </c>
      <c r="BY376" s="642">
        <f t="shared" si="84"/>
        <v>1000000000.0</v>
      </c>
      <c r="BZ376" s="642">
        <f t="shared" si="84"/>
        <v>1000000000.0</v>
      </c>
      <c r="CA376" s="642">
        <f t="shared" si="84"/>
        <v>1000000000.0</v>
      </c>
      <c r="CB376" s="642">
        <f t="shared" si="84"/>
        <v>1000000000.0</v>
      </c>
      <c r="CC376" s="642">
        <f t="shared" si="84"/>
        <v>1000000000.0</v>
      </c>
      <c r="CD376" s="642">
        <f t="shared" si="84"/>
        <v>1000000000.0</v>
      </c>
      <c r="CE376" s="642">
        <f t="shared" si="84"/>
        <v>1000000000.0</v>
      </c>
      <c r="CF376" s="642">
        <f t="shared" si="85"/>
        <v>1000000000.0</v>
      </c>
      <c r="CG376" s="642">
        <f t="shared" si="85"/>
        <v>1000000000.0</v>
      </c>
      <c r="CH376" s="642">
        <f t="shared" si="85"/>
        <v>1000000000.0</v>
      </c>
      <c r="CI376" s="642">
        <f t="shared" si="85"/>
        <v>1000000000.0</v>
      </c>
      <c r="CJ376" s="642">
        <f t="shared" si="85"/>
        <v>1000000000.0</v>
      </c>
      <c r="CK376" s="642">
        <f t="shared" si="85"/>
        <v>1000000000.0</v>
      </c>
      <c r="CL376" s="642">
        <f t="shared" si="85"/>
        <v>1000000000.0</v>
      </c>
      <c r="CM376" s="642">
        <f t="shared" si="85"/>
        <v>1000000000.0</v>
      </c>
      <c r="CN376" s="642">
        <f t="shared" si="75"/>
        <v>1000000000.0</v>
      </c>
      <c r="CO376" s="642">
        <f>2*$AD$61*MAX(0,$J$58+I376-$J$64)+IF(L376&lt;$J$38,1000000,0)</f>
        <v>201.61142070588235</v>
      </c>
      <c r="CP376" s="642">
        <f>2*IF($J$175&gt;0,IF($J$392/MIN($J$175,K376)&gt;$M$5*VLOOKUP($L$5,Taxas!$V$22:$W$30,2)/L376,$J$391/MIN($J$175,K376),$J$389/L376),$J$389/L376)</f>
        <v>0.3828154026666668</v>
      </c>
    </row>
    <row r="377" spans="9:94" hidden="1" x14ac:dyDescent="0.25">
      <c r="I377" s="642">
        <f>MIN(5*75,$J$57/2)</f>
        <v>375.0</v>
      </c>
      <c r="J377" s="646">
        <f t="shared" ca="1" si="73"/>
        <v>0.048859517098708304</v>
      </c>
      <c r="K377" s="642">
        <f t="shared" ca="1" si="74"/>
        <v>30.0</v>
      </c>
      <c r="L377" s="642">
        <f ca="1">MIN(ROUNDDOWN($M$5*VLOOKUP($L$5,Taxas!$V$22:$W$30,2)/J377*2,0)/2,K377)</f>
        <v>30.0</v>
      </c>
      <c r="M377" s="642">
        <f ca="1">MIN(ROUNDDOWN($M$6*VLOOKUP($L$6,Taxas!$V$22:$W$30,2)/J377*2,0)/2,K377)</f>
        <v>30.0</v>
      </c>
      <c r="N377" s="642">
        <f t="shared" si="78"/>
        <v>1000000000.0</v>
      </c>
      <c r="O377" s="642">
        <f t="shared" si="78"/>
        <v>1000000000.0</v>
      </c>
      <c r="P377" s="642">
        <f t="shared" si="78"/>
        <v>1000000000.0</v>
      </c>
      <c r="Q377" s="642">
        <f t="shared" si="78"/>
        <v>1000000000.0</v>
      </c>
      <c r="R377" s="642">
        <f t="shared" si="78"/>
        <v>1000000000.0</v>
      </c>
      <c r="S377" s="642">
        <f t="shared" si="78"/>
        <v>1000000000.0</v>
      </c>
      <c r="T377" s="642">
        <f t="shared" si="78"/>
        <v>1000000000.0</v>
      </c>
      <c r="U377" s="642">
        <f t="shared" si="78"/>
        <v>1000000000.0</v>
      </c>
      <c r="V377" s="642">
        <f t="shared" si="78"/>
        <v>1000000000.0</v>
      </c>
      <c r="W377" s="642">
        <f t="shared" si="78"/>
        <v>1000000000.0</v>
      </c>
      <c r="X377" s="642">
        <f t="shared" si="79"/>
        <v>1000000000.0</v>
      </c>
      <c r="Y377" s="642">
        <f t="shared" si="79"/>
        <v>1000000000.0</v>
      </c>
      <c r="Z377" s="642">
        <f t="shared" si="79"/>
        <v>1000000000.0</v>
      </c>
      <c r="AA377" s="642">
        <f t="shared" si="79"/>
        <v>1000000000.0</v>
      </c>
      <c r="AB377" s="642">
        <f t="shared" si="79"/>
        <v>1000000000.0</v>
      </c>
      <c r="AC377" s="642">
        <f t="shared" si="79"/>
        <v>1000000000.0</v>
      </c>
      <c r="AD377" s="642">
        <f t="shared" si="79"/>
        <v>1000000000.0</v>
      </c>
      <c r="AE377" s="642">
        <f t="shared" si="79"/>
        <v>1000000000.0</v>
      </c>
      <c r="AF377" s="642">
        <f t="shared" si="79"/>
        <v>1000000000.0</v>
      </c>
      <c r="AG377" s="642">
        <f t="shared" si="79"/>
        <v>1000000000.0</v>
      </c>
      <c r="AH377" s="642">
        <f t="shared" si="80"/>
        <v>1000000000.0</v>
      </c>
      <c r="AI377" s="642">
        <f t="shared" si="80"/>
        <v>1000000000.0</v>
      </c>
      <c r="AJ377" s="642">
        <f t="shared" si="80"/>
        <v>1000000000.0</v>
      </c>
      <c r="AK377" s="642">
        <f t="shared" si="80"/>
        <v>1000000000.0</v>
      </c>
      <c r="AL377" s="642">
        <f t="shared" si="80"/>
        <v>1000000000.0</v>
      </c>
      <c r="AM377" s="642">
        <f t="shared" si="80"/>
        <v>1000000000.0</v>
      </c>
      <c r="AN377" s="642">
        <f t="shared" si="80"/>
        <v>1000000000.0</v>
      </c>
      <c r="AO377" s="642">
        <f t="shared" si="80"/>
        <v>1000000000.0</v>
      </c>
      <c r="AP377" s="642">
        <f t="shared" si="80"/>
        <v>1000000000.0</v>
      </c>
      <c r="AQ377" s="642">
        <f t="shared" si="80"/>
        <v>1000000000.0</v>
      </c>
      <c r="AR377" s="642">
        <f t="shared" si="81"/>
        <v>1000000000.0</v>
      </c>
      <c r="AS377" s="642">
        <f t="shared" si="81"/>
        <v>1000000000.0</v>
      </c>
      <c r="AT377" s="642">
        <f t="shared" si="81"/>
        <v>1000000000.0</v>
      </c>
      <c r="AU377" s="642">
        <f t="shared" si="81"/>
        <v>1000000000.0</v>
      </c>
      <c r="AV377" s="642">
        <f t="shared" si="81"/>
        <v>1000000000.0</v>
      </c>
      <c r="AW377" s="642">
        <f t="shared" si="81"/>
        <v>1000000000.0</v>
      </c>
      <c r="AX377" s="642">
        <f t="shared" si="81"/>
        <v>1000000000.0</v>
      </c>
      <c r="AY377" s="642">
        <f t="shared" si="81"/>
        <v>1000000000.0</v>
      </c>
      <c r="AZ377" s="642">
        <f t="shared" si="81"/>
        <v>1000000000.0</v>
      </c>
      <c r="BA377" s="642">
        <f t="shared" si="81"/>
        <v>1000000000.0</v>
      </c>
      <c r="BB377" s="642">
        <f t="shared" si="82"/>
        <v>1000000000.0</v>
      </c>
      <c r="BC377" s="642">
        <f t="shared" si="82"/>
        <v>1000000000.0</v>
      </c>
      <c r="BD377" s="642">
        <f t="shared" si="82"/>
        <v>1000000000.0</v>
      </c>
      <c r="BE377" s="642">
        <f t="shared" si="82"/>
        <v>1000000000.0</v>
      </c>
      <c r="BF377" s="642">
        <f t="shared" si="82"/>
        <v>1000000000.0</v>
      </c>
      <c r="BG377" s="642">
        <f t="shared" si="82"/>
        <v>1000000000.0</v>
      </c>
      <c r="BH377" s="642">
        <f t="shared" si="82"/>
        <v>1000000000.0</v>
      </c>
      <c r="BI377" s="642">
        <f t="shared" si="82"/>
        <v>1000000000.0</v>
      </c>
      <c r="BJ377" s="642">
        <f t="shared" si="82"/>
        <v>1000000000.0</v>
      </c>
      <c r="BK377" s="642">
        <f t="shared" si="82"/>
        <v>1000000000.0</v>
      </c>
      <c r="BL377" s="642">
        <f t="shared" si="83"/>
        <v>1000000000.0</v>
      </c>
      <c r="BM377" s="642">
        <f t="shared" si="83"/>
        <v>1000000000.0</v>
      </c>
      <c r="BN377" s="642">
        <f t="shared" si="83"/>
        <v>1000000000.0</v>
      </c>
      <c r="BO377" s="642">
        <f t="shared" si="83"/>
        <v>1000000000.0</v>
      </c>
      <c r="BP377" s="642">
        <f t="shared" si="83"/>
        <v>1000000000.0</v>
      </c>
      <c r="BQ377" s="642">
        <f t="shared" si="83"/>
        <v>1000000000.0</v>
      </c>
      <c r="BR377" s="642">
        <f t="shared" si="83"/>
        <v>1000000000.0</v>
      </c>
      <c r="BS377" s="642">
        <f t="shared" si="83"/>
        <v>1000000000.0</v>
      </c>
      <c r="BT377" s="642">
        <f t="shared" si="83"/>
        <v>1000000000.0</v>
      </c>
      <c r="BU377" s="642">
        <f t="shared" si="83"/>
        <v>1000000000.0</v>
      </c>
      <c r="BV377" s="642">
        <f t="shared" si="84"/>
        <v>1000000000.0</v>
      </c>
      <c r="BW377" s="642">
        <f t="shared" si="84"/>
        <v>1000000000.0</v>
      </c>
      <c r="BX377" s="642">
        <f t="shared" si="84"/>
        <v>1000000000.0</v>
      </c>
      <c r="BY377" s="642">
        <f t="shared" si="84"/>
        <v>1000000000.0</v>
      </c>
      <c r="BZ377" s="642">
        <f t="shared" si="84"/>
        <v>1000000000.0</v>
      </c>
      <c r="CA377" s="642">
        <f t="shared" si="84"/>
        <v>1000000000.0</v>
      </c>
      <c r="CB377" s="642">
        <f t="shared" si="84"/>
        <v>1000000000.0</v>
      </c>
      <c r="CC377" s="642">
        <f t="shared" si="84"/>
        <v>1000000000.0</v>
      </c>
      <c r="CD377" s="642">
        <f t="shared" si="84"/>
        <v>1000000000.0</v>
      </c>
      <c r="CE377" s="642">
        <f t="shared" si="84"/>
        <v>1000000000.0</v>
      </c>
      <c r="CF377" s="642">
        <f t="shared" si="85"/>
        <v>1000000000.0</v>
      </c>
      <c r="CG377" s="642">
        <f t="shared" si="85"/>
        <v>1000000000.0</v>
      </c>
      <c r="CH377" s="642">
        <f t="shared" si="85"/>
        <v>1000000000.0</v>
      </c>
      <c r="CI377" s="642">
        <f t="shared" si="85"/>
        <v>1000000000.0</v>
      </c>
      <c r="CJ377" s="642">
        <f t="shared" si="85"/>
        <v>1000000000.0</v>
      </c>
      <c r="CK377" s="642">
        <f t="shared" si="85"/>
        <v>1000000000.0</v>
      </c>
      <c r="CL377" s="642">
        <f t="shared" si="85"/>
        <v>1000000000.0</v>
      </c>
      <c r="CM377" s="642">
        <f t="shared" si="85"/>
        <v>1000000000.0</v>
      </c>
      <c r="CN377" s="642">
        <f t="shared" si="75"/>
        <v>1000000000.0</v>
      </c>
      <c r="CO377" s="642">
        <f>2*$AD$61*MAX(0,$J$58+I377-$J$64)+IF(L377&lt;$J$38,1000000,0)</f>
        <v>204.25031364705882</v>
      </c>
      <c r="CP377" s="642">
        <f>2*IF($J$175&gt;0,IF($J$392/MIN($J$175,K377)&gt;$M$5*VLOOKUP($L$5,Taxas!$V$22:$W$30,2)/L377,$J$391/MIN($J$175,K377),$J$389/L377),$J$389/L377)</f>
        <v>0.3828154026666668</v>
      </c>
    </row>
    <row r="378" spans="9:94" hidden="1" x14ac:dyDescent="0.25">
      <c r="I378" s="642">
        <f>MIN(5*76,$J$57/2)</f>
        <v>380.0</v>
      </c>
      <c r="J378" s="646">
        <f t="shared" ca="1" si="73"/>
        <v>0.048859517098708304</v>
      </c>
      <c r="K378" s="642">
        <f t="shared" ca="1" si="74"/>
        <v>30.0</v>
      </c>
      <c r="L378" s="642">
        <f ca="1">MIN(ROUNDDOWN($M$5*VLOOKUP($L$5,Taxas!$V$22:$W$30,2)/J378*2,0)/2,K378)</f>
        <v>30.0</v>
      </c>
      <c r="M378" s="642">
        <f ca="1">MIN(ROUNDDOWN($M$6*VLOOKUP($L$6,Taxas!$V$22:$W$30,2)/J378*2,0)/2,K378)</f>
        <v>30.0</v>
      </c>
      <c r="N378" s="642">
        <f t="shared" si="78"/>
        <v>1000000000.0</v>
      </c>
      <c r="O378" s="642">
        <f t="shared" si="78"/>
        <v>1000000000.0</v>
      </c>
      <c r="P378" s="642">
        <f t="shared" si="78"/>
        <v>1000000000.0</v>
      </c>
      <c r="Q378" s="642">
        <f t="shared" si="78"/>
        <v>1000000000.0</v>
      </c>
      <c r="R378" s="642">
        <f t="shared" si="78"/>
        <v>1000000000.0</v>
      </c>
      <c r="S378" s="642">
        <f t="shared" si="78"/>
        <v>1000000000.0</v>
      </c>
      <c r="T378" s="642">
        <f t="shared" si="78"/>
        <v>1000000000.0</v>
      </c>
      <c r="U378" s="642">
        <f t="shared" si="78"/>
        <v>1000000000.0</v>
      </c>
      <c r="V378" s="642">
        <f t="shared" si="78"/>
        <v>1000000000.0</v>
      </c>
      <c r="W378" s="642">
        <f t="shared" si="78"/>
        <v>1000000000.0</v>
      </c>
      <c r="X378" s="642">
        <f t="shared" si="79"/>
        <v>1000000000.0</v>
      </c>
      <c r="Y378" s="642">
        <f t="shared" si="79"/>
        <v>1000000000.0</v>
      </c>
      <c r="Z378" s="642">
        <f t="shared" si="79"/>
        <v>1000000000.0</v>
      </c>
      <c r="AA378" s="642">
        <f t="shared" si="79"/>
        <v>1000000000.0</v>
      </c>
      <c r="AB378" s="642">
        <f t="shared" si="79"/>
        <v>1000000000.0</v>
      </c>
      <c r="AC378" s="642">
        <f t="shared" si="79"/>
        <v>1000000000.0</v>
      </c>
      <c r="AD378" s="642">
        <f t="shared" si="79"/>
        <v>1000000000.0</v>
      </c>
      <c r="AE378" s="642">
        <f t="shared" si="79"/>
        <v>1000000000.0</v>
      </c>
      <c r="AF378" s="642">
        <f t="shared" si="79"/>
        <v>1000000000.0</v>
      </c>
      <c r="AG378" s="642">
        <f t="shared" si="79"/>
        <v>1000000000.0</v>
      </c>
      <c r="AH378" s="642">
        <f t="shared" si="80"/>
        <v>1000000000.0</v>
      </c>
      <c r="AI378" s="642">
        <f t="shared" si="80"/>
        <v>1000000000.0</v>
      </c>
      <c r="AJ378" s="642">
        <f t="shared" si="80"/>
        <v>1000000000.0</v>
      </c>
      <c r="AK378" s="642">
        <f t="shared" si="80"/>
        <v>1000000000.0</v>
      </c>
      <c r="AL378" s="642">
        <f t="shared" si="80"/>
        <v>1000000000.0</v>
      </c>
      <c r="AM378" s="642">
        <f t="shared" si="80"/>
        <v>1000000000.0</v>
      </c>
      <c r="AN378" s="642">
        <f t="shared" si="80"/>
        <v>1000000000.0</v>
      </c>
      <c r="AO378" s="642">
        <f t="shared" si="80"/>
        <v>1000000000.0</v>
      </c>
      <c r="AP378" s="642">
        <f t="shared" si="80"/>
        <v>1000000000.0</v>
      </c>
      <c r="AQ378" s="642">
        <f t="shared" si="80"/>
        <v>1000000000.0</v>
      </c>
      <c r="AR378" s="642">
        <f t="shared" si="81"/>
        <v>1000000000.0</v>
      </c>
      <c r="AS378" s="642">
        <f t="shared" si="81"/>
        <v>1000000000.0</v>
      </c>
      <c r="AT378" s="642">
        <f t="shared" si="81"/>
        <v>1000000000.0</v>
      </c>
      <c r="AU378" s="642">
        <f t="shared" si="81"/>
        <v>1000000000.0</v>
      </c>
      <c r="AV378" s="642">
        <f t="shared" si="81"/>
        <v>1000000000.0</v>
      </c>
      <c r="AW378" s="642">
        <f t="shared" si="81"/>
        <v>1000000000.0</v>
      </c>
      <c r="AX378" s="642">
        <f t="shared" si="81"/>
        <v>1000000000.0</v>
      </c>
      <c r="AY378" s="642">
        <f t="shared" si="81"/>
        <v>1000000000.0</v>
      </c>
      <c r="AZ378" s="642">
        <f t="shared" si="81"/>
        <v>1000000000.0</v>
      </c>
      <c r="BA378" s="642">
        <f t="shared" si="81"/>
        <v>1000000000.0</v>
      </c>
      <c r="BB378" s="642">
        <f t="shared" si="82"/>
        <v>1000000000.0</v>
      </c>
      <c r="BC378" s="642">
        <f t="shared" si="82"/>
        <v>1000000000.0</v>
      </c>
      <c r="BD378" s="642">
        <f t="shared" si="82"/>
        <v>1000000000.0</v>
      </c>
      <c r="BE378" s="642">
        <f t="shared" si="82"/>
        <v>1000000000.0</v>
      </c>
      <c r="BF378" s="642">
        <f t="shared" si="82"/>
        <v>1000000000.0</v>
      </c>
      <c r="BG378" s="642">
        <f t="shared" si="82"/>
        <v>1000000000.0</v>
      </c>
      <c r="BH378" s="642">
        <f t="shared" si="82"/>
        <v>1000000000.0</v>
      </c>
      <c r="BI378" s="642">
        <f t="shared" si="82"/>
        <v>1000000000.0</v>
      </c>
      <c r="BJ378" s="642">
        <f t="shared" si="82"/>
        <v>1000000000.0</v>
      </c>
      <c r="BK378" s="642">
        <f t="shared" si="82"/>
        <v>1000000000.0</v>
      </c>
      <c r="BL378" s="642">
        <f t="shared" si="83"/>
        <v>1000000000.0</v>
      </c>
      <c r="BM378" s="642">
        <f t="shared" si="83"/>
        <v>1000000000.0</v>
      </c>
      <c r="BN378" s="642">
        <f t="shared" si="83"/>
        <v>1000000000.0</v>
      </c>
      <c r="BO378" s="642">
        <f t="shared" si="83"/>
        <v>1000000000.0</v>
      </c>
      <c r="BP378" s="642">
        <f t="shared" si="83"/>
        <v>1000000000.0</v>
      </c>
      <c r="BQ378" s="642">
        <f t="shared" si="83"/>
        <v>1000000000.0</v>
      </c>
      <c r="BR378" s="642">
        <f t="shared" si="83"/>
        <v>1000000000.0</v>
      </c>
      <c r="BS378" s="642">
        <f t="shared" si="83"/>
        <v>1000000000.0</v>
      </c>
      <c r="BT378" s="642">
        <f t="shared" si="83"/>
        <v>1000000000.0</v>
      </c>
      <c r="BU378" s="642">
        <f t="shared" si="83"/>
        <v>1000000000.0</v>
      </c>
      <c r="BV378" s="642">
        <f t="shared" si="84"/>
        <v>1000000000.0</v>
      </c>
      <c r="BW378" s="642">
        <f t="shared" si="84"/>
        <v>1000000000.0</v>
      </c>
      <c r="BX378" s="642">
        <f t="shared" si="84"/>
        <v>1000000000.0</v>
      </c>
      <c r="BY378" s="642">
        <f t="shared" si="84"/>
        <v>1000000000.0</v>
      </c>
      <c r="BZ378" s="642">
        <f t="shared" si="84"/>
        <v>1000000000.0</v>
      </c>
      <c r="CA378" s="642">
        <f t="shared" si="84"/>
        <v>1000000000.0</v>
      </c>
      <c r="CB378" s="642">
        <f t="shared" si="84"/>
        <v>1000000000.0</v>
      </c>
      <c r="CC378" s="642">
        <f t="shared" si="84"/>
        <v>1000000000.0</v>
      </c>
      <c r="CD378" s="642">
        <f t="shared" si="84"/>
        <v>1000000000.0</v>
      </c>
      <c r="CE378" s="642">
        <f t="shared" si="84"/>
        <v>1000000000.0</v>
      </c>
      <c r="CF378" s="642">
        <f t="shared" si="85"/>
        <v>1000000000.0</v>
      </c>
      <c r="CG378" s="642">
        <f t="shared" si="85"/>
        <v>1000000000.0</v>
      </c>
      <c r="CH378" s="642">
        <f t="shared" si="85"/>
        <v>1000000000.0</v>
      </c>
      <c r="CI378" s="642">
        <f t="shared" si="85"/>
        <v>1000000000.0</v>
      </c>
      <c r="CJ378" s="642">
        <f t="shared" si="85"/>
        <v>1000000000.0</v>
      </c>
      <c r="CK378" s="642">
        <f t="shared" si="85"/>
        <v>1000000000.0</v>
      </c>
      <c r="CL378" s="642">
        <f t="shared" si="85"/>
        <v>1000000000.0</v>
      </c>
      <c r="CM378" s="642">
        <f t="shared" si="85"/>
        <v>1000000000.0</v>
      </c>
      <c r="CN378" s="642">
        <f t="shared" si="75"/>
        <v>1000000000.0</v>
      </c>
      <c r="CO378" s="642">
        <f>2*$AD$61*MAX(0,$J$58+I378-$J$64)+IF(L378&lt;$J$38,1000000,0)</f>
        <v>206.88920658823528</v>
      </c>
      <c r="CP378" s="642">
        <f>2*IF($J$175&gt;0,IF($J$392/MIN($J$175,K378)&gt;$M$5*VLOOKUP($L$5,Taxas!$V$22:$W$30,2)/L378,$J$391/MIN($J$175,K378),$J$389/L378),$J$389/L378)</f>
        <v>0.3828154026666668</v>
      </c>
    </row>
    <row r="379" spans="9:94" hidden="1" x14ac:dyDescent="0.25">
      <c r="I379" s="642">
        <f>MIN(5*77,$J$57/2)</f>
        <v>385.0</v>
      </c>
      <c r="J379" s="646">
        <f t="shared" ca="1" si="73"/>
        <v>0.048859517098708304</v>
      </c>
      <c r="K379" s="642">
        <f t="shared" ca="1" si="74"/>
        <v>30.0</v>
      </c>
      <c r="L379" s="642">
        <f ca="1">MIN(ROUNDDOWN($M$5*VLOOKUP($L$5,Taxas!$V$22:$W$30,2)/J379*2,0)/2,K379)</f>
        <v>30.0</v>
      </c>
      <c r="M379" s="642">
        <f ca="1">MIN(ROUNDDOWN($M$6*VLOOKUP($L$6,Taxas!$V$22:$W$30,2)/J379*2,0)/2,K379)</f>
        <v>30.0</v>
      </c>
      <c r="N379" s="642">
        <f t="shared" si="78"/>
        <v>1000000000.0</v>
      </c>
      <c r="O379" s="642">
        <f t="shared" si="78"/>
        <v>1000000000.0</v>
      </c>
      <c r="P379" s="642">
        <f t="shared" si="78"/>
        <v>1000000000.0</v>
      </c>
      <c r="Q379" s="642">
        <f t="shared" si="78"/>
        <v>1000000000.0</v>
      </c>
      <c r="R379" s="642">
        <f t="shared" si="78"/>
        <v>1000000000.0</v>
      </c>
      <c r="S379" s="642">
        <f t="shared" si="78"/>
        <v>1000000000.0</v>
      </c>
      <c r="T379" s="642">
        <f t="shared" si="78"/>
        <v>1000000000.0</v>
      </c>
      <c r="U379" s="642">
        <f t="shared" si="78"/>
        <v>1000000000.0</v>
      </c>
      <c r="V379" s="642">
        <f t="shared" si="78"/>
        <v>1000000000.0</v>
      </c>
      <c r="W379" s="642">
        <f t="shared" si="78"/>
        <v>1000000000.0</v>
      </c>
      <c r="X379" s="642">
        <f t="shared" si="79"/>
        <v>1000000000.0</v>
      </c>
      <c r="Y379" s="642">
        <f t="shared" si="79"/>
        <v>1000000000.0</v>
      </c>
      <c r="Z379" s="642">
        <f t="shared" si="79"/>
        <v>1000000000.0</v>
      </c>
      <c r="AA379" s="642">
        <f t="shared" si="79"/>
        <v>1000000000.0</v>
      </c>
      <c r="AB379" s="642">
        <f t="shared" si="79"/>
        <v>1000000000.0</v>
      </c>
      <c r="AC379" s="642">
        <f t="shared" si="79"/>
        <v>1000000000.0</v>
      </c>
      <c r="AD379" s="642">
        <f t="shared" si="79"/>
        <v>1000000000.0</v>
      </c>
      <c r="AE379" s="642">
        <f t="shared" si="79"/>
        <v>1000000000.0</v>
      </c>
      <c r="AF379" s="642">
        <f t="shared" si="79"/>
        <v>1000000000.0</v>
      </c>
      <c r="AG379" s="642">
        <f t="shared" si="79"/>
        <v>1000000000.0</v>
      </c>
      <c r="AH379" s="642">
        <f t="shared" si="80"/>
        <v>1000000000.0</v>
      </c>
      <c r="AI379" s="642">
        <f t="shared" si="80"/>
        <v>1000000000.0</v>
      </c>
      <c r="AJ379" s="642">
        <f t="shared" si="80"/>
        <v>1000000000.0</v>
      </c>
      <c r="AK379" s="642">
        <f t="shared" si="80"/>
        <v>1000000000.0</v>
      </c>
      <c r="AL379" s="642">
        <f t="shared" si="80"/>
        <v>1000000000.0</v>
      </c>
      <c r="AM379" s="642">
        <f t="shared" si="80"/>
        <v>1000000000.0</v>
      </c>
      <c r="AN379" s="642">
        <f t="shared" si="80"/>
        <v>1000000000.0</v>
      </c>
      <c r="AO379" s="642">
        <f t="shared" si="80"/>
        <v>1000000000.0</v>
      </c>
      <c r="AP379" s="642">
        <f t="shared" si="80"/>
        <v>1000000000.0</v>
      </c>
      <c r="AQ379" s="642">
        <f t="shared" si="80"/>
        <v>1000000000.0</v>
      </c>
      <c r="AR379" s="642">
        <f t="shared" si="81"/>
        <v>1000000000.0</v>
      </c>
      <c r="AS379" s="642">
        <f t="shared" si="81"/>
        <v>1000000000.0</v>
      </c>
      <c r="AT379" s="642">
        <f t="shared" si="81"/>
        <v>1000000000.0</v>
      </c>
      <c r="AU379" s="642">
        <f t="shared" si="81"/>
        <v>1000000000.0</v>
      </c>
      <c r="AV379" s="642">
        <f t="shared" si="81"/>
        <v>1000000000.0</v>
      </c>
      <c r="AW379" s="642">
        <f t="shared" si="81"/>
        <v>1000000000.0</v>
      </c>
      <c r="AX379" s="642">
        <f t="shared" si="81"/>
        <v>1000000000.0</v>
      </c>
      <c r="AY379" s="642">
        <f t="shared" si="81"/>
        <v>1000000000.0</v>
      </c>
      <c r="AZ379" s="642">
        <f t="shared" si="81"/>
        <v>1000000000.0</v>
      </c>
      <c r="BA379" s="642">
        <f t="shared" si="81"/>
        <v>1000000000.0</v>
      </c>
      <c r="BB379" s="642">
        <f t="shared" si="82"/>
        <v>1000000000.0</v>
      </c>
      <c r="BC379" s="642">
        <f t="shared" si="82"/>
        <v>1000000000.0</v>
      </c>
      <c r="BD379" s="642">
        <f t="shared" si="82"/>
        <v>1000000000.0</v>
      </c>
      <c r="BE379" s="642">
        <f t="shared" si="82"/>
        <v>1000000000.0</v>
      </c>
      <c r="BF379" s="642">
        <f t="shared" si="82"/>
        <v>1000000000.0</v>
      </c>
      <c r="BG379" s="642">
        <f t="shared" si="82"/>
        <v>1000000000.0</v>
      </c>
      <c r="BH379" s="642">
        <f t="shared" si="82"/>
        <v>1000000000.0</v>
      </c>
      <c r="BI379" s="642">
        <f t="shared" si="82"/>
        <v>1000000000.0</v>
      </c>
      <c r="BJ379" s="642">
        <f t="shared" si="82"/>
        <v>1000000000.0</v>
      </c>
      <c r="BK379" s="642">
        <f t="shared" si="82"/>
        <v>1000000000.0</v>
      </c>
      <c r="BL379" s="642">
        <f t="shared" si="83"/>
        <v>1000000000.0</v>
      </c>
      <c r="BM379" s="642">
        <f t="shared" si="83"/>
        <v>1000000000.0</v>
      </c>
      <c r="BN379" s="642">
        <f t="shared" si="83"/>
        <v>1000000000.0</v>
      </c>
      <c r="BO379" s="642">
        <f t="shared" si="83"/>
        <v>1000000000.0</v>
      </c>
      <c r="BP379" s="642">
        <f t="shared" si="83"/>
        <v>1000000000.0</v>
      </c>
      <c r="BQ379" s="642">
        <f t="shared" si="83"/>
        <v>1000000000.0</v>
      </c>
      <c r="BR379" s="642">
        <f t="shared" si="83"/>
        <v>1000000000.0</v>
      </c>
      <c r="BS379" s="642">
        <f t="shared" si="83"/>
        <v>1000000000.0</v>
      </c>
      <c r="BT379" s="642">
        <f t="shared" si="83"/>
        <v>1000000000.0</v>
      </c>
      <c r="BU379" s="642">
        <f t="shared" si="83"/>
        <v>1000000000.0</v>
      </c>
      <c r="BV379" s="642">
        <f t="shared" si="84"/>
        <v>1000000000.0</v>
      </c>
      <c r="BW379" s="642">
        <f t="shared" si="84"/>
        <v>1000000000.0</v>
      </c>
      <c r="BX379" s="642">
        <f t="shared" si="84"/>
        <v>1000000000.0</v>
      </c>
      <c r="BY379" s="642">
        <f t="shared" si="84"/>
        <v>1000000000.0</v>
      </c>
      <c r="BZ379" s="642">
        <f t="shared" si="84"/>
        <v>1000000000.0</v>
      </c>
      <c r="CA379" s="642">
        <f t="shared" si="84"/>
        <v>1000000000.0</v>
      </c>
      <c r="CB379" s="642">
        <f t="shared" si="84"/>
        <v>1000000000.0</v>
      </c>
      <c r="CC379" s="642">
        <f t="shared" si="84"/>
        <v>1000000000.0</v>
      </c>
      <c r="CD379" s="642">
        <f t="shared" si="84"/>
        <v>1000000000.0</v>
      </c>
      <c r="CE379" s="642">
        <f t="shared" si="84"/>
        <v>1000000000.0</v>
      </c>
      <c r="CF379" s="642">
        <f t="shared" si="85"/>
        <v>1000000000.0</v>
      </c>
      <c r="CG379" s="642">
        <f t="shared" si="85"/>
        <v>1000000000.0</v>
      </c>
      <c r="CH379" s="642">
        <f t="shared" si="85"/>
        <v>1000000000.0</v>
      </c>
      <c r="CI379" s="642">
        <f t="shared" si="85"/>
        <v>1000000000.0</v>
      </c>
      <c r="CJ379" s="642">
        <f t="shared" si="85"/>
        <v>1000000000.0</v>
      </c>
      <c r="CK379" s="642">
        <f t="shared" si="85"/>
        <v>1000000000.0</v>
      </c>
      <c r="CL379" s="642">
        <f t="shared" si="85"/>
        <v>1000000000.0</v>
      </c>
      <c r="CM379" s="642">
        <f t="shared" si="85"/>
        <v>1000000000.0</v>
      </c>
      <c r="CN379" s="642">
        <f t="shared" si="75"/>
        <v>1000000000.0</v>
      </c>
      <c r="CO379" s="642">
        <f>2*$AD$61*MAX(0,$J$58+I379-$J$64)+IF(L379&lt;$J$38,1000000,0)</f>
        <v>209.52809952941178</v>
      </c>
      <c r="CP379" s="642">
        <f>2*IF($J$175&gt;0,IF($J$392/MIN($J$175,K379)&gt;$M$5*VLOOKUP($L$5,Taxas!$V$22:$W$30,2)/L379,$J$391/MIN($J$175,K379),$J$389/L379),$J$389/L379)</f>
        <v>0.3828154026666668</v>
      </c>
    </row>
    <row r="380" spans="9:94" hidden="1" x14ac:dyDescent="0.25">
      <c r="I380" s="642">
        <f>MIN(5*78,$J$57/2)</f>
        <v>390.0</v>
      </c>
      <c r="J380" s="646">
        <f t="shared" ca="1" si="73"/>
        <v>0.048859517098708304</v>
      </c>
      <c r="K380" s="642">
        <f t="shared" ca="1" si="74"/>
        <v>30.0</v>
      </c>
      <c r="L380" s="642">
        <f ca="1">MIN(ROUNDDOWN($M$5*VLOOKUP($L$5,Taxas!$V$22:$W$30,2)/J380*2,0)/2,K380)</f>
        <v>30.0</v>
      </c>
      <c r="M380" s="642">
        <f ca="1">MIN(ROUNDDOWN($M$6*VLOOKUP($L$6,Taxas!$V$22:$W$30,2)/J380*2,0)/2,K380)</f>
        <v>30.0</v>
      </c>
      <c r="N380" s="642">
        <f t="shared" si="78"/>
        <v>1000000000.0</v>
      </c>
      <c r="O380" s="642">
        <f t="shared" si="78"/>
        <v>1000000000.0</v>
      </c>
      <c r="P380" s="642">
        <f t="shared" si="78"/>
        <v>1000000000.0</v>
      </c>
      <c r="Q380" s="642">
        <f t="shared" si="78"/>
        <v>1000000000.0</v>
      </c>
      <c r="R380" s="642">
        <f t="shared" si="78"/>
        <v>1000000000.0</v>
      </c>
      <c r="S380" s="642">
        <f t="shared" si="78"/>
        <v>1000000000.0</v>
      </c>
      <c r="T380" s="642">
        <f t="shared" si="78"/>
        <v>1000000000.0</v>
      </c>
      <c r="U380" s="642">
        <f t="shared" si="78"/>
        <v>1000000000.0</v>
      </c>
      <c r="V380" s="642">
        <f t="shared" si="78"/>
        <v>1000000000.0</v>
      </c>
      <c r="W380" s="642">
        <f t="shared" si="78"/>
        <v>1000000000.0</v>
      </c>
      <c r="X380" s="642">
        <f t="shared" si="79"/>
        <v>1000000000.0</v>
      </c>
      <c r="Y380" s="642">
        <f t="shared" si="79"/>
        <v>1000000000.0</v>
      </c>
      <c r="Z380" s="642">
        <f t="shared" si="79"/>
        <v>1000000000.0</v>
      </c>
      <c r="AA380" s="642">
        <f t="shared" si="79"/>
        <v>1000000000.0</v>
      </c>
      <c r="AB380" s="642">
        <f t="shared" si="79"/>
        <v>1000000000.0</v>
      </c>
      <c r="AC380" s="642">
        <f t="shared" si="79"/>
        <v>1000000000.0</v>
      </c>
      <c r="AD380" s="642">
        <f t="shared" si="79"/>
        <v>1000000000.0</v>
      </c>
      <c r="AE380" s="642">
        <f t="shared" si="79"/>
        <v>1000000000.0</v>
      </c>
      <c r="AF380" s="642">
        <f t="shared" si="79"/>
        <v>1000000000.0</v>
      </c>
      <c r="AG380" s="642">
        <f t="shared" si="79"/>
        <v>1000000000.0</v>
      </c>
      <c r="AH380" s="642">
        <f t="shared" si="80"/>
        <v>1000000000.0</v>
      </c>
      <c r="AI380" s="642">
        <f t="shared" si="80"/>
        <v>1000000000.0</v>
      </c>
      <c r="AJ380" s="642">
        <f t="shared" si="80"/>
        <v>1000000000.0</v>
      </c>
      <c r="AK380" s="642">
        <f t="shared" si="80"/>
        <v>1000000000.0</v>
      </c>
      <c r="AL380" s="642">
        <f t="shared" si="80"/>
        <v>1000000000.0</v>
      </c>
      <c r="AM380" s="642">
        <f t="shared" si="80"/>
        <v>1000000000.0</v>
      </c>
      <c r="AN380" s="642">
        <f t="shared" si="80"/>
        <v>1000000000.0</v>
      </c>
      <c r="AO380" s="642">
        <f t="shared" si="80"/>
        <v>1000000000.0</v>
      </c>
      <c r="AP380" s="642">
        <f t="shared" si="80"/>
        <v>1000000000.0</v>
      </c>
      <c r="AQ380" s="642">
        <f t="shared" si="80"/>
        <v>1000000000.0</v>
      </c>
      <c r="AR380" s="642">
        <f t="shared" si="81"/>
        <v>1000000000.0</v>
      </c>
      <c r="AS380" s="642">
        <f t="shared" si="81"/>
        <v>1000000000.0</v>
      </c>
      <c r="AT380" s="642">
        <f t="shared" si="81"/>
        <v>1000000000.0</v>
      </c>
      <c r="AU380" s="642">
        <f t="shared" si="81"/>
        <v>1000000000.0</v>
      </c>
      <c r="AV380" s="642">
        <f t="shared" si="81"/>
        <v>1000000000.0</v>
      </c>
      <c r="AW380" s="642">
        <f t="shared" si="81"/>
        <v>1000000000.0</v>
      </c>
      <c r="AX380" s="642">
        <f t="shared" si="81"/>
        <v>1000000000.0</v>
      </c>
      <c r="AY380" s="642">
        <f t="shared" si="81"/>
        <v>1000000000.0</v>
      </c>
      <c r="AZ380" s="642">
        <f t="shared" si="81"/>
        <v>1000000000.0</v>
      </c>
      <c r="BA380" s="642">
        <f t="shared" si="81"/>
        <v>1000000000.0</v>
      </c>
      <c r="BB380" s="642">
        <f t="shared" si="82"/>
        <v>1000000000.0</v>
      </c>
      <c r="BC380" s="642">
        <f t="shared" si="82"/>
        <v>1000000000.0</v>
      </c>
      <c r="BD380" s="642">
        <f t="shared" si="82"/>
        <v>1000000000.0</v>
      </c>
      <c r="BE380" s="642">
        <f t="shared" si="82"/>
        <v>1000000000.0</v>
      </c>
      <c r="BF380" s="642">
        <f t="shared" si="82"/>
        <v>1000000000.0</v>
      </c>
      <c r="BG380" s="642">
        <f t="shared" si="82"/>
        <v>1000000000.0</v>
      </c>
      <c r="BH380" s="642">
        <f t="shared" si="82"/>
        <v>1000000000.0</v>
      </c>
      <c r="BI380" s="642">
        <f t="shared" si="82"/>
        <v>1000000000.0</v>
      </c>
      <c r="BJ380" s="642">
        <f t="shared" si="82"/>
        <v>1000000000.0</v>
      </c>
      <c r="BK380" s="642">
        <f t="shared" si="82"/>
        <v>1000000000.0</v>
      </c>
      <c r="BL380" s="642">
        <f t="shared" si="83"/>
        <v>1000000000.0</v>
      </c>
      <c r="BM380" s="642">
        <f t="shared" si="83"/>
        <v>1000000000.0</v>
      </c>
      <c r="BN380" s="642">
        <f t="shared" si="83"/>
        <v>1000000000.0</v>
      </c>
      <c r="BO380" s="642">
        <f t="shared" si="83"/>
        <v>1000000000.0</v>
      </c>
      <c r="BP380" s="642">
        <f t="shared" si="83"/>
        <v>1000000000.0</v>
      </c>
      <c r="BQ380" s="642">
        <f t="shared" si="83"/>
        <v>1000000000.0</v>
      </c>
      <c r="BR380" s="642">
        <f t="shared" si="83"/>
        <v>1000000000.0</v>
      </c>
      <c r="BS380" s="642">
        <f t="shared" si="83"/>
        <v>1000000000.0</v>
      </c>
      <c r="BT380" s="642">
        <f t="shared" si="83"/>
        <v>1000000000.0</v>
      </c>
      <c r="BU380" s="642">
        <f t="shared" si="83"/>
        <v>1000000000.0</v>
      </c>
      <c r="BV380" s="642">
        <f t="shared" si="84"/>
        <v>1000000000.0</v>
      </c>
      <c r="BW380" s="642">
        <f t="shared" si="84"/>
        <v>1000000000.0</v>
      </c>
      <c r="BX380" s="642">
        <f t="shared" si="84"/>
        <v>1000000000.0</v>
      </c>
      <c r="BY380" s="642">
        <f t="shared" si="84"/>
        <v>1000000000.0</v>
      </c>
      <c r="BZ380" s="642">
        <f t="shared" si="84"/>
        <v>1000000000.0</v>
      </c>
      <c r="CA380" s="642">
        <f t="shared" si="84"/>
        <v>1000000000.0</v>
      </c>
      <c r="CB380" s="642">
        <f t="shared" si="84"/>
        <v>1000000000.0</v>
      </c>
      <c r="CC380" s="642">
        <f t="shared" si="84"/>
        <v>1000000000.0</v>
      </c>
      <c r="CD380" s="642">
        <f t="shared" si="84"/>
        <v>1000000000.0</v>
      </c>
      <c r="CE380" s="642">
        <f t="shared" si="84"/>
        <v>1000000000.0</v>
      </c>
      <c r="CF380" s="642">
        <f t="shared" si="85"/>
        <v>1000000000.0</v>
      </c>
      <c r="CG380" s="642">
        <f t="shared" si="85"/>
        <v>1000000000.0</v>
      </c>
      <c r="CH380" s="642">
        <f t="shared" si="85"/>
        <v>1000000000.0</v>
      </c>
      <c r="CI380" s="642">
        <f t="shared" si="85"/>
        <v>1000000000.0</v>
      </c>
      <c r="CJ380" s="642">
        <f t="shared" si="85"/>
        <v>1000000000.0</v>
      </c>
      <c r="CK380" s="642">
        <f t="shared" si="85"/>
        <v>1000000000.0</v>
      </c>
      <c r="CL380" s="642">
        <f t="shared" si="85"/>
        <v>1000000000.0</v>
      </c>
      <c r="CM380" s="642">
        <f t="shared" si="85"/>
        <v>1000000000.0</v>
      </c>
      <c r="CN380" s="642">
        <f t="shared" si="75"/>
        <v>1000000000.0</v>
      </c>
      <c r="CO380" s="642">
        <f>2*$AD$61*MAX(0,$J$58+I380-$J$64)+IF(L380&lt;$J$38,1000000,0)</f>
        <v>212.16699247058824</v>
      </c>
      <c r="CP380" s="642">
        <f>2*IF($J$175&gt;0,IF($J$392/MIN($J$175,K380)&gt;$M$5*VLOOKUP($L$5,Taxas!$V$22:$W$30,2)/L380,$J$391/MIN($J$175,K380),$J$389/L380),$J$389/L380)</f>
        <v>0.3828154026666668</v>
      </c>
    </row>
    <row r="382" spans="9:94" hidden="1" x14ac:dyDescent="0.25">
      <c r="I382" s="80" t="s">
        <v>2615</v>
      </c>
      <c r="J382" s="642">
        <f ca="1">MIN(CN303:CN380)</f>
        <v>170.91133989276295</v>
      </c>
    </row>
    <row r="383" spans="9:94" hidden="1" x14ac:dyDescent="0.25">
      <c r="I383" s="80" t="s">
        <v>2616</v>
      </c>
      <c r="J383" s="642">
        <f ca="1">MATCH($J$382,CN303:CN380,0)</f>
        <v>17.0</v>
      </c>
    </row>
    <row r="384" spans="9:94" hidden="1" x14ac:dyDescent="0.25">
      <c r="I384" s="80" t="s">
        <v>2617</v>
      </c>
      <c r="J384" s="642">
        <f ca="1">MATCH($J$382,INDEX(N303:CM380,J383,0),0)</f>
        <v>33.0</v>
      </c>
    </row>
    <row r="385" spans="9:11" hidden="1" x14ac:dyDescent="0.25">
      <c r="I385" s="80" t="s">
        <v>2618</v>
      </c>
      <c r="J385" s="642">
        <f ca="1">INDEX(I303:I380,J383)</f>
        <v>85.0</v>
      </c>
    </row>
    <row r="386" spans="9:11" hidden="1" x14ac:dyDescent="0.25">
      <c r="I386" s="80" t="s">
        <v>2619</v>
      </c>
      <c r="J386" s="642">
        <f ca="1">INDEX(N302:CM302,J384)</f>
        <v>165.0</v>
      </c>
    </row>
    <row r="388" spans="9:11" hidden="1" x14ac:dyDescent="0.25">
      <c r="I388" s="80" t="s">
        <v>2620</v>
      </c>
      <c r="J388" s="646">
        <f>(VLOOKUP($L$4,Taxas!$V$22:$Y$30,4)*CHOOSE(MIN(MAX($M$4,2),4)-1,$J$76,$J$77,$J$78)/100)</f>
        <v>2.243059</v>
      </c>
    </row>
    <row r="389" spans="9:11" hidden="1" x14ac:dyDescent="0.25">
      <c r="I389" s="80" t="s">
        <v>2621</v>
      </c>
      <c r="J389" s="646">
        <f>(VLOOKUP($L$5,Taxas!$V$22:$Y$30,4)*CHOOSE(MIN(MAX($M$5,2),4)-1,$J$76,$J$77,$J$78)/100)</f>
        <v>2.243059</v>
      </c>
    </row>
    <row r="390" spans="9:11" hidden="1" x14ac:dyDescent="0.25">
      <c r="I390" s="80" t="s">
        <v>2622</v>
      </c>
      <c r="J390" s="646">
        <f>(VLOOKUP($L$6,Taxas!$V$22:$Y$30,4)*CHOOSE(MIN(MAX($M$6,2),4)-1,$J$76,$J$77,$J$78)/100)</f>
        <v>2.243059</v>
      </c>
    </row>
    <row r="391">
      <c r="I391" t="inlineStr">
        <is>
          <t>kg/estribo ligação</t>
        </is>
      </c>
      <c r="J391" s="646">
        <f>VLOOKUP($L$7,Taxas!$V$22:$Y$30,4)*CHOOSE(MIN(MAX($M$7,2),4)-1,$J$76,$J$77,$J$78)/100</f>
        <v>1.4355577600000005</v>
      </c>
    </row>
    <row r="392">
      <c r="I392" t="inlineStr">
        <is>
          <t>As estribo ligação</t>
        </is>
      </c>
      <c r="J392" s="646">
        <f>$M$7*VLOOKUP($L$7,Taxas!$V$22:$W$30,2)</f>
        <v>1.0048000000000001</v>
      </c>
    </row>
    <row r="393" spans="9:11" hidden="1" x14ac:dyDescent="0.25">
      <c r="I393" t="inlineStr">
        <is>
          <t>As coordenadas dos desenhos estão na aba oculta "Desenho (dados)".</t>
        </is>
      </c>
    </row>
    <row r="394" spans="9:11" hidden="1" x14ac:dyDescent="0.25">
      <c r="I394"/>
      <c r="J394"/>
      <c r="K394"/>
    </row>
    <row r="395" spans="9:11" hidden="1" x14ac:dyDescent="0.25">
      <c r="I395"/>
      <c r="J395"/>
      <c r="K395"/>
    </row>
    <row r="396" spans="9:11" hidden="1" x14ac:dyDescent="0.25">
      <c r="J396"/>
      <c r="K396"/>
    </row>
    <row r="397" spans="9:11" hidden="1" x14ac:dyDescent="0.25">
      <c r="J397"/>
      <c r="K397"/>
    </row>
    <row r="398" spans="9:11" hidden="1" x14ac:dyDescent="0.25">
      <c r="J398"/>
      <c r="K398"/>
    </row>
    <row r="399" spans="9:11" hidden="1" x14ac:dyDescent="0.25">
      <c r="J399"/>
      <c r="K399"/>
    </row>
    <row r="400" spans="9:11" hidden="1" x14ac:dyDescent="0.25">
      <c r="I400"/>
      <c r="J400"/>
      <c r="K400"/>
    </row>
    <row r="401" spans="9:11" hidden="1" x14ac:dyDescent="0.25">
      <c r="J401"/>
      <c r="K401"/>
    </row>
    <row r="402" spans="9:11" hidden="1" x14ac:dyDescent="0.25">
      <c r="J402"/>
      <c r="K402"/>
    </row>
    <row r="403" spans="9:11" hidden="1" x14ac:dyDescent="0.25">
      <c r="J403"/>
      <c r="K403"/>
    </row>
    <row r="404" spans="9:11" hidden="1" x14ac:dyDescent="0.25">
      <c r="I404"/>
      <c r="J404"/>
      <c r="K404"/>
    </row>
    <row r="405" spans="9:11" hidden="1" x14ac:dyDescent="0.25">
      <c r="J405"/>
      <c r="K405"/>
    </row>
    <row r="406" spans="9:11" hidden="1" x14ac:dyDescent="0.25">
      <c r="I406"/>
      <c r="J406"/>
      <c r="K406"/>
    </row>
    <row r="407" spans="9:11" hidden="1" x14ac:dyDescent="0.25">
      <c r="J407"/>
      <c r="K407"/>
    </row>
    <row r="408" spans="9:11" hidden="1" x14ac:dyDescent="0.25">
      <c r="J408"/>
      <c r="K408"/>
    </row>
    <row r="409" spans="9:11" hidden="1" x14ac:dyDescent="0.25">
      <c r="J409"/>
      <c r="K409"/>
    </row>
    <row r="410" spans="9:11" hidden="1" x14ac:dyDescent="0.25">
      <c r="J410"/>
      <c r="K410"/>
    </row>
    <row r="411" spans="9:11" hidden="1" x14ac:dyDescent="0.25">
      <c r="I411"/>
      <c r="J411"/>
      <c r="K411"/>
    </row>
    <row r="412" spans="9:11" hidden="1" x14ac:dyDescent="0.25">
      <c r="J412"/>
      <c r="K412"/>
    </row>
    <row r="413" spans="9:11" hidden="1" x14ac:dyDescent="0.25">
      <c r="I413"/>
      <c r="J413"/>
      <c r="K413"/>
    </row>
    <row r="414" spans="9:11" hidden="1" x14ac:dyDescent="0.25">
      <c r="J414"/>
      <c r="K414"/>
    </row>
    <row r="415" hidden="1"/>
    <row r="416" spans="9:11" hidden="1" x14ac:dyDescent="0.25">
      <c r="J416"/>
      <c r="K416"/>
    </row>
    <row r="417" spans="10:11" hidden="1" x14ac:dyDescent="0.25">
      <c r="J417"/>
      <c r="K417"/>
    </row>
    <row r="418" hidden="1"/>
    <row r="419" spans="10:11" hidden="1" x14ac:dyDescent="0.25">
      <c r="J419"/>
      <c r="K419"/>
    </row>
    <row r="420" spans="10:11" hidden="1" x14ac:dyDescent="0.25">
      <c r="J420"/>
      <c r="K420"/>
    </row>
    <row r="421" hidden="1"/>
    <row r="422" spans="10:11" hidden="1" x14ac:dyDescent="0.25">
      <c r="J422"/>
      <c r="K422"/>
    </row>
    <row r="423" spans="10:11" hidden="1" x14ac:dyDescent="0.25">
      <c r="J423"/>
      <c r="K423"/>
    </row>
    <row r="424" hidden="1"/>
    <row r="425" spans="10:11" hidden="1" x14ac:dyDescent="0.25">
      <c r="J425"/>
      <c r="K425"/>
    </row>
    <row r="426" spans="10:11" hidden="1" x14ac:dyDescent="0.25">
      <c r="J426"/>
      <c r="K426"/>
    </row>
    <row r="427" hidden="1"/>
    <row r="428" spans="10:11" hidden="1" x14ac:dyDescent="0.25">
      <c r="J428"/>
      <c r="K428"/>
    </row>
    <row r="429" spans="10:11" hidden="1" x14ac:dyDescent="0.25">
      <c r="J429"/>
      <c r="K429"/>
    </row>
    <row r="430" hidden="1"/>
    <row r="431" spans="10:11" hidden="1" x14ac:dyDescent="0.25">
      <c r="J431"/>
      <c r="K431"/>
    </row>
    <row r="432" spans="10:11" hidden="1" x14ac:dyDescent="0.25">
      <c r="J432"/>
      <c r="K432"/>
    </row>
    <row r="433" hidden="1"/>
    <row r="434" spans="10:11" hidden="1" x14ac:dyDescent="0.25">
      <c r="J434"/>
      <c r="K434"/>
    </row>
    <row r="435" spans="10:11" hidden="1" x14ac:dyDescent="0.25">
      <c r="J435"/>
      <c r="K435"/>
    </row>
    <row r="436" hidden="1"/>
    <row r="437" spans="10:11" hidden="1" x14ac:dyDescent="0.25">
      <c r="J437"/>
      <c r="K437"/>
    </row>
    <row r="438" spans="10:11" hidden="1" x14ac:dyDescent="0.25">
      <c r="J438"/>
      <c r="K438"/>
    </row>
    <row r="439" hidden="1"/>
    <row r="440" spans="10:11" hidden="1" x14ac:dyDescent="0.25">
      <c r="J440"/>
      <c r="K440"/>
    </row>
    <row r="441" spans="10:11" hidden="1" x14ac:dyDescent="0.25">
      <c r="J441"/>
      <c r="K441"/>
    </row>
    <row r="442" hidden="1"/>
    <row r="443" spans="10:11" hidden="1" x14ac:dyDescent="0.25">
      <c r="J443"/>
      <c r="K443"/>
    </row>
    <row r="444" spans="10:11" hidden="1" x14ac:dyDescent="0.25">
      <c r="J444"/>
      <c r="K444"/>
    </row>
    <row r="445" hidden="1"/>
    <row r="446" spans="10:11" hidden="1" x14ac:dyDescent="0.25">
      <c r="J446"/>
      <c r="K446"/>
    </row>
    <row r="447" spans="10:11" hidden="1" x14ac:dyDescent="0.25">
      <c r="J447"/>
      <c r="K447"/>
    </row>
    <row r="448" hidden="1"/>
    <row r="449" spans="10:11" hidden="1" x14ac:dyDescent="0.25">
      <c r="J449"/>
      <c r="K449"/>
    </row>
    <row r="450" spans="10:11" hidden="1" x14ac:dyDescent="0.25">
      <c r="J450"/>
      <c r="K450"/>
    </row>
    <row r="451" hidden="1"/>
    <row r="452" spans="10:11" hidden="1" x14ac:dyDescent="0.25">
      <c r="J452"/>
      <c r="K452"/>
    </row>
    <row r="453" spans="10:11" hidden="1" x14ac:dyDescent="0.25">
      <c r="J453"/>
      <c r="K453"/>
    </row>
    <row r="454" hidden="1"/>
    <row r="455" spans="10:11" hidden="1" x14ac:dyDescent="0.25">
      <c r="J455"/>
      <c r="K455"/>
    </row>
    <row r="456" spans="10:11" hidden="1" x14ac:dyDescent="0.25">
      <c r="J456"/>
      <c r="K456"/>
    </row>
    <row r="457" hidden="1"/>
    <row r="458" spans="10:11" hidden="1" x14ac:dyDescent="0.25">
      <c r="J458"/>
      <c r="K458"/>
    </row>
    <row r="459" spans="10:11" hidden="1" x14ac:dyDescent="0.25">
      <c r="J459"/>
      <c r="K459"/>
    </row>
    <row r="460" hidden="1"/>
    <row r="461" spans="10:11" hidden="1" x14ac:dyDescent="0.25">
      <c r="J461"/>
      <c r="K461"/>
    </row>
    <row r="462" spans="10:11" hidden="1" x14ac:dyDescent="0.25">
      <c r="J462"/>
      <c r="K462"/>
    </row>
    <row r="463" hidden="1"/>
    <row r="464" spans="10:11" hidden="1" x14ac:dyDescent="0.25">
      <c r="J464"/>
      <c r="K464"/>
    </row>
    <row r="465" spans="10:11" hidden="1" x14ac:dyDescent="0.25">
      <c r="J465"/>
      <c r="K465"/>
    </row>
    <row r="466" hidden="1"/>
    <row r="467" spans="10:11" hidden="1" x14ac:dyDescent="0.25">
      <c r="J467"/>
      <c r="K467"/>
    </row>
    <row r="468" spans="10:11" hidden="1" x14ac:dyDescent="0.25">
      <c r="J468"/>
      <c r="K468"/>
    </row>
    <row r="469" hidden="1"/>
    <row r="470" spans="10:11" hidden="1" x14ac:dyDescent="0.25">
      <c r="J470"/>
      <c r="K470"/>
    </row>
    <row r="471" spans="10:11" hidden="1" x14ac:dyDescent="0.25">
      <c r="J471"/>
      <c r="K471"/>
    </row>
    <row r="472" hidden="1"/>
    <row r="473" spans="10:11" hidden="1" x14ac:dyDescent="0.25">
      <c r="J473"/>
      <c r="K473"/>
    </row>
    <row r="474" spans="10:11" hidden="1" x14ac:dyDescent="0.25">
      <c r="J474"/>
      <c r="K474"/>
    </row>
    <row r="475" hidden="1"/>
    <row r="476" spans="10:11" hidden="1" x14ac:dyDescent="0.25">
      <c r="J476"/>
      <c r="K476"/>
    </row>
    <row r="477" spans="10:11" hidden="1" x14ac:dyDescent="0.25">
      <c r="J477"/>
      <c r="K477"/>
    </row>
    <row r="478" hidden="1"/>
    <row r="479" spans="10:11" hidden="1" x14ac:dyDescent="0.25">
      <c r="J479"/>
      <c r="K479"/>
    </row>
    <row r="480" spans="10:11" hidden="1" x14ac:dyDescent="0.25">
      <c r="J480"/>
      <c r="K480"/>
    </row>
    <row r="481" hidden="1"/>
    <row r="482" spans="10:11" hidden="1" x14ac:dyDescent="0.25">
      <c r="J482"/>
      <c r="K482"/>
    </row>
    <row r="483" spans="10:11" hidden="1" x14ac:dyDescent="0.25">
      <c r="J483"/>
      <c r="K483"/>
    </row>
    <row r="484" hidden="1"/>
    <row r="485" spans="10:11" hidden="1" x14ac:dyDescent="0.25">
      <c r="J485"/>
      <c r="K485"/>
    </row>
    <row r="486" spans="10:11" hidden="1" x14ac:dyDescent="0.25">
      <c r="J486"/>
      <c r="K486"/>
    </row>
    <row r="487" hidden="1"/>
    <row r="488" spans="10:11" hidden="1" x14ac:dyDescent="0.25">
      <c r="J488"/>
      <c r="K488"/>
    </row>
    <row r="489" spans="10:11" hidden="1" x14ac:dyDescent="0.25">
      <c r="J489"/>
      <c r="K489"/>
    </row>
    <row r="490" hidden="1"/>
    <row r="491" spans="10:11" hidden="1" x14ac:dyDescent="0.25">
      <c r="J491"/>
      <c r="K491"/>
    </row>
    <row r="492" spans="10:11" hidden="1" x14ac:dyDescent="0.25">
      <c r="J492"/>
      <c r="K492"/>
    </row>
    <row r="493" hidden="1"/>
    <row r="494" spans="10:11" hidden="1" x14ac:dyDescent="0.25">
      <c r="J494"/>
      <c r="K494"/>
    </row>
    <row r="495" spans="10:11" hidden="1" x14ac:dyDescent="0.25">
      <c r="J495"/>
      <c r="K495"/>
    </row>
    <row r="496" hidden="1"/>
    <row r="497" spans="10:11" hidden="1" x14ac:dyDescent="0.25">
      <c r="J497"/>
      <c r="K497"/>
    </row>
    <row r="498" spans="10:11" hidden="1" x14ac:dyDescent="0.25">
      <c r="J498"/>
      <c r="K498"/>
    </row>
    <row r="499" hidden="1"/>
    <row r="500" spans="10:11" hidden="1" x14ac:dyDescent="0.25">
      <c r="J500"/>
      <c r="K500"/>
    </row>
    <row r="501" spans="10:11" hidden="1" x14ac:dyDescent="0.25">
      <c r="J501"/>
      <c r="K501"/>
    </row>
    <row r="502" hidden="1"/>
    <row r="503" spans="10:11" hidden="1" x14ac:dyDescent="0.25">
      <c r="J503"/>
      <c r="K503"/>
    </row>
    <row r="504" spans="10:11" hidden="1" x14ac:dyDescent="0.25">
      <c r="J504"/>
      <c r="K504"/>
    </row>
    <row r="505" hidden="1"/>
    <row r="506" spans="10:11" hidden="1" x14ac:dyDescent="0.25">
      <c r="J506"/>
      <c r="K506"/>
    </row>
    <row r="507" spans="10:11" hidden="1" x14ac:dyDescent="0.25">
      <c r="J507"/>
      <c r="K507"/>
    </row>
    <row r="508" hidden="1"/>
    <row r="509" spans="10:11" hidden="1" x14ac:dyDescent="0.25">
      <c r="J509"/>
      <c r="K509"/>
    </row>
    <row r="510" spans="10:11" hidden="1" x14ac:dyDescent="0.25">
      <c r="J510"/>
      <c r="K510"/>
    </row>
    <row r="511" hidden="1"/>
    <row r="512" spans="10:11" hidden="1" x14ac:dyDescent="0.25">
      <c r="J512"/>
      <c r="K512"/>
    </row>
    <row r="513" spans="10:11" hidden="1" x14ac:dyDescent="0.25">
      <c r="J513"/>
      <c r="K513"/>
    </row>
    <row r="514" hidden="1"/>
    <row r="515" spans="10:11" hidden="1" x14ac:dyDescent="0.25">
      <c r="J515"/>
      <c r="K515"/>
    </row>
    <row r="516" spans="10:11" hidden="1" x14ac:dyDescent="0.25">
      <c r="J516"/>
      <c r="K516"/>
    </row>
    <row r="517" hidden="1"/>
    <row r="518" spans="10:11" hidden="1" x14ac:dyDescent="0.25">
      <c r="J518"/>
      <c r="K518"/>
    </row>
    <row r="519" spans="10:11" hidden="1" x14ac:dyDescent="0.25">
      <c r="J519"/>
      <c r="K519"/>
    </row>
    <row r="520" hidden="1"/>
    <row r="521" spans="10:11" hidden="1" x14ac:dyDescent="0.25">
      <c r="J521"/>
      <c r="K521"/>
    </row>
    <row r="522" spans="10:11" hidden="1" x14ac:dyDescent="0.25">
      <c r="J522"/>
      <c r="K522"/>
    </row>
    <row r="523" hidden="1"/>
    <row r="524" spans="10:11" hidden="1" x14ac:dyDescent="0.25">
      <c r="J524"/>
      <c r="K524"/>
    </row>
    <row r="525" spans="10:11" hidden="1" x14ac:dyDescent="0.25">
      <c r="J525"/>
      <c r="K525"/>
    </row>
    <row r="526" hidden="1"/>
    <row r="527" spans="10:11" hidden="1" x14ac:dyDescent="0.25">
      <c r="J527"/>
      <c r="K527"/>
    </row>
    <row r="528" spans="10:11" hidden="1" x14ac:dyDescent="0.25">
      <c r="J528"/>
      <c r="K528"/>
    </row>
    <row r="529" hidden="1"/>
    <row r="530" spans="9:11" hidden="1" x14ac:dyDescent="0.25">
      <c r="J530"/>
      <c r="K530"/>
    </row>
    <row r="531" spans="9:11" hidden="1" x14ac:dyDescent="0.25">
      <c r="J531"/>
      <c r="K531"/>
    </row>
    <row r="532" hidden="1"/>
    <row r="533" spans="9:11" hidden="1" x14ac:dyDescent="0.25">
      <c r="I533"/>
      <c r="J533"/>
      <c r="K533"/>
    </row>
    <row r="534" spans="9:11" hidden="1" x14ac:dyDescent="0.25">
      <c r="J534"/>
      <c r="K534"/>
    </row>
    <row r="535" hidden="1"/>
    <row r="536" spans="9:11" hidden="1" x14ac:dyDescent="0.25">
      <c r="J536"/>
      <c r="K536"/>
    </row>
    <row r="537" spans="9:11" hidden="1" x14ac:dyDescent="0.25">
      <c r="J537"/>
      <c r="K537"/>
    </row>
    <row r="538" hidden="1"/>
    <row r="539" spans="9:11" hidden="1" x14ac:dyDescent="0.25">
      <c r="J539"/>
      <c r="K539"/>
    </row>
    <row r="540" spans="9:11" hidden="1" x14ac:dyDescent="0.25">
      <c r="J540"/>
      <c r="K540"/>
    </row>
    <row r="541" hidden="1"/>
    <row r="542" spans="9:11" hidden="1" x14ac:dyDescent="0.25">
      <c r="J542"/>
      <c r="K542"/>
    </row>
    <row r="543" spans="9:11" hidden="1" x14ac:dyDescent="0.25">
      <c r="J543"/>
      <c r="K543"/>
    </row>
    <row r="544" hidden="1"/>
    <row r="545" spans="10:11" hidden="1" x14ac:dyDescent="0.25">
      <c r="J545"/>
      <c r="K545"/>
    </row>
    <row r="546" spans="10:11" hidden="1" x14ac:dyDescent="0.25">
      <c r="J546"/>
      <c r="K546"/>
    </row>
    <row r="547" hidden="1"/>
    <row r="548" spans="10:11" hidden="1" x14ac:dyDescent="0.25">
      <c r="J548"/>
      <c r="K548"/>
    </row>
    <row r="549" spans="10:11" hidden="1" x14ac:dyDescent="0.25">
      <c r="J549"/>
      <c r="K549"/>
    </row>
    <row r="550" hidden="1"/>
    <row r="551" spans="10:11" hidden="1" x14ac:dyDescent="0.25">
      <c r="J551"/>
      <c r="K551"/>
    </row>
    <row r="552" spans="10:11" hidden="1" x14ac:dyDescent="0.25">
      <c r="J552"/>
      <c r="K552"/>
    </row>
    <row r="553" hidden="1"/>
    <row r="554" spans="10:11" hidden="1" x14ac:dyDescent="0.25">
      <c r="J554"/>
      <c r="K554"/>
    </row>
    <row r="555" spans="10:11" hidden="1" x14ac:dyDescent="0.25">
      <c r="J555"/>
      <c r="K555"/>
    </row>
    <row r="556" hidden="1"/>
    <row r="557" spans="10:11" hidden="1" x14ac:dyDescent="0.25">
      <c r="J557"/>
      <c r="K557"/>
    </row>
    <row r="558" spans="10:11" hidden="1" x14ac:dyDescent="0.25">
      <c r="J558"/>
      <c r="K558"/>
    </row>
    <row r="559" hidden="1"/>
    <row r="560" spans="10:11" hidden="1" x14ac:dyDescent="0.25">
      <c r="J560"/>
      <c r="K560"/>
    </row>
    <row r="561" spans="10:11" hidden="1" x14ac:dyDescent="0.25">
      <c r="J561"/>
      <c r="K561"/>
    </row>
    <row r="562" hidden="1"/>
    <row r="563" spans="10:11" hidden="1" x14ac:dyDescent="0.25">
      <c r="J563"/>
      <c r="K563"/>
    </row>
    <row r="564" spans="10:11" hidden="1" x14ac:dyDescent="0.25">
      <c r="J564"/>
      <c r="K564"/>
    </row>
    <row r="565" hidden="1"/>
    <row r="566" spans="10:11" hidden="1" x14ac:dyDescent="0.25">
      <c r="J566"/>
      <c r="K566"/>
    </row>
    <row r="567" spans="10:11" hidden="1" x14ac:dyDescent="0.25">
      <c r="J567"/>
      <c r="K567"/>
    </row>
    <row r="568" hidden="1"/>
    <row r="569" spans="10:11" hidden="1" x14ac:dyDescent="0.25">
      <c r="J569"/>
      <c r="K569"/>
    </row>
    <row r="570" spans="10:11" hidden="1" x14ac:dyDescent="0.25">
      <c r="J570"/>
      <c r="K570"/>
    </row>
    <row r="571" hidden="1"/>
    <row r="572" spans="10:11" hidden="1" x14ac:dyDescent="0.25">
      <c r="J572"/>
      <c r="K572"/>
    </row>
    <row r="573" spans="10:11" hidden="1" x14ac:dyDescent="0.25">
      <c r="J573"/>
      <c r="K573"/>
    </row>
    <row r="574" hidden="1"/>
    <row r="575" spans="10:11" hidden="1" x14ac:dyDescent="0.25">
      <c r="J575"/>
      <c r="K575"/>
    </row>
    <row r="576" spans="10:11" hidden="1" x14ac:dyDescent="0.25">
      <c r="J576"/>
      <c r="K576"/>
    </row>
    <row r="577" hidden="1"/>
    <row r="578" spans="10:11" hidden="1" x14ac:dyDescent="0.25">
      <c r="J578"/>
      <c r="K578"/>
    </row>
    <row r="579" spans="10:11" hidden="1" x14ac:dyDescent="0.25">
      <c r="J579"/>
      <c r="K579"/>
    </row>
    <row r="580" hidden="1"/>
    <row r="581" spans="10:11" hidden="1" x14ac:dyDescent="0.25">
      <c r="J581"/>
      <c r="K581"/>
    </row>
    <row r="582" spans="10:11" hidden="1" x14ac:dyDescent="0.25">
      <c r="J582"/>
      <c r="K582"/>
    </row>
    <row r="583" hidden="1"/>
    <row r="584" spans="10:11" hidden="1" x14ac:dyDescent="0.25">
      <c r="J584"/>
      <c r="K584"/>
    </row>
    <row r="585" spans="10:11" hidden="1" x14ac:dyDescent="0.25">
      <c r="J585"/>
      <c r="K585"/>
    </row>
    <row r="586" hidden="1"/>
    <row r="587" spans="10:11" hidden="1" x14ac:dyDescent="0.25">
      <c r="J587"/>
      <c r="K587"/>
    </row>
    <row r="588" spans="10:11" hidden="1" x14ac:dyDescent="0.25">
      <c r="J588"/>
      <c r="K588"/>
    </row>
    <row r="589" hidden="1"/>
    <row r="590" spans="10:11" hidden="1" x14ac:dyDescent="0.25">
      <c r="J590"/>
      <c r="K590"/>
    </row>
    <row r="591" spans="10:11" hidden="1" x14ac:dyDescent="0.25">
      <c r="J591"/>
      <c r="K591"/>
    </row>
    <row r="592" hidden="1"/>
    <row r="593" spans="10:11" hidden="1" x14ac:dyDescent="0.25">
      <c r="J593"/>
      <c r="K593"/>
    </row>
    <row r="594" spans="10:11" hidden="1" x14ac:dyDescent="0.25">
      <c r="J594"/>
      <c r="K594"/>
    </row>
    <row r="595" hidden="1"/>
    <row r="596" spans="10:11" hidden="1" x14ac:dyDescent="0.25">
      <c r="J596"/>
      <c r="K596"/>
    </row>
    <row r="597" spans="10:11" hidden="1" x14ac:dyDescent="0.25">
      <c r="J597"/>
      <c r="K597"/>
    </row>
    <row r="598" hidden="1"/>
    <row r="599" spans="10:11" hidden="1" x14ac:dyDescent="0.25">
      <c r="J599"/>
      <c r="K599"/>
    </row>
    <row r="600" spans="10:11" hidden="1" x14ac:dyDescent="0.25">
      <c r="J600"/>
      <c r="K600"/>
    </row>
    <row r="601" hidden="1"/>
    <row r="602" spans="10:11" hidden="1" x14ac:dyDescent="0.25">
      <c r="J602"/>
      <c r="K602"/>
    </row>
    <row r="603" spans="10:11" hidden="1" x14ac:dyDescent="0.25">
      <c r="J603"/>
      <c r="K603"/>
    </row>
    <row r="604" hidden="1"/>
    <row r="605" spans="10:11" hidden="1" x14ac:dyDescent="0.25">
      <c r="J605"/>
      <c r="K605"/>
    </row>
    <row r="606" spans="10:11" hidden="1" x14ac:dyDescent="0.25">
      <c r="J606"/>
      <c r="K606"/>
    </row>
    <row r="607" hidden="1"/>
    <row r="608" spans="10:11" hidden="1" x14ac:dyDescent="0.25">
      <c r="J608"/>
      <c r="K608"/>
    </row>
    <row r="609" spans="10:11" hidden="1" x14ac:dyDescent="0.25">
      <c r="J609"/>
      <c r="K609"/>
    </row>
    <row r="610" hidden="1"/>
    <row r="611" spans="10:11" hidden="1" x14ac:dyDescent="0.25">
      <c r="J611"/>
      <c r="K611"/>
    </row>
    <row r="612" spans="10:11" hidden="1" x14ac:dyDescent="0.25">
      <c r="J612"/>
      <c r="K612"/>
    </row>
    <row r="613" hidden="1"/>
    <row r="614" spans="10:11" hidden="1" x14ac:dyDescent="0.25">
      <c r="J614"/>
      <c r="K614"/>
    </row>
    <row r="615" spans="10:11" hidden="1" x14ac:dyDescent="0.25">
      <c r="J615"/>
      <c r="K615"/>
    </row>
    <row r="616" hidden="1"/>
    <row r="617" spans="10:11" hidden="1" x14ac:dyDescent="0.25">
      <c r="J617"/>
      <c r="K617"/>
    </row>
    <row r="618" spans="10:11" hidden="1" x14ac:dyDescent="0.25">
      <c r="J618"/>
      <c r="K618"/>
    </row>
    <row r="619" hidden="1"/>
    <row r="620" spans="10:11" hidden="1" x14ac:dyDescent="0.25">
      <c r="J620"/>
      <c r="K620"/>
    </row>
    <row r="621" spans="10:11" hidden="1" x14ac:dyDescent="0.25">
      <c r="J621"/>
      <c r="K621"/>
    </row>
    <row r="622" hidden="1"/>
    <row r="623" spans="10:11" hidden="1" x14ac:dyDescent="0.25">
      <c r="J623"/>
      <c r="K623"/>
    </row>
    <row r="624" spans="10:11" hidden="1" x14ac:dyDescent="0.25">
      <c r="J624"/>
      <c r="K624"/>
    </row>
    <row r="625" hidden="1"/>
    <row r="626" spans="10:11" hidden="1" x14ac:dyDescent="0.25">
      <c r="J626"/>
      <c r="K626"/>
    </row>
    <row r="627" spans="10:11" hidden="1" x14ac:dyDescent="0.25">
      <c r="J627"/>
      <c r="K627"/>
    </row>
    <row r="628" hidden="1"/>
    <row r="629" spans="10:11" hidden="1" x14ac:dyDescent="0.25">
      <c r="J629"/>
      <c r="K629"/>
    </row>
    <row r="630" spans="10:11" hidden="1" x14ac:dyDescent="0.25">
      <c r="J630"/>
      <c r="K630"/>
    </row>
    <row r="631" hidden="1"/>
    <row r="632" spans="10:11" hidden="1" x14ac:dyDescent="0.25">
      <c r="J632"/>
      <c r="K632"/>
    </row>
    <row r="633" spans="10:11" hidden="1" x14ac:dyDescent="0.25">
      <c r="J633"/>
      <c r="K633"/>
    </row>
    <row r="634" hidden="1"/>
    <row r="635" spans="10:11" hidden="1" x14ac:dyDescent="0.25">
      <c r="J635"/>
      <c r="K635"/>
    </row>
    <row r="636" spans="10:11" hidden="1" x14ac:dyDescent="0.25">
      <c r="J636"/>
      <c r="K636"/>
    </row>
    <row r="637" hidden="1"/>
    <row r="638" spans="10:11" hidden="1" x14ac:dyDescent="0.25">
      <c r="J638"/>
      <c r="K638"/>
    </row>
    <row r="639" spans="10:11" hidden="1" x14ac:dyDescent="0.25">
      <c r="J639"/>
      <c r="K639"/>
    </row>
    <row r="640" hidden="1"/>
    <row r="641" spans="9:11" hidden="1" x14ac:dyDescent="0.25">
      <c r="J641"/>
      <c r="K641"/>
    </row>
    <row r="642" spans="9:11" hidden="1" x14ac:dyDescent="0.25">
      <c r="J642"/>
      <c r="K642"/>
    </row>
    <row r="643" hidden="1"/>
    <row r="644" spans="9:11" hidden="1" x14ac:dyDescent="0.25">
      <c r="J644"/>
      <c r="K644"/>
    </row>
    <row r="645" spans="9:11" hidden="1" x14ac:dyDescent="0.25">
      <c r="J645"/>
      <c r="K645"/>
    </row>
    <row r="646" hidden="1"/>
    <row r="647" spans="9:11" hidden="1" x14ac:dyDescent="0.25">
      <c r="J647"/>
      <c r="K647"/>
    </row>
    <row r="648" spans="9:11" hidden="1" x14ac:dyDescent="0.25">
      <c r="J648"/>
      <c r="K648"/>
    </row>
    <row r="649" hidden="1"/>
    <row r="650" spans="9:11" hidden="1" x14ac:dyDescent="0.25">
      <c r="J650"/>
      <c r="K650"/>
    </row>
    <row r="651" spans="9:11" hidden="1" x14ac:dyDescent="0.25">
      <c r="J651"/>
      <c r="K651"/>
    </row>
    <row r="652" hidden="1"/>
    <row r="653" spans="9:11" hidden="1" x14ac:dyDescent="0.25">
      <c r="I653"/>
      <c r="J653"/>
      <c r="K653"/>
    </row>
    <row r="654" spans="9:11" hidden="1" x14ac:dyDescent="0.25">
      <c r="J654"/>
      <c r="K654"/>
    </row>
    <row r="655" hidden="1"/>
    <row r="656" spans="9:11" hidden="1" x14ac:dyDescent="0.25">
      <c r="J656"/>
      <c r="K656"/>
    </row>
    <row r="657" spans="10:11" hidden="1" x14ac:dyDescent="0.25">
      <c r="J657"/>
      <c r="K657"/>
    </row>
    <row r="658" hidden="1"/>
    <row r="659" spans="10:11" hidden="1" x14ac:dyDescent="0.25">
      <c r="J659"/>
      <c r="K659"/>
    </row>
    <row r="660" spans="10:11" hidden="1" x14ac:dyDescent="0.25">
      <c r="J660"/>
      <c r="K660"/>
    </row>
    <row r="661" hidden="1"/>
    <row r="662" spans="10:11" hidden="1" x14ac:dyDescent="0.25">
      <c r="J662"/>
      <c r="K662"/>
    </row>
    <row r="663" spans="10:11" hidden="1" x14ac:dyDescent="0.25">
      <c r="J663"/>
      <c r="K663"/>
    </row>
    <row r="664" hidden="1"/>
    <row r="665" spans="10:11" hidden="1" x14ac:dyDescent="0.25">
      <c r="J665"/>
      <c r="K665"/>
    </row>
    <row r="666" spans="10:11" hidden="1" x14ac:dyDescent="0.25">
      <c r="J666"/>
      <c r="K666"/>
    </row>
    <row r="667" hidden="1"/>
    <row r="668" spans="10:11" hidden="1" x14ac:dyDescent="0.25">
      <c r="J668"/>
      <c r="K668"/>
    </row>
    <row r="669" spans="10:11" hidden="1" x14ac:dyDescent="0.25">
      <c r="J669"/>
      <c r="K669"/>
    </row>
    <row r="670" hidden="1"/>
    <row r="671" spans="10:11" hidden="1" x14ac:dyDescent="0.25">
      <c r="J671"/>
      <c r="K671"/>
    </row>
    <row r="672" spans="10:11" hidden="1" x14ac:dyDescent="0.25">
      <c r="J672"/>
      <c r="K672"/>
    </row>
    <row r="673" hidden="1"/>
    <row r="674" spans="10:11" hidden="1" x14ac:dyDescent="0.25">
      <c r="J674"/>
      <c r="K674"/>
    </row>
    <row r="675" spans="10:11" hidden="1" x14ac:dyDescent="0.25">
      <c r="J675"/>
      <c r="K675"/>
    </row>
    <row r="676" hidden="1"/>
    <row r="677" spans="10:11" hidden="1" x14ac:dyDescent="0.25">
      <c r="J677"/>
      <c r="K677"/>
    </row>
    <row r="678" spans="10:11" hidden="1" x14ac:dyDescent="0.25">
      <c r="J678"/>
      <c r="K678"/>
    </row>
    <row r="679" hidden="1"/>
    <row r="680" spans="10:11" hidden="1" x14ac:dyDescent="0.25">
      <c r="J680"/>
      <c r="K680"/>
    </row>
    <row r="681" spans="10:11" hidden="1" x14ac:dyDescent="0.25">
      <c r="J681"/>
      <c r="K681"/>
    </row>
    <row r="682" hidden="1"/>
    <row r="683" spans="10:11" hidden="1" x14ac:dyDescent="0.25">
      <c r="J683"/>
      <c r="K683"/>
    </row>
    <row r="684" spans="10:11" hidden="1" x14ac:dyDescent="0.25">
      <c r="J684"/>
      <c r="K684"/>
    </row>
    <row r="685" hidden="1"/>
    <row r="686" spans="10:11" hidden="1" x14ac:dyDescent="0.25">
      <c r="J686"/>
      <c r="K686"/>
    </row>
    <row r="687" spans="10:11" hidden="1" x14ac:dyDescent="0.25">
      <c r="J687"/>
      <c r="K687"/>
    </row>
    <row r="688" hidden="1"/>
    <row r="689" spans="10:11" hidden="1" x14ac:dyDescent="0.25">
      <c r="J689"/>
      <c r="K689"/>
    </row>
    <row r="690" spans="10:11" hidden="1" x14ac:dyDescent="0.25">
      <c r="J690"/>
      <c r="K690"/>
    </row>
    <row r="691" hidden="1"/>
    <row r="692" spans="10:11" hidden="1" x14ac:dyDescent="0.25">
      <c r="J692"/>
      <c r="K692"/>
    </row>
    <row r="693" spans="10:11" hidden="1" x14ac:dyDescent="0.25">
      <c r="J693"/>
      <c r="K693"/>
    </row>
    <row r="694" hidden="1"/>
    <row r="695" spans="10:11" hidden="1" x14ac:dyDescent="0.25">
      <c r="J695"/>
      <c r="K695"/>
    </row>
    <row r="696" spans="10:11" hidden="1" x14ac:dyDescent="0.25">
      <c r="J696"/>
      <c r="K696"/>
    </row>
    <row r="697" hidden="1"/>
    <row r="698" spans="10:11" hidden="1" x14ac:dyDescent="0.25">
      <c r="J698"/>
      <c r="K698"/>
    </row>
    <row r="699" spans="10:11" hidden="1" x14ac:dyDescent="0.25">
      <c r="J699"/>
      <c r="K699"/>
    </row>
    <row r="700" hidden="1"/>
    <row r="701" spans="10:11" hidden="1" x14ac:dyDescent="0.25">
      <c r="J701"/>
      <c r="K701"/>
    </row>
    <row r="702" spans="10:11" hidden="1" x14ac:dyDescent="0.25">
      <c r="J702"/>
      <c r="K702"/>
    </row>
    <row r="703" hidden="1"/>
    <row r="704" spans="10:11" hidden="1" x14ac:dyDescent="0.25">
      <c r="J704"/>
      <c r="K704"/>
    </row>
    <row r="705" spans="10:11" hidden="1" x14ac:dyDescent="0.25">
      <c r="J705"/>
      <c r="K705"/>
    </row>
    <row r="706" hidden="1"/>
    <row r="707" spans="10:11" hidden="1" x14ac:dyDescent="0.25">
      <c r="J707"/>
      <c r="K707"/>
    </row>
    <row r="708" spans="10:11" hidden="1" x14ac:dyDescent="0.25">
      <c r="J708"/>
      <c r="K708"/>
    </row>
    <row r="709" hidden="1"/>
    <row r="710" spans="10:11" hidden="1" x14ac:dyDescent="0.25">
      <c r="J710"/>
      <c r="K710"/>
    </row>
    <row r="711" spans="10:11" hidden="1" x14ac:dyDescent="0.25">
      <c r="J711"/>
      <c r="K711"/>
    </row>
    <row r="712" hidden="1"/>
    <row r="713" spans="10:11" hidden="1" x14ac:dyDescent="0.25">
      <c r="J713"/>
      <c r="K713"/>
    </row>
    <row r="714" spans="10:11" hidden="1" x14ac:dyDescent="0.25">
      <c r="J714"/>
      <c r="K714"/>
    </row>
    <row r="715" hidden="1"/>
    <row r="716" spans="10:11" hidden="1" x14ac:dyDescent="0.25">
      <c r="J716"/>
      <c r="K716"/>
    </row>
    <row r="717" spans="10:11" hidden="1" x14ac:dyDescent="0.25">
      <c r="J717"/>
      <c r="K717"/>
    </row>
    <row r="718" hidden="1"/>
    <row r="719" spans="10:11" hidden="1" x14ac:dyDescent="0.25">
      <c r="J719"/>
      <c r="K719"/>
    </row>
    <row r="720" spans="10:11" hidden="1" x14ac:dyDescent="0.25">
      <c r="J720"/>
      <c r="K720"/>
    </row>
    <row r="721" hidden="1"/>
    <row r="722" spans="10:11" hidden="1" x14ac:dyDescent="0.25">
      <c r="J722"/>
      <c r="K722"/>
    </row>
    <row r="723" spans="10:11" hidden="1" x14ac:dyDescent="0.25">
      <c r="J723"/>
      <c r="K723"/>
    </row>
    <row r="724" hidden="1"/>
    <row r="725" spans="10:11" hidden="1" x14ac:dyDescent="0.25">
      <c r="J725"/>
      <c r="K725"/>
    </row>
    <row r="726" spans="10:11" hidden="1" x14ac:dyDescent="0.25">
      <c r="J726"/>
      <c r="K726"/>
    </row>
    <row r="727" hidden="1"/>
    <row r="728" spans="10:11" hidden="1" x14ac:dyDescent="0.25">
      <c r="J728"/>
      <c r="K728"/>
    </row>
    <row r="729" spans="10:11" hidden="1" x14ac:dyDescent="0.25">
      <c r="J729"/>
      <c r="K729"/>
    </row>
    <row r="730" hidden="1"/>
    <row r="731" spans="10:11" hidden="1" x14ac:dyDescent="0.25">
      <c r="J731"/>
      <c r="K731"/>
    </row>
    <row r="732" spans="10:11" hidden="1" x14ac:dyDescent="0.25">
      <c r="J732"/>
      <c r="K732"/>
    </row>
    <row r="733" hidden="1"/>
    <row r="734" spans="10:11" hidden="1" x14ac:dyDescent="0.25">
      <c r="J734"/>
      <c r="K734"/>
    </row>
    <row r="735" spans="10:11" hidden="1" x14ac:dyDescent="0.25">
      <c r="J735"/>
      <c r="K735"/>
    </row>
    <row r="736" hidden="1"/>
    <row r="737" spans="9:11" hidden="1" x14ac:dyDescent="0.25">
      <c r="J737"/>
      <c r="K737"/>
    </row>
    <row r="738" spans="9:11" hidden="1" x14ac:dyDescent="0.25">
      <c r="J738"/>
      <c r="K738"/>
    </row>
    <row r="739" hidden="1"/>
    <row r="740" spans="9:11" hidden="1" x14ac:dyDescent="0.25">
      <c r="J740"/>
      <c r="K740"/>
    </row>
    <row r="741" spans="9:11" hidden="1" x14ac:dyDescent="0.25">
      <c r="J741"/>
      <c r="K741"/>
    </row>
    <row r="742" hidden="1"/>
    <row r="743" spans="9:11" hidden="1" x14ac:dyDescent="0.25">
      <c r="I743"/>
      <c r="J743"/>
      <c r="K743"/>
    </row>
    <row r="744" spans="9:11" hidden="1" x14ac:dyDescent="0.25">
      <c r="J744"/>
      <c r="K744"/>
    </row>
    <row r="745" spans="9:11" hidden="1" x14ac:dyDescent="0.25">
      <c r="I745"/>
      <c r="J745"/>
      <c r="K745"/>
    </row>
    <row r="746" spans="9:11" hidden="1" x14ac:dyDescent="0.25">
      <c r="J746"/>
      <c r="K746"/>
    </row>
    <row r="747" hidden="1"/>
    <row r="748" spans="9:11" hidden="1" x14ac:dyDescent="0.25">
      <c r="J748"/>
      <c r="K748"/>
    </row>
    <row r="749" spans="9:11" hidden="1" x14ac:dyDescent="0.25">
      <c r="J749"/>
      <c r="K749"/>
    </row>
    <row r="750" hidden="1"/>
    <row r="751" spans="9:11" hidden="1" x14ac:dyDescent="0.25">
      <c r="J751"/>
      <c r="K751"/>
    </row>
    <row r="752" spans="9:11" hidden="1" x14ac:dyDescent="0.25">
      <c r="J752"/>
      <c r="K752"/>
    </row>
    <row r="753" hidden="1"/>
    <row r="754" spans="9:11" hidden="1" x14ac:dyDescent="0.25">
      <c r="J754"/>
      <c r="K754"/>
    </row>
    <row r="755" spans="9:11" hidden="1" x14ac:dyDescent="0.25">
      <c r="J755"/>
      <c r="K755"/>
    </row>
    <row r="756" hidden="1"/>
    <row r="757" spans="9:11" hidden="1" x14ac:dyDescent="0.25">
      <c r="J757"/>
      <c r="K757"/>
    </row>
    <row r="758" spans="9:11" hidden="1" x14ac:dyDescent="0.25">
      <c r="J758"/>
      <c r="K758"/>
    </row>
    <row r="759" hidden="1"/>
    <row r="760" spans="9:11" hidden="1" x14ac:dyDescent="0.25">
      <c r="I760"/>
      <c r="J760"/>
      <c r="K760"/>
    </row>
    <row r="761" spans="9:11" hidden="1" x14ac:dyDescent="0.25">
      <c r="J761"/>
      <c r="K761"/>
    </row>
    <row r="762" hidden="1"/>
    <row r="763" spans="9:11" hidden="1" x14ac:dyDescent="0.25">
      <c r="J763"/>
      <c r="K763"/>
    </row>
    <row r="764" spans="9:11" hidden="1" x14ac:dyDescent="0.25">
      <c r="J764"/>
      <c r="K764"/>
    </row>
    <row r="765" hidden="1"/>
    <row r="766" spans="9:11" hidden="1" x14ac:dyDescent="0.25">
      <c r="J766"/>
      <c r="K766"/>
    </row>
    <row r="767" spans="9:11" hidden="1" x14ac:dyDescent="0.25">
      <c r="J767"/>
      <c r="K767"/>
    </row>
    <row r="768" hidden="1"/>
    <row r="769" spans="9:11" hidden="1" x14ac:dyDescent="0.25">
      <c r="J769"/>
      <c r="K769"/>
    </row>
    <row r="770" spans="9:11" hidden="1" x14ac:dyDescent="0.25">
      <c r="J770"/>
      <c r="K770"/>
    </row>
    <row r="771" hidden="1"/>
    <row r="772" spans="9:11" hidden="1" x14ac:dyDescent="0.25">
      <c r="J772"/>
      <c r="K772"/>
    </row>
    <row r="773" spans="9:11" hidden="1" x14ac:dyDescent="0.25">
      <c r="J773"/>
      <c r="K773"/>
    </row>
    <row r="774" hidden="1"/>
    <row r="775" spans="9:11" hidden="1" x14ac:dyDescent="0.25">
      <c r="I775"/>
      <c r="J775"/>
      <c r="K775"/>
    </row>
    <row r="776" spans="9:11" hidden="1" x14ac:dyDescent="0.25">
      <c r="J776"/>
      <c r="K776"/>
    </row>
    <row r="777" hidden="1"/>
    <row r="778" spans="9:11" hidden="1" x14ac:dyDescent="0.25">
      <c r="J778"/>
      <c r="K778"/>
    </row>
    <row r="779" spans="9:11" hidden="1" x14ac:dyDescent="0.25">
      <c r="J779"/>
      <c r="K779"/>
    </row>
    <row r="780" hidden="1"/>
    <row r="781" spans="9:11" hidden="1" x14ac:dyDescent="0.25">
      <c r="J781"/>
      <c r="K781"/>
    </row>
    <row r="782" spans="9:11" hidden="1" x14ac:dyDescent="0.25">
      <c r="J782"/>
      <c r="K782"/>
    </row>
    <row r="783" hidden="1"/>
    <row r="784" spans="9:11" hidden="1" x14ac:dyDescent="0.25">
      <c r="I784"/>
      <c r="J784"/>
      <c r="K784"/>
    </row>
    <row r="785" spans="10:11" hidden="1" x14ac:dyDescent="0.25">
      <c r="J785"/>
      <c r="K785"/>
    </row>
    <row r="790">
      <c r="I790" s="644" t="inlineStr">
        <is>
          <t>11 . DETALHES EXPLICATIVOS (o que é cada termo e cada armadura)</t>
        </is>
      </c>
    </row>
  </sheetData>
  <mergeCells count="18">
    <mergeCell ref="J10:W10"/>
    <mergeCell ref="I41:X41"/>
    <mergeCell ref="I56:X56"/>
    <mergeCell ref="I68:X68"/>
    <mergeCell ref="I199:X199"/>
    <mergeCell ref="S7:V7"/>
    <mergeCell ref="S8:V8"/>
    <mergeCell ref="J9:L9"/>
    <mergeCell ref="M9:Q9"/>
    <mergeCell ref="R9:W9"/>
    <mergeCell ref="I2:W2"/>
    <mergeCell ref="S3:V3"/>
    <mergeCell ref="S4:V4"/>
    <mergeCell ref="S5:V5"/>
    <mergeCell ref="S6:V6"/>
    <mergeCell ref="I227:X227"/>
    <mergeCell ref="I242:X242"/>
    <mergeCell ref="J255:X255"/>
  </mergeCells>
  <conditionalFormatting sqref="J9">
    <cfRule type="expression" dxfId="15" priority="9">
      <formula>OR(LEFT(J9,2)="Ok",ISNUMBER(SEARCH(": Ok",J9)))</formula>
    </cfRule>
    <cfRule type="expression" dxfId="14" priority="10">
      <formula>AND(LEN(J9)&gt;0,LEFT(J9,2)&lt;&gt;"Ok",ISERROR(SEARCH(": Ok",J9)),ISERROR(SEARCH("se aplica",J9)),LEFT(J9,3)&lt;&gt;"Sim",LEFT(J9,3)&lt;&gt;"Não")</formula>
    </cfRule>
  </conditionalFormatting>
  <conditionalFormatting sqref="L145:L147">
    <cfRule type="expression" dxfId="13" priority="41">
      <formula>OR(LEFT(L145,2)="Ok",ISNUMBER(SEARCH(": Ok",L145)))</formula>
    </cfRule>
    <cfRule type="expression" dxfId="12" priority="42">
      <formula>AND(LEN(L145)&gt;0,LEFT(L145,2)&lt;&gt;"Ok",ISERROR(SEARCH(": Ok",L145)),ISERROR(SEARCH("se aplica",L145)),LEFT(L145,3)&lt;&gt;"Sim",LEFT(L145,3)&lt;&gt;"Não")</formula>
    </cfRule>
  </conditionalFormatting>
  <conditionalFormatting sqref="L182">
    <cfRule type="expression" dxfId="11" priority="47">
      <formula>OR(LEFT(L182,2)="Ok",ISNUMBER(SEARCH(": Ok",L182)))</formula>
    </cfRule>
    <cfRule type="expression" dxfId="10" priority="48">
      <formula>AND(LEN(L182)&gt;0,LEFT(L182,2)&lt;&gt;"Ok",ISERROR(SEARCH(": Ok",L182)),ISERROR(SEARCH("se aplica",L182)),LEFT(L182,3)&lt;&gt;"Sim",LEFT(L182,3)&lt;&gt;"Não")</formula>
    </cfRule>
  </conditionalFormatting>
  <conditionalFormatting sqref="L193">
    <cfRule type="expression" dxfId="9" priority="50">
      <formula>AND(LEN(L193)&gt;0,LEFT(L193,2)&lt;&gt;"Ok",ISERROR(SEARCH(": Ok",L193)),ISERROR(SEARCH("se aplica",L193)),LEFT(L193,3)&lt;&gt;"Sim",LEFT(L193,3)&lt;&gt;"Não")</formula>
    </cfRule>
    <cfRule type="expression" dxfId="8" priority="49">
      <formula>OR(LEFT(L193,2)="Ok",ISNUMBER(SEARCH(": Ok",L193)))</formula>
    </cfRule>
  </conditionalFormatting>
  <conditionalFormatting sqref="M9">
    <cfRule type="expression" dxfId="7" priority="11">
      <formula>OR(LEFT(M9,2)="Ok",ISNUMBER(SEARCH(": Ok",M9)))</formula>
    </cfRule>
    <cfRule type="expression" dxfId="6" priority="12">
      <formula>AND(LEN(M9)&gt;0,LEFT(M9,2)&lt;&gt;"Ok",ISERROR(SEARCH(": Ok",M9)),ISERROR(SEARCH("se aplica",M9)),LEFT(M9,3)&lt;&gt;"Sim",LEFT(M9,3)&lt;&gt;"Não")</formula>
    </cfRule>
  </conditionalFormatting>
  <conditionalFormatting sqref="S4:S7">
    <cfRule type="expression" dxfId="5" priority="1">
      <formula>OR(LEFT(S4,2)="Ok",ISNUMBER(SEARCH(": Ok",S4)))</formula>
    </cfRule>
    <cfRule type="expression" dxfId="4" priority="2">
      <formula>AND(LEN(S4)&gt;0,LEFT(S4,2)&lt;&gt;"Ok",ISERROR(SEARCH(": Ok",S4)),ISERROR(SEARCH("se aplica",S4)),LEFT(S4,3)&lt;&gt;"Sim",LEFT(S4,3)&lt;&gt;"Não")</formula>
    </cfRule>
  </conditionalFormatting>
  <conditionalFormatting sqref="U61:U63">
    <cfRule type="expression" dxfId="3" priority="35">
      <formula>OR(LEFT(U61,2)="Ok",ISNUMBER(SEARCH(": Ok",U61)))</formula>
    </cfRule>
    <cfRule type="expression" dxfId="2" priority="36">
      <formula>AND(LEN(U61)&gt;0,LEFT(U61,2)&lt;&gt;"Ok",ISERROR(SEARCH(": Ok",U61)),ISERROR(SEARCH("se aplica",U61)),LEFT(U61,3)&lt;&gt;"Sim",LEFT(U61,3)&lt;&gt;"Não")</formula>
    </cfRule>
  </conditionalFormatting>
  <conditionalFormatting sqref="V43:V53">
    <cfRule type="expression" dxfId="1" priority="13">
      <formula>OR(LEFT(V43,2)="Ok",ISNUMBER(SEARCH(": Ok",V43)))</formula>
    </cfRule>
    <cfRule type="expression" dxfId="0" priority="14">
      <formula>AND(LEN(V43)&gt;0,LEFT(V43,2)&lt;&gt;"Ok",ISERROR(SEARCH(": Ok",V43)),ISERROR(SEARCH("se aplica",V43)),LEFT(V43,3)&lt;&gt;"Sim",LEFT(V43,3)&lt;&gt;"Não")</formula>
    </cfRule>
  </conditionalFormatting>
  <dataValidations count="5">
    <dataValidation type="list" allowBlank="1" showErrorMessage="1" sqref="J35 J88" xr:uid="{00000000-0002-0000-1700-000000000000}">
      <formula1>"Sim,Não"</formula1>
    </dataValidation>
    <dataValidation type="list" allowBlank="1" showErrorMessage="1" sqref="L4 L5 L6 J92 J98 J108 J135 J149" xr:uid="{00000000-0002-0000-1700-000001000000}">
      <formula1>"5,6.3,8,10,12.5,16,20,25"</formula1>
    </dataValidation>
    <dataValidation type="list" allowBlank="1" showErrorMessage="1" sqref="M4 M5 M6 J99 J136 J150" xr:uid="{00000000-0002-0000-1700-000002000000}">
      <formula1>"2,3,4"</formula1>
    </dataValidation>
    <dataValidation type="list" allowBlank="1" showInputMessage="1" showErrorMessage="1" sqref="L7 J231">
      <formula1>"5,6.3,8,10,12.5,16,20,25"</formula1>
    </dataValidation>
    <dataValidation type="list" allowBlank="1" showInputMessage="1" showErrorMessage="1" sqref="M7 J232">
      <formula1>"2,3,4"</formula1>
    </dataValidation>
  </dataValidations>
  <pageMargins left="0.4" right="0.4" top="0.6" bottom="0.6" header="0.3" footer="0.3"/>
  <pageSetup paperSize="9" scale="65" fitToHeight="0" orientation="landscape" r:id="rId1"/>
  <rowBreaks count="3" manualBreakCount="3">
    <brk id="39" min="8" max="23" man="1"/>
    <brk id="79" min="8" max="23" man="1"/>
    <brk id="221" min="8" max="23" man="1"/>
  </rowBreaks>
  <drawing r:id="rId2"/>
</worksheet>
</file>

<file path=xl/worksheets/sheet25.xml><?xml version="1.0" encoding="utf-8"?>
<worksheet xmlns="http://schemas.openxmlformats.org/spreadsheetml/2006/main" xmlns:r="http://schemas.openxmlformats.org/officeDocument/2006/relationships">
  <dimension ref="A1:T1591"/>
  <sheetViews>
    <sheetView workbookViewId="0"/>
  </sheetViews>
  <sheetFormatPr defaultRowHeight="15"/>
  <cols>
    <col min="1" max="1" width="34" customWidth="1"/>
    <col min="11" max="11" width="30" customWidth="1"/>
    <col min="18" max="18" width="12" customWidth="1"/>
  </cols>
  <sheetData>
    <row r="1">
      <c r="A1" t="inlineStr">
        <is>
          <t>DADOS DOS DESENHOS (gerado automaticamente – não editar). Coordenadas em cm; colunas D..I = coordenadas escaladas de cada vista.</t>
        </is>
      </c>
      <c r="R1" t="inlineStr">
        <is>
          <t>Parâmetro</t>
        </is>
      </c>
      <c r="S1" t="inlineStr">
        <is>
          <t>Valor</t>
        </is>
      </c>
    </row>
    <row r="2">
      <c r="R2" t="inlineStr">
        <is>
          <t>L</t>
        </is>
      </c>
      <c r="S2">
        <f>Geometria!$L$25</f>
        <v>815.0</v>
      </c>
      <c r="T2" t="inlineStr">
        <is>
          <t>comprimento total</t>
        </is>
      </c>
    </row>
    <row r="3">
      <c r="R3" t="inlineStr">
        <is>
          <t>Lh</t>
        </is>
      </c>
      <c r="S3">
        <f>$S$2/2</f>
        <v>407.5</v>
      </c>
    </row>
    <row r="4">
      <c r="R4" t="inlineStr">
        <is>
          <t>h</t>
        </is>
      </c>
      <c r="S4">
        <f>'Cisalhamento e Apoios'!$J$15</f>
        <v>60.0</v>
      </c>
    </row>
    <row r="5">
      <c r="R5" t="inlineStr">
        <is>
          <t>hc</t>
        </is>
      </c>
      <c r="S5">
        <f>IF(Geometria!$M$18="1 - Sim",'Cisalhamento e Apoios'!$J$16,'Cisalhamento e Apoios'!$J$15)</f>
        <v>90.0</v>
      </c>
    </row>
    <row r="6">
      <c r="R6" t="inlineStr">
        <is>
          <t>SOL</t>
        </is>
      </c>
      <c r="S6">
        <f>IF(Geometria!$M$18="1 - Sim",1,0)</f>
        <v>1.0</v>
      </c>
    </row>
    <row r="7">
      <c r="R7" t="inlineStr">
        <is>
          <t>c</t>
        </is>
      </c>
      <c r="S7">
        <f>'Cisalhamento e Apoios'!$J$17</f>
        <v>3.0</v>
      </c>
    </row>
    <row r="8">
      <c r="R8" t="inlineStr">
        <is>
          <t>a0</t>
        </is>
      </c>
      <c r="S8">
        <f>'Cisalhamento e Apoios'!$J$58</f>
        <v>15.0</v>
      </c>
    </row>
    <row r="9">
      <c r="R9" t="inlineStr">
        <is>
          <t>G</t>
        </is>
      </c>
      <c r="S9">
        <f>IF('Cisalhamento e Apoios'!$J$13="Gerber",1,0)</f>
        <v>0.0</v>
      </c>
    </row>
    <row r="10">
      <c r="R10" t="inlineStr">
        <is>
          <t>L1</t>
        </is>
      </c>
      <c r="S10">
        <f>IF($S$9=1,'Cisalhamento e Apoios'!$J$106,0)</f>
        <v>0.0</v>
      </c>
    </row>
    <row r="11">
      <c r="R11" t="inlineStr">
        <is>
          <t>hd</t>
        </is>
      </c>
      <c r="S11">
        <f>IF($S$9=1,$S$4-'Cisalhamento e Apoios'!$J$107,0)</f>
        <v>0.0</v>
      </c>
    </row>
    <row r="12">
      <c r="R12" t="inlineStr">
        <is>
          <t>ytop</t>
        </is>
      </c>
      <c r="S12">
        <f>$S$4-$S$7+'Cisalhamento e Apoios'!$J$70</f>
        <v>84.0</v>
      </c>
    </row>
    <row r="13">
      <c r="R13" t="inlineStr">
        <is>
          <t>x64</t>
        </is>
      </c>
      <c r="S13">
        <f>'Cisalhamento e Apoios'!$J$64</f>
        <v>3.0</v>
      </c>
    </row>
    <row r="14">
      <c r="R14" t="inlineStr">
        <is>
          <t>n1</t>
        </is>
      </c>
      <c r="S14">
        <f>'Cisalhamento e Apoios'!$S$61/2</f>
        <v>12.0</v>
      </c>
    </row>
    <row r="15">
      <c r="R15" t="inlineStr">
        <is>
          <t>s1</t>
        </is>
      </c>
      <c r="S15">
        <f>'Cisalhamento e Apoios'!$AB$61</f>
        <v>8.5</v>
      </c>
    </row>
    <row r="16">
      <c r="R16" t="inlineStr">
        <is>
          <t>n2</t>
        </is>
      </c>
      <c r="S16">
        <f>'Cisalhamento e Apoios'!$S$62/2</f>
        <v>8.0</v>
      </c>
    </row>
    <row r="17">
      <c r="R17" t="inlineStr">
        <is>
          <t>s2</t>
        </is>
      </c>
      <c r="S17">
        <f>'Cisalhamento e Apoios'!$AB$62</f>
        <v>11.0</v>
      </c>
    </row>
    <row r="18">
      <c r="R18" t="inlineStr">
        <is>
          <t>n3</t>
        </is>
      </c>
      <c r="S18">
        <f>ROUNDUP('Cisalhamento e Apoios'!$S$63/2,0)</f>
        <v>31.0</v>
      </c>
    </row>
    <row r="19">
      <c r="R19" t="inlineStr">
        <is>
          <t>s3</t>
        </is>
      </c>
      <c r="S19">
        <f>'Cisalhamento e Apoios'!$AB$63</f>
        <v>7.5</v>
      </c>
    </row>
    <row r="20">
      <c r="R20" t="inlineStr">
        <is>
          <t>x1</t>
        </is>
      </c>
      <c r="S20">
        <f>'Cisalhamento e Apoios'!$J$4</f>
        <v>85.0</v>
      </c>
    </row>
    <row r="21">
      <c r="R21" t="inlineStr">
        <is>
          <t>x2</t>
        </is>
      </c>
      <c r="S21">
        <f>'Cisalhamento e Apoios'!$J$5</f>
        <v>165.0</v>
      </c>
    </row>
    <row r="22">
      <c r="R22" t="inlineStr">
        <is>
          <t>TIR</t>
        </is>
      </c>
      <c r="S22">
        <f>IF(AND($S$9=0,'Cisalhamento e Apoios'!$J$254="Tirante do apoio"),1,0)</f>
        <v>1.0</v>
      </c>
    </row>
    <row r="23">
      <c r="R23" t="inlineStr">
        <is>
          <t>SUS</t>
        </is>
      </c>
      <c r="S23">
        <f>IF('Cisalhamento e Apoios'!$J$233&gt;0,1,0)</f>
        <v>1.0</v>
      </c>
    </row>
    <row r="24">
      <c r="R24" t="inlineStr">
        <is>
          <t>ANC</t>
        </is>
      </c>
      <c r="S24">
        <f>IF(AND('Cisalhamento e Apoios'!$J$251&gt;0,OR($S$9=1,'Cisalhamento e Apoios'!$J$254="Grampos de ancoragem")),1,0)</f>
        <v>0.0</v>
      </c>
    </row>
    <row r="25">
      <c r="R25" t="inlineStr">
        <is>
          <t>lanc</t>
        </is>
      </c>
      <c r="S25">
        <f>MAX(('Cisalhamento e Apoios'!$J$252-'Cisalhamento e Apoios'!$J$14)/2,20)</f>
        <v>55.0</v>
      </c>
    </row>
    <row r="26">
      <c r="R26" t="inlineStr">
        <is>
          <t>nsus</t>
        </is>
      </c>
      <c r="S26">
        <f>'Cisalhamento e Apoios'!$J$233</f>
        <v>5.0</v>
      </c>
    </row>
    <row r="27">
      <c r="R27" t="inlineStr">
        <is>
          <t>xsus0</t>
        </is>
      </c>
      <c r="S27">
        <f>'Cisalhamento e Apoios'!$J$235</f>
        <v>3.0</v>
      </c>
    </row>
    <row r="28">
      <c r="R28" t="inlineStr">
        <is>
          <t>fsus</t>
        </is>
      </c>
      <c r="S28">
        <f>'Cisalhamento e Apoios'!$J$234</f>
        <v>30.0</v>
      </c>
    </row>
    <row r="29">
      <c r="R29" t="inlineStr">
        <is>
          <t>lgr</t>
        </is>
      </c>
      <c r="S29">
        <f>'Cisalhamento e Apoios'!$J$96</f>
        <v>62.5</v>
      </c>
    </row>
    <row r="30">
      <c r="R30" t="inlineStr">
        <is>
          <t>ncos</t>
        </is>
      </c>
      <c r="S30">
        <f>'Cisalhamento e Apoios'!$J$100</f>
        <v>3.0</v>
      </c>
    </row>
    <row r="31">
      <c r="R31" t="inlineStr">
        <is>
          <t>scos</t>
        </is>
      </c>
      <c r="S31">
        <f>MAX('Cisalhamento e Apoios'!$J$101,3)</f>
        <v>12.0</v>
      </c>
    </row>
    <row r="32">
      <c r="R32" t="inlineStr">
        <is>
          <t>lcos</t>
        </is>
      </c>
      <c r="S32">
        <f>'Cisalhamento e Apoios'!$J$95</f>
        <v>31.25</v>
      </c>
    </row>
    <row r="33">
      <c r="R33" t="inlineStr">
        <is>
          <t>nlac</t>
        </is>
      </c>
      <c r="S33">
        <f>'Cisalhamento e Apoios'!$J$189</f>
        <v>2.0</v>
      </c>
    </row>
    <row r="34">
      <c r="R34" t="inlineStr">
        <is>
          <t>slac</t>
        </is>
      </c>
      <c r="S34">
        <f>'Cisalhamento e Apoios'!$J$190</f>
        <v>5.0</v>
      </c>
    </row>
    <row r="35">
      <c r="R35" t="inlineStr">
        <is>
          <t>llac</t>
        </is>
      </c>
      <c r="S35">
        <f>'Cisalhamento e Apoios'!$J$193</f>
        <v>70.0</v>
      </c>
    </row>
    <row r="36">
      <c r="R36" t="inlineStr">
        <is>
          <t>xlac0</t>
        </is>
      </c>
      <c r="S36">
        <f>IF($S$9=1,$S$10+$S$7,$S$7)</f>
        <v>3.0</v>
      </c>
    </row>
    <row r="37">
      <c r="R37" t="inlineStr">
        <is>
          <t>ytir</t>
        </is>
      </c>
      <c r="S37">
        <f>$S$11+'Cisalhamento e Apoios'!$J$109</f>
        <v>3.8</v>
      </c>
    </row>
    <row r="38">
      <c r="R38" t="inlineStr">
        <is>
          <t>ltir</t>
        </is>
      </c>
      <c r="S38">
        <f>$S$10+'Cisalhamento e Apoios'!$J$117+2*MAX('Cisalhamento e Apoios'!$J$108/10/4*'Cisalhamento e Apoios'!$J$29*10/(2.25*'Cisalhamento e Apoios'!$J$26),25*'Cisalhamento e Apoios'!$J$108/10)</f>
        <v>94.05</v>
      </c>
    </row>
    <row r="39">
      <c r="R39" t="inlineStr">
        <is>
          <t>ncd</t>
        </is>
      </c>
      <c r="S39">
        <f>'Cisalhamento e Apoios'!$J$151</f>
        <v>0.0</v>
      </c>
    </row>
    <row r="40">
      <c r="R40" t="inlineStr">
        <is>
          <t>d1</t>
        </is>
      </c>
      <c r="S40">
        <f>'Cisalhamento e Apoios'!$J$116</f>
        <v>26.2</v>
      </c>
    </row>
    <row r="41">
      <c r="R41" t="inlineStr">
        <is>
          <t>lcd</t>
        </is>
      </c>
      <c r="S41">
        <f>$S$10+MAX('Cisalhamento e Apoios'!$J$149/10/4*'Cisalhamento e Apoios'!$J$29*10/(2.25*'Cisalhamento e Apoios'!$J$26),25*'Cisalhamento e Apoios'!$J$149/10)</f>
        <v>25.0</v>
      </c>
    </row>
    <row r="42">
      <c r="R42" t="inlineStr">
        <is>
          <t>apt</t>
        </is>
      </c>
      <c r="S42">
        <f>MAX('Cisalhamento e Apoios'!$J$111,2)</f>
        <v>2.0</v>
      </c>
    </row>
    <row r="43">
      <c r="R43" t="inlineStr">
        <is>
          <t>apx0</t>
        </is>
      </c>
      <c r="S43">
        <f>IF($S$9=1,'Cisalhamento e Apoios'!$J$112,$S$8-10)</f>
        <v>5.0</v>
      </c>
    </row>
    <row r="44">
      <c r="R44" t="inlineStr">
        <is>
          <t>apx1</t>
        </is>
      </c>
      <c r="S44">
        <f>IF($S$9=1,'Cisalhamento e Apoios'!$J$112+'Cisalhamento e Apoios'!$J$113,$S$8+10)</f>
        <v>25.0</v>
      </c>
    </row>
    <row r="45">
      <c r="R45" t="inlineStr">
        <is>
          <t>supx</t>
        </is>
      </c>
      <c r="S45">
        <f>IF($S$9=1,$S$10-'Cisalhamento e Apoios'!$J$110,$S$8+15)</f>
        <v>30.0</v>
      </c>
    </row>
    <row r="46">
      <c r="R46" t="inlineStr">
        <is>
          <t>xstr0</t>
        </is>
      </c>
      <c r="S46">
        <f>IF($S$9=1,$S$10,0)</f>
        <v>0.0</v>
      </c>
    </row>
    <row r="47">
      <c r="R47" t="inlineStr">
        <is>
          <t>dlin</t>
        </is>
      </c>
      <c r="S47">
        <f>'Cisalhamento e Apoios'!$J$19</f>
        <v>4.8</v>
      </c>
    </row>
    <row r="48">
      <c r="R48" t="inlineStr">
        <is>
          <t>habaRA</t>
        </is>
      </c>
      <c r="S48">
        <f>IF(AND(Geometria!$M$19="1 - Retângular",Geometria!$M$20="3 - R/A"),Geometria!$L$42+Geometria!$M$46,0)</f>
        <v>33.0</v>
      </c>
    </row>
    <row r="49">
      <c r="R49" t="inlineStr">
        <is>
          <t>htop</t>
        </is>
      </c>
      <c r="S49">
        <f>MAX($S$5,$S$4+$S$48)</f>
        <v>93.0</v>
      </c>
    </row>
    <row r="50">
      <c r="R50" t="inlineStr">
        <is>
          <t>bw</t>
        </is>
      </c>
      <c r="S50">
        <f>Taxas!$J$5</f>
        <v>30.0</v>
      </c>
    </row>
    <row r="51">
      <c r="R51" t="inlineStr">
        <is>
          <t>labaT</t>
        </is>
      </c>
      <c r="S51">
        <f>Geometria!$M$36</f>
        <v>0.0</v>
      </c>
    </row>
    <row r="52">
      <c r="R52" t="inlineStr">
        <is>
          <t>E_mx</t>
        </is>
      </c>
      <c r="S52">
        <v>45</v>
      </c>
    </row>
    <row r="53">
      <c r="R53" t="inlineStr">
        <is>
          <t>E_my</t>
        </is>
      </c>
      <c r="S53">
        <v>75</v>
      </c>
    </row>
    <row r="54">
      <c r="R54" t="inlineStr">
        <is>
          <t>E_k</t>
        </is>
      </c>
      <c r="S54">
        <f>MIN(1000.0/($S$2+95),210.432/($S$49+75+45))</f>
        <v>0.9879436619718309</v>
      </c>
    </row>
    <row r="55">
      <c r="R55" t="inlineStr">
        <is>
          <t>D_mx</t>
        </is>
      </c>
      <c r="S55">
        <v>30</v>
      </c>
    </row>
    <row r="56">
      <c r="R56" t="inlineStr">
        <is>
          <t>D_my</t>
        </is>
      </c>
      <c r="S56">
        <v>62</v>
      </c>
    </row>
    <row r="57">
      <c r="R57" t="inlineStr">
        <is>
          <t>D_W</t>
        </is>
      </c>
      <c r="S57">
        <f>MAX($S$10+IF($S$9=1,'Cisalhamento e Apoios'!$J$117,0)+110,2.6*$S$49,170)</f>
        <v>241.8</v>
      </c>
    </row>
    <row r="58">
      <c r="R58" t="inlineStr">
        <is>
          <t>D_k</t>
        </is>
      </c>
      <c r="S58">
        <f>MIN(1000.0/$S$57,562.162/($S$49+62+40))</f>
        <v>2.8828820512820514</v>
      </c>
    </row>
    <row r="59">
      <c r="R59" t="inlineStr">
        <is>
          <t>H_mx</t>
        </is>
      </c>
      <c r="S59">
        <v>28</v>
      </c>
    </row>
    <row r="60">
      <c r="A60" t="inlineStr">
        <is>
          <t>Viga pré-fabricada</t>
        </is>
      </c>
      <c r="B60">
        <f>0</f>
        <v>0.0</v>
      </c>
      <c r="C60">
        <f>$S$11</f>
        <v>0.0</v>
      </c>
      <c r="D60">
        <f>(B60+$S$52)*$S$54</f>
        <v>44.457464788732395</v>
      </c>
      <c r="E60">
        <f>(C60+$S$53)*$S$54</f>
        <v>74.09577464788732</v>
      </c>
      <c r="F60">
        <f>(B60+$S$55)*$S$58</f>
        <v>86.48646153846154</v>
      </c>
      <c r="G60">
        <f>(C60+$S$56)*$S$58</f>
        <v>178.7386871794872</v>
      </c>
      <c r="H60">
        <f>(B60+$S$59)*$S$61</f>
        <v>41.05777514792899</v>
      </c>
      <c r="I60">
        <f>(C60+$S$60)*$S$61</f>
        <v>67.45205917159764</v>
      </c>
      <c r="K60" t="inlineStr">
        <is>
          <t>Seção</t>
        </is>
      </c>
      <c r="L60">
        <f>Geometria!$V$16</f>
        <v>0.0</v>
      </c>
      <c r="M60">
        <f>Geometria!$W$16</f>
        <v>0.0</v>
      </c>
      <c r="N60">
        <f>(L60+$S$63)*$S$65</f>
        <v>500.0</v>
      </c>
      <c r="O60">
        <f>(M60+$S$64)*$S$65</f>
        <v>226.66666666666669</v>
      </c>
      <c r="R60" t="inlineStr">
        <is>
          <t>H_my</t>
        </is>
      </c>
      <c r="S60">
        <v>46</v>
      </c>
    </row>
    <row r="61">
      <c r="B61">
        <f>$S$10</f>
        <v>0.0</v>
      </c>
      <c r="C61">
        <f>$S$11</f>
        <v>0.0</v>
      </c>
      <c r="D61">
        <f>(B61+$S$52)*$S$54</f>
        <v>44.457464788732395</v>
      </c>
      <c r="E61">
        <f>(C61+$S$53)*$S$54</f>
        <v>74.09577464788732</v>
      </c>
      <c r="F61">
        <f>(B61+$S$55)*$S$58</f>
        <v>86.48646153846154</v>
      </c>
      <c r="G61">
        <f>(C61+$S$56)*$S$58</f>
        <v>178.7386871794872</v>
      </c>
      <c r="H61">
        <f>(B61+$S$59)*$S$61</f>
        <v>41.05777514792899</v>
      </c>
      <c r="I61">
        <f>(C61+$S$60)*$S$61</f>
        <v>67.45205917159764</v>
      </c>
      <c r="L61">
        <f>Geometria!$V$17</f>
        <v>-15.0</v>
      </c>
      <c r="M61">
        <f>Geometria!$W$17</f>
        <v>0.0</v>
      </c>
      <c r="N61">
        <f>(L61+$S$63)*$S$65</f>
        <v>400.0</v>
      </c>
      <c r="O61">
        <f>(M61+$S$64)*$S$65</f>
        <v>226.66666666666669</v>
      </c>
      <c r="R61" t="inlineStr">
        <is>
          <t>H_k</t>
        </is>
      </c>
      <c r="S61">
        <f>MIN(1000.0/($S$3+48),247.813/($S$49+46+30))</f>
        <v>1.4663491124260355</v>
      </c>
    </row>
    <row r="62">
      <c r="B62">
        <f>$S$10</f>
        <v>0.0</v>
      </c>
      <c r="C62">
        <f>0</f>
        <v>0.0</v>
      </c>
      <c r="D62">
        <f>(B62+$S$52)*$S$54</f>
        <v>44.457464788732395</v>
      </c>
      <c r="E62">
        <f>(C62+$S$53)*$S$54</f>
        <v>74.09577464788732</v>
      </c>
      <c r="F62">
        <f>(B62+$S$55)*$S$58</f>
        <v>86.48646153846154</v>
      </c>
      <c r="G62">
        <f>(C62+$S$56)*$S$58</f>
        <v>178.7386871794872</v>
      </c>
      <c r="H62">
        <f>(B62+$S$59)*$S$61</f>
        <v>41.05777514792899</v>
      </c>
      <c r="I62">
        <f>(C62+$S$60)*$S$61</f>
        <v>67.45205917159764</v>
      </c>
      <c r="L62">
        <f>Geometria!$V$18</f>
        <v>-15.0</v>
      </c>
      <c r="M62">
        <f>Geometria!$W$18</f>
        <v>40.0</v>
      </c>
      <c r="N62">
        <f>(L62+$S$63)*$S$65</f>
        <v>400.0</v>
      </c>
      <c r="O62">
        <f>(M62+$S$64)*$S$65</f>
        <v>493.33333333333337</v>
      </c>
      <c r="R62" t="inlineStr">
        <is>
          <t>S_W</t>
        </is>
      </c>
      <c r="S62">
        <f>$S$50+2*$S$51+2*60</f>
        <v>150.0</v>
      </c>
    </row>
    <row r="63">
      <c r="B63">
        <f>$S$2-$S$10</f>
        <v>815.0</v>
      </c>
      <c r="C63">
        <f>0</f>
        <v>0.0</v>
      </c>
      <c r="D63">
        <f>(B63+$S$52)*$S$54</f>
        <v>849.6315492957746</v>
      </c>
      <c r="E63">
        <f>(C63+$S$53)*$S$54</f>
        <v>74.09577464788732</v>
      </c>
      <c r="F63">
        <f>(B63+$S$55)*$S$58</f>
        <v>2436.0353333333333</v>
      </c>
      <c r="G63">
        <f>(C63+$S$56)*$S$58</f>
        <v>178.7386871794872</v>
      </c>
      <c r="H63">
        <f>(B63+$S$59)*$S$61</f>
        <v>1236.1323017751479</v>
      </c>
      <c r="I63">
        <f>(C63+$S$60)*$S$61</f>
        <v>67.45205917159764</v>
      </c>
      <c r="L63">
        <f>Geometria!$V$19</f>
        <v>-15.0</v>
      </c>
      <c r="M63">
        <f>Geometria!$W$19</f>
        <v>45.0</v>
      </c>
      <c r="N63">
        <f>(L63+$S$63)*$S$65</f>
        <v>400.0</v>
      </c>
      <c r="O63">
        <f>(M63+$S$64)*$S$65</f>
        <v>526.6666666666667</v>
      </c>
      <c r="R63" t="inlineStr">
        <is>
          <t>S_mx</t>
        </is>
      </c>
      <c r="S63">
        <f>$S$62/2</f>
        <v>75.0</v>
      </c>
    </row>
    <row r="64">
      <c r="B64">
        <f>$S$2-$S$10</f>
        <v>815.0</v>
      </c>
      <c r="C64">
        <f>$S$11</f>
        <v>0.0</v>
      </c>
      <c r="D64">
        <f>(B64+$S$52)*$S$54</f>
        <v>849.6315492957746</v>
      </c>
      <c r="E64">
        <f>(C64+$S$53)*$S$54</f>
        <v>74.09577464788732</v>
      </c>
      <c r="F64">
        <f>(B64+$S$55)*$S$58</f>
        <v>2436.0353333333333</v>
      </c>
      <c r="G64">
        <f>(C64+$S$56)*$S$58</f>
        <v>178.7386871794872</v>
      </c>
      <c r="H64">
        <f>(B64+$S$59)*$S$61</f>
        <v>1236.1323017751479</v>
      </c>
      <c r="I64">
        <f>(C64+$S$60)*$S$61</f>
        <v>67.45205917159764</v>
      </c>
      <c r="L64">
        <f>Geometria!$V$20</f>
        <v>-15.0</v>
      </c>
      <c r="M64">
        <f>Geometria!$W$20</f>
        <v>60.0</v>
      </c>
      <c r="N64">
        <f>(L64+$S$63)*$S$65</f>
        <v>400.0</v>
      </c>
      <c r="O64">
        <f>(M64+$S$64)*$S$65</f>
        <v>626.6666666666667</v>
      </c>
      <c r="R64" t="inlineStr">
        <is>
          <t>S_my</t>
        </is>
      </c>
      <c r="S64">
        <v>34</v>
      </c>
    </row>
    <row r="65">
      <c r="B65">
        <f>$S$2</f>
        <v>815.0</v>
      </c>
      <c r="C65">
        <f>$S$11</f>
        <v>0.0</v>
      </c>
      <c r="D65">
        <f>(B65+$S$52)*$S$54</f>
        <v>849.6315492957746</v>
      </c>
      <c r="E65">
        <f>(C65+$S$53)*$S$54</f>
        <v>74.09577464788732</v>
      </c>
      <c r="F65">
        <f>(B65+$S$55)*$S$58</f>
        <v>2436.0353333333333</v>
      </c>
      <c r="G65">
        <f>(C65+$S$56)*$S$58</f>
        <v>178.7386871794872</v>
      </c>
      <c r="H65">
        <f>(B65+$S$59)*$S$61</f>
        <v>1236.1323017751479</v>
      </c>
      <c r="I65">
        <f>(C65+$S$60)*$S$61</f>
        <v>67.45205917159764</v>
      </c>
      <c r="L65">
        <f>Geometria!$V$21</f>
        <v>15.0</v>
      </c>
      <c r="M65">
        <f>Geometria!$W$21</f>
        <v>60.0</v>
      </c>
      <c r="N65">
        <f>(L65+$S$63)*$S$65</f>
        <v>600.0</v>
      </c>
      <c r="O65">
        <f>(M65+$S$64)*$S$65</f>
        <v>626.6666666666667</v>
      </c>
      <c r="R65" t="inlineStr">
        <is>
          <t>S_k</t>
        </is>
      </c>
      <c r="S65">
        <f>MIN(1000.0/$S$62,1130.435/($S$49+34+30))</f>
        <v>6.666666666666667</v>
      </c>
    </row>
    <row r="66">
      <c r="B66">
        <f>$S$2</f>
        <v>815.0</v>
      </c>
      <c r="C66">
        <f>$S$4</f>
        <v>60.0</v>
      </c>
      <c r="D66">
        <f>(B66+$S$52)*$S$54</f>
        <v>849.6315492957746</v>
      </c>
      <c r="E66">
        <f>(C66+$S$53)*$S$54</f>
        <v>133.37239436619717</v>
      </c>
      <c r="F66">
        <f>(B66+$S$55)*$S$58</f>
        <v>2436.0353333333333</v>
      </c>
      <c r="G66">
        <f>(C66+$S$56)*$S$58</f>
        <v>351.71161025641027</v>
      </c>
      <c r="H66">
        <f>(B66+$S$59)*$S$61</f>
        <v>1236.1323017751479</v>
      </c>
      <c r="I66">
        <f>(C66+$S$60)*$S$61</f>
        <v>155.43300591715976</v>
      </c>
      <c r="L66">
        <f>Geometria!$V$22</f>
        <v>15.0</v>
      </c>
      <c r="M66">
        <f>Geometria!$W$22</f>
        <v>45.0</v>
      </c>
      <c r="N66">
        <f>(L66+$S$63)*$S$65</f>
        <v>600.0</v>
      </c>
      <c r="O66">
        <f>(M66+$S$64)*$S$65</f>
        <v>526.6666666666667</v>
      </c>
      <c r="R66" t="inlineStr">
        <is>
          <t>isoLmax</t>
        </is>
      </c>
      <c r="S66">
        <f>MAX(IF(Geometria!$K$1409&gt;0,Geometria!$L$1409,0),IF(Geometria!$K$1407&gt;0,Geometria!$L$1407,0),IF(Geometria!$K$1405&gt;0,Geometria!$L$1405,0),IF(Geometria!$K$1403&gt;0,Geometria!$L$1403,0),IF(Geometria!$K$1424&gt;0,Geometria!$L$1424,0),IF(Geometria!$K$1422&gt;0,Geometria!$L$1422,0),IF(Geometria!$K$1420&gt;0,Geometria!$L$1420,0),IF(Geometria!$K$1418&gt;0,Geometria!$L$1418,0))</f>
        <v>160.0</v>
      </c>
    </row>
    <row r="67">
      <c r="B67">
        <f>0</f>
        <v>0.0</v>
      </c>
      <c r="C67">
        <f>$S$4</f>
        <v>60.0</v>
      </c>
      <c r="D67">
        <f>(B67+$S$52)*$S$54</f>
        <v>44.457464788732395</v>
      </c>
      <c r="E67">
        <f>(C67+$S$53)*$S$54</f>
        <v>133.37239436619717</v>
      </c>
      <c r="F67">
        <f>(B67+$S$55)*$S$58</f>
        <v>86.48646153846154</v>
      </c>
      <c r="G67">
        <f>(C67+$S$56)*$S$58</f>
        <v>351.71161025641027</v>
      </c>
      <c r="H67">
        <f>(B67+$S$59)*$S$61</f>
        <v>41.05777514792899</v>
      </c>
      <c r="I67">
        <f>(C67+$S$60)*$S$61</f>
        <v>155.43300591715976</v>
      </c>
      <c r="L67">
        <f>Geometria!$V$23</f>
        <v>15.0</v>
      </c>
      <c r="M67">
        <f>Geometria!$W$23</f>
        <v>40.0</v>
      </c>
      <c r="N67">
        <f>(L67+$S$63)*$S$65</f>
        <v>600.0</v>
      </c>
      <c r="O67">
        <f>(M67+$S$64)*$S$65</f>
        <v>493.33333333333337</v>
      </c>
      <c r="R67" t="inlineStr">
        <is>
          <t>isoRmax</t>
        </is>
      </c>
      <c r="S67">
        <f>MAX(IF(Geometria!$Q$1409&gt;0,Geometria!$R$1409,0),IF(Geometria!$Q$1407&gt;0,Geometria!$R$1407,0),IF(Geometria!$Q$1405&gt;0,Geometria!$R$1405,0),IF(Geometria!$Q$1403&gt;0,Geometria!$R$1403,0),IF(Geometria!$Q$1424&gt;0,Geometria!$R$1424,0),IF(Geometria!$Q$1422&gt;0,Geometria!$R$1422,0),IF(Geometria!$Q$1420&gt;0,Geometria!$R$1420,0),IF(Geometria!$Q$1418&gt;0,Geometria!$R$1418,0))</f>
        <v>160.0</v>
      </c>
    </row>
    <row r="68">
      <c r="B68">
        <f>0</f>
        <v>0.0</v>
      </c>
      <c r="C68">
        <f>$S$11</f>
        <v>0.0</v>
      </c>
      <c r="D68">
        <f>(B68+$S$52)*$S$54</f>
        <v>44.457464788732395</v>
      </c>
      <c r="E68">
        <f>(C68+$S$53)*$S$54</f>
        <v>74.09577464788732</v>
      </c>
      <c r="F68">
        <f>(B68+$S$55)*$S$58</f>
        <v>86.48646153846154</v>
      </c>
      <c r="G68">
        <f>(C68+$S$56)*$S$58</f>
        <v>178.7386871794872</v>
      </c>
      <c r="H68">
        <f>(B68+$S$59)*$S$61</f>
        <v>41.05777514792899</v>
      </c>
      <c r="I68">
        <f>(C68+$S$60)*$S$61</f>
        <v>67.45205917159764</v>
      </c>
      <c r="L68">
        <f>Geometria!$V$24</f>
        <v>15.0</v>
      </c>
      <c r="M68">
        <f>Geometria!$W$24</f>
        <v>0.0</v>
      </c>
      <c r="N68">
        <f>(L68+$S$63)*$S$65</f>
        <v>600.0</v>
      </c>
      <c r="O68">
        <f>(M68+$S$64)*$S$65</f>
        <v>226.66666666666669</v>
      </c>
    </row>
    <row r="69">
      <c r="L69">
        <f>Geometria!$V$25</f>
        <v>0.0</v>
      </c>
      <c r="M69">
        <f>Geometria!$W$25</f>
        <v>0.0</v>
      </c>
      <c r="N69">
        <f>(L69+$S$63)*$S$65</f>
        <v>500.0</v>
      </c>
      <c r="O69">
        <f>(M69+$S$64)*$S$65</f>
        <v>226.66666666666669</v>
      </c>
    </row>
    <row r="70">
      <c r="L70">
        <f>Geometria!$V$26</f>
        <v>0.0</v>
      </c>
      <c r="M70">
        <f>Geometria!$W$26</f>
        <v>0.0</v>
      </c>
      <c r="N70">
        <f>(L70+$S$63)*$S$65</f>
        <v>500.0</v>
      </c>
      <c r="O70">
        <f>(M70+$S$64)*$S$65</f>
        <v>226.66666666666669</v>
      </c>
    </row>
    <row r="71">
      <c r="A71" t="inlineStr">
        <is>
          <t>Viga pré-fabricada</t>
        </is>
      </c>
      <c r="B71">
        <f>0</f>
        <v>0.0</v>
      </c>
      <c r="C71">
        <f>$S$11</f>
        <v>0.0</v>
      </c>
      <c r="D71">
        <f>(B71+$S$52)*$S$54</f>
        <v>44.457464788732395</v>
      </c>
      <c r="E71">
        <f>(C71+$S$53)*$S$54</f>
        <v>74.09577464788732</v>
      </c>
      <c r="F71">
        <f>(B71+$S$55)*$S$58</f>
        <v>86.48646153846154</v>
      </c>
      <c r="G71">
        <f>(C71+$S$56)*$S$58</f>
        <v>178.7386871794872</v>
      </c>
      <c r="H71">
        <f>(B71+$S$59)*$S$61</f>
        <v>41.05777514792899</v>
      </c>
      <c r="I71">
        <f>(C71+$S$60)*$S$61</f>
        <v>67.45205917159764</v>
      </c>
      <c r="L71">
        <f>Geometria!$V$27</f>
        <v>0.0</v>
      </c>
      <c r="M71">
        <f>Geometria!$W$27</f>
        <v>0.0</v>
      </c>
      <c r="N71">
        <f>(L71+$S$63)*$S$65</f>
        <v>500.0</v>
      </c>
      <c r="O71">
        <f>(M71+$S$64)*$S$65</f>
        <v>226.66666666666669</v>
      </c>
    </row>
    <row r="72">
      <c r="B72">
        <f>$S$10</f>
        <v>0.0</v>
      </c>
      <c r="C72">
        <f>$S$11</f>
        <v>0.0</v>
      </c>
      <c r="D72">
        <f>(B72+$S$52)*$S$54</f>
        <v>44.457464788732395</v>
      </c>
      <c r="E72">
        <f>(C72+$S$53)*$S$54</f>
        <v>74.09577464788732</v>
      </c>
      <c r="F72">
        <f>(B72+$S$55)*$S$58</f>
        <v>86.48646153846154</v>
      </c>
      <c r="G72">
        <f>(C72+$S$56)*$S$58</f>
        <v>178.7386871794872</v>
      </c>
      <c r="H72">
        <f>(B72+$S$59)*$S$61</f>
        <v>41.05777514792899</v>
      </c>
      <c r="I72">
        <f>(C72+$S$60)*$S$61</f>
        <v>67.45205917159764</v>
      </c>
      <c r="L72">
        <f>Geometria!$V$28</f>
        <v>0.0</v>
      </c>
      <c r="M72">
        <f>Geometria!$W$28</f>
        <v>0.0</v>
      </c>
      <c r="N72">
        <f>(L72+$S$63)*$S$65</f>
        <v>500.0</v>
      </c>
      <c r="O72">
        <f>(M72+$S$64)*$S$65</f>
        <v>226.66666666666669</v>
      </c>
    </row>
    <row r="73">
      <c r="B73">
        <f>$S$10</f>
        <v>0.0</v>
      </c>
      <c r="C73">
        <f>0</f>
        <v>0.0</v>
      </c>
      <c r="D73">
        <f>(B73+$S$52)*$S$54</f>
        <v>44.457464788732395</v>
      </c>
      <c r="E73">
        <f>(C73+$S$53)*$S$54</f>
        <v>74.09577464788732</v>
      </c>
      <c r="F73">
        <f>(B73+$S$55)*$S$58</f>
        <v>86.48646153846154</v>
      </c>
      <c r="G73">
        <f>(C73+$S$56)*$S$58</f>
        <v>178.7386871794872</v>
      </c>
      <c r="H73">
        <f>(B73+$S$59)*$S$61</f>
        <v>41.05777514792899</v>
      </c>
      <c r="I73">
        <f>(C73+$S$60)*$S$61</f>
        <v>67.45205917159764</v>
      </c>
      <c r="L73">
        <f>Geometria!$V$29</f>
        <v>0.0</v>
      </c>
      <c r="M73">
        <f>Geometria!$W$29</f>
        <v>0.0</v>
      </c>
      <c r="N73">
        <f>(L73+$S$63)*$S$65</f>
        <v>500.0</v>
      </c>
      <c r="O73">
        <f>(M73+$S$64)*$S$65</f>
        <v>226.66666666666669</v>
      </c>
    </row>
    <row r="74">
      <c r="B74">
        <f>$S$3</f>
        <v>407.5</v>
      </c>
      <c r="C74">
        <f>0</f>
        <v>0.0</v>
      </c>
      <c r="D74">
        <f>(B74+$S$52)*$S$54</f>
        <v>447.0445070422535</v>
      </c>
      <c r="E74">
        <f>(C74+$S$53)*$S$54</f>
        <v>74.09577464788732</v>
      </c>
      <c r="F74">
        <f>(B74+$S$55)*$S$58</f>
        <v>1261.2608974358975</v>
      </c>
      <c r="G74">
        <f>(C74+$S$56)*$S$58</f>
        <v>178.7386871794872</v>
      </c>
      <c r="H74">
        <f>(B74+$S$59)*$S$61</f>
        <v>638.5950384615385</v>
      </c>
      <c r="I74">
        <f>(C74+$S$60)*$S$61</f>
        <v>67.45205917159764</v>
      </c>
      <c r="L74">
        <f>Geometria!$V$30</f>
        <v>0.0</v>
      </c>
      <c r="M74">
        <f>Geometria!$W$30</f>
        <v>0.0</v>
      </c>
      <c r="N74">
        <f>(L74+$S$63)*$S$65</f>
        <v>500.0</v>
      </c>
      <c r="O74">
        <f>(M74+$S$64)*$S$65</f>
        <v>226.66666666666669</v>
      </c>
    </row>
    <row r="75">
      <c r="B75">
        <f>$S$3</f>
        <v>407.5</v>
      </c>
      <c r="C75">
        <f>$S$4</f>
        <v>60.0</v>
      </c>
      <c r="D75">
        <f>(B75+$S$52)*$S$54</f>
        <v>447.0445070422535</v>
      </c>
      <c r="E75">
        <f>(C75+$S$53)*$S$54</f>
        <v>133.37239436619717</v>
      </c>
      <c r="F75">
        <f>(B75+$S$55)*$S$58</f>
        <v>1261.2608974358975</v>
      </c>
      <c r="G75">
        <f>(C75+$S$56)*$S$58</f>
        <v>351.71161025641027</v>
      </c>
      <c r="H75">
        <f>(B75+$S$59)*$S$61</f>
        <v>638.5950384615385</v>
      </c>
      <c r="I75">
        <f>(C75+$S$60)*$S$61</f>
        <v>155.43300591715976</v>
      </c>
      <c r="L75">
        <f>Geometria!$V$31</f>
        <v>0.0</v>
      </c>
      <c r="M75">
        <f>Geometria!$W$31</f>
        <v>0.0</v>
      </c>
      <c r="N75">
        <f>(L75+$S$63)*$S$65</f>
        <v>500.0</v>
      </c>
      <c r="O75">
        <f>(M75+$S$64)*$S$65</f>
        <v>226.66666666666669</v>
      </c>
    </row>
    <row r="76">
      <c r="B76">
        <f>0</f>
        <v>0.0</v>
      </c>
      <c r="C76">
        <f>$S$4</f>
        <v>60.0</v>
      </c>
      <c r="D76">
        <f>(B76+$S$52)*$S$54</f>
        <v>44.457464788732395</v>
      </c>
      <c r="E76">
        <f>(C76+$S$53)*$S$54</f>
        <v>133.37239436619717</v>
      </c>
      <c r="F76">
        <f>(B76+$S$55)*$S$58</f>
        <v>86.48646153846154</v>
      </c>
      <c r="G76">
        <f>(C76+$S$56)*$S$58</f>
        <v>351.71161025641027</v>
      </c>
      <c r="H76">
        <f>(B76+$S$59)*$S$61</f>
        <v>41.05777514792899</v>
      </c>
      <c r="I76">
        <f>(C76+$S$60)*$S$61</f>
        <v>155.43300591715976</v>
      </c>
      <c r="L76">
        <f>Geometria!$V$32</f>
        <v>0.0</v>
      </c>
      <c r="M76">
        <f>Geometria!$W$32</f>
        <v>0.0</v>
      </c>
      <c r="N76">
        <f>(L76+$S$63)*$S$65</f>
        <v>500.0</v>
      </c>
      <c r="O76">
        <f>(M76+$S$64)*$S$65</f>
        <v>226.66666666666669</v>
      </c>
    </row>
    <row r="77">
      <c r="B77">
        <f>0</f>
        <v>0.0</v>
      </c>
      <c r="C77">
        <f>$S$11</f>
        <v>0.0</v>
      </c>
      <c r="D77">
        <f>(B77+$S$52)*$S$54</f>
        <v>44.457464788732395</v>
      </c>
      <c r="E77">
        <f>(C77+$S$53)*$S$54</f>
        <v>74.09577464788732</v>
      </c>
      <c r="F77">
        <f>(B77+$S$55)*$S$58</f>
        <v>86.48646153846154</v>
      </c>
      <c r="G77">
        <f>(C77+$S$56)*$S$58</f>
        <v>178.7386871794872</v>
      </c>
      <c r="H77">
        <f>(B77+$S$59)*$S$61</f>
        <v>41.05777514792899</v>
      </c>
      <c r="I77">
        <f>(C77+$S$60)*$S$61</f>
        <v>67.45205917159764</v>
      </c>
      <c r="L77">
        <f>Geometria!$V$33</f>
        <v>0.0</v>
      </c>
      <c r="M77">
        <f>Geometria!$W$33</f>
        <v>0.0</v>
      </c>
      <c r="N77">
        <f>(L77+$S$63)*$S$65</f>
        <v>500.0</v>
      </c>
      <c r="O77">
        <f>(M77+$S$64)*$S$65</f>
        <v>226.66666666666669</v>
      </c>
    </row>
    <row r="78">
      <c r="L78">
        <f>Geometria!$V$34</f>
        <v>0.0</v>
      </c>
      <c r="M78">
        <f>Geometria!$W$34</f>
        <v>0.0</v>
      </c>
      <c r="N78">
        <f>(L78+$S$63)*$S$65</f>
        <v>500.0</v>
      </c>
      <c r="O78">
        <f>(M78+$S$64)*$S$65</f>
        <v>226.66666666666669</v>
      </c>
    </row>
    <row r="80">
      <c r="A80" t="inlineStr">
        <is>
          <t>Laje + capa</t>
        </is>
      </c>
      <c r="B80">
        <f>0</f>
        <v>0.0</v>
      </c>
      <c r="C80">
        <f>IF($S$6=1,$S$4,NA())</f>
        <v>60.0</v>
      </c>
      <c r="D80">
        <f>(B80+$S$52)*$S$54</f>
        <v>44.457464788732395</v>
      </c>
      <c r="E80">
        <f>(C80+$S$53)*$S$54</f>
        <v>133.37239436619717</v>
      </c>
      <c r="F80">
        <f>(B80+$S$55)*$S$58</f>
        <v>86.48646153846154</v>
      </c>
      <c r="G80">
        <f>(C80+$S$56)*$S$58</f>
        <v>351.71161025641027</v>
      </c>
      <c r="H80">
        <f>(B80+$S$59)*$S$61</f>
        <v>41.05777514792899</v>
      </c>
      <c r="I80">
        <f>(C80+$S$60)*$S$61</f>
        <v>155.43300591715976</v>
      </c>
    </row>
    <row r="81">
      <c r="B81">
        <f>0</f>
        <v>0.0</v>
      </c>
      <c r="C81">
        <f>IF($S$6=1,$S$5,NA())</f>
        <v>90.0</v>
      </c>
      <c r="D81">
        <f>(B81+$S$52)*$S$54</f>
        <v>44.457464788732395</v>
      </c>
      <c r="E81">
        <f>(C81+$S$53)*$S$54</f>
        <v>163.0107042253521</v>
      </c>
      <c r="F81">
        <f>(B81+$S$55)*$S$58</f>
        <v>86.48646153846154</v>
      </c>
      <c r="G81">
        <f>(C81+$S$56)*$S$58</f>
        <v>438.1980717948718</v>
      </c>
      <c r="H81">
        <f>(B81+$S$59)*$S$61</f>
        <v>41.05777514792899</v>
      </c>
      <c r="I81">
        <f>(C81+$S$60)*$S$61</f>
        <v>199.42347928994081</v>
      </c>
      <c r="K81" t="inlineStr">
        <is>
          <t>Aba R/A</t>
        </is>
      </c>
      <c r="L81">
        <f>Seções!$W$25</f>
        <v>-15.0</v>
      </c>
      <c r="M81">
        <f>Seções!$X$25</f>
        <v>60.0</v>
      </c>
      <c r="N81">
        <f>(L81+$S$63)*$S$65</f>
        <v>400.0</v>
      </c>
      <c r="O81">
        <f>(M81+$S$64)*$S$65</f>
        <v>626.6666666666667</v>
      </c>
    </row>
    <row r="82">
      <c r="B82">
        <f>$S$2</f>
        <v>815.0</v>
      </c>
      <c r="C82">
        <f>IF($S$6=1,$S$5,NA())</f>
        <v>90.0</v>
      </c>
      <c r="D82">
        <f>(B82+$S$52)*$S$54</f>
        <v>849.6315492957746</v>
      </c>
      <c r="E82">
        <f>(C82+$S$53)*$S$54</f>
        <v>163.0107042253521</v>
      </c>
      <c r="F82">
        <f>(B82+$S$55)*$S$58</f>
        <v>2436.0353333333333</v>
      </c>
      <c r="G82">
        <f>(C82+$S$56)*$S$58</f>
        <v>438.1980717948718</v>
      </c>
      <c r="H82">
        <f>(B82+$S$59)*$S$61</f>
        <v>1236.1323017751479</v>
      </c>
      <c r="I82">
        <f>(C82+$S$60)*$S$61</f>
        <v>199.42347928994081</v>
      </c>
      <c r="L82">
        <f>Seções!$W$26</f>
        <v>-15.0</v>
      </c>
      <c r="M82">
        <f>Seções!$X$26</f>
        <v>93.0</v>
      </c>
      <c r="N82">
        <f>(L82+$S$63)*$S$65</f>
        <v>400.0</v>
      </c>
      <c r="O82">
        <f>(M82+$S$64)*$S$65</f>
        <v>846.6666666666667</v>
      </c>
    </row>
    <row r="83">
      <c r="B83">
        <f>$S$2</f>
        <v>815.0</v>
      </c>
      <c r="C83">
        <f>IF($S$6=1,$S$4,NA())</f>
        <v>60.0</v>
      </c>
      <c r="D83">
        <f>(B83+$S$52)*$S$54</f>
        <v>849.6315492957746</v>
      </c>
      <c r="E83">
        <f>(C83+$S$53)*$S$54</f>
        <v>133.37239436619717</v>
      </c>
      <c r="F83">
        <f>(B83+$S$55)*$S$58</f>
        <v>2436.0353333333333</v>
      </c>
      <c r="G83">
        <f>(C83+$S$56)*$S$58</f>
        <v>351.71161025641027</v>
      </c>
      <c r="H83">
        <f>(B83+$S$59)*$S$61</f>
        <v>1236.1323017751479</v>
      </c>
      <c r="I83">
        <f>(C83+$S$60)*$S$61</f>
        <v>155.43300591715976</v>
      </c>
      <c r="L83">
        <f>Seções!$W$27</f>
        <v>-5.0</v>
      </c>
      <c r="M83">
        <f>Seções!$X$27</f>
        <v>93.0</v>
      </c>
      <c r="N83">
        <f>(L83+$S$63)*$S$65</f>
        <v>466.6666666666667</v>
      </c>
      <c r="O83">
        <f>(M83+$S$64)*$S$65</f>
        <v>846.6666666666667</v>
      </c>
    </row>
    <row r="84">
      <c r="L84">
        <f>Seções!$W$28</f>
        <v>-5.0</v>
      </c>
      <c r="M84">
        <f>Seções!$X$28</f>
        <v>60.0</v>
      </c>
      <c r="N84">
        <f>(L84+$S$63)*$S$65</f>
        <v>466.6666666666667</v>
      </c>
      <c r="O84">
        <f>(M84+$S$64)*$S$65</f>
        <v>626.6666666666667</v>
      </c>
    </row>
    <row r="86">
      <c r="A86" t="inlineStr">
        <is>
          <t>Laje + capa</t>
        </is>
      </c>
      <c r="B86">
        <f>0</f>
        <v>0.0</v>
      </c>
      <c r="C86">
        <f>IF($S$6=1,$S$4,NA())</f>
        <v>60.0</v>
      </c>
      <c r="D86">
        <f>(B86+$S$52)*$S$54</f>
        <v>44.457464788732395</v>
      </c>
      <c r="E86">
        <f>(C86+$S$53)*$S$54</f>
        <v>133.37239436619717</v>
      </c>
      <c r="F86">
        <f>(B86+$S$55)*$S$58</f>
        <v>86.48646153846154</v>
      </c>
      <c r="G86">
        <f>(C86+$S$56)*$S$58</f>
        <v>351.71161025641027</v>
      </c>
      <c r="H86">
        <f>(B86+$S$59)*$S$61</f>
        <v>41.05777514792899</v>
      </c>
      <c r="I86">
        <f>(C86+$S$60)*$S$61</f>
        <v>155.43300591715976</v>
      </c>
    </row>
    <row r="87">
      <c r="B87">
        <f>0</f>
        <v>0.0</v>
      </c>
      <c r="C87">
        <f>IF($S$6=1,$S$5,NA())</f>
        <v>90.0</v>
      </c>
      <c r="D87">
        <f>(B87+$S$52)*$S$54</f>
        <v>44.457464788732395</v>
      </c>
      <c r="E87">
        <f>(C87+$S$53)*$S$54</f>
        <v>163.0107042253521</v>
      </c>
      <c r="F87">
        <f>(B87+$S$55)*$S$58</f>
        <v>86.48646153846154</v>
      </c>
      <c r="G87">
        <f>(C87+$S$56)*$S$58</f>
        <v>438.1980717948718</v>
      </c>
      <c r="H87">
        <f>(B87+$S$59)*$S$61</f>
        <v>41.05777514792899</v>
      </c>
      <c r="I87">
        <f>(C87+$S$60)*$S$61</f>
        <v>199.42347928994081</v>
      </c>
      <c r="K87" t="inlineStr">
        <is>
          <t>Estribo</t>
        </is>
      </c>
      <c r="L87">
        <f>Geometria!$AE$235</f>
        <v>0.0</v>
      </c>
      <c r="M87">
        <f>Geometria!$AF$235</f>
        <v>3.0</v>
      </c>
      <c r="N87">
        <f>(L87+$S$63)*$S$65</f>
        <v>500.0</v>
      </c>
      <c r="O87">
        <f>(M87+$S$64)*$S$65</f>
        <v>246.66666666666669</v>
      </c>
    </row>
    <row r="88">
      <c r="B88">
        <f>$S$3</f>
        <v>407.5</v>
      </c>
      <c r="C88">
        <f>IF($S$6=1,$S$5,NA())</f>
        <v>90.0</v>
      </c>
      <c r="D88">
        <f>(B88+$S$52)*$S$54</f>
        <v>447.0445070422535</v>
      </c>
      <c r="E88">
        <f>(C88+$S$53)*$S$54</f>
        <v>163.0107042253521</v>
      </c>
      <c r="F88">
        <f>(B88+$S$55)*$S$58</f>
        <v>1261.2608974358975</v>
      </c>
      <c r="G88">
        <f>(C88+$S$56)*$S$58</f>
        <v>438.1980717948718</v>
      </c>
      <c r="H88">
        <f>(B88+$S$59)*$S$61</f>
        <v>638.5950384615385</v>
      </c>
      <c r="I88">
        <f>(C88+$S$60)*$S$61</f>
        <v>199.42347928994081</v>
      </c>
      <c r="L88">
        <f>Geometria!$AE$236</f>
        <v>-12.0</v>
      </c>
      <c r="M88">
        <f>Geometria!$AF$236</f>
        <v>3.0</v>
      </c>
      <c r="N88">
        <f>(L88+$S$63)*$S$65</f>
        <v>420.0</v>
      </c>
      <c r="O88">
        <f>(M88+$S$64)*$S$65</f>
        <v>246.66666666666669</v>
      </c>
    </row>
    <row r="89">
      <c r="B89">
        <f>$S$3</f>
        <v>407.5</v>
      </c>
      <c r="C89">
        <f>IF($S$6=1,$S$4,NA())</f>
        <v>60.0</v>
      </c>
      <c r="D89">
        <f>(B89+$S$52)*$S$54</f>
        <v>447.0445070422535</v>
      </c>
      <c r="E89">
        <f>(C89+$S$53)*$S$54</f>
        <v>133.37239436619717</v>
      </c>
      <c r="F89">
        <f>(B89+$S$55)*$S$58</f>
        <v>1261.2608974358975</v>
      </c>
      <c r="G89">
        <f>(C89+$S$56)*$S$58</f>
        <v>351.71161025641027</v>
      </c>
      <c r="H89">
        <f>(B89+$S$59)*$S$61</f>
        <v>638.5950384615385</v>
      </c>
      <c r="I89">
        <f>(C89+$S$60)*$S$61</f>
        <v>155.43300591715976</v>
      </c>
      <c r="L89">
        <f>Geometria!$AE$237</f>
        <v>-12.0</v>
      </c>
      <c r="M89">
        <f>Geometria!$AF$237</f>
        <v>43.0</v>
      </c>
      <c r="N89">
        <f>(L89+$S$63)*$S$65</f>
        <v>420.0</v>
      </c>
      <c r="O89">
        <f>(M89+$S$64)*$S$65</f>
        <v>513.3333333333334</v>
      </c>
    </row>
    <row r="90">
      <c r="L90">
        <f>Geometria!$AE$238</f>
        <v>-12.0</v>
      </c>
      <c r="M90">
        <f>Geometria!$AF$238</f>
        <v>48.0</v>
      </c>
      <c r="N90">
        <f>(L90+$S$63)*$S$65</f>
        <v>420.0</v>
      </c>
      <c r="O90">
        <f>(M90+$S$64)*$S$65</f>
        <v>546.6666666666667</v>
      </c>
    </row>
    <row r="91">
      <c r="L91">
        <f>Geometria!$AE$239</f>
        <v>-12.0</v>
      </c>
      <c r="M91">
        <f>Geometria!$AF$239</f>
        <v>57.0</v>
      </c>
      <c r="N91">
        <f>(L91+$S$63)*$S$65</f>
        <v>420.0</v>
      </c>
      <c r="O91">
        <f>(M91+$S$64)*$S$65</f>
        <v>606.6666666666667</v>
      </c>
    </row>
    <row r="92">
      <c r="A92" t="inlineStr">
        <is>
          <t>Eixo do apoio</t>
        </is>
      </c>
      <c r="B92">
        <f>$S$8</f>
        <v>15.0</v>
      </c>
      <c r="C92">
        <f>$S$11-38</f>
        <v>-38.0</v>
      </c>
      <c r="D92">
        <f>(B92+$S$52)*$S$54</f>
        <v>59.27661971830985</v>
      </c>
      <c r="E92">
        <f>(C92+$S$53)*$S$54</f>
        <v>36.55391549295774</v>
      </c>
      <c r="F92">
        <f>(B92+$S$55)*$S$58</f>
        <v>129.72969230769232</v>
      </c>
      <c r="G92">
        <f>(C92+$S$56)*$S$58</f>
        <v>69.18916923076924</v>
      </c>
      <c r="H92">
        <f>(B92+$S$59)*$S$61</f>
        <v>63.05301183431953</v>
      </c>
      <c r="I92">
        <f>(C92+$S$60)*$S$61</f>
        <v>11.730792899408284</v>
      </c>
      <c r="L92">
        <f>Geometria!$AE$240</f>
        <v>12.0</v>
      </c>
      <c r="M92">
        <f>Geometria!$AF$240</f>
        <v>57.0</v>
      </c>
      <c r="N92">
        <f>(L92+$S$63)*$S$65</f>
        <v>580.0</v>
      </c>
      <c r="O92">
        <f>(M92+$S$64)*$S$65</f>
        <v>606.6666666666667</v>
      </c>
    </row>
    <row r="93">
      <c r="B93">
        <f>$S$8</f>
        <v>15.0</v>
      </c>
      <c r="C93">
        <f>$S$5+12</f>
        <v>102.0</v>
      </c>
      <c r="D93">
        <f>(B93+$S$52)*$S$54</f>
        <v>59.27661971830985</v>
      </c>
      <c r="E93">
        <f>(C93+$S$53)*$S$54</f>
        <v>174.86602816901407</v>
      </c>
      <c r="F93">
        <f>(B93+$S$55)*$S$58</f>
        <v>129.72969230769232</v>
      </c>
      <c r="G93">
        <f>(C93+$S$56)*$S$58</f>
        <v>472.7926564102564</v>
      </c>
      <c r="H93">
        <f>(B93+$S$59)*$S$61</f>
        <v>63.05301183431953</v>
      </c>
      <c r="I93">
        <f>(C93+$S$60)*$S$61</f>
        <v>217.01966863905326</v>
      </c>
      <c r="L93">
        <f>Geometria!$AE$241</f>
        <v>12.0</v>
      </c>
      <c r="M93">
        <f>Geometria!$AF$241</f>
        <v>48.0</v>
      </c>
      <c r="N93">
        <f>(L93+$S$63)*$S$65</f>
        <v>580.0</v>
      </c>
      <c r="O93">
        <f>(M93+$S$64)*$S$65</f>
        <v>546.6666666666667</v>
      </c>
    </row>
    <row r="94">
      <c r="L94">
        <f>Geometria!$AE$242</f>
        <v>12.0</v>
      </c>
      <c r="M94">
        <f>Geometria!$AF$242</f>
        <v>43.0</v>
      </c>
      <c r="N94">
        <f>(L94+$S$63)*$S$65</f>
        <v>580.0</v>
      </c>
      <c r="O94">
        <f>(M94+$S$64)*$S$65</f>
        <v>513.3333333333334</v>
      </c>
    </row>
    <row r="95">
      <c r="B95">
        <f>$S$2-($S$8)</f>
        <v>800.0</v>
      </c>
      <c r="C95">
        <f>$S$11-38</f>
        <v>-38.0</v>
      </c>
      <c r="D95">
        <f>(B95+$S$52)*$S$54</f>
        <v>834.8123943661972</v>
      </c>
      <c r="E95">
        <f>(C95+$S$53)*$S$54</f>
        <v>36.55391549295774</v>
      </c>
      <c r="F95">
        <f>(B95+$S$55)*$S$58</f>
        <v>2392.7921025641026</v>
      </c>
      <c r="G95">
        <f>(C95+$S$56)*$S$58</f>
        <v>69.18916923076924</v>
      </c>
      <c r="H95">
        <f>(B95+$S$59)*$S$61</f>
        <v>1214.1370650887575</v>
      </c>
      <c r="I95">
        <f>(C95+$S$60)*$S$61</f>
        <v>11.730792899408284</v>
      </c>
      <c r="L95">
        <f>Geometria!$AE$243</f>
        <v>12.0</v>
      </c>
      <c r="M95">
        <f>Geometria!$AF$243</f>
        <v>3.0</v>
      </c>
      <c r="N95">
        <f>(L95+$S$63)*$S$65</f>
        <v>580.0</v>
      </c>
      <c r="O95">
        <f>(M95+$S$64)*$S$65</f>
        <v>246.66666666666669</v>
      </c>
    </row>
    <row r="96">
      <c r="B96">
        <f>$S$2-($S$8)</f>
        <v>800.0</v>
      </c>
      <c r="C96">
        <f>$S$5+12</f>
        <v>102.0</v>
      </c>
      <c r="D96">
        <f>(B96+$S$52)*$S$54</f>
        <v>834.8123943661972</v>
      </c>
      <c r="E96">
        <f>(C96+$S$53)*$S$54</f>
        <v>174.86602816901407</v>
      </c>
      <c r="F96">
        <f>(B96+$S$55)*$S$58</f>
        <v>2392.7921025641026</v>
      </c>
      <c r="G96">
        <f>(C96+$S$56)*$S$58</f>
        <v>472.7926564102564</v>
      </c>
      <c r="H96">
        <f>(B96+$S$59)*$S$61</f>
        <v>1214.1370650887575</v>
      </c>
      <c r="I96">
        <f>(C96+$S$60)*$S$61</f>
        <v>217.01966863905326</v>
      </c>
      <c r="L96">
        <f>Geometria!$AE$244</f>
        <v>-12.0</v>
      </c>
      <c r="M96">
        <f>Geometria!$AF$244</f>
        <v>3.0</v>
      </c>
      <c r="N96">
        <f>(L96+$S$63)*$S$65</f>
        <v>420.0</v>
      </c>
      <c r="O96">
        <f>(M96+$S$64)*$S$65</f>
        <v>246.66666666666669</v>
      </c>
    </row>
    <row r="97">
      <c r="L97">
        <f>Geometria!$AE$245</f>
        <v>-12.0</v>
      </c>
      <c r="M97">
        <f>Geometria!$AF$245</f>
        <v>88.0</v>
      </c>
      <c r="N97">
        <f>(L97+$S$63)*$S$65</f>
        <v>420.0</v>
      </c>
      <c r="O97">
        <f>(M97+$S$64)*$S$65</f>
        <v>813.3333333333334</v>
      </c>
    </row>
    <row r="98">
      <c r="L98">
        <f>Geometria!$AE$246</f>
        <v>12.0</v>
      </c>
      <c r="M98">
        <f>Geometria!$AF$246</f>
        <v>88.0</v>
      </c>
      <c r="N98">
        <f>(L98+$S$63)*$S$65</f>
        <v>580.0</v>
      </c>
      <c r="O98">
        <f>(M98+$S$64)*$S$65</f>
        <v>813.3333333333334</v>
      </c>
    </row>
    <row r="99">
      <c r="A99" t="inlineStr">
        <is>
          <t>Aparelho de apoio</t>
        </is>
      </c>
      <c r="B99">
        <f>$S$43</f>
        <v>5.0</v>
      </c>
      <c r="C99">
        <f>$S$11</f>
        <v>0.0</v>
      </c>
      <c r="D99">
        <f>(B99+$S$52)*$S$54</f>
        <v>49.39718309859155</v>
      </c>
      <c r="E99">
        <f>(C99+$S$53)*$S$54</f>
        <v>74.09577464788732</v>
      </c>
      <c r="F99">
        <f>(B99+$S$55)*$S$58</f>
        <v>100.9008717948718</v>
      </c>
      <c r="G99">
        <f>(C99+$S$56)*$S$58</f>
        <v>178.7386871794872</v>
      </c>
      <c r="H99">
        <f>(B99+$S$59)*$S$61</f>
        <v>48.38952071005917</v>
      </c>
      <c r="I99">
        <f>(C99+$S$60)*$S$61</f>
        <v>67.45205917159764</v>
      </c>
      <c r="L99">
        <f>Geometria!$AE$247</f>
        <v>12.0</v>
      </c>
      <c r="M99">
        <f>Geometria!$AF$247</f>
        <v>3.0</v>
      </c>
      <c r="N99">
        <f>(L99+$S$63)*$S$65</f>
        <v>580.0</v>
      </c>
      <c r="O99">
        <f>(M99+$S$64)*$S$65</f>
        <v>246.66666666666669</v>
      </c>
    </row>
    <row r="100">
      <c r="B100">
        <f>$S$44</f>
        <v>25.0</v>
      </c>
      <c r="C100">
        <f>$S$11</f>
        <v>0.0</v>
      </c>
      <c r="D100">
        <f>(B100+$S$52)*$S$54</f>
        <v>69.15605633802816</v>
      </c>
      <c r="E100">
        <f>(C100+$S$53)*$S$54</f>
        <v>74.09577464788732</v>
      </c>
      <c r="F100">
        <f>(B100+$S$55)*$S$58</f>
        <v>158.55851282051282</v>
      </c>
      <c r="G100">
        <f>(C100+$S$56)*$S$58</f>
        <v>178.7386871794872</v>
      </c>
      <c r="H100">
        <f>(B100+$S$59)*$S$61</f>
        <v>77.71650295857988</v>
      </c>
      <c r="I100">
        <f>(C100+$S$60)*$S$61</f>
        <v>67.45205917159764</v>
      </c>
    </row>
    <row r="101">
      <c r="B101">
        <f>$S$44</f>
        <v>25.0</v>
      </c>
      <c r="C101">
        <f>$S$11-$S$42</f>
        <v>-2.0</v>
      </c>
      <c r="D101">
        <f>(B101+$S$52)*$S$54</f>
        <v>69.15605633802816</v>
      </c>
      <c r="E101">
        <f>(C101+$S$53)*$S$54</f>
        <v>72.11988732394366</v>
      </c>
      <c r="F101">
        <f>(B101+$S$55)*$S$58</f>
        <v>158.55851282051282</v>
      </c>
      <c r="G101">
        <f>(C101+$S$56)*$S$58</f>
        <v>172.97292307692308</v>
      </c>
      <c r="H101">
        <f>(B101+$S$59)*$S$61</f>
        <v>77.71650295857988</v>
      </c>
      <c r="I101">
        <f>(C101+$S$60)*$S$61</f>
        <v>64.51936094674556</v>
      </c>
    </row>
    <row r="102">
      <c r="B102">
        <f>$S$43</f>
        <v>5.0</v>
      </c>
      <c r="C102">
        <f>$S$11-$S$42</f>
        <v>-2.0</v>
      </c>
      <c r="D102">
        <f>(B102+$S$52)*$S$54</f>
        <v>49.39718309859155</v>
      </c>
      <c r="E102">
        <f>(C102+$S$53)*$S$54</f>
        <v>72.11988732394366</v>
      </c>
      <c r="F102">
        <f>(B102+$S$55)*$S$58</f>
        <v>100.9008717948718</v>
      </c>
      <c r="G102">
        <f>(C102+$S$56)*$S$58</f>
        <v>172.97292307692308</v>
      </c>
      <c r="H102">
        <f>(B102+$S$59)*$S$61</f>
        <v>48.38952071005917</v>
      </c>
      <c r="I102">
        <f>(C102+$S$60)*$S$61</f>
        <v>64.51936094674556</v>
      </c>
      <c r="K102" t="inlineStr">
        <is>
          <t>Estribo aba</t>
        </is>
      </c>
      <c r="L102">
        <f>Seções!$Y$25</f>
        <v>-12.0</v>
      </c>
      <c r="M102">
        <f>Seções!$Z$25</f>
        <v>3.0</v>
      </c>
      <c r="N102">
        <f>(L102+$S$63)*$S$65</f>
        <v>420.0</v>
      </c>
      <c r="O102">
        <f>(M102+$S$64)*$S$65</f>
        <v>246.66666666666669</v>
      </c>
    </row>
    <row r="103">
      <c r="B103">
        <f>$S$43</f>
        <v>5.0</v>
      </c>
      <c r="C103">
        <f>$S$11</f>
        <v>0.0</v>
      </c>
      <c r="D103">
        <f>(B103+$S$52)*$S$54</f>
        <v>49.39718309859155</v>
      </c>
      <c r="E103">
        <f>(C103+$S$53)*$S$54</f>
        <v>74.09577464788732</v>
      </c>
      <c r="F103">
        <f>(B103+$S$55)*$S$58</f>
        <v>100.9008717948718</v>
      </c>
      <c r="G103">
        <f>(C103+$S$56)*$S$58</f>
        <v>178.7386871794872</v>
      </c>
      <c r="H103">
        <f>(B103+$S$59)*$S$61</f>
        <v>48.38952071005917</v>
      </c>
      <c r="I103">
        <f>(C103+$S$60)*$S$61</f>
        <v>67.45205917159764</v>
      </c>
      <c r="L103">
        <f>Seções!$Y$26</f>
        <v>-12.0</v>
      </c>
      <c r="M103">
        <f>Seções!$Z$26</f>
        <v>90.0</v>
      </c>
      <c r="N103">
        <f>(L103+$S$63)*$S$65</f>
        <v>420.0</v>
      </c>
      <c r="O103">
        <f>(M103+$S$64)*$S$65</f>
        <v>826.6666666666667</v>
      </c>
    </row>
    <row r="104">
      <c r="L104">
        <f>Seções!$Y$27</f>
        <v>-8.0</v>
      </c>
      <c r="M104">
        <f>Seções!$Z$27</f>
        <v>90.0</v>
      </c>
      <c r="N104">
        <f>(L104+$S$63)*$S$65</f>
        <v>446.6666666666667</v>
      </c>
      <c r="O104">
        <f>(M104+$S$64)*$S$65</f>
        <v>826.6666666666667</v>
      </c>
    </row>
    <row r="105">
      <c r="B105">
        <f>$S$2-($S$43)</f>
        <v>810.0</v>
      </c>
      <c r="C105">
        <f>$S$11</f>
        <v>0.0</v>
      </c>
      <c r="D105">
        <f>(B105+$S$52)*$S$54</f>
        <v>844.6918309859154</v>
      </c>
      <c r="E105">
        <f>(C105+$S$53)*$S$54</f>
        <v>74.09577464788732</v>
      </c>
      <c r="F105">
        <f>(B105+$S$55)*$S$58</f>
        <v>2421.620923076923</v>
      </c>
      <c r="G105">
        <f>(C105+$S$56)*$S$58</f>
        <v>178.7386871794872</v>
      </c>
      <c r="H105">
        <f>(B105+$S$59)*$S$61</f>
        <v>1228.8005562130177</v>
      </c>
      <c r="I105">
        <f>(C105+$S$60)*$S$61</f>
        <v>67.45205917159764</v>
      </c>
      <c r="L105">
        <f>Seções!$Y$28</f>
        <v>-8.0</v>
      </c>
      <c r="M105">
        <f>Seções!$Z$28</f>
        <v>3.0</v>
      </c>
      <c r="N105">
        <f>(L105+$S$63)*$S$65</f>
        <v>446.6666666666667</v>
      </c>
      <c r="O105">
        <f>(M105+$S$64)*$S$65</f>
        <v>246.66666666666669</v>
      </c>
    </row>
    <row r="106">
      <c r="B106">
        <f>$S$2-($S$44)</f>
        <v>790.0</v>
      </c>
      <c r="C106">
        <f>$S$11</f>
        <v>0.0</v>
      </c>
      <c r="D106">
        <f>(B106+$S$52)*$S$54</f>
        <v>824.9329577464788</v>
      </c>
      <c r="E106">
        <f>(C106+$S$53)*$S$54</f>
        <v>74.09577464788732</v>
      </c>
      <c r="F106">
        <f>(B106+$S$55)*$S$58</f>
        <v>2363.963282051282</v>
      </c>
      <c r="G106">
        <f>(C106+$S$56)*$S$58</f>
        <v>178.7386871794872</v>
      </c>
      <c r="H106">
        <f>(B106+$S$59)*$S$61</f>
        <v>1199.473573964497</v>
      </c>
      <c r="I106">
        <f>(C106+$S$60)*$S$61</f>
        <v>67.45205917159764</v>
      </c>
      <c r="L106">
        <f>Seções!$Y$29</f>
        <v>-12.0</v>
      </c>
      <c r="M106">
        <f>Seções!$Z$29</f>
        <v>3.0</v>
      </c>
      <c r="N106">
        <f>(L106+$S$63)*$S$65</f>
        <v>420.0</v>
      </c>
      <c r="O106">
        <f>(M106+$S$64)*$S$65</f>
        <v>246.66666666666669</v>
      </c>
    </row>
    <row r="107">
      <c r="B107">
        <f>$S$2-($S$44)</f>
        <v>790.0</v>
      </c>
      <c r="C107">
        <f>$S$11-$S$42</f>
        <v>-2.0</v>
      </c>
      <c r="D107">
        <f>(B107+$S$52)*$S$54</f>
        <v>824.9329577464788</v>
      </c>
      <c r="E107">
        <f>(C107+$S$53)*$S$54</f>
        <v>72.11988732394366</v>
      </c>
      <c r="F107">
        <f>(B107+$S$55)*$S$58</f>
        <v>2363.963282051282</v>
      </c>
      <c r="G107">
        <f>(C107+$S$56)*$S$58</f>
        <v>172.97292307692308</v>
      </c>
      <c r="H107">
        <f>(B107+$S$59)*$S$61</f>
        <v>1199.473573964497</v>
      </c>
      <c r="I107">
        <f>(C107+$S$60)*$S$61</f>
        <v>64.51936094674556</v>
      </c>
    </row>
    <row r="108">
      <c r="B108">
        <f>$S$2-($S$43)</f>
        <v>810.0</v>
      </c>
      <c r="C108">
        <f>$S$11-$S$42</f>
        <v>-2.0</v>
      </c>
      <c r="D108">
        <f>(B108+$S$52)*$S$54</f>
        <v>844.6918309859154</v>
      </c>
      <c r="E108">
        <f>(C108+$S$53)*$S$54</f>
        <v>72.11988732394366</v>
      </c>
      <c r="F108">
        <f>(B108+$S$55)*$S$58</f>
        <v>2421.620923076923</v>
      </c>
      <c r="G108">
        <f>(C108+$S$56)*$S$58</f>
        <v>172.97292307692308</v>
      </c>
      <c r="H108">
        <f>(B108+$S$59)*$S$61</f>
        <v>1228.8005562130177</v>
      </c>
      <c r="I108">
        <f>(C108+$S$60)*$S$61</f>
        <v>64.51936094674556</v>
      </c>
    </row>
    <row r="109">
      <c r="B109">
        <f>$S$2-($S$43)</f>
        <v>810.0</v>
      </c>
      <c r="C109">
        <f>$S$11</f>
        <v>0.0</v>
      </c>
      <c r="D109">
        <f>(B109+$S$52)*$S$54</f>
        <v>844.6918309859154</v>
      </c>
      <c r="E109">
        <f>(C109+$S$53)*$S$54</f>
        <v>74.09577464788732</v>
      </c>
      <c r="F109">
        <f>(B109+$S$55)*$S$58</f>
        <v>2421.620923076923</v>
      </c>
      <c r="G109">
        <f>(C109+$S$56)*$S$58</f>
        <v>178.7386871794872</v>
      </c>
      <c r="H109">
        <f>(B109+$S$59)*$S$61</f>
        <v>1228.8005562130177</v>
      </c>
      <c r="I109">
        <f>(C109+$S$60)*$S$61</f>
        <v>67.45205917159764</v>
      </c>
      <c r="K109" t="inlineStr">
        <is>
          <t>Laje/capa</t>
        </is>
      </c>
      <c r="L109">
        <f>-($S$50/2+$S$51+45)</f>
        <v>-60.0</v>
      </c>
      <c r="M109">
        <f>IF($S$6=1,$S$4,NA())</f>
        <v>60.0</v>
      </c>
      <c r="N109">
        <f>(L109+$S$63)*$S$65</f>
        <v>100.0</v>
      </c>
      <c r="O109">
        <f>(M109+$S$64)*$S$65</f>
        <v>626.6666666666667</v>
      </c>
    </row>
    <row r="110">
      <c r="L110">
        <f>($S$50/2+$S$51+45)</f>
        <v>60.0</v>
      </c>
      <c r="M110">
        <f>IF($S$6=1,$S$4,NA())</f>
        <v>60.0</v>
      </c>
      <c r="N110">
        <f>(L110+$S$63)*$S$65</f>
        <v>900.0</v>
      </c>
      <c r="O110">
        <f>(M110+$S$64)*$S$65</f>
        <v>626.6666666666667</v>
      </c>
    </row>
    <row r="112">
      <c r="A112" t="inlineStr">
        <is>
          <t>Consolo / pilar</t>
        </is>
      </c>
      <c r="B112">
        <f>-22</f>
        <v>-22.0</v>
      </c>
      <c r="C112">
        <f>$S$11-$S$42</f>
        <v>-2.0</v>
      </c>
      <c r="D112">
        <f>(B112+$S$52)*$S$54</f>
        <v>22.72270422535211</v>
      </c>
      <c r="E112">
        <f>(C112+$S$53)*$S$54</f>
        <v>72.11988732394366</v>
      </c>
      <c r="F112">
        <f>(B112+$S$55)*$S$58</f>
        <v>23.06305641025641</v>
      </c>
      <c r="G112">
        <f>(C112+$S$56)*$S$58</f>
        <v>172.97292307692308</v>
      </c>
      <c r="H112">
        <f>(B112+$S$59)*$S$61</f>
        <v>8.798094674556213</v>
      </c>
      <c r="I112">
        <f>(C112+$S$60)*$S$61</f>
        <v>64.51936094674556</v>
      </c>
      <c r="L112">
        <f>-($S$50/2+$S$51+45)</f>
        <v>-60.0</v>
      </c>
      <c r="M112">
        <f>IF($S$6=1,$S$4+Geometria!$L$42,NA())</f>
        <v>85.0</v>
      </c>
      <c r="N112">
        <f>(L112+$S$63)*$S$65</f>
        <v>100.0</v>
      </c>
      <c r="O112">
        <f>(M112+$S$64)*$S$65</f>
        <v>793.3333333333334</v>
      </c>
    </row>
    <row r="113">
      <c r="B113">
        <f>$S$45</f>
        <v>30.0</v>
      </c>
      <c r="C113">
        <f>$S$11-$S$42</f>
        <v>-2.0</v>
      </c>
      <c r="D113">
        <f>(B113+$S$52)*$S$54</f>
        <v>74.09577464788732</v>
      </c>
      <c r="E113">
        <f>(C113+$S$53)*$S$54</f>
        <v>72.11988732394366</v>
      </c>
      <c r="F113">
        <f>(B113+$S$55)*$S$58</f>
        <v>172.97292307692308</v>
      </c>
      <c r="G113">
        <f>(C113+$S$56)*$S$58</f>
        <v>172.97292307692308</v>
      </c>
      <c r="H113">
        <f>(B113+$S$59)*$S$61</f>
        <v>85.04824852071006</v>
      </c>
      <c r="I113">
        <f>(C113+$S$60)*$S$61</f>
        <v>64.51936094674556</v>
      </c>
      <c r="L113">
        <f>($S$50/2+$S$51+45)</f>
        <v>60.0</v>
      </c>
      <c r="M113">
        <f>IF($S$6=1,$S$4+Geometria!$L$42,NA())</f>
        <v>85.0</v>
      </c>
      <c r="N113">
        <f>(L113+$S$63)*$S$65</f>
        <v>900.0</v>
      </c>
      <c r="O113">
        <f>(M113+$S$64)*$S$65</f>
        <v>793.3333333333334</v>
      </c>
    </row>
    <row r="114">
      <c r="B114">
        <f>$S$45</f>
        <v>30.0</v>
      </c>
      <c r="C114">
        <f>$S$11-$S$42-30</f>
        <v>-32.0</v>
      </c>
      <c r="D114">
        <f>(B114+$S$52)*$S$54</f>
        <v>74.09577464788732</v>
      </c>
      <c r="E114">
        <f>(C114+$S$53)*$S$54</f>
        <v>42.48157746478873</v>
      </c>
      <c r="F114">
        <f>(B114+$S$55)*$S$58</f>
        <v>172.97292307692308</v>
      </c>
      <c r="G114">
        <f>(C114+$S$56)*$S$58</f>
        <v>86.48646153846154</v>
      </c>
      <c r="H114">
        <f>(B114+$S$59)*$S$61</f>
        <v>85.04824852071006</v>
      </c>
      <c r="I114">
        <f>(C114+$S$60)*$S$61</f>
        <v>20.528887573964496</v>
      </c>
    </row>
    <row r="115">
      <c r="B115">
        <f>-22</f>
        <v>-22.0</v>
      </c>
      <c r="C115">
        <f>$S$11-$S$42-30</f>
        <v>-32.0</v>
      </c>
      <c r="D115">
        <f>(B115+$S$52)*$S$54</f>
        <v>22.72270422535211</v>
      </c>
      <c r="E115">
        <f>(C115+$S$53)*$S$54</f>
        <v>42.48157746478873</v>
      </c>
      <c r="F115">
        <f>(B115+$S$55)*$S$58</f>
        <v>23.06305641025641</v>
      </c>
      <c r="G115">
        <f>(C115+$S$56)*$S$58</f>
        <v>86.48646153846154</v>
      </c>
      <c r="H115">
        <f>(B115+$S$59)*$S$61</f>
        <v>8.798094674556213</v>
      </c>
      <c r="I115">
        <f>(C115+$S$60)*$S$61</f>
        <v>20.528887573964496</v>
      </c>
      <c r="L115">
        <f>-($S$50/2+$S$51+45)</f>
        <v>-60.0</v>
      </c>
      <c r="M115">
        <f>IF($S$6=1,$S$5,NA())</f>
        <v>90.0</v>
      </c>
      <c r="N115">
        <f>(L115+$S$63)*$S$65</f>
        <v>100.0</v>
      </c>
      <c r="O115">
        <f>(M115+$S$64)*$S$65</f>
        <v>826.6666666666667</v>
      </c>
    </row>
    <row r="116">
      <c r="L116">
        <f>($S$50/2+$S$51+45)</f>
        <v>60.0</v>
      </c>
      <c r="M116">
        <f>IF($S$6=1,$S$5,NA())</f>
        <v>90.0</v>
      </c>
      <c r="N116">
        <f>(L116+$S$63)*$S$65</f>
        <v>900.0</v>
      </c>
      <c r="O116">
        <f>(M116+$S$64)*$S$65</f>
        <v>826.6666666666667</v>
      </c>
    </row>
    <row r="117">
      <c r="B117">
        <f>$S$2-(-22)</f>
        <v>837.0</v>
      </c>
      <c r="C117">
        <f>$S$11-$S$42</f>
        <v>-2.0</v>
      </c>
      <c r="D117">
        <f>(B117+$S$52)*$S$54</f>
        <v>871.3663098591549</v>
      </c>
      <c r="E117">
        <f>(C117+$S$53)*$S$54</f>
        <v>72.11988732394366</v>
      </c>
      <c r="F117">
        <f>(B117+$S$55)*$S$58</f>
        <v>2499.458738461539</v>
      </c>
      <c r="G117">
        <f>(C117+$S$56)*$S$58</f>
        <v>172.97292307692308</v>
      </c>
      <c r="H117">
        <f>(B117+$S$59)*$S$61</f>
        <v>1268.3919822485207</v>
      </c>
      <c r="I117">
        <f>(C117+$S$60)*$S$61</f>
        <v>64.51936094674556</v>
      </c>
    </row>
    <row r="118">
      <c r="B118">
        <f>$S$2-($S$45)</f>
        <v>785.0</v>
      </c>
      <c r="C118">
        <f>$S$11-$S$42</f>
        <v>-2.0</v>
      </c>
      <c r="D118">
        <f>(B118+$S$52)*$S$54</f>
        <v>819.9932394366197</v>
      </c>
      <c r="E118">
        <f>(C118+$S$53)*$S$54</f>
        <v>72.11988732394366</v>
      </c>
      <c r="F118">
        <f>(B118+$S$55)*$S$58</f>
        <v>2349.548871794872</v>
      </c>
      <c r="G118">
        <f>(C118+$S$56)*$S$58</f>
        <v>172.97292307692308</v>
      </c>
      <c r="H118">
        <f>(B118+$S$59)*$S$61</f>
        <v>1192.1418284023669</v>
      </c>
      <c r="I118">
        <f>(C118+$S$60)*$S$61</f>
        <v>64.51936094674556</v>
      </c>
    </row>
    <row r="119">
      <c r="B119">
        <f>$S$2-($S$45)</f>
        <v>785.0</v>
      </c>
      <c r="C119">
        <f>$S$11-$S$42-30</f>
        <v>-32.0</v>
      </c>
      <c r="D119">
        <f>(B119+$S$52)*$S$54</f>
        <v>819.9932394366197</v>
      </c>
      <c r="E119">
        <f>(C119+$S$53)*$S$54</f>
        <v>42.48157746478873</v>
      </c>
      <c r="F119">
        <f>(B119+$S$55)*$S$58</f>
        <v>2349.548871794872</v>
      </c>
      <c r="G119">
        <f>(C119+$S$56)*$S$58</f>
        <v>86.48646153846154</v>
      </c>
      <c r="H119">
        <f>(B119+$S$59)*$S$61</f>
        <v>1192.1418284023669</v>
      </c>
      <c r="I119">
        <f>(C119+$S$60)*$S$61</f>
        <v>20.528887573964496</v>
      </c>
      <c r="K119" t="inlineStr">
        <is>
          <t>Cordoalhas</t>
        </is>
      </c>
      <c r="L119">
        <f>Geometria!$W$251</f>
        <v>-9.0</v>
      </c>
      <c r="M119">
        <f>IF(ISNUMBER(Geometria!$W$251),Geometria!$X$251,NA())</f>
        <v>8.0</v>
      </c>
      <c r="N119">
        <f>(L119+$S$63)*$S$65</f>
        <v>440.0</v>
      </c>
      <c r="O119">
        <f>(M119+$S$64)*$S$65</f>
        <v>280.0</v>
      </c>
    </row>
    <row r="120">
      <c r="B120">
        <f>$S$2-(-22)</f>
        <v>837.0</v>
      </c>
      <c r="C120">
        <f>$S$11-$S$42-30</f>
        <v>-32.0</v>
      </c>
      <c r="D120">
        <f>(B120+$S$52)*$S$54</f>
        <v>871.3663098591549</v>
      </c>
      <c r="E120">
        <f>(C120+$S$53)*$S$54</f>
        <v>42.48157746478873</v>
      </c>
      <c r="F120">
        <f>(B120+$S$55)*$S$58</f>
        <v>2499.458738461539</v>
      </c>
      <c r="G120">
        <f>(C120+$S$56)*$S$58</f>
        <v>86.48646153846154</v>
      </c>
      <c r="H120">
        <f>(B120+$S$59)*$S$61</f>
        <v>1268.3919822485207</v>
      </c>
      <c r="I120">
        <f>(C120+$S$60)*$S$61</f>
        <v>20.528887573964496</v>
      </c>
    </row>
    <row r="121">
      <c r="L121">
        <f>Geometria!$W$252</f>
        <v>-3.0</v>
      </c>
      <c r="M121">
        <f>IF(ISNUMBER(Geometria!$W$252),Geometria!$X$252,NA())</f>
        <v>8.0</v>
      </c>
      <c r="N121">
        <f>(L121+$S$63)*$S$65</f>
        <v>480.0</v>
      </c>
      <c r="O121">
        <f>(M121+$S$64)*$S$65</f>
        <v>280.0</v>
      </c>
    </row>
    <row r="123">
      <c r="A123" t="inlineStr">
        <is>
          <t>Cordoalhas</t>
        </is>
      </c>
      <c r="B123">
        <f>$S$46</f>
        <v>0.0</v>
      </c>
      <c r="C123">
        <f>IF(Geometria!$O$256&gt;0,Geometria!$Q$256,NA())</f>
        <v>8.0</v>
      </c>
      <c r="D123">
        <f>(B123+$S$52)*$S$54</f>
        <v>44.457464788732395</v>
      </c>
      <c r="E123">
        <f>(C123+$S$53)*$S$54</f>
        <v>81.99932394366196</v>
      </c>
      <c r="F123">
        <f>(B123+$S$55)*$S$58</f>
        <v>86.48646153846154</v>
      </c>
      <c r="G123">
        <f>(C123+$S$56)*$S$58</f>
        <v>201.8017435897436</v>
      </c>
      <c r="H123">
        <f>(B123+$S$59)*$S$61</f>
        <v>41.05777514792899</v>
      </c>
      <c r="I123">
        <f>(C123+$S$60)*$S$61</f>
        <v>79.18285207100591</v>
      </c>
      <c r="L123">
        <f>Geometria!$W$253</f>
        <v>3.0</v>
      </c>
      <c r="M123">
        <f>IF(ISNUMBER(Geometria!$W$253),Geometria!$X$253,NA())</f>
        <v>8.0</v>
      </c>
      <c r="N123">
        <f>(L123+$S$63)*$S$65</f>
        <v>520.0</v>
      </c>
      <c r="O123">
        <f>(M123+$S$64)*$S$65</f>
        <v>280.0</v>
      </c>
    </row>
    <row r="124">
      <c r="B124">
        <f>$S$2-$S$46</f>
        <v>815.0</v>
      </c>
      <c r="C124">
        <f>IF(Geometria!$O$256&gt;0,Geometria!$Q$256,NA())</f>
        <v>8.0</v>
      </c>
      <c r="D124">
        <f>(B124+$S$52)*$S$54</f>
        <v>849.6315492957746</v>
      </c>
      <c r="E124">
        <f>(C124+$S$53)*$S$54</f>
        <v>81.99932394366196</v>
      </c>
      <c r="F124">
        <f>(B124+$S$55)*$S$58</f>
        <v>2436.0353333333333</v>
      </c>
      <c r="G124">
        <f>(C124+$S$56)*$S$58</f>
        <v>201.8017435897436</v>
      </c>
      <c r="H124">
        <f>(B124+$S$59)*$S$61</f>
        <v>1236.1323017751479</v>
      </c>
      <c r="I124">
        <f>(C124+$S$60)*$S$61</f>
        <v>79.18285207100591</v>
      </c>
    </row>
    <row r="125">
      <c r="L125">
        <f>Geometria!$W$254</f>
        <v>9.0</v>
      </c>
      <c r="M125">
        <f>IF(ISNUMBER(Geometria!$W$254),Geometria!$X$254,NA())</f>
        <v>8.0</v>
      </c>
      <c r="N125">
        <f>(L125+$S$63)*$S$65</f>
        <v>560.0</v>
      </c>
      <c r="O125">
        <f>(M125+$S$64)*$S$65</f>
        <v>280.0</v>
      </c>
    </row>
    <row r="126">
      <c r="B126">
        <f>$S$46</f>
        <v>0.0</v>
      </c>
      <c r="C126">
        <f>IF(Geometria!$O$254&gt;0,Geometria!$Q$254,NA())</f>
        <v>14.5</v>
      </c>
      <c r="D126">
        <f>(B126+$S$52)*$S$54</f>
        <v>44.457464788732395</v>
      </c>
      <c r="E126">
        <f>(C126+$S$53)*$S$54</f>
        <v>88.42095774647886</v>
      </c>
      <c r="F126">
        <f>(B126+$S$55)*$S$58</f>
        <v>86.48646153846154</v>
      </c>
      <c r="G126">
        <f>(C126+$S$56)*$S$58</f>
        <v>220.54047692307694</v>
      </c>
      <c r="H126">
        <f>(B126+$S$59)*$S$61</f>
        <v>41.05777514792899</v>
      </c>
      <c r="I126">
        <f>(C126+$S$60)*$S$61</f>
        <v>88.71412130177515</v>
      </c>
    </row>
    <row r="127">
      <c r="B127">
        <f>$S$2-$S$46</f>
        <v>815.0</v>
      </c>
      <c r="C127">
        <f>IF(Geometria!$O$254&gt;0,Geometria!$Q$254,NA())</f>
        <v>14.5</v>
      </c>
      <c r="D127">
        <f>(B127+$S$52)*$S$54</f>
        <v>849.6315492957746</v>
      </c>
      <c r="E127">
        <f>(C127+$S$53)*$S$54</f>
        <v>88.42095774647886</v>
      </c>
      <c r="F127">
        <f>(B127+$S$55)*$S$58</f>
        <v>2436.0353333333333</v>
      </c>
      <c r="G127">
        <f>(C127+$S$56)*$S$58</f>
        <v>220.54047692307694</v>
      </c>
      <c r="H127">
        <f>(B127+$S$59)*$S$61</f>
        <v>1236.1323017751479</v>
      </c>
      <c r="I127">
        <f>(C127+$S$60)*$S$61</f>
        <v>88.71412130177515</v>
      </c>
      <c r="L127" t="e">
        <f>Geometria!$W$255</f>
        <v>#N/A</v>
      </c>
      <c r="M127" t="e">
        <f>IF(ISNUMBER(Geometria!$W$255),Geometria!$X$255,NA())</f>
        <v>#N/A</v>
      </c>
      <c r="N127" t="e">
        <f>(L127+$S$63)*$S$65</f>
        <v>#N/A</v>
      </c>
      <c r="O127" t="e">
        <f>(M127+$S$64)*$S$65</f>
        <v>#N/A</v>
      </c>
    </row>
    <row r="129">
      <c r="B129">
        <f>$S$46</f>
        <v>0.0</v>
      </c>
      <c r="C129" t="e">
        <f>IF(Geometria!$O$252&gt;0,Geometria!$Q$252,NA())</f>
        <v>#N/A</v>
      </c>
      <c r="D129">
        <f>(B129+$S$52)*$S$54</f>
        <v>44.457464788732395</v>
      </c>
      <c r="E129" t="e">
        <f>(C129+$S$53)*$S$54</f>
        <v>#N/A</v>
      </c>
      <c r="F129">
        <f>(B129+$S$55)*$S$58</f>
        <v>86.48646153846154</v>
      </c>
      <c r="G129" t="e">
        <f>(C129+$S$56)*$S$58</f>
        <v>#N/A</v>
      </c>
      <c r="H129">
        <f>(B129+$S$59)*$S$61</f>
        <v>41.05777514792899</v>
      </c>
      <c r="I129" t="e">
        <f>(C129+$S$60)*$S$61</f>
        <v>#N/A</v>
      </c>
      <c r="L129" t="e">
        <f>Geometria!$W$256</f>
        <v>#N/A</v>
      </c>
      <c r="M129" t="e">
        <f>IF(ISNUMBER(Geometria!$W$256),Geometria!$X$256,NA())</f>
        <v>#N/A</v>
      </c>
      <c r="N129" t="e">
        <f>(L129+$S$63)*$S$65</f>
        <v>#N/A</v>
      </c>
      <c r="O129" t="e">
        <f>(M129+$S$64)*$S$65</f>
        <v>#N/A</v>
      </c>
    </row>
    <row r="130">
      <c r="B130">
        <f>$S$2-$S$46</f>
        <v>815.0</v>
      </c>
      <c r="C130" t="e">
        <f>IF(Geometria!$O$252&gt;0,Geometria!$Q$252,NA())</f>
        <v>#N/A</v>
      </c>
      <c r="D130">
        <f>(B130+$S$52)*$S$54</f>
        <v>849.6315492957746</v>
      </c>
      <c r="E130" t="e">
        <f>(C130+$S$53)*$S$54</f>
        <v>#N/A</v>
      </c>
      <c r="F130">
        <f>(B130+$S$55)*$S$58</f>
        <v>2436.0353333333333</v>
      </c>
      <c r="G130" t="e">
        <f>(C130+$S$56)*$S$58</f>
        <v>#N/A</v>
      </c>
      <c r="H130">
        <f>(B130+$S$59)*$S$61</f>
        <v>1236.1323017751479</v>
      </c>
      <c r="I130" t="e">
        <f>(C130+$S$60)*$S$61</f>
        <v>#N/A</v>
      </c>
    </row>
    <row r="131">
      <c r="L131" t="e">
        <f>Geometria!$W$257</f>
        <v>#N/A</v>
      </c>
      <c r="M131" t="e">
        <f>IF(ISNUMBER(Geometria!$W$257),Geometria!$X$257,NA())</f>
        <v>#N/A</v>
      </c>
      <c r="N131" t="e">
        <f>(L131+$S$63)*$S$65</f>
        <v>#N/A</v>
      </c>
      <c r="O131" t="e">
        <f>(M131+$S$64)*$S$65</f>
        <v>#N/A</v>
      </c>
    </row>
    <row r="132">
      <c r="B132">
        <f>$S$46</f>
        <v>0.0</v>
      </c>
      <c r="C132" t="e">
        <f>IF(Geometria!$O$250&gt;0,Geometria!$Q$250,NA())</f>
        <v>#N/A</v>
      </c>
      <c r="D132">
        <f>(B132+$S$52)*$S$54</f>
        <v>44.457464788732395</v>
      </c>
      <c r="E132" t="e">
        <f>(C132+$S$53)*$S$54</f>
        <v>#N/A</v>
      </c>
      <c r="F132">
        <f>(B132+$S$55)*$S$58</f>
        <v>86.48646153846154</v>
      </c>
      <c r="G132" t="e">
        <f>(C132+$S$56)*$S$58</f>
        <v>#N/A</v>
      </c>
      <c r="H132">
        <f>(B132+$S$59)*$S$61</f>
        <v>41.05777514792899</v>
      </c>
      <c r="I132" t="e">
        <f>(C132+$S$60)*$S$61</f>
        <v>#N/A</v>
      </c>
    </row>
    <row r="133">
      <c r="B133">
        <f>$S$2-$S$46</f>
        <v>815.0</v>
      </c>
      <c r="C133" t="e">
        <f>IF(Geometria!$O$250&gt;0,Geometria!$Q$250,NA())</f>
        <v>#N/A</v>
      </c>
      <c r="D133">
        <f>(B133+$S$52)*$S$54</f>
        <v>849.6315492957746</v>
      </c>
      <c r="E133" t="e">
        <f>(C133+$S$53)*$S$54</f>
        <v>#N/A</v>
      </c>
      <c r="F133">
        <f>(B133+$S$55)*$S$58</f>
        <v>2436.0353333333333</v>
      </c>
      <c r="G133" t="e">
        <f>(C133+$S$56)*$S$58</f>
        <v>#N/A</v>
      </c>
      <c r="H133">
        <f>(B133+$S$59)*$S$61</f>
        <v>1236.1323017751479</v>
      </c>
      <c r="I133" t="e">
        <f>(C133+$S$60)*$S$61</f>
        <v>#N/A</v>
      </c>
      <c r="L133">
        <f>Geometria!$W$261</f>
        <v>-9.0</v>
      </c>
      <c r="M133">
        <f>IF(ISNUMBER(Geometria!$W$261),Geometria!$X$261,NA())</f>
        <v>14.5</v>
      </c>
      <c r="N133">
        <f>(L133+$S$63)*$S$65</f>
        <v>440.0</v>
      </c>
      <c r="O133">
        <f>(M133+$S$64)*$S$65</f>
        <v>323.33333333333337</v>
      </c>
    </row>
    <row r="135">
      <c r="B135">
        <f>0</f>
        <v>0.0</v>
      </c>
      <c r="C135" t="e">
        <f>IF(Geometria!$O$270&gt;0,$S$4-Geometria!$Q$270,NA())</f>
        <v>#N/A</v>
      </c>
      <c r="D135">
        <f>(B135+$S$52)*$S$54</f>
        <v>44.457464788732395</v>
      </c>
      <c r="E135" t="e">
        <f>(C135+$S$53)*$S$54</f>
        <v>#N/A</v>
      </c>
      <c r="F135">
        <f>(B135+$S$55)*$S$58</f>
        <v>86.48646153846154</v>
      </c>
      <c r="G135" t="e">
        <f>(C135+$S$56)*$S$58</f>
        <v>#N/A</v>
      </c>
      <c r="H135">
        <f>(B135+$S$59)*$S$61</f>
        <v>41.05777514792899</v>
      </c>
      <c r="I135" t="e">
        <f>(C135+$S$60)*$S$61</f>
        <v>#N/A</v>
      </c>
      <c r="L135">
        <f>Geometria!$W$262</f>
        <v>-3.0</v>
      </c>
      <c r="M135">
        <f>IF(ISNUMBER(Geometria!$W$262),Geometria!$X$262,NA())</f>
        <v>14.5</v>
      </c>
      <c r="N135">
        <f>(L135+$S$63)*$S$65</f>
        <v>480.0</v>
      </c>
      <c r="O135">
        <f>(M135+$S$64)*$S$65</f>
        <v>323.33333333333337</v>
      </c>
    </row>
    <row r="136">
      <c r="B136">
        <f>$S$2</f>
        <v>815.0</v>
      </c>
      <c r="C136" t="e">
        <f>IF(Geometria!$O$270&gt;0,$S$4-Geometria!$Q$270,NA())</f>
        <v>#N/A</v>
      </c>
      <c r="D136">
        <f>(B136+$S$52)*$S$54</f>
        <v>849.6315492957746</v>
      </c>
      <c r="E136" t="e">
        <f>(C136+$S$53)*$S$54</f>
        <v>#N/A</v>
      </c>
      <c r="F136">
        <f>(B136+$S$55)*$S$58</f>
        <v>2436.0353333333333</v>
      </c>
      <c r="G136" t="e">
        <f>(C136+$S$56)*$S$58</f>
        <v>#N/A</v>
      </c>
      <c r="H136">
        <f>(B136+$S$59)*$S$61</f>
        <v>1236.1323017751479</v>
      </c>
      <c r="I136" t="e">
        <f>(C136+$S$60)*$S$61</f>
        <v>#N/A</v>
      </c>
    </row>
    <row r="137">
      <c r="L137">
        <f>Geometria!$W$263</f>
        <v>3.0</v>
      </c>
      <c r="M137">
        <f>IF(ISNUMBER(Geometria!$W$263),Geometria!$X$263,NA())</f>
        <v>14.5</v>
      </c>
      <c r="N137">
        <f>(L137+$S$63)*$S$65</f>
        <v>520.0</v>
      </c>
      <c r="O137">
        <f>(M137+$S$64)*$S$65</f>
        <v>323.33333333333337</v>
      </c>
    </row>
    <row r="138">
      <c r="B138">
        <f>0</f>
        <v>0.0</v>
      </c>
      <c r="C138" t="e">
        <f>IF(Geometria!$O$268&gt;0,$S$4-Geometria!$Q$268,NA())</f>
        <v>#N/A</v>
      </c>
      <c r="D138">
        <f>(B138+$S$52)*$S$54</f>
        <v>44.457464788732395</v>
      </c>
      <c r="E138" t="e">
        <f>(C138+$S$53)*$S$54</f>
        <v>#N/A</v>
      </c>
      <c r="F138">
        <f>(B138+$S$55)*$S$58</f>
        <v>86.48646153846154</v>
      </c>
      <c r="G138" t="e">
        <f>(C138+$S$56)*$S$58</f>
        <v>#N/A</v>
      </c>
      <c r="H138">
        <f>(B138+$S$59)*$S$61</f>
        <v>41.05777514792899</v>
      </c>
      <c r="I138" t="e">
        <f>(C138+$S$60)*$S$61</f>
        <v>#N/A</v>
      </c>
    </row>
    <row r="139">
      <c r="B139">
        <f>$S$2</f>
        <v>815.0</v>
      </c>
      <c r="C139" t="e">
        <f>IF(Geometria!$O$268&gt;0,$S$4-Geometria!$Q$268,NA())</f>
        <v>#N/A</v>
      </c>
      <c r="D139">
        <f>(B139+$S$52)*$S$54</f>
        <v>849.6315492957746</v>
      </c>
      <c r="E139" t="e">
        <f>(C139+$S$53)*$S$54</f>
        <v>#N/A</v>
      </c>
      <c r="F139">
        <f>(B139+$S$55)*$S$58</f>
        <v>2436.0353333333333</v>
      </c>
      <c r="G139" t="e">
        <f>(C139+$S$56)*$S$58</f>
        <v>#N/A</v>
      </c>
      <c r="H139">
        <f>(B139+$S$59)*$S$61</f>
        <v>1236.1323017751479</v>
      </c>
      <c r="I139" t="e">
        <f>(C139+$S$60)*$S$61</f>
        <v>#N/A</v>
      </c>
      <c r="L139">
        <f>Geometria!$W$264</f>
        <v>9.0</v>
      </c>
      <c r="M139">
        <f>IF(ISNUMBER(Geometria!$W$264),Geometria!$X$264,NA())</f>
        <v>14.5</v>
      </c>
      <c r="N139">
        <f>(L139+$S$63)*$S$65</f>
        <v>560.0</v>
      </c>
      <c r="O139">
        <f>(M139+$S$64)*$S$65</f>
        <v>323.33333333333337</v>
      </c>
    </row>
    <row r="141">
      <c r="B141">
        <f>0</f>
        <v>0.0</v>
      </c>
      <c r="C141" t="e">
        <f>IF(Geometria!$O$266&gt;0,$S$4-Geometria!$Q$266,NA())</f>
        <v>#N/A</v>
      </c>
      <c r="D141">
        <f>(B141+$S$52)*$S$54</f>
        <v>44.457464788732395</v>
      </c>
      <c r="E141" t="e">
        <f>(C141+$S$53)*$S$54</f>
        <v>#N/A</v>
      </c>
      <c r="F141">
        <f>(B141+$S$55)*$S$58</f>
        <v>86.48646153846154</v>
      </c>
      <c r="G141" t="e">
        <f>(C141+$S$56)*$S$58</f>
        <v>#N/A</v>
      </c>
      <c r="H141">
        <f>(B141+$S$59)*$S$61</f>
        <v>41.05777514792899</v>
      </c>
      <c r="I141" t="e">
        <f>(C141+$S$60)*$S$61</f>
        <v>#N/A</v>
      </c>
      <c r="L141" t="e">
        <f>Geometria!$W$265</f>
        <v>#N/A</v>
      </c>
      <c r="M141" t="e">
        <f>IF(ISNUMBER(Geometria!$W$265),Geometria!$X$265,NA())</f>
        <v>#N/A</v>
      </c>
      <c r="N141" t="e">
        <f>(L141+$S$63)*$S$65</f>
        <v>#N/A</v>
      </c>
      <c r="O141" t="e">
        <f>(M141+$S$64)*$S$65</f>
        <v>#N/A</v>
      </c>
    </row>
    <row r="142">
      <c r="B142">
        <f>$S$2</f>
        <v>815.0</v>
      </c>
      <c r="C142" t="e">
        <f>IF(Geometria!$O$266&gt;0,$S$4-Geometria!$Q$266,NA())</f>
        <v>#N/A</v>
      </c>
      <c r="D142">
        <f>(B142+$S$52)*$S$54</f>
        <v>849.6315492957746</v>
      </c>
      <c r="E142" t="e">
        <f>(C142+$S$53)*$S$54</f>
        <v>#N/A</v>
      </c>
      <c r="F142">
        <f>(B142+$S$55)*$S$58</f>
        <v>2436.0353333333333</v>
      </c>
      <c r="G142" t="e">
        <f>(C142+$S$56)*$S$58</f>
        <v>#N/A</v>
      </c>
      <c r="H142">
        <f>(B142+$S$59)*$S$61</f>
        <v>1236.1323017751479</v>
      </c>
      <c r="I142" t="e">
        <f>(C142+$S$60)*$S$61</f>
        <v>#N/A</v>
      </c>
    </row>
    <row r="143">
      <c r="L143" t="e">
        <f>Geometria!$W$266</f>
        <v>#N/A</v>
      </c>
      <c r="M143" t="e">
        <f>IF(ISNUMBER(Geometria!$W$266),Geometria!$X$266,NA())</f>
        <v>#N/A</v>
      </c>
      <c r="N143" t="e">
        <f>(L143+$S$63)*$S$65</f>
        <v>#N/A</v>
      </c>
      <c r="O143" t="e">
        <f>(M143+$S$64)*$S$65</f>
        <v>#N/A</v>
      </c>
    </row>
    <row r="144">
      <c r="B144">
        <f>0</f>
        <v>0.0</v>
      </c>
      <c r="C144" t="e">
        <f>IF(Geometria!$O$264&gt;0,$S$4-Geometria!$Q$264,NA())</f>
        <v>#N/A</v>
      </c>
      <c r="D144">
        <f>(B144+$S$52)*$S$54</f>
        <v>44.457464788732395</v>
      </c>
      <c r="E144" t="e">
        <f>(C144+$S$53)*$S$54</f>
        <v>#N/A</v>
      </c>
      <c r="F144">
        <f>(B144+$S$55)*$S$58</f>
        <v>86.48646153846154</v>
      </c>
      <c r="G144" t="e">
        <f>(C144+$S$56)*$S$58</f>
        <v>#N/A</v>
      </c>
      <c r="H144">
        <f>(B144+$S$59)*$S$61</f>
        <v>41.05777514792899</v>
      </c>
      <c r="I144" t="e">
        <f>(C144+$S$60)*$S$61</f>
        <v>#N/A</v>
      </c>
    </row>
    <row r="145">
      <c r="B145">
        <f>$S$2</f>
        <v>815.0</v>
      </c>
      <c r="C145" t="e">
        <f>IF(Geometria!$O$264&gt;0,$S$4-Geometria!$Q$264,NA())</f>
        <v>#N/A</v>
      </c>
      <c r="D145">
        <f>(B145+$S$52)*$S$54</f>
        <v>849.6315492957746</v>
      </c>
      <c r="E145" t="e">
        <f>(C145+$S$53)*$S$54</f>
        <v>#N/A</v>
      </c>
      <c r="F145">
        <f>(B145+$S$55)*$S$58</f>
        <v>2436.0353333333333</v>
      </c>
      <c r="G145" t="e">
        <f>(C145+$S$56)*$S$58</f>
        <v>#N/A</v>
      </c>
      <c r="H145">
        <f>(B145+$S$59)*$S$61</f>
        <v>1236.1323017751479</v>
      </c>
      <c r="I145" t="e">
        <f>(C145+$S$60)*$S$61</f>
        <v>#N/A</v>
      </c>
      <c r="L145" t="e">
        <f>Geometria!$W$267</f>
        <v>#N/A</v>
      </c>
      <c r="M145" t="e">
        <f>IF(ISNUMBER(Geometria!$W$267),Geometria!$X$267,NA())</f>
        <v>#N/A</v>
      </c>
      <c r="N145" t="e">
        <f>(L145+$S$63)*$S$65</f>
        <v>#N/A</v>
      </c>
      <c r="O145" t="e">
        <f>(M145+$S$64)*$S$65</f>
        <v>#N/A</v>
      </c>
    </row>
    <row r="147">
      <c r="L147" t="e">
        <f>Geometria!$Z$251</f>
        <v>#N/A</v>
      </c>
      <c r="M147" t="e">
        <f>IF(ISNUMBER(Geometria!$Z$251),Geometria!$AA$251,NA())</f>
        <v>#N/A</v>
      </c>
      <c r="N147" t="e">
        <f>(L147+$S$63)*$S$65</f>
        <v>#N/A</v>
      </c>
      <c r="O147" t="e">
        <f>(M147+$S$64)*$S$65</f>
        <v>#N/A</v>
      </c>
    </row>
    <row r="148">
      <c r="A148" t="inlineStr">
        <is>
          <t>Cordoalhas</t>
        </is>
      </c>
      <c r="B148">
        <f>$S$46</f>
        <v>0.0</v>
      </c>
      <c r="C148">
        <f>IF(Geometria!$O$256&gt;0,Geometria!$Q$256,NA())</f>
        <v>8.0</v>
      </c>
      <c r="D148">
        <f>(B148+$S$52)*$S$54</f>
        <v>44.457464788732395</v>
      </c>
      <c r="E148">
        <f>(C148+$S$53)*$S$54</f>
        <v>81.99932394366196</v>
      </c>
      <c r="F148">
        <f>(B148+$S$55)*$S$58</f>
        <v>86.48646153846154</v>
      </c>
      <c r="G148">
        <f>(C148+$S$56)*$S$58</f>
        <v>201.8017435897436</v>
      </c>
      <c r="H148">
        <f>(B148+$S$59)*$S$61</f>
        <v>41.05777514792899</v>
      </c>
      <c r="I148">
        <f>(C148+$S$60)*$S$61</f>
        <v>79.18285207100591</v>
      </c>
    </row>
    <row r="149">
      <c r="B149">
        <f>$S$3</f>
        <v>407.5</v>
      </c>
      <c r="C149">
        <f>IF(Geometria!$O$256&gt;0,Geometria!$Q$256,NA())</f>
        <v>8.0</v>
      </c>
      <c r="D149">
        <f>(B149+$S$52)*$S$54</f>
        <v>447.0445070422535</v>
      </c>
      <c r="E149">
        <f>(C149+$S$53)*$S$54</f>
        <v>81.99932394366196</v>
      </c>
      <c r="F149">
        <f>(B149+$S$55)*$S$58</f>
        <v>1261.2608974358975</v>
      </c>
      <c r="G149">
        <f>(C149+$S$56)*$S$58</f>
        <v>201.8017435897436</v>
      </c>
      <c r="H149">
        <f>(B149+$S$59)*$S$61</f>
        <v>638.5950384615385</v>
      </c>
      <c r="I149">
        <f>(C149+$S$60)*$S$61</f>
        <v>79.18285207100591</v>
      </c>
      <c r="L149" t="e">
        <f>Geometria!$Z$252</f>
        <v>#N/A</v>
      </c>
      <c r="M149" t="e">
        <f>IF(ISNUMBER(Geometria!$Z$252),Geometria!$AA$252,NA())</f>
        <v>#N/A</v>
      </c>
      <c r="N149" t="e">
        <f>(L149+$S$63)*$S$65</f>
        <v>#N/A</v>
      </c>
      <c r="O149" t="e">
        <f>(M149+$S$64)*$S$65</f>
        <v>#N/A</v>
      </c>
    </row>
    <row r="151">
      <c r="B151">
        <f>$S$46</f>
        <v>0.0</v>
      </c>
      <c r="C151">
        <f>IF(Geometria!$O$254&gt;0,Geometria!$Q$254,NA())</f>
        <v>14.5</v>
      </c>
      <c r="D151">
        <f>(B151+$S$52)*$S$54</f>
        <v>44.457464788732395</v>
      </c>
      <c r="E151">
        <f>(C151+$S$53)*$S$54</f>
        <v>88.42095774647886</v>
      </c>
      <c r="F151">
        <f>(B151+$S$55)*$S$58</f>
        <v>86.48646153846154</v>
      </c>
      <c r="G151">
        <f>(C151+$S$56)*$S$58</f>
        <v>220.54047692307694</v>
      </c>
      <c r="H151">
        <f>(B151+$S$59)*$S$61</f>
        <v>41.05777514792899</v>
      </c>
      <c r="I151">
        <f>(C151+$S$60)*$S$61</f>
        <v>88.71412130177515</v>
      </c>
      <c r="L151" t="e">
        <f>Geometria!$Z$253</f>
        <v>#N/A</v>
      </c>
      <c r="M151" t="e">
        <f>IF(ISNUMBER(Geometria!$Z$253),Geometria!$AA$253,NA())</f>
        <v>#N/A</v>
      </c>
      <c r="N151" t="e">
        <f>(L151+$S$63)*$S$65</f>
        <v>#N/A</v>
      </c>
      <c r="O151" t="e">
        <f>(M151+$S$64)*$S$65</f>
        <v>#N/A</v>
      </c>
    </row>
    <row r="152">
      <c r="B152">
        <f>$S$3</f>
        <v>407.5</v>
      </c>
      <c r="C152">
        <f>IF(Geometria!$O$254&gt;0,Geometria!$Q$254,NA())</f>
        <v>14.5</v>
      </c>
      <c r="D152">
        <f>(B152+$S$52)*$S$54</f>
        <v>447.0445070422535</v>
      </c>
      <c r="E152">
        <f>(C152+$S$53)*$S$54</f>
        <v>88.42095774647886</v>
      </c>
      <c r="F152">
        <f>(B152+$S$55)*$S$58</f>
        <v>1261.2608974358975</v>
      </c>
      <c r="G152">
        <f>(C152+$S$56)*$S$58</f>
        <v>220.54047692307694</v>
      </c>
      <c r="H152">
        <f>(B152+$S$59)*$S$61</f>
        <v>638.5950384615385</v>
      </c>
      <c r="I152">
        <f>(C152+$S$60)*$S$61</f>
        <v>88.71412130177515</v>
      </c>
    </row>
    <row r="153">
      <c r="L153" t="e">
        <f>Geometria!$Z$254</f>
        <v>#N/A</v>
      </c>
      <c r="M153" t="e">
        <f>IF(ISNUMBER(Geometria!$Z$254),Geometria!$AA$254,NA())</f>
        <v>#N/A</v>
      </c>
      <c r="N153" t="e">
        <f>(L153+$S$63)*$S$65</f>
        <v>#N/A</v>
      </c>
      <c r="O153" t="e">
        <f>(M153+$S$64)*$S$65</f>
        <v>#N/A</v>
      </c>
    </row>
    <row r="154">
      <c r="B154">
        <f>$S$46</f>
        <v>0.0</v>
      </c>
      <c r="C154" t="e">
        <f>IF(Geometria!$O$252&gt;0,Geometria!$Q$252,NA())</f>
        <v>#N/A</v>
      </c>
      <c r="D154">
        <f>(B154+$S$52)*$S$54</f>
        <v>44.457464788732395</v>
      </c>
      <c r="E154" t="e">
        <f>(C154+$S$53)*$S$54</f>
        <v>#N/A</v>
      </c>
      <c r="F154">
        <f>(B154+$S$55)*$S$58</f>
        <v>86.48646153846154</v>
      </c>
      <c r="G154" t="e">
        <f>(C154+$S$56)*$S$58</f>
        <v>#N/A</v>
      </c>
      <c r="H154">
        <f>(B154+$S$59)*$S$61</f>
        <v>41.05777514792899</v>
      </c>
      <c r="I154" t="e">
        <f>(C154+$S$60)*$S$61</f>
        <v>#N/A</v>
      </c>
    </row>
    <row r="155">
      <c r="B155">
        <f>$S$3</f>
        <v>407.5</v>
      </c>
      <c r="C155" t="e">
        <f>IF(Geometria!$O$252&gt;0,Geometria!$Q$252,NA())</f>
        <v>#N/A</v>
      </c>
      <c r="D155">
        <f>(B155+$S$52)*$S$54</f>
        <v>447.0445070422535</v>
      </c>
      <c r="E155" t="e">
        <f>(C155+$S$53)*$S$54</f>
        <v>#N/A</v>
      </c>
      <c r="F155">
        <f>(B155+$S$55)*$S$58</f>
        <v>1261.2608974358975</v>
      </c>
      <c r="G155" t="e">
        <f>(C155+$S$56)*$S$58</f>
        <v>#N/A</v>
      </c>
      <c r="H155">
        <f>(B155+$S$59)*$S$61</f>
        <v>638.5950384615385</v>
      </c>
      <c r="I155" t="e">
        <f>(C155+$S$60)*$S$61</f>
        <v>#N/A</v>
      </c>
      <c r="L155" t="e">
        <f>Geometria!$Z$255</f>
        <v>#N/A</v>
      </c>
      <c r="M155" t="e">
        <f>IF(ISNUMBER(Geometria!$Z$255),Geometria!$AA$255,NA())</f>
        <v>#N/A</v>
      </c>
      <c r="N155" t="e">
        <f>(L155+$S$63)*$S$65</f>
        <v>#N/A</v>
      </c>
      <c r="O155" t="e">
        <f>(M155+$S$64)*$S$65</f>
        <v>#N/A</v>
      </c>
    </row>
    <row r="157">
      <c r="B157">
        <f>$S$46</f>
        <v>0.0</v>
      </c>
      <c r="C157" t="e">
        <f>IF(Geometria!$O$250&gt;0,Geometria!$Q$250,NA())</f>
        <v>#N/A</v>
      </c>
      <c r="D157">
        <f>(B157+$S$52)*$S$54</f>
        <v>44.457464788732395</v>
      </c>
      <c r="E157" t="e">
        <f>(C157+$S$53)*$S$54</f>
        <v>#N/A</v>
      </c>
      <c r="F157">
        <f>(B157+$S$55)*$S$58</f>
        <v>86.48646153846154</v>
      </c>
      <c r="G157" t="e">
        <f>(C157+$S$56)*$S$58</f>
        <v>#N/A</v>
      </c>
      <c r="H157">
        <f>(B157+$S$59)*$S$61</f>
        <v>41.05777514792899</v>
      </c>
      <c r="I157" t="e">
        <f>(C157+$S$60)*$S$61</f>
        <v>#N/A</v>
      </c>
      <c r="L157" t="e">
        <f>Geometria!$Z$256</f>
        <v>#N/A</v>
      </c>
      <c r="M157" t="e">
        <f>IF(ISNUMBER(Geometria!$Z$256),Geometria!$AA$256,NA())</f>
        <v>#N/A</v>
      </c>
      <c r="N157" t="e">
        <f>(L157+$S$63)*$S$65</f>
        <v>#N/A</v>
      </c>
      <c r="O157" t="e">
        <f>(M157+$S$64)*$S$65</f>
        <v>#N/A</v>
      </c>
    </row>
    <row r="158">
      <c r="B158">
        <f>$S$3</f>
        <v>407.5</v>
      </c>
      <c r="C158" t="e">
        <f>IF(Geometria!$O$250&gt;0,Geometria!$Q$250,NA())</f>
        <v>#N/A</v>
      </c>
      <c r="D158">
        <f>(B158+$S$52)*$S$54</f>
        <v>447.0445070422535</v>
      </c>
      <c r="E158" t="e">
        <f>(C158+$S$53)*$S$54</f>
        <v>#N/A</v>
      </c>
      <c r="F158">
        <f>(B158+$S$55)*$S$58</f>
        <v>1261.2608974358975</v>
      </c>
      <c r="G158" t="e">
        <f>(C158+$S$56)*$S$58</f>
        <v>#N/A</v>
      </c>
      <c r="H158">
        <f>(B158+$S$59)*$S$61</f>
        <v>638.5950384615385</v>
      </c>
      <c r="I158" t="e">
        <f>(C158+$S$60)*$S$61</f>
        <v>#N/A</v>
      </c>
    </row>
    <row r="159">
      <c r="L159" t="e">
        <f>Geometria!$Z$257</f>
        <v>#N/A</v>
      </c>
      <c r="M159" t="e">
        <f>IF(ISNUMBER(Geometria!$Z$257),Geometria!$AA$257,NA())</f>
        <v>#N/A</v>
      </c>
      <c r="N159" t="e">
        <f>(L159+$S$63)*$S$65</f>
        <v>#N/A</v>
      </c>
      <c r="O159" t="e">
        <f>(M159+$S$64)*$S$65</f>
        <v>#N/A</v>
      </c>
    </row>
    <row r="160">
      <c r="B160">
        <f>0</f>
        <v>0.0</v>
      </c>
      <c r="C160" t="e">
        <f>IF(Geometria!$O$270&gt;0,$S$4-Geometria!$Q$270,NA())</f>
        <v>#N/A</v>
      </c>
      <c r="D160">
        <f>(B160+$S$52)*$S$54</f>
        <v>44.457464788732395</v>
      </c>
      <c r="E160" t="e">
        <f>(C160+$S$53)*$S$54</f>
        <v>#N/A</v>
      </c>
      <c r="F160">
        <f>(B160+$S$55)*$S$58</f>
        <v>86.48646153846154</v>
      </c>
      <c r="G160" t="e">
        <f>(C160+$S$56)*$S$58</f>
        <v>#N/A</v>
      </c>
      <c r="H160">
        <f>(B160+$S$59)*$S$61</f>
        <v>41.05777514792899</v>
      </c>
      <c r="I160" t="e">
        <f>(C160+$S$60)*$S$61</f>
        <v>#N/A</v>
      </c>
    </row>
    <row r="161">
      <c r="B161">
        <f>$S$3</f>
        <v>407.5</v>
      </c>
      <c r="C161" t="e">
        <f>IF(Geometria!$O$270&gt;0,$S$4-Geometria!$Q$270,NA())</f>
        <v>#N/A</v>
      </c>
      <c r="D161">
        <f>(B161+$S$52)*$S$54</f>
        <v>447.0445070422535</v>
      </c>
      <c r="E161" t="e">
        <f>(C161+$S$53)*$S$54</f>
        <v>#N/A</v>
      </c>
      <c r="F161">
        <f>(B161+$S$55)*$S$58</f>
        <v>1261.2608974358975</v>
      </c>
      <c r="G161" t="e">
        <f>(C161+$S$56)*$S$58</f>
        <v>#N/A</v>
      </c>
      <c r="H161">
        <f>(B161+$S$59)*$S$61</f>
        <v>638.5950384615385</v>
      </c>
      <c r="I161" t="e">
        <f>(C161+$S$60)*$S$61</f>
        <v>#N/A</v>
      </c>
      <c r="L161" t="e">
        <f>Geometria!$Z$261</f>
        <v>#N/A</v>
      </c>
      <c r="M161" t="e">
        <f>IF(ISNUMBER(Geometria!$Z$261),Geometria!$AA$261,NA())</f>
        <v>#N/A</v>
      </c>
      <c r="N161" t="e">
        <f>(L161+$S$63)*$S$65</f>
        <v>#N/A</v>
      </c>
      <c r="O161" t="e">
        <f>(M161+$S$64)*$S$65</f>
        <v>#N/A</v>
      </c>
    </row>
    <row r="163">
      <c r="B163">
        <f>0</f>
        <v>0.0</v>
      </c>
      <c r="C163" t="e">
        <f>IF(Geometria!$O$268&gt;0,$S$4-Geometria!$Q$268,NA())</f>
        <v>#N/A</v>
      </c>
      <c r="D163">
        <f>(B163+$S$52)*$S$54</f>
        <v>44.457464788732395</v>
      </c>
      <c r="E163" t="e">
        <f>(C163+$S$53)*$S$54</f>
        <v>#N/A</v>
      </c>
      <c r="F163">
        <f>(B163+$S$55)*$S$58</f>
        <v>86.48646153846154</v>
      </c>
      <c r="G163" t="e">
        <f>(C163+$S$56)*$S$58</f>
        <v>#N/A</v>
      </c>
      <c r="H163">
        <f>(B163+$S$59)*$S$61</f>
        <v>41.05777514792899</v>
      </c>
      <c r="I163" t="e">
        <f>(C163+$S$60)*$S$61</f>
        <v>#N/A</v>
      </c>
      <c r="L163" t="e">
        <f>Geometria!$Z$262</f>
        <v>#N/A</v>
      </c>
      <c r="M163" t="e">
        <f>IF(ISNUMBER(Geometria!$Z$262),Geometria!$AA$262,NA())</f>
        <v>#N/A</v>
      </c>
      <c r="N163" t="e">
        <f>(L163+$S$63)*$S$65</f>
        <v>#N/A</v>
      </c>
      <c r="O163" t="e">
        <f>(M163+$S$64)*$S$65</f>
        <v>#N/A</v>
      </c>
    </row>
    <row r="164">
      <c r="B164">
        <f>$S$3</f>
        <v>407.5</v>
      </c>
      <c r="C164" t="e">
        <f>IF(Geometria!$O$268&gt;0,$S$4-Geometria!$Q$268,NA())</f>
        <v>#N/A</v>
      </c>
      <c r="D164">
        <f>(B164+$S$52)*$S$54</f>
        <v>447.0445070422535</v>
      </c>
      <c r="E164" t="e">
        <f>(C164+$S$53)*$S$54</f>
        <v>#N/A</v>
      </c>
      <c r="F164">
        <f>(B164+$S$55)*$S$58</f>
        <v>1261.2608974358975</v>
      </c>
      <c r="G164" t="e">
        <f>(C164+$S$56)*$S$58</f>
        <v>#N/A</v>
      </c>
      <c r="H164">
        <f>(B164+$S$59)*$S$61</f>
        <v>638.5950384615385</v>
      </c>
      <c r="I164" t="e">
        <f>(C164+$S$60)*$S$61</f>
        <v>#N/A</v>
      </c>
    </row>
    <row r="165">
      <c r="L165" t="e">
        <f>Geometria!$Z$263</f>
        <v>#N/A</v>
      </c>
      <c r="M165" t="e">
        <f>IF(ISNUMBER(Geometria!$Z$263),Geometria!$AA$263,NA())</f>
        <v>#N/A</v>
      </c>
      <c r="N165" t="e">
        <f>(L165+$S$63)*$S$65</f>
        <v>#N/A</v>
      </c>
      <c r="O165" t="e">
        <f>(M165+$S$64)*$S$65</f>
        <v>#N/A</v>
      </c>
    </row>
    <row r="166">
      <c r="B166">
        <f>0</f>
        <v>0.0</v>
      </c>
      <c r="C166" t="e">
        <f>IF(Geometria!$O$266&gt;0,$S$4-Geometria!$Q$266,NA())</f>
        <v>#N/A</v>
      </c>
      <c r="D166">
        <f>(B166+$S$52)*$S$54</f>
        <v>44.457464788732395</v>
      </c>
      <c r="E166" t="e">
        <f>(C166+$S$53)*$S$54</f>
        <v>#N/A</v>
      </c>
      <c r="F166">
        <f>(B166+$S$55)*$S$58</f>
        <v>86.48646153846154</v>
      </c>
      <c r="G166" t="e">
        <f>(C166+$S$56)*$S$58</f>
        <v>#N/A</v>
      </c>
      <c r="H166">
        <f>(B166+$S$59)*$S$61</f>
        <v>41.05777514792899</v>
      </c>
      <c r="I166" t="e">
        <f>(C166+$S$60)*$S$61</f>
        <v>#N/A</v>
      </c>
    </row>
    <row r="167">
      <c r="B167">
        <f>$S$3</f>
        <v>407.5</v>
      </c>
      <c r="C167" t="e">
        <f>IF(Geometria!$O$266&gt;0,$S$4-Geometria!$Q$266,NA())</f>
        <v>#N/A</v>
      </c>
      <c r="D167">
        <f>(B167+$S$52)*$S$54</f>
        <v>447.0445070422535</v>
      </c>
      <c r="E167" t="e">
        <f>(C167+$S$53)*$S$54</f>
        <v>#N/A</v>
      </c>
      <c r="F167">
        <f>(B167+$S$55)*$S$58</f>
        <v>1261.2608974358975</v>
      </c>
      <c r="G167" t="e">
        <f>(C167+$S$56)*$S$58</f>
        <v>#N/A</v>
      </c>
      <c r="H167">
        <f>(B167+$S$59)*$S$61</f>
        <v>638.5950384615385</v>
      </c>
      <c r="I167" t="e">
        <f>(C167+$S$60)*$S$61</f>
        <v>#N/A</v>
      </c>
      <c r="L167" t="e">
        <f>Geometria!$Z$264</f>
        <v>#N/A</v>
      </c>
      <c r="M167" t="e">
        <f>IF(ISNUMBER(Geometria!$Z$264),Geometria!$AA$264,NA())</f>
        <v>#N/A</v>
      </c>
      <c r="N167" t="e">
        <f>(L167+$S$63)*$S$65</f>
        <v>#N/A</v>
      </c>
      <c r="O167" t="e">
        <f>(M167+$S$64)*$S$65</f>
        <v>#N/A</v>
      </c>
    </row>
    <row r="169">
      <c r="B169">
        <f>0</f>
        <v>0.0</v>
      </c>
      <c r="C169" t="e">
        <f>IF(Geometria!$O$264&gt;0,$S$4-Geometria!$Q$264,NA())</f>
        <v>#N/A</v>
      </c>
      <c r="D169">
        <f>(B169+$S$52)*$S$54</f>
        <v>44.457464788732395</v>
      </c>
      <c r="E169" t="e">
        <f>(C169+$S$53)*$S$54</f>
        <v>#N/A</v>
      </c>
      <c r="F169">
        <f>(B169+$S$55)*$S$58</f>
        <v>86.48646153846154</v>
      </c>
      <c r="G169" t="e">
        <f>(C169+$S$56)*$S$58</f>
        <v>#N/A</v>
      </c>
      <c r="H169">
        <f>(B169+$S$59)*$S$61</f>
        <v>41.05777514792899</v>
      </c>
      <c r="I169" t="e">
        <f>(C169+$S$60)*$S$61</f>
        <v>#N/A</v>
      </c>
      <c r="L169" t="e">
        <f>Geometria!$Z$265</f>
        <v>#N/A</v>
      </c>
      <c r="M169" t="e">
        <f>IF(ISNUMBER(Geometria!$Z$265),Geometria!$AA$265,NA())</f>
        <v>#N/A</v>
      </c>
      <c r="N169" t="e">
        <f>(L169+$S$63)*$S$65</f>
        <v>#N/A</v>
      </c>
      <c r="O169" t="e">
        <f>(M169+$S$64)*$S$65</f>
        <v>#N/A</v>
      </c>
    </row>
    <row r="170">
      <c r="B170">
        <f>$S$3</f>
        <v>407.5</v>
      </c>
      <c r="C170" t="e">
        <f>IF(Geometria!$O$264&gt;0,$S$4-Geometria!$Q$264,NA())</f>
        <v>#N/A</v>
      </c>
      <c r="D170">
        <f>(B170+$S$52)*$S$54</f>
        <v>447.0445070422535</v>
      </c>
      <c r="E170" t="e">
        <f>(C170+$S$53)*$S$54</f>
        <v>#N/A</v>
      </c>
      <c r="F170">
        <f>(B170+$S$55)*$S$58</f>
        <v>1261.2608974358975</v>
      </c>
      <c r="G170" t="e">
        <f>(C170+$S$56)*$S$58</f>
        <v>#N/A</v>
      </c>
      <c r="H170">
        <f>(B170+$S$59)*$S$61</f>
        <v>638.5950384615385</v>
      </c>
      <c r="I170" t="e">
        <f>(C170+$S$60)*$S$61</f>
        <v>#N/A</v>
      </c>
    </row>
    <row r="171">
      <c r="L171" t="e">
        <f>Geometria!$Z$266</f>
        <v>#N/A</v>
      </c>
      <c r="M171" t="e">
        <f>IF(ISNUMBER(Geometria!$Z$266),Geometria!$AA$266,NA())</f>
        <v>#N/A</v>
      </c>
      <c r="N171" t="e">
        <f>(L171+$S$63)*$S$65</f>
        <v>#N/A</v>
      </c>
      <c r="O171" t="e">
        <f>(M171+$S$64)*$S$65</f>
        <v>#N/A</v>
      </c>
    </row>
    <row r="173">
      <c r="A173" t="inlineStr">
        <is>
          <t>Isolamento (esq.)</t>
        </is>
      </c>
      <c r="B173">
        <f>$S$46</f>
        <v>0.0</v>
      </c>
      <c r="C173" t="e">
        <f>IF(Geometria!$K$1409&gt;0,Geometria!$O$1409,NA())</f>
        <v>#N/A</v>
      </c>
      <c r="D173">
        <f>(B173+$S$52)*$S$54</f>
        <v>44.457464788732395</v>
      </c>
      <c r="E173" t="e">
        <f>(C173+$S$53)*$S$54</f>
        <v>#N/A</v>
      </c>
      <c r="F173">
        <f>(B173+$S$55)*$S$58</f>
        <v>86.48646153846154</v>
      </c>
      <c r="G173" t="e">
        <f>(C173+$S$56)*$S$58</f>
        <v>#N/A</v>
      </c>
      <c r="H173">
        <f>(B173+$S$59)*$S$61</f>
        <v>41.05777514792899</v>
      </c>
      <c r="I173" t="e">
        <f>(C173+$S$60)*$S$61</f>
        <v>#N/A</v>
      </c>
      <c r="L173" t="e">
        <f>Geometria!$Z$267</f>
        <v>#N/A</v>
      </c>
      <c r="M173" t="e">
        <f>IF(ISNUMBER(Geometria!$Z$267),Geometria!$AA$267,NA())</f>
        <v>#N/A</v>
      </c>
      <c r="N173" t="e">
        <f>(L173+$S$63)*$S$65</f>
        <v>#N/A</v>
      </c>
      <c r="O173" t="e">
        <f>(M173+$S$64)*$S$65</f>
        <v>#N/A</v>
      </c>
    </row>
    <row r="174">
      <c r="B174">
        <f>$S$46+Geometria!$L$1409</f>
        <v>160.0</v>
      </c>
      <c r="C174" t="e">
        <f>IF(Geometria!$K$1409&gt;0,Geometria!$O$1409,NA())</f>
        <v>#N/A</v>
      </c>
      <c r="D174">
        <f>(B174+$S$52)*$S$54</f>
        <v>202.52845070422535</v>
      </c>
      <c r="E174" t="e">
        <f>(C174+$S$53)*$S$54</f>
        <v>#N/A</v>
      </c>
      <c r="F174">
        <f>(B174+$S$55)*$S$58</f>
        <v>547.7475897435897</v>
      </c>
      <c r="G174" t="e">
        <f>(C174+$S$56)*$S$58</f>
        <v>#N/A</v>
      </c>
      <c r="H174">
        <f>(B174+$S$59)*$S$61</f>
        <v>275.6736331360947</v>
      </c>
      <c r="I174" t="e">
        <f>(C174+$S$60)*$S$61</f>
        <v>#N/A</v>
      </c>
    </row>
    <row r="176">
      <c r="B176">
        <f>$S$46</f>
        <v>0.0</v>
      </c>
      <c r="C176" t="e">
        <f>IF(Geometria!$K$1407&gt;0,Geometria!$O$1407,NA())</f>
        <v>#N/A</v>
      </c>
      <c r="D176">
        <f>(B176+$S$52)*$S$54</f>
        <v>44.457464788732395</v>
      </c>
      <c r="E176" t="e">
        <f>(C176+$S$53)*$S$54</f>
        <v>#N/A</v>
      </c>
      <c r="F176">
        <f>(B176+$S$55)*$S$58</f>
        <v>86.48646153846154</v>
      </c>
      <c r="G176" t="e">
        <f>(C176+$S$56)*$S$58</f>
        <v>#N/A</v>
      </c>
      <c r="H176">
        <f>(B176+$S$59)*$S$61</f>
        <v>41.05777514792899</v>
      </c>
      <c r="I176" t="e">
        <f>(C176+$S$60)*$S$61</f>
        <v>#N/A</v>
      </c>
      <c r="K176" t="inlineStr">
        <is>
          <t>Barras</t>
        </is>
      </c>
      <c r="L176">
        <f>Taxas!$T$65</f>
        <v>-11.3</v>
      </c>
      <c r="M176">
        <f>IF(ISNUMBER(Taxas!$T$65),Taxas!$U$65,NA())</f>
        <v>3.7</v>
      </c>
      <c r="N176">
        <f>(L176+$S$63)*$S$65</f>
        <v>424.6666666666667</v>
      </c>
      <c r="O176">
        <f>(M176+$S$64)*$S$65</f>
        <v>251.33333333333337</v>
      </c>
    </row>
    <row r="177">
      <c r="B177">
        <f>$S$46+Geometria!$L$1407</f>
        <v>160.0</v>
      </c>
      <c r="C177" t="e">
        <f>IF(Geometria!$K$1407&gt;0,Geometria!$O$1407,NA())</f>
        <v>#N/A</v>
      </c>
      <c r="D177">
        <f>(B177+$S$52)*$S$54</f>
        <v>202.52845070422535</v>
      </c>
      <c r="E177" t="e">
        <f>(C177+$S$53)*$S$54</f>
        <v>#N/A</v>
      </c>
      <c r="F177">
        <f>(B177+$S$55)*$S$58</f>
        <v>547.7475897435897</v>
      </c>
      <c r="G177" t="e">
        <f>(C177+$S$56)*$S$58</f>
        <v>#N/A</v>
      </c>
      <c r="H177">
        <f>(B177+$S$59)*$S$61</f>
        <v>275.6736331360947</v>
      </c>
      <c r="I177" t="e">
        <f>(C177+$S$60)*$S$61</f>
        <v>#N/A</v>
      </c>
    </row>
    <row r="178">
      <c r="L178">
        <f>Taxas!$T$66</f>
        <v>11.3</v>
      </c>
      <c r="M178">
        <f>IF(ISNUMBER(Taxas!$T$66),Taxas!$U$66,NA())</f>
        <v>3.7</v>
      </c>
      <c r="N178">
        <f>(L178+$S$63)*$S$65</f>
        <v>575.3333333333334</v>
      </c>
      <c r="O178">
        <f>(M178+$S$64)*$S$65</f>
        <v>251.33333333333337</v>
      </c>
    </row>
    <row r="179">
      <c r="B179">
        <f>$S$46</f>
        <v>0.0</v>
      </c>
      <c r="C179">
        <f>IF(Geometria!$K$1405&gt;0,Geometria!$O$1405,NA())</f>
        <v>21.0</v>
      </c>
      <c r="D179">
        <f>(B179+$S$52)*$S$54</f>
        <v>44.457464788732395</v>
      </c>
      <c r="E179">
        <f>(C179+$S$53)*$S$54</f>
        <v>94.84259154929578</v>
      </c>
      <c r="F179">
        <f>(B179+$S$55)*$S$58</f>
        <v>86.48646153846154</v>
      </c>
      <c r="G179">
        <f>(C179+$S$56)*$S$58</f>
        <v>239.27921025641027</v>
      </c>
      <c r="H179">
        <f>(B179+$S$59)*$S$61</f>
        <v>41.05777514792899</v>
      </c>
      <c r="I179">
        <f>(C179+$S$60)*$S$61</f>
        <v>98.24539053254438</v>
      </c>
    </row>
    <row r="180">
      <c r="B180">
        <f>$S$46+Geometria!$L$1405</f>
        <v>160.0</v>
      </c>
      <c r="C180">
        <f>IF(Geometria!$K$1405&gt;0,Geometria!$O$1405,NA())</f>
        <v>21.0</v>
      </c>
      <c r="D180">
        <f>(B180+$S$52)*$S$54</f>
        <v>202.52845070422535</v>
      </c>
      <c r="E180">
        <f>(C180+$S$53)*$S$54</f>
        <v>94.84259154929578</v>
      </c>
      <c r="F180">
        <f>(B180+$S$55)*$S$58</f>
        <v>547.7475897435897</v>
      </c>
      <c r="G180">
        <f>(C180+$S$56)*$S$58</f>
        <v>239.27921025641027</v>
      </c>
      <c r="H180">
        <f>(B180+$S$59)*$S$61</f>
        <v>275.6736331360947</v>
      </c>
      <c r="I180">
        <f>(C180+$S$60)*$S$61</f>
        <v>98.24539053254438</v>
      </c>
      <c r="L180">
        <f>Taxas!$T$67</f>
        <v>-12.272727272727273</v>
      </c>
      <c r="M180">
        <f>IF(ISNUMBER(Taxas!$T$67),Taxas!$U$67,NA())</f>
        <v>3.7</v>
      </c>
      <c r="N180">
        <f>(L180+$S$63)*$S$65</f>
        <v>418.1818181818182</v>
      </c>
      <c r="O180">
        <f>(M180+$S$64)*$S$65</f>
        <v>251.33333333333337</v>
      </c>
    </row>
    <row r="182">
      <c r="B182">
        <f>$S$46</f>
        <v>0.0</v>
      </c>
      <c r="C182" t="e">
        <f>IF(Geometria!$K$1403&gt;0,Geometria!$O$1403,NA())</f>
        <v>#N/A</v>
      </c>
      <c r="D182">
        <f>(B182+$S$52)*$S$54</f>
        <v>44.457464788732395</v>
      </c>
      <c r="E182" t="e">
        <f>(C182+$S$53)*$S$54</f>
        <v>#N/A</v>
      </c>
      <c r="F182">
        <f>(B182+$S$55)*$S$58</f>
        <v>86.48646153846154</v>
      </c>
      <c r="G182" t="e">
        <f>(C182+$S$56)*$S$58</f>
        <v>#N/A</v>
      </c>
      <c r="H182">
        <f>(B182+$S$59)*$S$61</f>
        <v>41.05777514792899</v>
      </c>
      <c r="I182" t="e">
        <f>(C182+$S$60)*$S$61</f>
        <v>#N/A</v>
      </c>
      <c r="L182">
        <f>Taxas!$T$68</f>
        <v>-9.545454545454547</v>
      </c>
      <c r="M182">
        <f>IF(ISNUMBER(Taxas!$T$68),Taxas!$U$68,NA())</f>
        <v>3.7</v>
      </c>
      <c r="N182">
        <f>(L182+$S$63)*$S$65</f>
        <v>436.3636363636364</v>
      </c>
      <c r="O182">
        <f>(M182+$S$64)*$S$65</f>
        <v>251.33333333333337</v>
      </c>
    </row>
    <row r="183">
      <c r="B183">
        <f>$S$46+Geometria!$L$1403</f>
        <v>160.0</v>
      </c>
      <c r="C183" t="e">
        <f>IF(Geometria!$K$1403&gt;0,Geometria!$O$1403,NA())</f>
        <v>#N/A</v>
      </c>
      <c r="D183">
        <f>(B183+$S$52)*$S$54</f>
        <v>202.52845070422535</v>
      </c>
      <c r="E183" t="e">
        <f>(C183+$S$53)*$S$54</f>
        <v>#N/A</v>
      </c>
      <c r="F183">
        <f>(B183+$S$55)*$S$58</f>
        <v>547.7475897435897</v>
      </c>
      <c r="G183" t="e">
        <f>(C183+$S$56)*$S$58</f>
        <v>#N/A</v>
      </c>
      <c r="H183">
        <f>(B183+$S$59)*$S$61</f>
        <v>275.6736331360947</v>
      </c>
      <c r="I183" t="e">
        <f>(C183+$S$60)*$S$61</f>
        <v>#N/A</v>
      </c>
    </row>
    <row r="184">
      <c r="L184">
        <f>Taxas!$T$69</f>
        <v>-6.81818181818182</v>
      </c>
      <c r="M184">
        <f>IF(ISNUMBER(Taxas!$T$69),Taxas!$U$69,NA())</f>
        <v>3.7</v>
      </c>
      <c r="N184">
        <f>(L184+$S$63)*$S$65</f>
        <v>454.5454545454546</v>
      </c>
      <c r="O184">
        <f>(M184+$S$64)*$S$65</f>
        <v>251.33333333333337</v>
      </c>
    </row>
    <row r="185">
      <c r="B185">
        <f>0</f>
        <v>0.0</v>
      </c>
      <c r="C185" t="e">
        <f>IF(Geometria!$K$1424&gt;0,$S$4-Geometria!$O$1424,NA())</f>
        <v>#N/A</v>
      </c>
      <c r="D185">
        <f>(B185+$S$52)*$S$54</f>
        <v>44.457464788732395</v>
      </c>
      <c r="E185" t="e">
        <f>(C185+$S$53)*$S$54</f>
        <v>#N/A</v>
      </c>
      <c r="F185">
        <f>(B185+$S$55)*$S$58</f>
        <v>86.48646153846154</v>
      </c>
      <c r="G185" t="e">
        <f>(C185+$S$56)*$S$58</f>
        <v>#N/A</v>
      </c>
      <c r="H185">
        <f>(B185+$S$59)*$S$61</f>
        <v>41.05777514792899</v>
      </c>
      <c r="I185" t="e">
        <f>(C185+$S$60)*$S$61</f>
        <v>#N/A</v>
      </c>
    </row>
    <row r="186">
      <c r="B186">
        <f>0+Geometria!$L$1424</f>
        <v>0.0</v>
      </c>
      <c r="C186" t="e">
        <f>IF(Geometria!$K$1424&gt;0,$S$4-Geometria!$O$1424,NA())</f>
        <v>#N/A</v>
      </c>
      <c r="D186">
        <f>(B186+$S$52)*$S$54</f>
        <v>44.457464788732395</v>
      </c>
      <c r="E186" t="e">
        <f>(C186+$S$53)*$S$54</f>
        <v>#N/A</v>
      </c>
      <c r="F186">
        <f>(B186+$S$55)*$S$58</f>
        <v>86.48646153846154</v>
      </c>
      <c r="G186" t="e">
        <f>(C186+$S$56)*$S$58</f>
        <v>#N/A</v>
      </c>
      <c r="H186">
        <f>(B186+$S$59)*$S$61</f>
        <v>41.05777514792899</v>
      </c>
      <c r="I186" t="e">
        <f>(C186+$S$60)*$S$61</f>
        <v>#N/A</v>
      </c>
      <c r="L186">
        <f>Taxas!$T$70</f>
        <v>-4.0909090909090935</v>
      </c>
      <c r="M186">
        <f>IF(ISNUMBER(Taxas!$T$70),Taxas!$U$70,NA())</f>
        <v>3.7</v>
      </c>
      <c r="N186">
        <f>(L186+$S$63)*$S$65</f>
        <v>472.72727272727275</v>
      </c>
      <c r="O186">
        <f>(M186+$S$64)*$S$65</f>
        <v>251.33333333333337</v>
      </c>
    </row>
    <row r="188">
      <c r="B188">
        <f>0</f>
        <v>0.0</v>
      </c>
      <c r="C188" t="e">
        <f>IF(Geometria!$K$1422&gt;0,$S$4-Geometria!$O$1422,NA())</f>
        <v>#N/A</v>
      </c>
      <c r="D188">
        <f>(B188+$S$52)*$S$54</f>
        <v>44.457464788732395</v>
      </c>
      <c r="E188" t="e">
        <f>(C188+$S$53)*$S$54</f>
        <v>#N/A</v>
      </c>
      <c r="F188">
        <f>(B188+$S$55)*$S$58</f>
        <v>86.48646153846154</v>
      </c>
      <c r="G188" t="e">
        <f>(C188+$S$56)*$S$58</f>
        <v>#N/A</v>
      </c>
      <c r="H188">
        <f>(B188+$S$59)*$S$61</f>
        <v>41.05777514792899</v>
      </c>
      <c r="I188" t="e">
        <f>(C188+$S$60)*$S$61</f>
        <v>#N/A</v>
      </c>
      <c r="L188">
        <f>Taxas!$T$71</f>
        <v>-1.3636363636363664</v>
      </c>
      <c r="M188">
        <f>IF(ISNUMBER(Taxas!$T$71),Taxas!$U$71,NA())</f>
        <v>3.7</v>
      </c>
      <c r="N188">
        <f>(L188+$S$63)*$S$65</f>
        <v>490.90909090909093</v>
      </c>
      <c r="O188">
        <f>(M188+$S$64)*$S$65</f>
        <v>251.33333333333337</v>
      </c>
    </row>
    <row r="189">
      <c r="B189">
        <f>0+Geometria!$L$1422</f>
        <v>0.0</v>
      </c>
      <c r="C189" t="e">
        <f>IF(Geometria!$K$1422&gt;0,$S$4-Geometria!$O$1422,NA())</f>
        <v>#N/A</v>
      </c>
      <c r="D189">
        <f>(B189+$S$52)*$S$54</f>
        <v>44.457464788732395</v>
      </c>
      <c r="E189" t="e">
        <f>(C189+$S$53)*$S$54</f>
        <v>#N/A</v>
      </c>
      <c r="F189">
        <f>(B189+$S$55)*$S$58</f>
        <v>86.48646153846154</v>
      </c>
      <c r="G189" t="e">
        <f>(C189+$S$56)*$S$58</f>
        <v>#N/A</v>
      </c>
      <c r="H189">
        <f>(B189+$S$59)*$S$61</f>
        <v>41.05777514792899</v>
      </c>
      <c r="I189" t="e">
        <f>(C189+$S$60)*$S$61</f>
        <v>#N/A</v>
      </c>
    </row>
    <row r="190">
      <c r="L190">
        <f>Taxas!$T$72</f>
        <v>1.3636363636363606</v>
      </c>
      <c r="M190">
        <f>IF(ISNUMBER(Taxas!$T$72),Taxas!$U$72,NA())</f>
        <v>3.7</v>
      </c>
      <c r="N190">
        <f>(L190+$S$63)*$S$65</f>
        <v>509.09090909090907</v>
      </c>
      <c r="O190">
        <f>(M190+$S$64)*$S$65</f>
        <v>251.33333333333337</v>
      </c>
    </row>
    <row r="191">
      <c r="B191">
        <f>0</f>
        <v>0.0</v>
      </c>
      <c r="C191" t="e">
        <f>IF(Geometria!$K$1420&gt;0,$S$4-Geometria!$O$1420,NA())</f>
        <v>#N/A</v>
      </c>
      <c r="D191">
        <f>(B191+$S$52)*$S$54</f>
        <v>44.457464788732395</v>
      </c>
      <c r="E191" t="e">
        <f>(C191+$S$53)*$S$54</f>
        <v>#N/A</v>
      </c>
      <c r="F191">
        <f>(B191+$S$55)*$S$58</f>
        <v>86.48646153846154</v>
      </c>
      <c r="G191" t="e">
        <f>(C191+$S$56)*$S$58</f>
        <v>#N/A</v>
      </c>
      <c r="H191">
        <f>(B191+$S$59)*$S$61</f>
        <v>41.05777514792899</v>
      </c>
      <c r="I191" t="e">
        <f>(C191+$S$60)*$S$61</f>
        <v>#N/A</v>
      </c>
    </row>
    <row r="192">
      <c r="B192">
        <f>0+Geometria!$L$1420</f>
        <v>0.0</v>
      </c>
      <c r="C192" t="e">
        <f>IF(Geometria!$K$1420&gt;0,$S$4-Geometria!$O$1420,NA())</f>
        <v>#N/A</v>
      </c>
      <c r="D192">
        <f>(B192+$S$52)*$S$54</f>
        <v>44.457464788732395</v>
      </c>
      <c r="E192" t="e">
        <f>(C192+$S$53)*$S$54</f>
        <v>#N/A</v>
      </c>
      <c r="F192">
        <f>(B192+$S$55)*$S$58</f>
        <v>86.48646153846154</v>
      </c>
      <c r="G192" t="e">
        <f>(C192+$S$56)*$S$58</f>
        <v>#N/A</v>
      </c>
      <c r="H192">
        <f>(B192+$S$59)*$S$61</f>
        <v>41.05777514792899</v>
      </c>
      <c r="I192" t="e">
        <f>(C192+$S$60)*$S$61</f>
        <v>#N/A</v>
      </c>
      <c r="L192">
        <f>Taxas!$T$73</f>
        <v>4.090909090909088</v>
      </c>
      <c r="M192">
        <f>IF(ISNUMBER(Taxas!$T$73),Taxas!$U$73,NA())</f>
        <v>3.7</v>
      </c>
      <c r="N192">
        <f>(L192+$S$63)*$S$65</f>
        <v>527.2727272727274</v>
      </c>
      <c r="O192">
        <f>(M192+$S$64)*$S$65</f>
        <v>251.33333333333337</v>
      </c>
    </row>
    <row r="194">
      <c r="B194">
        <f>0</f>
        <v>0.0</v>
      </c>
      <c r="C194" t="e">
        <f>IF(Geometria!$K$1418&gt;0,$S$4-Geometria!$O$1418,NA())</f>
        <v>#N/A</v>
      </c>
      <c r="D194">
        <f>(B194+$S$52)*$S$54</f>
        <v>44.457464788732395</v>
      </c>
      <c r="E194" t="e">
        <f>(C194+$S$53)*$S$54</f>
        <v>#N/A</v>
      </c>
      <c r="F194">
        <f>(B194+$S$55)*$S$58</f>
        <v>86.48646153846154</v>
      </c>
      <c r="G194" t="e">
        <f>(C194+$S$56)*$S$58</f>
        <v>#N/A</v>
      </c>
      <c r="H194">
        <f>(B194+$S$59)*$S$61</f>
        <v>41.05777514792899</v>
      </c>
      <c r="I194" t="e">
        <f>(C194+$S$60)*$S$61</f>
        <v>#N/A</v>
      </c>
      <c r="L194">
        <f>Taxas!$T$74</f>
        <v>6.818181818181815</v>
      </c>
      <c r="M194">
        <f>IF(ISNUMBER(Taxas!$T$74),Taxas!$U$74,NA())</f>
        <v>3.7</v>
      </c>
      <c r="N194">
        <f>(L194+$S$63)*$S$65</f>
        <v>545.4545454545455</v>
      </c>
      <c r="O194">
        <f>(M194+$S$64)*$S$65</f>
        <v>251.33333333333337</v>
      </c>
    </row>
    <row r="195">
      <c r="B195">
        <f>0+Geometria!$L$1418</f>
        <v>0.0</v>
      </c>
      <c r="C195" t="e">
        <f>IF(Geometria!$K$1418&gt;0,$S$4-Geometria!$O$1418,NA())</f>
        <v>#N/A</v>
      </c>
      <c r="D195">
        <f>(B195+$S$52)*$S$54</f>
        <v>44.457464788732395</v>
      </c>
      <c r="E195" t="e">
        <f>(C195+$S$53)*$S$54</f>
        <v>#N/A</v>
      </c>
      <c r="F195">
        <f>(B195+$S$55)*$S$58</f>
        <v>86.48646153846154</v>
      </c>
      <c r="G195" t="e">
        <f>(C195+$S$56)*$S$58</f>
        <v>#N/A</v>
      </c>
      <c r="H195">
        <f>(B195+$S$59)*$S$61</f>
        <v>41.05777514792899</v>
      </c>
      <c r="I195" t="e">
        <f>(C195+$S$60)*$S$61</f>
        <v>#N/A</v>
      </c>
    </row>
    <row r="196">
      <c r="L196">
        <f>Taxas!$W$65</f>
        <v>-11.3</v>
      </c>
      <c r="M196">
        <f>IF(ISNUMBER(Taxas!$W$65),Taxas!$X$65,NA())</f>
        <v>56.3</v>
      </c>
      <c r="N196">
        <f>(L196+$S$63)*$S$65</f>
        <v>424.6666666666667</v>
      </c>
      <c r="O196">
        <f>(M196+$S$64)*$S$65</f>
        <v>602.0</v>
      </c>
    </row>
    <row r="198">
      <c r="A198" t="inlineStr">
        <is>
          <t>Isolamento (dir.)</t>
        </is>
      </c>
      <c r="B198">
        <f>$S$2-($S$46)-Geometria!$R$1409</f>
        <v>655.0</v>
      </c>
      <c r="C198" t="e">
        <f>IF(Geometria!$Q$1409&gt;0,Geometria!$O$1409,NA())</f>
        <v>#N/A</v>
      </c>
      <c r="D198">
        <f>(B198+$S$52)*$S$54</f>
        <v>691.5605633802817</v>
      </c>
      <c r="E198" t="e">
        <f>(C198+$S$53)*$S$54</f>
        <v>#N/A</v>
      </c>
      <c r="F198">
        <f>(B198+$S$55)*$S$58</f>
        <v>1974.7742051282053</v>
      </c>
      <c r="G198" t="e">
        <f>(C198+$S$56)*$S$58</f>
        <v>#N/A</v>
      </c>
      <c r="H198">
        <f>(B198+$S$59)*$S$61</f>
        <v>1001.5164437869822</v>
      </c>
      <c r="I198" t="e">
        <f>(C198+$S$60)*$S$61</f>
        <v>#N/A</v>
      </c>
      <c r="L198">
        <f>Taxas!$W$66</f>
        <v>11.3</v>
      </c>
      <c r="M198">
        <f>IF(ISNUMBER(Taxas!$W$66),Taxas!$X$66,NA())</f>
        <v>56.3</v>
      </c>
      <c r="N198">
        <f>(L198+$S$63)*$S$65</f>
        <v>575.3333333333334</v>
      </c>
      <c r="O198">
        <f>(M198+$S$64)*$S$65</f>
        <v>602.0</v>
      </c>
    </row>
    <row r="199">
      <c r="B199">
        <f>$S$2-($S$46)</f>
        <v>815.0</v>
      </c>
      <c r="C199" t="e">
        <f>IF(Geometria!$Q$1409&gt;0,Geometria!$O$1409,NA())</f>
        <v>#N/A</v>
      </c>
      <c r="D199">
        <f>(B199+$S$52)*$S$54</f>
        <v>849.6315492957746</v>
      </c>
      <c r="E199" t="e">
        <f>(C199+$S$53)*$S$54</f>
        <v>#N/A</v>
      </c>
      <c r="F199">
        <f>(B199+$S$55)*$S$58</f>
        <v>2436.0353333333333</v>
      </c>
      <c r="G199" t="e">
        <f>(C199+$S$56)*$S$58</f>
        <v>#N/A</v>
      </c>
      <c r="H199">
        <f>(B199+$S$59)*$S$61</f>
        <v>1236.1323017751479</v>
      </c>
      <c r="I199" t="e">
        <f>(C199+$S$60)*$S$61</f>
        <v>#N/A</v>
      </c>
    </row>
    <row r="200">
      <c r="L200">
        <f>Taxas!$W$67</f>
        <v>0.0</v>
      </c>
      <c r="M200">
        <f>IF(ISNUMBER(Taxas!$W$67),Taxas!$X$67,NA())</f>
        <v>56.3</v>
      </c>
      <c r="N200">
        <f>(L200+$S$63)*$S$65</f>
        <v>500.0</v>
      </c>
      <c r="O200">
        <f>(M200+$S$64)*$S$65</f>
        <v>602.0</v>
      </c>
    </row>
    <row r="201">
      <c r="B201">
        <f>$S$2-($S$46)-Geometria!$R$1407</f>
        <v>655.0</v>
      </c>
      <c r="C201" t="e">
        <f>IF(Geometria!$Q$1407&gt;0,Geometria!$O$1407,NA())</f>
        <v>#N/A</v>
      </c>
      <c r="D201">
        <f>(B201+$S$52)*$S$54</f>
        <v>691.5605633802817</v>
      </c>
      <c r="E201" t="e">
        <f>(C201+$S$53)*$S$54</f>
        <v>#N/A</v>
      </c>
      <c r="F201">
        <f>(B201+$S$55)*$S$58</f>
        <v>1974.7742051282053</v>
      </c>
      <c r="G201" t="e">
        <f>(C201+$S$56)*$S$58</f>
        <v>#N/A</v>
      </c>
      <c r="H201">
        <f>(B201+$S$59)*$S$61</f>
        <v>1001.5164437869822</v>
      </c>
      <c r="I201" t="e">
        <f>(C201+$S$60)*$S$61</f>
        <v>#N/A</v>
      </c>
    </row>
    <row r="202">
      <c r="B202">
        <f>$S$2-($S$46)</f>
        <v>815.0</v>
      </c>
      <c r="C202" t="e">
        <f>IF(Geometria!$Q$1407&gt;0,Geometria!$O$1407,NA())</f>
        <v>#N/A</v>
      </c>
      <c r="D202">
        <f>(B202+$S$52)*$S$54</f>
        <v>849.6315492957746</v>
      </c>
      <c r="E202" t="e">
        <f>(C202+$S$53)*$S$54</f>
        <v>#N/A</v>
      </c>
      <c r="F202">
        <f>(B202+$S$55)*$S$58</f>
        <v>2436.0353333333333</v>
      </c>
      <c r="G202" t="e">
        <f>(C202+$S$56)*$S$58</f>
        <v>#N/A</v>
      </c>
      <c r="H202">
        <f>(B202+$S$59)*$S$61</f>
        <v>1236.1323017751479</v>
      </c>
      <c r="I202" t="e">
        <f>(C202+$S$60)*$S$61</f>
        <v>#N/A</v>
      </c>
      <c r="L202" t="e">
        <f>Taxas!$W$68</f>
        <v>#N/A</v>
      </c>
      <c r="M202" t="e">
        <f>IF(ISNUMBER(Taxas!$W$68),Taxas!$X$68,NA())</f>
        <v>#N/A</v>
      </c>
      <c r="N202" t="e">
        <f>(L202+$S$63)*$S$65</f>
        <v>#N/A</v>
      </c>
      <c r="O202" t="e">
        <f>(M202+$S$64)*$S$65</f>
        <v>#N/A</v>
      </c>
    </row>
    <row r="204">
      <c r="B204">
        <f>$S$2-($S$46)-Geometria!$R$1405</f>
        <v>655.0</v>
      </c>
      <c r="C204">
        <f>IF(Geometria!$Q$1405&gt;0,Geometria!$O$1405,NA())</f>
        <v>21.0</v>
      </c>
      <c r="D204">
        <f>(B204+$S$52)*$S$54</f>
        <v>691.5605633802817</v>
      </c>
      <c r="E204">
        <f>(C204+$S$53)*$S$54</f>
        <v>94.84259154929578</v>
      </c>
      <c r="F204">
        <f>(B204+$S$55)*$S$58</f>
        <v>1974.7742051282053</v>
      </c>
      <c r="G204">
        <f>(C204+$S$56)*$S$58</f>
        <v>239.27921025641027</v>
      </c>
      <c r="H204">
        <f>(B204+$S$59)*$S$61</f>
        <v>1001.5164437869822</v>
      </c>
      <c r="I204">
        <f>(C204+$S$60)*$S$61</f>
        <v>98.24539053254438</v>
      </c>
      <c r="L204" t="e">
        <f>Taxas!$W$69</f>
        <v>#N/A</v>
      </c>
      <c r="M204" t="e">
        <f>IF(ISNUMBER(Taxas!$W$69),Taxas!$X$69,NA())</f>
        <v>#N/A</v>
      </c>
      <c r="N204" t="e">
        <f>(L204+$S$63)*$S$65</f>
        <v>#N/A</v>
      </c>
      <c r="O204" t="e">
        <f>(M204+$S$64)*$S$65</f>
        <v>#N/A</v>
      </c>
    </row>
    <row r="205">
      <c r="B205">
        <f>$S$2-($S$46)</f>
        <v>815.0</v>
      </c>
      <c r="C205">
        <f>IF(Geometria!$Q$1405&gt;0,Geometria!$O$1405,NA())</f>
        <v>21.0</v>
      </c>
      <c r="D205">
        <f>(B205+$S$52)*$S$54</f>
        <v>849.6315492957746</v>
      </c>
      <c r="E205">
        <f>(C205+$S$53)*$S$54</f>
        <v>94.84259154929578</v>
      </c>
      <c r="F205">
        <f>(B205+$S$55)*$S$58</f>
        <v>2436.0353333333333</v>
      </c>
      <c r="G205">
        <f>(C205+$S$56)*$S$58</f>
        <v>239.27921025641027</v>
      </c>
      <c r="H205">
        <f>(B205+$S$59)*$S$61</f>
        <v>1236.1323017751479</v>
      </c>
      <c r="I205">
        <f>(C205+$S$60)*$S$61</f>
        <v>98.24539053254438</v>
      </c>
    </row>
    <row r="206">
      <c r="L206" t="e">
        <f>Taxas!$W$70</f>
        <v>#N/A</v>
      </c>
      <c r="M206" t="e">
        <f>IF(ISNUMBER(Taxas!$W$70),Taxas!$X$70,NA())</f>
        <v>#N/A</v>
      </c>
      <c r="N206" t="e">
        <f>(L206+$S$63)*$S$65</f>
        <v>#N/A</v>
      </c>
      <c r="O206" t="e">
        <f>(M206+$S$64)*$S$65</f>
        <v>#N/A</v>
      </c>
    </row>
    <row r="207">
      <c r="B207">
        <f>$S$2-($S$46)-Geometria!$R$1403</f>
        <v>655.0</v>
      </c>
      <c r="C207" t="e">
        <f>IF(Geometria!$Q$1403&gt;0,Geometria!$O$1403,NA())</f>
        <v>#N/A</v>
      </c>
      <c r="D207">
        <f>(B207+$S$52)*$S$54</f>
        <v>691.5605633802817</v>
      </c>
      <c r="E207" t="e">
        <f>(C207+$S$53)*$S$54</f>
        <v>#N/A</v>
      </c>
      <c r="F207">
        <f>(B207+$S$55)*$S$58</f>
        <v>1974.7742051282053</v>
      </c>
      <c r="G207" t="e">
        <f>(C207+$S$56)*$S$58</f>
        <v>#N/A</v>
      </c>
      <c r="H207">
        <f>(B207+$S$59)*$S$61</f>
        <v>1001.5164437869822</v>
      </c>
      <c r="I207" t="e">
        <f>(C207+$S$60)*$S$61</f>
        <v>#N/A</v>
      </c>
    </row>
    <row r="208">
      <c r="B208">
        <f>$S$2-($S$46)</f>
        <v>815.0</v>
      </c>
      <c r="C208" t="e">
        <f>IF(Geometria!$Q$1403&gt;0,Geometria!$O$1403,NA())</f>
        <v>#N/A</v>
      </c>
      <c r="D208">
        <f>(B208+$S$52)*$S$54</f>
        <v>849.6315492957746</v>
      </c>
      <c r="E208" t="e">
        <f>(C208+$S$53)*$S$54</f>
        <v>#N/A</v>
      </c>
      <c r="F208">
        <f>(B208+$S$55)*$S$58</f>
        <v>2436.0353333333333</v>
      </c>
      <c r="G208" t="e">
        <f>(C208+$S$56)*$S$58</f>
        <v>#N/A</v>
      </c>
      <c r="H208">
        <f>(B208+$S$59)*$S$61</f>
        <v>1236.1323017751479</v>
      </c>
      <c r="I208" t="e">
        <f>(C208+$S$60)*$S$61</f>
        <v>#N/A</v>
      </c>
      <c r="L208" t="e">
        <f>Taxas!$W$71</f>
        <v>#N/A</v>
      </c>
      <c r="M208" t="e">
        <f>IF(ISNUMBER(Taxas!$W$71),Taxas!$X$71,NA())</f>
        <v>#N/A</v>
      </c>
      <c r="N208" t="e">
        <f>(L208+$S$63)*$S$65</f>
        <v>#N/A</v>
      </c>
      <c r="O208" t="e">
        <f>(M208+$S$64)*$S$65</f>
        <v>#N/A</v>
      </c>
    </row>
    <row r="210">
      <c r="B210">
        <f>$S$2-(0)-Geometria!$R$1424</f>
        <v>815.0</v>
      </c>
      <c r="C210" t="e">
        <f>IF(Geometria!$Q$1424&gt;0,$S$4-Geometria!$O$1424,NA())</f>
        <v>#N/A</v>
      </c>
      <c r="D210">
        <f>(B210+$S$52)*$S$54</f>
        <v>849.6315492957746</v>
      </c>
      <c r="E210" t="e">
        <f>(C210+$S$53)*$S$54</f>
        <v>#N/A</v>
      </c>
      <c r="F210">
        <f>(B210+$S$55)*$S$58</f>
        <v>2436.0353333333333</v>
      </c>
      <c r="G210" t="e">
        <f>(C210+$S$56)*$S$58</f>
        <v>#N/A</v>
      </c>
      <c r="H210">
        <f>(B210+$S$59)*$S$61</f>
        <v>1236.1323017751479</v>
      </c>
      <c r="I210" t="e">
        <f>(C210+$S$60)*$S$61</f>
        <v>#N/A</v>
      </c>
      <c r="L210" t="e">
        <f>Taxas!$W$72</f>
        <v>#N/A</v>
      </c>
      <c r="M210" t="e">
        <f>IF(ISNUMBER(Taxas!$W$72),Taxas!$X$72,NA())</f>
        <v>#N/A</v>
      </c>
      <c r="N210" t="e">
        <f>(L210+$S$63)*$S$65</f>
        <v>#N/A</v>
      </c>
      <c r="O210" t="e">
        <f>(M210+$S$64)*$S$65</f>
        <v>#N/A</v>
      </c>
    </row>
    <row r="211">
      <c r="B211">
        <f>$S$2-(0)</f>
        <v>815.0</v>
      </c>
      <c r="C211" t="e">
        <f>IF(Geometria!$Q$1424&gt;0,$S$4-Geometria!$O$1424,NA())</f>
        <v>#N/A</v>
      </c>
      <c r="D211">
        <f>(B211+$S$52)*$S$54</f>
        <v>849.6315492957746</v>
      </c>
      <c r="E211" t="e">
        <f>(C211+$S$53)*$S$54</f>
        <v>#N/A</v>
      </c>
      <c r="F211">
        <f>(B211+$S$55)*$S$58</f>
        <v>2436.0353333333333</v>
      </c>
      <c r="G211" t="e">
        <f>(C211+$S$56)*$S$58</f>
        <v>#N/A</v>
      </c>
      <c r="H211">
        <f>(B211+$S$59)*$S$61</f>
        <v>1236.1323017751479</v>
      </c>
      <c r="I211" t="e">
        <f>(C211+$S$60)*$S$61</f>
        <v>#N/A</v>
      </c>
    </row>
    <row r="212">
      <c r="L212" t="e">
        <f>Taxas!$W$73</f>
        <v>#N/A</v>
      </c>
      <c r="M212" t="e">
        <f>IF(ISNUMBER(Taxas!$W$73),Taxas!$X$73,NA())</f>
        <v>#N/A</v>
      </c>
      <c r="N212" t="e">
        <f>(L212+$S$63)*$S$65</f>
        <v>#N/A</v>
      </c>
      <c r="O212" t="e">
        <f>(M212+$S$64)*$S$65</f>
        <v>#N/A</v>
      </c>
    </row>
    <row r="213">
      <c r="B213">
        <f>$S$2-(0)-Geometria!$R$1422</f>
        <v>815.0</v>
      </c>
      <c r="C213" t="e">
        <f>IF(Geometria!$Q$1422&gt;0,$S$4-Geometria!$O$1422,NA())</f>
        <v>#N/A</v>
      </c>
      <c r="D213">
        <f>(B213+$S$52)*$S$54</f>
        <v>849.6315492957746</v>
      </c>
      <c r="E213" t="e">
        <f>(C213+$S$53)*$S$54</f>
        <v>#N/A</v>
      </c>
      <c r="F213">
        <f>(B213+$S$55)*$S$58</f>
        <v>2436.0353333333333</v>
      </c>
      <c r="G213" t="e">
        <f>(C213+$S$56)*$S$58</f>
        <v>#N/A</v>
      </c>
      <c r="H213">
        <f>(B213+$S$59)*$S$61</f>
        <v>1236.1323017751479</v>
      </c>
      <c r="I213" t="e">
        <f>(C213+$S$60)*$S$61</f>
        <v>#N/A</v>
      </c>
    </row>
    <row r="214">
      <c r="B214">
        <f>$S$2-(0)</f>
        <v>815.0</v>
      </c>
      <c r="C214" t="e">
        <f>IF(Geometria!$Q$1422&gt;0,$S$4-Geometria!$O$1422,NA())</f>
        <v>#N/A</v>
      </c>
      <c r="D214">
        <f>(B214+$S$52)*$S$54</f>
        <v>849.6315492957746</v>
      </c>
      <c r="E214" t="e">
        <f>(C214+$S$53)*$S$54</f>
        <v>#N/A</v>
      </c>
      <c r="F214">
        <f>(B214+$S$55)*$S$58</f>
        <v>2436.0353333333333</v>
      </c>
      <c r="G214" t="e">
        <f>(C214+$S$56)*$S$58</f>
        <v>#N/A</v>
      </c>
      <c r="H214">
        <f>(B214+$S$59)*$S$61</f>
        <v>1236.1323017751479</v>
      </c>
      <c r="I214" t="e">
        <f>(C214+$S$60)*$S$61</f>
        <v>#N/A</v>
      </c>
      <c r="L214" t="e">
        <f>Taxas!$W$74</f>
        <v>#N/A</v>
      </c>
      <c r="M214" t="e">
        <f>IF(ISNUMBER(Taxas!$W$74),Taxas!$X$74,NA())</f>
        <v>#N/A</v>
      </c>
      <c r="N214" t="e">
        <f>(L214+$S$63)*$S$65</f>
        <v>#N/A</v>
      </c>
      <c r="O214" t="e">
        <f>(M214+$S$64)*$S$65</f>
        <v>#N/A</v>
      </c>
    </row>
    <row r="216">
      <c r="B216">
        <f>$S$2-(0)-Geometria!$R$1420</f>
        <v>815.0</v>
      </c>
      <c r="C216" t="e">
        <f>IF(Geometria!$Q$1420&gt;0,$S$4-Geometria!$O$1420,NA())</f>
        <v>#N/A</v>
      </c>
      <c r="D216">
        <f>(B216+$S$52)*$S$54</f>
        <v>849.6315492957746</v>
      </c>
      <c r="E216" t="e">
        <f>(C216+$S$53)*$S$54</f>
        <v>#N/A</v>
      </c>
      <c r="F216">
        <f>(B216+$S$55)*$S$58</f>
        <v>2436.0353333333333</v>
      </c>
      <c r="G216" t="e">
        <f>(C216+$S$56)*$S$58</f>
        <v>#N/A</v>
      </c>
      <c r="H216">
        <f>(B216+$S$59)*$S$61</f>
        <v>1236.1323017751479</v>
      </c>
      <c r="I216" t="e">
        <f>(C216+$S$60)*$S$61</f>
        <v>#N/A</v>
      </c>
      <c r="L216">
        <f>Taxas!$Z$65</f>
        <v>-11.3</v>
      </c>
      <c r="M216">
        <f>IF(ISNUMBER(Taxas!$Z$65),Taxas!$AA$65,NA())</f>
        <v>56.3</v>
      </c>
      <c r="N216">
        <f>(L216+$S$63)*$S$65</f>
        <v>424.6666666666667</v>
      </c>
      <c r="O216">
        <f>(M216+$S$64)*$S$65</f>
        <v>602.0</v>
      </c>
    </row>
    <row r="217">
      <c r="B217">
        <f>$S$2-(0)</f>
        <v>815.0</v>
      </c>
      <c r="C217" t="e">
        <f>IF(Geometria!$Q$1420&gt;0,$S$4-Geometria!$O$1420,NA())</f>
        <v>#N/A</v>
      </c>
      <c r="D217">
        <f>(B217+$S$52)*$S$54</f>
        <v>849.6315492957746</v>
      </c>
      <c r="E217" t="e">
        <f>(C217+$S$53)*$S$54</f>
        <v>#N/A</v>
      </c>
      <c r="F217">
        <f>(B217+$S$55)*$S$58</f>
        <v>2436.0353333333333</v>
      </c>
      <c r="G217" t="e">
        <f>(C217+$S$56)*$S$58</f>
        <v>#N/A</v>
      </c>
      <c r="H217">
        <f>(B217+$S$59)*$S$61</f>
        <v>1236.1323017751479</v>
      </c>
      <c r="I217" t="e">
        <f>(C217+$S$60)*$S$61</f>
        <v>#N/A</v>
      </c>
    </row>
    <row r="218">
      <c r="L218">
        <f>Taxas!$Z$66</f>
        <v>11.3</v>
      </c>
      <c r="M218">
        <f>IF(ISNUMBER(Taxas!$Z$66),Taxas!$AA$66,NA())</f>
        <v>56.3</v>
      </c>
      <c r="N218">
        <f>(L218+$S$63)*$S$65</f>
        <v>575.3333333333334</v>
      </c>
      <c r="O218">
        <f>(M218+$S$64)*$S$65</f>
        <v>602.0</v>
      </c>
    </row>
    <row r="219">
      <c r="B219">
        <f>$S$2-(0)-Geometria!$R$1418</f>
        <v>815.0</v>
      </c>
      <c r="C219" t="e">
        <f>IF(Geometria!$Q$1418&gt;0,$S$4-Geometria!$O$1418,NA())</f>
        <v>#N/A</v>
      </c>
      <c r="D219">
        <f>(B219+$S$52)*$S$54</f>
        <v>849.6315492957746</v>
      </c>
      <c r="E219" t="e">
        <f>(C219+$S$53)*$S$54</f>
        <v>#N/A</v>
      </c>
      <c r="F219">
        <f>(B219+$S$55)*$S$58</f>
        <v>2436.0353333333333</v>
      </c>
      <c r="G219" t="e">
        <f>(C219+$S$56)*$S$58</f>
        <v>#N/A</v>
      </c>
      <c r="H219">
        <f>(B219+$S$59)*$S$61</f>
        <v>1236.1323017751479</v>
      </c>
      <c r="I219" t="e">
        <f>(C219+$S$60)*$S$61</f>
        <v>#N/A</v>
      </c>
    </row>
    <row r="220">
      <c r="B220">
        <f>$S$2-(0)</f>
        <v>815.0</v>
      </c>
      <c r="C220" t="e">
        <f>IF(Geometria!$Q$1418&gt;0,$S$4-Geometria!$O$1418,NA())</f>
        <v>#N/A</v>
      </c>
      <c r="D220">
        <f>(B220+$S$52)*$S$54</f>
        <v>849.6315492957746</v>
      </c>
      <c r="E220" t="e">
        <f>(C220+$S$53)*$S$54</f>
        <v>#N/A</v>
      </c>
      <c r="F220">
        <f>(B220+$S$55)*$S$58</f>
        <v>2436.0353333333333</v>
      </c>
      <c r="G220" t="e">
        <f>(C220+$S$56)*$S$58</f>
        <v>#N/A</v>
      </c>
      <c r="H220">
        <f>(B220+$S$59)*$S$61</f>
        <v>1236.1323017751479</v>
      </c>
      <c r="I220" t="e">
        <f>(C220+$S$60)*$S$61</f>
        <v>#N/A</v>
      </c>
      <c r="L220" t="e">
        <f>Taxas!$Z$67</f>
        <v>#N/A</v>
      </c>
      <c r="M220" t="e">
        <f>IF(ISNUMBER(Taxas!$Z$67),Taxas!$AA$67,NA())</f>
        <v>#N/A</v>
      </c>
      <c r="N220" t="e">
        <f>(L220+$S$63)*$S$65</f>
        <v>#N/A</v>
      </c>
      <c r="O220" t="e">
        <f>(M220+$S$64)*$S$65</f>
        <v>#N/A</v>
      </c>
    </row>
    <row r="222">
      <c r="L222" t="e">
        <f>Taxas!$Z$68</f>
        <v>#N/A</v>
      </c>
      <c r="M222" t="e">
        <f>IF(ISNUMBER(Taxas!$Z$68),Taxas!$AA$68,NA())</f>
        <v>#N/A</v>
      </c>
      <c r="N222" t="e">
        <f>(L222+$S$63)*$S$65</f>
        <v>#N/A</v>
      </c>
      <c r="O222" t="e">
        <f>(M222+$S$64)*$S$65</f>
        <v>#N/A</v>
      </c>
    </row>
    <row r="223">
      <c r="A223" t="inlineStr">
        <is>
          <t>As inferior</t>
        </is>
      </c>
      <c r="B223">
        <f>$S$46+$S$7</f>
        <v>3.0</v>
      </c>
      <c r="C223">
        <f>IF(Taxas!$H$57&gt;0,$S$47,NA())</f>
        <v>4.8</v>
      </c>
      <c r="D223">
        <f>(B223+$S$52)*$S$54</f>
        <v>47.42129577464789</v>
      </c>
      <c r="E223">
        <f>(C223+$S$53)*$S$54</f>
        <v>78.8379042253521</v>
      </c>
      <c r="F223">
        <f>(B223+$S$55)*$S$58</f>
        <v>95.1351076923077</v>
      </c>
      <c r="G223">
        <f>(C223+$S$56)*$S$58</f>
        <v>192.57652102564103</v>
      </c>
      <c r="H223">
        <f>(B223+$S$59)*$S$61</f>
        <v>45.4568224852071</v>
      </c>
      <c r="I223">
        <f>(C223+$S$60)*$S$61</f>
        <v>74.4905349112426</v>
      </c>
    </row>
    <row r="224">
      <c r="B224">
        <f>$S$2-($S$46+$S$7)</f>
        <v>812.0</v>
      </c>
      <c r="C224">
        <f>IF(Taxas!$H$57&gt;0,$S$47,NA())</f>
        <v>4.8</v>
      </c>
      <c r="D224">
        <f>(B224+$S$52)*$S$54</f>
        <v>846.6677183098591</v>
      </c>
      <c r="E224">
        <f>(C224+$S$53)*$S$54</f>
        <v>78.8379042253521</v>
      </c>
      <c r="F224">
        <f>(B224+$S$55)*$S$58</f>
        <v>2427.386687179487</v>
      </c>
      <c r="G224">
        <f>(C224+$S$56)*$S$58</f>
        <v>192.57652102564103</v>
      </c>
      <c r="H224">
        <f>(B224+$S$59)*$S$61</f>
        <v>1231.7332544378698</v>
      </c>
      <c r="I224">
        <f>(C224+$S$60)*$S$61</f>
        <v>74.4905349112426</v>
      </c>
      <c r="L224" t="e">
        <f>Taxas!$Z$69</f>
        <v>#N/A</v>
      </c>
      <c r="M224" t="e">
        <f>IF(ISNUMBER(Taxas!$Z$69),Taxas!$AA$69,NA())</f>
        <v>#N/A</v>
      </c>
      <c r="N224" t="e">
        <f>(L224+$S$63)*$S$65</f>
        <v>#N/A</v>
      </c>
      <c r="O224" t="e">
        <f>(M224+$S$64)*$S$65</f>
        <v>#N/A</v>
      </c>
    </row>
    <row r="226">
      <c r="L226" t="e">
        <f>Taxas!$Z$70</f>
        <v>#N/A</v>
      </c>
      <c r="M226" t="e">
        <f>IF(ISNUMBER(Taxas!$Z$70),Taxas!$AA$70,NA())</f>
        <v>#N/A</v>
      </c>
      <c r="N226" t="e">
        <f>(L226+$S$63)*$S$65</f>
        <v>#N/A</v>
      </c>
      <c r="O226" t="e">
        <f>(M226+$S$64)*$S$65</f>
        <v>#N/A</v>
      </c>
    </row>
    <row r="227">
      <c r="A227" t="inlineStr">
        <is>
          <t>As' superior</t>
        </is>
      </c>
      <c r="B227">
        <f>$S$7</f>
        <v>3.0</v>
      </c>
      <c r="C227">
        <f>IF(Taxas!$H$50&gt;0,$S$4-$S$47,NA())</f>
        <v>55.2</v>
      </c>
      <c r="D227">
        <f>(B227+$S$52)*$S$54</f>
        <v>47.42129577464789</v>
      </c>
      <c r="E227">
        <f>(C227+$S$53)*$S$54</f>
        <v>128.63026478873238</v>
      </c>
      <c r="F227">
        <f>(B227+$S$55)*$S$58</f>
        <v>95.1351076923077</v>
      </c>
      <c r="G227">
        <f>(C227+$S$56)*$S$58</f>
        <v>337.8737764102564</v>
      </c>
      <c r="H227">
        <f>(B227+$S$59)*$S$61</f>
        <v>45.4568224852071</v>
      </c>
      <c r="I227">
        <f>(C227+$S$60)*$S$61</f>
        <v>148.3945301775148</v>
      </c>
    </row>
    <row r="228">
      <c r="B228">
        <f>$S$2-$S$7</f>
        <v>812.0</v>
      </c>
      <c r="C228">
        <f>IF(Taxas!$H$50&gt;0,$S$4-$S$47,NA())</f>
        <v>55.2</v>
      </c>
      <c r="D228">
        <f>(B228+$S$52)*$S$54</f>
        <v>846.6677183098591</v>
      </c>
      <c r="E228">
        <f>(C228+$S$53)*$S$54</f>
        <v>128.63026478873238</v>
      </c>
      <c r="F228">
        <f>(B228+$S$55)*$S$58</f>
        <v>2427.386687179487</v>
      </c>
      <c r="G228">
        <f>(C228+$S$56)*$S$58</f>
        <v>337.8737764102564</v>
      </c>
      <c r="H228">
        <f>(B228+$S$59)*$S$61</f>
        <v>1231.7332544378698</v>
      </c>
      <c r="I228">
        <f>(C228+$S$60)*$S$61</f>
        <v>148.3945301775148</v>
      </c>
      <c r="L228" t="e">
        <f>Taxas!$Z$71</f>
        <v>#N/A</v>
      </c>
      <c r="M228" t="e">
        <f>IF(ISNUMBER(Taxas!$Z$71),Taxas!$AA$71,NA())</f>
        <v>#N/A</v>
      </c>
      <c r="N228" t="e">
        <f>(L228+$S$63)*$S$65</f>
        <v>#N/A</v>
      </c>
      <c r="O228" t="e">
        <f>(M228+$S$64)*$S$65</f>
        <v>#N/A</v>
      </c>
    </row>
    <row r="230">
      <c r="L230" t="e">
        <f>Taxas!$Z$72</f>
        <v>#N/A</v>
      </c>
      <c r="M230" t="e">
        <f>IF(ISNUMBER(Taxas!$Z$72),Taxas!$AA$72,NA())</f>
        <v>#N/A</v>
      </c>
      <c r="N230" t="e">
        <f>(L230+$S$63)*$S$65</f>
        <v>#N/A</v>
      </c>
      <c r="O230" t="e">
        <f>(M230+$S$64)*$S$65</f>
        <v>#N/A</v>
      </c>
    </row>
    <row r="231">
      <c r="A231" t="inlineStr">
        <is>
          <t>As inferior</t>
        </is>
      </c>
      <c r="B231">
        <f>$S$46+$S$7</f>
        <v>3.0</v>
      </c>
      <c r="C231">
        <f>IF(Taxas!$H$57&gt;0,$S$47,NA())</f>
        <v>4.8</v>
      </c>
      <c r="D231">
        <f>(B231+$S$52)*$S$54</f>
        <v>47.42129577464789</v>
      </c>
      <c r="E231">
        <f>(C231+$S$53)*$S$54</f>
        <v>78.8379042253521</v>
      </c>
      <c r="F231">
        <f>(B231+$S$55)*$S$58</f>
        <v>95.1351076923077</v>
      </c>
      <c r="G231">
        <f>(C231+$S$56)*$S$58</f>
        <v>192.57652102564103</v>
      </c>
      <c r="H231">
        <f>(B231+$S$59)*$S$61</f>
        <v>45.4568224852071</v>
      </c>
      <c r="I231">
        <f>(C231+$S$60)*$S$61</f>
        <v>74.4905349112426</v>
      </c>
    </row>
    <row r="232">
      <c r="B232">
        <f>$S$3</f>
        <v>407.5</v>
      </c>
      <c r="C232">
        <f>IF(Taxas!$H$57&gt;0,$S$47,NA())</f>
        <v>4.8</v>
      </c>
      <c r="D232">
        <f>(B232+$S$52)*$S$54</f>
        <v>447.0445070422535</v>
      </c>
      <c r="E232">
        <f>(C232+$S$53)*$S$54</f>
        <v>78.8379042253521</v>
      </c>
      <c r="F232">
        <f>(B232+$S$55)*$S$58</f>
        <v>1261.2608974358975</v>
      </c>
      <c r="G232">
        <f>(C232+$S$56)*$S$58</f>
        <v>192.57652102564103</v>
      </c>
      <c r="H232">
        <f>(B232+$S$59)*$S$61</f>
        <v>638.5950384615385</v>
      </c>
      <c r="I232">
        <f>(C232+$S$60)*$S$61</f>
        <v>74.4905349112426</v>
      </c>
      <c r="L232" t="e">
        <f>Taxas!$Z$73</f>
        <v>#N/A</v>
      </c>
      <c r="M232" t="e">
        <f>IF(ISNUMBER(Taxas!$Z$73),Taxas!$AA$73,NA())</f>
        <v>#N/A</v>
      </c>
      <c r="N232" t="e">
        <f>(L232+$S$63)*$S$65</f>
        <v>#N/A</v>
      </c>
      <c r="O232" t="e">
        <f>(M232+$S$64)*$S$65</f>
        <v>#N/A</v>
      </c>
    </row>
    <row r="234">
      <c r="L234" t="e">
        <f>Taxas!$Z$74</f>
        <v>#N/A</v>
      </c>
      <c r="M234" t="e">
        <f>IF(ISNUMBER(Taxas!$Z$74),Taxas!$AA$74,NA())</f>
        <v>#N/A</v>
      </c>
      <c r="N234" t="e">
        <f>(L234+$S$63)*$S$65</f>
        <v>#N/A</v>
      </c>
      <c r="O234" t="e">
        <f>(M234+$S$64)*$S$65</f>
        <v>#N/A</v>
      </c>
    </row>
    <row r="235">
      <c r="A235" t="inlineStr">
        <is>
          <t>As' superior</t>
        </is>
      </c>
      <c r="B235">
        <f>$S$7</f>
        <v>3.0</v>
      </c>
      <c r="C235">
        <f>IF(Taxas!$H$50&gt;0,$S$4-$S$47,NA())</f>
        <v>55.2</v>
      </c>
      <c r="D235">
        <f>(B235+$S$52)*$S$54</f>
        <v>47.42129577464789</v>
      </c>
      <c r="E235">
        <f>(C235+$S$53)*$S$54</f>
        <v>128.63026478873238</v>
      </c>
      <c r="F235">
        <f>(B235+$S$55)*$S$58</f>
        <v>95.1351076923077</v>
      </c>
      <c r="G235">
        <f>(C235+$S$56)*$S$58</f>
        <v>337.8737764102564</v>
      </c>
      <c r="H235">
        <f>(B235+$S$59)*$S$61</f>
        <v>45.4568224852071</v>
      </c>
      <c r="I235">
        <f>(C235+$S$60)*$S$61</f>
        <v>148.3945301775148</v>
      </c>
    </row>
    <row r="236">
      <c r="B236">
        <f>$S$3</f>
        <v>407.5</v>
      </c>
      <c r="C236">
        <f>IF(Taxas!$H$50&gt;0,$S$4-$S$47,NA())</f>
        <v>55.2</v>
      </c>
      <c r="D236">
        <f>(B236+$S$52)*$S$54</f>
        <v>447.0445070422535</v>
      </c>
      <c r="E236">
        <f>(C236+$S$53)*$S$54</f>
        <v>128.63026478873238</v>
      </c>
      <c r="F236">
        <f>(B236+$S$55)*$S$58</f>
        <v>1261.2608974358975</v>
      </c>
      <c r="G236">
        <f>(C236+$S$56)*$S$58</f>
        <v>337.8737764102564</v>
      </c>
      <c r="H236">
        <f>(B236+$S$59)*$S$61</f>
        <v>638.5950384615385</v>
      </c>
      <c r="I236">
        <f>(C236+$S$60)*$S$61</f>
        <v>148.3945301775148</v>
      </c>
      <c r="L236">
        <f>Seções!$AA$25</f>
        <v>-10.0</v>
      </c>
      <c r="M236">
        <f>Seções!$AB$25</f>
        <v>89.5</v>
      </c>
      <c r="N236">
        <f>(L236+$S$63)*$S$65</f>
        <v>433.33333333333337</v>
      </c>
      <c r="O236">
        <f>(M236+$S$64)*$S$65</f>
        <v>823.3333333333334</v>
      </c>
    </row>
    <row r="238">
      <c r="L238" t="e">
        <f>Seções!$AA$26</f>
        <v>#N/A</v>
      </c>
      <c r="M238" t="e">
        <f>Seções!$AB$26</f>
        <v>#N/A</v>
      </c>
      <c r="N238" t="e">
        <f>(L238+$S$63)*$S$65</f>
        <v>#N/A</v>
      </c>
      <c r="O238" t="e">
        <f>(M238+$S$64)*$S$65</f>
        <v>#N/A</v>
      </c>
    </row>
    <row r="239">
      <c r="A239" t="inlineStr">
        <is>
          <t>Trecho 1</t>
        </is>
      </c>
      <c r="B239">
        <f>IF(1&lt;=$S$14,$S$13+0*$S$15,NA())</f>
        <v>3.0</v>
      </c>
      <c r="C239">
        <f>$S$7</f>
        <v>3.0</v>
      </c>
      <c r="D239">
        <f>(B239+$S$52)*$S$54</f>
        <v>47.42129577464789</v>
      </c>
      <c r="E239">
        <f>(C239+$S$53)*$S$54</f>
        <v>77.05960563380282</v>
      </c>
      <c r="F239">
        <f>(B239+$S$55)*$S$58</f>
        <v>95.1351076923077</v>
      </c>
      <c r="G239">
        <f>(C239+$S$56)*$S$58</f>
        <v>187.38733333333334</v>
      </c>
      <c r="H239">
        <f>(B239+$S$59)*$S$61</f>
        <v>45.4568224852071</v>
      </c>
      <c r="I239">
        <f>(C239+$S$60)*$S$61</f>
        <v>71.85110650887574</v>
      </c>
    </row>
    <row r="240">
      <c r="B240">
        <f>IF(1&lt;=$S$14,$S$13+0*$S$15,NA())</f>
        <v>3.0</v>
      </c>
      <c r="C240">
        <f>$S$12</f>
        <v>84.0</v>
      </c>
      <c r="D240">
        <f>(B240+$S$52)*$S$54</f>
        <v>47.42129577464789</v>
      </c>
      <c r="E240">
        <f>(C240+$S$53)*$S$54</f>
        <v>157.0830422535211</v>
      </c>
      <c r="F240">
        <f>(B240+$S$55)*$S$58</f>
        <v>95.1351076923077</v>
      </c>
      <c r="G240">
        <f>(C240+$S$56)*$S$58</f>
        <v>420.90077948717953</v>
      </c>
      <c r="H240">
        <f>(B240+$S$59)*$S$61</f>
        <v>45.4568224852071</v>
      </c>
      <c r="I240">
        <f>(C240+$S$60)*$S$61</f>
        <v>190.6253846153846</v>
      </c>
    </row>
    <row r="241">
      <c r="K241" t="inlineStr">
        <is>
          <t>cota bw</t>
        </is>
      </c>
      <c r="L241">
        <f>-$S$50/2</f>
        <v>-15.0</v>
      </c>
      <c r="M241">
        <f>-12</f>
        <v>-12.0</v>
      </c>
      <c r="N241">
        <f>(L241+$S$63)*$S$65</f>
        <v>400.0</v>
      </c>
      <c r="O241">
        <f>(M241+$S$64)*$S$65</f>
        <v>146.66666666666669</v>
      </c>
    </row>
    <row r="242">
      <c r="B242">
        <f>IF(2&lt;=$S$14,$S$13+1*$S$15,NA())</f>
        <v>11.5</v>
      </c>
      <c r="C242">
        <f>$S$7</f>
        <v>3.0</v>
      </c>
      <c r="D242">
        <f>(B242+$S$52)*$S$54</f>
        <v>55.81881690140845</v>
      </c>
      <c r="E242">
        <f>(C242+$S$53)*$S$54</f>
        <v>77.05960563380282</v>
      </c>
      <c r="F242">
        <f>(B242+$S$55)*$S$58</f>
        <v>119.63960512820513</v>
      </c>
      <c r="G242">
        <f>(C242+$S$56)*$S$58</f>
        <v>187.38733333333334</v>
      </c>
      <c r="H242">
        <f>(B242+$S$59)*$S$61</f>
        <v>57.9207899408284</v>
      </c>
      <c r="I242">
        <f>(C242+$S$60)*$S$61</f>
        <v>71.85110650887574</v>
      </c>
      <c r="L242">
        <f>$S$50/2</f>
        <v>15.0</v>
      </c>
      <c r="M242">
        <f>-12</f>
        <v>-12.0</v>
      </c>
      <c r="N242">
        <f>(L242+$S$63)*$S$65</f>
        <v>600.0</v>
      </c>
      <c r="O242">
        <f>(M242+$S$64)*$S$65</f>
        <v>146.66666666666669</v>
      </c>
    </row>
    <row r="243">
      <c r="B243">
        <f>IF(2&lt;=$S$14,$S$13+1*$S$15,NA())</f>
        <v>11.5</v>
      </c>
      <c r="C243">
        <f>$S$12</f>
        <v>84.0</v>
      </c>
      <c r="D243">
        <f>(B243+$S$52)*$S$54</f>
        <v>55.81881690140845</v>
      </c>
      <c r="E243">
        <f>(C243+$S$53)*$S$54</f>
        <v>157.0830422535211</v>
      </c>
      <c r="F243">
        <f>(B243+$S$55)*$S$58</f>
        <v>119.63960512820513</v>
      </c>
      <c r="G243">
        <f>(C243+$S$56)*$S$58</f>
        <v>420.90077948717953</v>
      </c>
      <c r="H243">
        <f>(B243+$S$59)*$S$61</f>
        <v>57.9207899408284</v>
      </c>
      <c r="I243">
        <f>(C243+$S$60)*$S$61</f>
        <v>190.6253846153846</v>
      </c>
    </row>
    <row r="244">
      <c r="L244">
        <f>-$S$50/2</f>
        <v>-15.0</v>
      </c>
      <c r="M244">
        <f>-16</f>
        <v>-16.0</v>
      </c>
      <c r="N244">
        <f>(L244+$S$63)*$S$65</f>
        <v>400.0</v>
      </c>
      <c r="O244">
        <f>(M244+$S$64)*$S$65</f>
        <v>120.0</v>
      </c>
    </row>
    <row r="245">
      <c r="B245">
        <f>IF(3&lt;=$S$14,$S$13+2*$S$15,NA())</f>
        <v>20.0</v>
      </c>
      <c r="C245">
        <f>$S$7</f>
        <v>3.0</v>
      </c>
      <c r="D245">
        <f>(B245+$S$52)*$S$54</f>
        <v>64.216338028169</v>
      </c>
      <c r="E245">
        <f>(C245+$S$53)*$S$54</f>
        <v>77.05960563380282</v>
      </c>
      <c r="F245">
        <f>(B245+$S$55)*$S$58</f>
        <v>144.14410256410258</v>
      </c>
      <c r="G245">
        <f>(C245+$S$56)*$S$58</f>
        <v>187.38733333333334</v>
      </c>
      <c r="H245">
        <f>(B245+$S$59)*$S$61</f>
        <v>70.3847573964497</v>
      </c>
      <c r="I245">
        <f>(C245+$S$60)*$S$61</f>
        <v>71.85110650887574</v>
      </c>
      <c r="L245">
        <f>-$S$50/2</f>
        <v>-15.0</v>
      </c>
      <c r="M245">
        <f>-8</f>
        <v>-8.0</v>
      </c>
      <c r="N245">
        <f>(L245+$S$63)*$S$65</f>
        <v>400.0</v>
      </c>
      <c r="O245">
        <f>(M245+$S$64)*$S$65</f>
        <v>173.33333333333334</v>
      </c>
    </row>
    <row r="246">
      <c r="B246">
        <f>IF(3&lt;=$S$14,$S$13+2*$S$15,NA())</f>
        <v>20.0</v>
      </c>
      <c r="C246">
        <f>$S$12</f>
        <v>84.0</v>
      </c>
      <c r="D246">
        <f>(B246+$S$52)*$S$54</f>
        <v>64.216338028169</v>
      </c>
      <c r="E246">
        <f>(C246+$S$53)*$S$54</f>
        <v>157.0830422535211</v>
      </c>
      <c r="F246">
        <f>(B246+$S$55)*$S$58</f>
        <v>144.14410256410258</v>
      </c>
      <c r="G246">
        <f>(C246+$S$56)*$S$58</f>
        <v>420.90077948717953</v>
      </c>
      <c r="H246">
        <f>(B246+$S$59)*$S$61</f>
        <v>70.3847573964497</v>
      </c>
      <c r="I246">
        <f>(C246+$S$60)*$S$61</f>
        <v>190.6253846153846</v>
      </c>
    </row>
    <row r="247">
      <c r="L247">
        <f>$S$50/2</f>
        <v>15.0</v>
      </c>
      <c r="M247">
        <f>-16</f>
        <v>-16.0</v>
      </c>
      <c r="N247">
        <f>(L247+$S$63)*$S$65</f>
        <v>600.0</v>
      </c>
      <c r="O247">
        <f>(M247+$S$64)*$S$65</f>
        <v>120.0</v>
      </c>
    </row>
    <row r="248">
      <c r="B248">
        <f>IF(4&lt;=$S$14,$S$13+3*$S$15,NA())</f>
        <v>28.5</v>
      </c>
      <c r="C248">
        <f>$S$7</f>
        <v>3.0</v>
      </c>
      <c r="D248">
        <f>(B248+$S$52)*$S$54</f>
        <v>72.61385915492957</v>
      </c>
      <c r="E248">
        <f>(C248+$S$53)*$S$54</f>
        <v>77.05960563380282</v>
      </c>
      <c r="F248">
        <f>(B248+$S$55)*$S$58</f>
        <v>168.64860000000002</v>
      </c>
      <c r="G248">
        <f>(C248+$S$56)*$S$58</f>
        <v>187.38733333333334</v>
      </c>
      <c r="H248">
        <f>(B248+$S$59)*$S$61</f>
        <v>82.848724852071</v>
      </c>
      <c r="I248">
        <f>(C248+$S$60)*$S$61</f>
        <v>71.85110650887574</v>
      </c>
      <c r="L248">
        <f>$S$50/2</f>
        <v>15.0</v>
      </c>
      <c r="M248">
        <f>-8</f>
        <v>-8.0</v>
      </c>
      <c r="N248">
        <f>(L248+$S$63)*$S$65</f>
        <v>600.0</v>
      </c>
      <c r="O248">
        <f>(M248+$S$64)*$S$65</f>
        <v>173.33333333333334</v>
      </c>
    </row>
    <row r="249">
      <c r="B249">
        <f>IF(4&lt;=$S$14,$S$13+3*$S$15,NA())</f>
        <v>28.5</v>
      </c>
      <c r="C249">
        <f>$S$12</f>
        <v>84.0</v>
      </c>
      <c r="D249">
        <f>(B249+$S$52)*$S$54</f>
        <v>72.61385915492957</v>
      </c>
      <c r="E249">
        <f>(C249+$S$53)*$S$54</f>
        <v>157.0830422535211</v>
      </c>
      <c r="F249">
        <f>(B249+$S$55)*$S$58</f>
        <v>168.64860000000002</v>
      </c>
      <c r="G249">
        <f>(C249+$S$56)*$S$58</f>
        <v>420.90077948717953</v>
      </c>
      <c r="H249">
        <f>(B249+$S$59)*$S$61</f>
        <v>82.848724852071</v>
      </c>
      <c r="I249">
        <f>(C249+$S$60)*$S$61</f>
        <v>190.6253846153846</v>
      </c>
    </row>
    <row r="251">
      <c r="B251">
        <f>IF(5&lt;=$S$14,$S$13+4*$S$15,NA())</f>
        <v>37.0</v>
      </c>
      <c r="C251">
        <f>$S$7</f>
        <v>3.0</v>
      </c>
      <c r="D251">
        <f>(B251+$S$52)*$S$54</f>
        <v>81.01138028169014</v>
      </c>
      <c r="E251">
        <f>(C251+$S$53)*$S$54</f>
        <v>77.05960563380282</v>
      </c>
      <c r="F251">
        <f>(B251+$S$55)*$S$58</f>
        <v>193.15309743589745</v>
      </c>
      <c r="G251">
        <f>(C251+$S$56)*$S$58</f>
        <v>187.38733333333334</v>
      </c>
      <c r="H251">
        <f>(B251+$S$59)*$S$61</f>
        <v>95.3126923076923</v>
      </c>
      <c r="I251">
        <f>(C251+$S$60)*$S$61</f>
        <v>71.85110650887574</v>
      </c>
      <c r="K251" t="inlineStr">
        <is>
          <t>cota h</t>
        </is>
      </c>
      <c r="L251">
        <f>($S$50/2+$S$51+12)</f>
        <v>27.0</v>
      </c>
      <c r="M251">
        <f>0</f>
        <v>0.0</v>
      </c>
      <c r="N251">
        <f>(L251+$S$63)*$S$65</f>
        <v>680.0</v>
      </c>
      <c r="O251">
        <f>(M251+$S$64)*$S$65</f>
        <v>226.66666666666669</v>
      </c>
    </row>
    <row r="252">
      <c r="B252">
        <f>IF(5&lt;=$S$14,$S$13+4*$S$15,NA())</f>
        <v>37.0</v>
      </c>
      <c r="C252">
        <f>$S$12</f>
        <v>84.0</v>
      </c>
      <c r="D252">
        <f>(B252+$S$52)*$S$54</f>
        <v>81.01138028169014</v>
      </c>
      <c r="E252">
        <f>(C252+$S$53)*$S$54</f>
        <v>157.0830422535211</v>
      </c>
      <c r="F252">
        <f>(B252+$S$55)*$S$58</f>
        <v>193.15309743589745</v>
      </c>
      <c r="G252">
        <f>(C252+$S$56)*$S$58</f>
        <v>420.90077948717953</v>
      </c>
      <c r="H252">
        <f>(B252+$S$59)*$S$61</f>
        <v>95.3126923076923</v>
      </c>
      <c r="I252">
        <f>(C252+$S$60)*$S$61</f>
        <v>190.6253846153846</v>
      </c>
      <c r="L252">
        <f>($S$50/2+$S$51+12)</f>
        <v>27.0</v>
      </c>
      <c r="M252">
        <f>$S$4</f>
        <v>60.0</v>
      </c>
      <c r="N252">
        <f>(L252+$S$63)*$S$65</f>
        <v>680.0</v>
      </c>
      <c r="O252">
        <f>(M252+$S$64)*$S$65</f>
        <v>626.6666666666667</v>
      </c>
    </row>
    <row r="254">
      <c r="B254">
        <f>IF(6&lt;=$S$14,$S$13+5*$S$15,NA())</f>
        <v>45.5</v>
      </c>
      <c r="C254">
        <f>$S$7</f>
        <v>3.0</v>
      </c>
      <c r="D254">
        <f>(B254+$S$52)*$S$54</f>
        <v>89.4089014084507</v>
      </c>
      <c r="E254">
        <f>(C254+$S$53)*$S$54</f>
        <v>77.05960563380282</v>
      </c>
      <c r="F254">
        <f>(B254+$S$55)*$S$58</f>
        <v>217.65759487179488</v>
      </c>
      <c r="G254">
        <f>(C254+$S$56)*$S$58</f>
        <v>187.38733333333334</v>
      </c>
      <c r="H254">
        <f>(B254+$S$59)*$S$61</f>
        <v>107.7766597633136</v>
      </c>
      <c r="I254">
        <f>(C254+$S$60)*$S$61</f>
        <v>71.85110650887574</v>
      </c>
      <c r="L254">
        <f>($S$50/2+$S$51+12)-4</f>
        <v>23.0</v>
      </c>
      <c r="M254">
        <f>0</f>
        <v>0.0</v>
      </c>
      <c r="N254">
        <f>(L254+$S$63)*$S$65</f>
        <v>653.3333333333334</v>
      </c>
      <c r="O254">
        <f>(M254+$S$64)*$S$65</f>
        <v>226.66666666666669</v>
      </c>
    </row>
    <row r="255">
      <c r="B255">
        <f>IF(6&lt;=$S$14,$S$13+5*$S$15,NA())</f>
        <v>45.5</v>
      </c>
      <c r="C255">
        <f>$S$12</f>
        <v>84.0</v>
      </c>
      <c r="D255">
        <f>(B255+$S$52)*$S$54</f>
        <v>89.4089014084507</v>
      </c>
      <c r="E255">
        <f>(C255+$S$53)*$S$54</f>
        <v>157.0830422535211</v>
      </c>
      <c r="F255">
        <f>(B255+$S$55)*$S$58</f>
        <v>217.65759487179488</v>
      </c>
      <c r="G255">
        <f>(C255+$S$56)*$S$58</f>
        <v>420.90077948717953</v>
      </c>
      <c r="H255">
        <f>(B255+$S$59)*$S$61</f>
        <v>107.7766597633136</v>
      </c>
      <c r="I255">
        <f>(C255+$S$60)*$S$61</f>
        <v>190.6253846153846</v>
      </c>
      <c r="L255">
        <f>($S$50/2+$S$51+12)+4</f>
        <v>31.0</v>
      </c>
      <c r="M255">
        <f>0</f>
        <v>0.0</v>
      </c>
      <c r="N255">
        <f>(L255+$S$63)*$S$65</f>
        <v>706.6666666666667</v>
      </c>
      <c r="O255">
        <f>(M255+$S$64)*$S$65</f>
        <v>226.66666666666669</v>
      </c>
    </row>
    <row r="257">
      <c r="B257">
        <f>IF(7&lt;=$S$14,$S$13+6*$S$15,NA())</f>
        <v>54.0</v>
      </c>
      <c r="C257">
        <f>$S$7</f>
        <v>3.0</v>
      </c>
      <c r="D257">
        <f>(B257+$S$52)*$S$54</f>
        <v>97.80642253521125</v>
      </c>
      <c r="E257">
        <f>(C257+$S$53)*$S$54</f>
        <v>77.05960563380282</v>
      </c>
      <c r="F257">
        <f>(B257+$S$55)*$S$58</f>
        <v>242.16209230769232</v>
      </c>
      <c r="G257">
        <f>(C257+$S$56)*$S$58</f>
        <v>187.38733333333334</v>
      </c>
      <c r="H257">
        <f>(B257+$S$59)*$S$61</f>
        <v>120.2406272189349</v>
      </c>
      <c r="I257">
        <f>(C257+$S$60)*$S$61</f>
        <v>71.85110650887574</v>
      </c>
      <c r="L257">
        <f>($S$50/2+$S$51+12)-4</f>
        <v>23.0</v>
      </c>
      <c r="M257">
        <f>$S$4</f>
        <v>60.0</v>
      </c>
      <c r="N257">
        <f>(L257+$S$63)*$S$65</f>
        <v>653.3333333333334</v>
      </c>
      <c r="O257">
        <f>(M257+$S$64)*$S$65</f>
        <v>626.6666666666667</v>
      </c>
    </row>
    <row r="258">
      <c r="B258">
        <f>IF(7&lt;=$S$14,$S$13+6*$S$15,NA())</f>
        <v>54.0</v>
      </c>
      <c r="C258">
        <f>$S$12</f>
        <v>84.0</v>
      </c>
      <c r="D258">
        <f>(B258+$S$52)*$S$54</f>
        <v>97.80642253521125</v>
      </c>
      <c r="E258">
        <f>(C258+$S$53)*$S$54</f>
        <v>157.0830422535211</v>
      </c>
      <c r="F258">
        <f>(B258+$S$55)*$S$58</f>
        <v>242.16209230769232</v>
      </c>
      <c r="G258">
        <f>(C258+$S$56)*$S$58</f>
        <v>420.90077948717953</v>
      </c>
      <c r="H258">
        <f>(B258+$S$59)*$S$61</f>
        <v>120.2406272189349</v>
      </c>
      <c r="I258">
        <f>(C258+$S$60)*$S$61</f>
        <v>190.6253846153846</v>
      </c>
      <c r="L258">
        <f>($S$50/2+$S$51+12)+4</f>
        <v>31.0</v>
      </c>
      <c r="M258">
        <f>$S$4</f>
        <v>60.0</v>
      </c>
      <c r="N258">
        <f>(L258+$S$63)*$S$65</f>
        <v>706.6666666666667</v>
      </c>
      <c r="O258">
        <f>(M258+$S$64)*$S$65</f>
        <v>626.6666666666667</v>
      </c>
    </row>
    <row r="260">
      <c r="B260">
        <f>IF(8&lt;=$S$14,$S$13+7*$S$15,NA())</f>
        <v>62.5</v>
      </c>
      <c r="C260">
        <f>$S$7</f>
        <v>3.0</v>
      </c>
      <c r="D260">
        <f>(B260+$S$52)*$S$54</f>
        <v>106.20394366197182</v>
      </c>
      <c r="E260">
        <f>(C260+$S$53)*$S$54</f>
        <v>77.05960563380282</v>
      </c>
      <c r="F260">
        <f>(B260+$S$55)*$S$58</f>
        <v>266.6665897435898</v>
      </c>
      <c r="G260">
        <f>(C260+$S$56)*$S$58</f>
        <v>187.38733333333334</v>
      </c>
      <c r="H260">
        <f>(B260+$S$59)*$S$61</f>
        <v>132.7045946745562</v>
      </c>
      <c r="I260">
        <f>(C260+$S$60)*$S$61</f>
        <v>71.85110650887574</v>
      </c>
    </row>
    <row r="261">
      <c r="B261">
        <f>IF(8&lt;=$S$14,$S$13+7*$S$15,NA())</f>
        <v>62.5</v>
      </c>
      <c r="C261">
        <f>$S$12</f>
        <v>84.0</v>
      </c>
      <c r="D261">
        <f>(B261+$S$52)*$S$54</f>
        <v>106.20394366197182</v>
      </c>
      <c r="E261">
        <f>(C261+$S$53)*$S$54</f>
        <v>157.0830422535211</v>
      </c>
      <c r="F261">
        <f>(B261+$S$55)*$S$58</f>
        <v>266.6665897435898</v>
      </c>
      <c r="G261">
        <f>(C261+$S$56)*$S$58</f>
        <v>420.90077948717953</v>
      </c>
      <c r="H261">
        <f>(B261+$S$59)*$S$61</f>
        <v>132.7045946745562</v>
      </c>
      <c r="I261">
        <f>(C261+$S$60)*$S$61</f>
        <v>190.6253846153846</v>
      </c>
      <c r="K261" t="str">
        <f>"bw = "&amp;TEXT($S$50,"0")</f>
        <v>bw = 30</v>
      </c>
      <c r="L261">
        <f>0</f>
        <v>0.0</v>
      </c>
      <c r="M261">
        <f>-15</f>
        <v>-15.0</v>
      </c>
      <c r="N261">
        <f>(L261+$S$63)*$S$65</f>
        <v>500.0</v>
      </c>
      <c r="O261">
        <f>(M261+$S$64)*$S$65</f>
        <v>126.66666666666667</v>
      </c>
    </row>
    <row r="263">
      <c r="B263">
        <f>IF(9&lt;=$S$14,$S$13+8*$S$15,NA())</f>
        <v>71.0</v>
      </c>
      <c r="C263">
        <f>$S$7</f>
        <v>3.0</v>
      </c>
      <c r="D263">
        <f>(B263+$S$52)*$S$54</f>
        <v>114.60146478873239</v>
      </c>
      <c r="E263">
        <f>(C263+$S$53)*$S$54</f>
        <v>77.05960563380282</v>
      </c>
      <c r="F263">
        <f>(B263+$S$55)*$S$58</f>
        <v>291.1710871794872</v>
      </c>
      <c r="G263">
        <f>(C263+$S$56)*$S$58</f>
        <v>187.38733333333334</v>
      </c>
      <c r="H263">
        <f>(B263+$S$59)*$S$61</f>
        <v>145.16856213017752</v>
      </c>
      <c r="I263">
        <f>(C263+$S$60)*$S$61</f>
        <v>71.85110650887574</v>
      </c>
      <c r="K263" t="str">
        <f>"h = "&amp;TEXT($S$4,"0")</f>
        <v>h = 60</v>
      </c>
      <c r="L263">
        <f>($S$50/2+$S$51+12)</f>
        <v>27.0</v>
      </c>
      <c r="M263">
        <f>$S$4/2</f>
        <v>30.0</v>
      </c>
      <c r="N263">
        <f>(L263+$S$63)*$S$65</f>
        <v>680.0</v>
      </c>
      <c r="O263">
        <f>(M263+$S$64)*$S$65</f>
        <v>426.6666666666667</v>
      </c>
    </row>
    <row r="264">
      <c r="B264">
        <f>IF(9&lt;=$S$14,$S$13+8*$S$15,NA())</f>
        <v>71.0</v>
      </c>
      <c r="C264">
        <f>$S$12</f>
        <v>84.0</v>
      </c>
      <c r="D264">
        <f>(B264+$S$52)*$S$54</f>
        <v>114.60146478873239</v>
      </c>
      <c r="E264">
        <f>(C264+$S$53)*$S$54</f>
        <v>157.0830422535211</v>
      </c>
      <c r="F264">
        <f>(B264+$S$55)*$S$58</f>
        <v>291.1710871794872</v>
      </c>
      <c r="G264">
        <f>(C264+$S$56)*$S$58</f>
        <v>420.90077948717953</v>
      </c>
      <c r="H264">
        <f>(B264+$S$59)*$S$61</f>
        <v>145.16856213017752</v>
      </c>
      <c r="I264">
        <f>(C264+$S$60)*$S$61</f>
        <v>190.6253846153846</v>
      </c>
    </row>
    <row r="265">
      <c r="K265" t="str">
        <f>Geometria!$K$251&amp;" cord. Ø"&amp;Geometria!$L$251</f>
        <v>8 cord. Ø15.2</v>
      </c>
      <c r="L265">
        <f>($S$50/2+$S$51+3)</f>
        <v>18.0</v>
      </c>
      <c r="M265">
        <f>Geometria!$L$277</f>
        <v>11.25</v>
      </c>
      <c r="N265">
        <f>(L265+$S$63)*$S$65</f>
        <v>620.0</v>
      </c>
      <c r="O265">
        <f>(M265+$S$64)*$S$65</f>
        <v>301.6666666666667</v>
      </c>
    </row>
    <row r="266">
      <c r="B266">
        <f>IF(10&lt;=$S$14,$S$13+9*$S$15,NA())</f>
        <v>79.5</v>
      </c>
      <c r="C266">
        <f>$S$7</f>
        <v>3.0</v>
      </c>
      <c r="D266">
        <f>(B266+$S$52)*$S$54</f>
        <v>122.99898591549295</v>
      </c>
      <c r="E266">
        <f>(C266+$S$53)*$S$54</f>
        <v>77.05960563380282</v>
      </c>
      <c r="F266">
        <f>(B266+$S$55)*$S$58</f>
        <v>315.67558461538465</v>
      </c>
      <c r="G266">
        <f>(C266+$S$56)*$S$58</f>
        <v>187.38733333333334</v>
      </c>
      <c r="H266">
        <f>(B266+$S$59)*$S$61</f>
        <v>157.6325295857988</v>
      </c>
      <c r="I266">
        <f>(C266+$S$60)*$S$61</f>
        <v>71.85110650887574</v>
      </c>
    </row>
    <row r="267">
      <c r="B267">
        <f>IF(10&lt;=$S$14,$S$13+9*$S$15,NA())</f>
        <v>79.5</v>
      </c>
      <c r="C267">
        <f>$S$12</f>
        <v>84.0</v>
      </c>
      <c r="D267">
        <f>(B267+$S$52)*$S$54</f>
        <v>122.99898591549295</v>
      </c>
      <c r="E267">
        <f>(C267+$S$53)*$S$54</f>
        <v>157.0830422535211</v>
      </c>
      <c r="F267">
        <f>(B267+$S$55)*$S$58</f>
        <v>315.67558461538465</v>
      </c>
      <c r="G267">
        <f>(C267+$S$56)*$S$58</f>
        <v>420.90077948717953</v>
      </c>
      <c r="H267">
        <f>(B267+$S$59)*$S$61</f>
        <v>157.6325295857988</v>
      </c>
      <c r="I267">
        <f>(C267+$S$60)*$S$61</f>
        <v>190.6253846153846</v>
      </c>
      <c r="K267" t="str">
        <f>IF(Taxas!$H$57&gt;0,Resumo!$AM$24&amp;" – "&amp;Taxas!$H$57&amp;" Ø"&amp;Taxas!$I$57,"")</f>
        <v>N2 – 12 Ø16</v>
      </c>
      <c r="L267">
        <f>($S$50/2+$S$51+3)</f>
        <v>18.0</v>
      </c>
      <c r="M267">
        <f>IF(Taxas!$H$57&gt;0,$S$47,NA())</f>
        <v>4.8</v>
      </c>
      <c r="N267">
        <f>(L267+$S$63)*$S$65</f>
        <v>620.0</v>
      </c>
      <c r="O267">
        <f>(M267+$S$64)*$S$65</f>
        <v>258.6666666666667</v>
      </c>
    </row>
    <row r="269">
      <c r="B269">
        <f>IF(11&lt;=$S$14,$S$13+10*$S$15,NA())</f>
        <v>88.0</v>
      </c>
      <c r="C269">
        <f>$S$7</f>
        <v>3.0</v>
      </c>
      <c r="D269">
        <f>(B269+$S$52)*$S$54</f>
        <v>131.39650704225352</v>
      </c>
      <c r="E269">
        <f>(C269+$S$53)*$S$54</f>
        <v>77.05960563380282</v>
      </c>
      <c r="F269">
        <f>(B269+$S$55)*$S$58</f>
        <v>340.18008205128206</v>
      </c>
      <c r="G269">
        <f>(C269+$S$56)*$S$58</f>
        <v>187.38733333333334</v>
      </c>
      <c r="H269">
        <f>(B269+$S$59)*$S$61</f>
        <v>170.09649704142012</v>
      </c>
      <c r="I269">
        <f>(C269+$S$60)*$S$61</f>
        <v>71.85110650887574</v>
      </c>
      <c r="K269" t="str">
        <f>IF(Taxas!$H$50&gt;0,Resumo!$AM$23&amp;" – "&amp;Taxas!$H$50&amp;" Ø"&amp;Taxas!$I$50,"")</f>
        <v>N1 – 3 Ø16</v>
      </c>
      <c r="L269">
        <f>($S$50/2+$S$51+3)</f>
        <v>18.0</v>
      </c>
      <c r="M269">
        <f>IF(Taxas!$H$50&gt;0,$S$4-$S$47,NA())</f>
        <v>55.2</v>
      </c>
      <c r="N269">
        <f>(L269+$S$63)*$S$65</f>
        <v>620.0</v>
      </c>
      <c r="O269">
        <f>(M269+$S$64)*$S$65</f>
        <v>594.6666666666667</v>
      </c>
    </row>
    <row r="270">
      <c r="B270">
        <f>IF(11&lt;=$S$14,$S$13+10*$S$15,NA())</f>
        <v>88.0</v>
      </c>
      <c r="C270">
        <f>$S$12</f>
        <v>84.0</v>
      </c>
      <c r="D270">
        <f>(B270+$S$52)*$S$54</f>
        <v>131.39650704225352</v>
      </c>
      <c r="E270">
        <f>(C270+$S$53)*$S$54</f>
        <v>157.0830422535211</v>
      </c>
      <c r="F270">
        <f>(B270+$S$55)*$S$58</f>
        <v>340.18008205128206</v>
      </c>
      <c r="G270">
        <f>(C270+$S$56)*$S$58</f>
        <v>420.90077948717953</v>
      </c>
      <c r="H270">
        <f>(B270+$S$59)*$S$61</f>
        <v>170.09649704142012</v>
      </c>
      <c r="I270">
        <f>(C270+$S$60)*$S$61</f>
        <v>190.6253846153846</v>
      </c>
    </row>
    <row r="271">
      <c r="K271" t="str">
        <f>Resumo!$AM$28&amp;"/"&amp;Resumo!$AM$29&amp;"/"&amp;Resumo!$AM$30&amp;" – estribos"</f>
        <v>N5/N6/N7 – estribos</v>
      </c>
      <c r="L271">
        <f>-$S$50/2-3</f>
        <v>-18.0</v>
      </c>
      <c r="M271">
        <f>$S$4*0.72</f>
        <v>43.199999999999996</v>
      </c>
      <c r="N271">
        <f>(L271+$S$63)*$S$65</f>
        <v>380.0</v>
      </c>
      <c r="O271">
        <f>(M271+$S$64)*$S$65</f>
        <v>514.6666666666666</v>
      </c>
    </row>
    <row r="272">
      <c r="B272">
        <f>IF(12&lt;=$S$14,$S$13+11*$S$15,NA())</f>
        <v>96.5</v>
      </c>
      <c r="C272">
        <f>$S$7</f>
        <v>3.0</v>
      </c>
      <c r="D272">
        <f>(B272+$S$52)*$S$54</f>
        <v>139.79402816901407</v>
      </c>
      <c r="E272">
        <f>(C272+$S$53)*$S$54</f>
        <v>77.05960563380282</v>
      </c>
      <c r="F272">
        <f>(B272+$S$55)*$S$58</f>
        <v>364.6845794871795</v>
      </c>
      <c r="G272">
        <f>(C272+$S$56)*$S$58</f>
        <v>187.38733333333334</v>
      </c>
      <c r="H272">
        <f>(B272+$S$59)*$S$61</f>
        <v>182.5604644970414</v>
      </c>
      <c r="I272">
        <f>(C272+$S$60)*$S$61</f>
        <v>71.85110650887574</v>
      </c>
    </row>
    <row r="273">
      <c r="B273">
        <f>IF(12&lt;=$S$14,$S$13+11*$S$15,NA())</f>
        <v>96.5</v>
      </c>
      <c r="C273">
        <f>$S$12</f>
        <v>84.0</v>
      </c>
      <c r="D273">
        <f>(B273+$S$52)*$S$54</f>
        <v>139.79402816901407</v>
      </c>
      <c r="E273">
        <f>(C273+$S$53)*$S$54</f>
        <v>157.0830422535211</v>
      </c>
      <c r="F273">
        <f>(B273+$S$55)*$S$58</f>
        <v>364.6845794871795</v>
      </c>
      <c r="G273">
        <f>(C273+$S$56)*$S$58</f>
        <v>420.90077948717953</v>
      </c>
      <c r="H273">
        <f>(B273+$S$59)*$S$61</f>
        <v>182.5604644970414</v>
      </c>
      <c r="I273">
        <f>(C273+$S$60)*$S$61</f>
        <v>190.6253846153846</v>
      </c>
      <c r="K273" t="str">
        <f>IF($S$6=1,"laje + capa (moldada no local)","")</f>
        <v>laje + capa (moldada no local)</v>
      </c>
      <c r="L273">
        <f>0</f>
        <v>0.0</v>
      </c>
      <c r="M273">
        <f>IF($S$6=1,$S$5-2,NA())</f>
        <v>88.0</v>
      </c>
      <c r="N273">
        <f>(L273+$S$63)*$S$65</f>
        <v>500.0</v>
      </c>
      <c r="O273">
        <f>(M273+$S$64)*$S$65</f>
        <v>813.3333333333334</v>
      </c>
    </row>
    <row r="275">
      <c r="B275" t="e">
        <f>IF(13&lt;=$S$14,$S$13+12*$S$15,NA())</f>
        <v>#N/A</v>
      </c>
      <c r="C275">
        <f>$S$7</f>
        <v>3.0</v>
      </c>
      <c r="D275" t="e">
        <f>(B275+$S$52)*$S$54</f>
        <v>#N/A</v>
      </c>
      <c r="E275">
        <f>(C275+$S$53)*$S$54</f>
        <v>77.05960563380282</v>
      </c>
      <c r="F275" t="e">
        <f>(B275+$S$55)*$S$58</f>
        <v>#N/A</v>
      </c>
      <c r="G275">
        <f>(C275+$S$56)*$S$58</f>
        <v>187.38733333333334</v>
      </c>
      <c r="H275" t="e">
        <f>(B275+$S$59)*$S$61</f>
        <v>#N/A</v>
      </c>
      <c r="I275">
        <f>(C275+$S$60)*$S$61</f>
        <v>71.85110650887574</v>
      </c>
    </row>
    <row r="276">
      <c r="B276" t="e">
        <f>IF(13&lt;=$S$14,$S$13+12*$S$15,NA())</f>
        <v>#N/A</v>
      </c>
      <c r="C276">
        <f>$S$12</f>
        <v>84.0</v>
      </c>
      <c r="D276" t="e">
        <f>(B276+$S$52)*$S$54</f>
        <v>#N/A</v>
      </c>
      <c r="E276">
        <f>(C276+$S$53)*$S$54</f>
        <v>157.0830422535211</v>
      </c>
      <c r="F276" t="e">
        <f>(B276+$S$55)*$S$58</f>
        <v>#N/A</v>
      </c>
      <c r="G276">
        <f>(C276+$S$56)*$S$58</f>
        <v>420.90077948717953</v>
      </c>
      <c r="H276" t="e">
        <f>(B276+$S$59)*$S$61</f>
        <v>#N/A</v>
      </c>
      <c r="I276">
        <f>(C276+$S$60)*$S$61</f>
        <v>190.6253846153846</v>
      </c>
    </row>
    <row r="278">
      <c r="B278" t="e">
        <f>IF(14&lt;=$S$14,$S$13+13*$S$15,NA())</f>
        <v>#N/A</v>
      </c>
      <c r="C278">
        <f>$S$7</f>
        <v>3.0</v>
      </c>
      <c r="D278" t="e">
        <f>(B278+$S$52)*$S$54</f>
        <v>#N/A</v>
      </c>
      <c r="E278">
        <f>(C278+$S$53)*$S$54</f>
        <v>77.05960563380282</v>
      </c>
      <c r="F278" t="e">
        <f>(B278+$S$55)*$S$58</f>
        <v>#N/A</v>
      </c>
      <c r="G278">
        <f>(C278+$S$56)*$S$58</f>
        <v>187.38733333333334</v>
      </c>
      <c r="H278" t="e">
        <f>(B278+$S$59)*$S$61</f>
        <v>#N/A</v>
      </c>
      <c r="I278">
        <f>(C278+$S$60)*$S$61</f>
        <v>71.85110650887574</v>
      </c>
    </row>
    <row r="279">
      <c r="B279" t="e">
        <f>IF(14&lt;=$S$14,$S$13+13*$S$15,NA())</f>
        <v>#N/A</v>
      </c>
      <c r="C279">
        <f>$S$12</f>
        <v>84.0</v>
      </c>
      <c r="D279" t="e">
        <f>(B279+$S$52)*$S$54</f>
        <v>#N/A</v>
      </c>
      <c r="E279">
        <f>(C279+$S$53)*$S$54</f>
        <v>157.0830422535211</v>
      </c>
      <c r="F279" t="e">
        <f>(B279+$S$55)*$S$58</f>
        <v>#N/A</v>
      </c>
      <c r="G279">
        <f>(C279+$S$56)*$S$58</f>
        <v>420.90077948717953</v>
      </c>
      <c r="H279" t="e">
        <f>(B279+$S$59)*$S$61</f>
        <v>#N/A</v>
      </c>
      <c r="I279">
        <f>(C279+$S$60)*$S$61</f>
        <v>190.6253846153846</v>
      </c>
    </row>
    <row r="281">
      <c r="B281" t="e">
        <f>IF(15&lt;=$S$14,$S$13+14*$S$15,NA())</f>
        <v>#N/A</v>
      </c>
      <c r="C281">
        <f>$S$7</f>
        <v>3.0</v>
      </c>
      <c r="D281" t="e">
        <f>(B281+$S$52)*$S$54</f>
        <v>#N/A</v>
      </c>
      <c r="E281">
        <f>(C281+$S$53)*$S$54</f>
        <v>77.05960563380282</v>
      </c>
      <c r="F281" t="e">
        <f>(B281+$S$55)*$S$58</f>
        <v>#N/A</v>
      </c>
      <c r="G281">
        <f>(C281+$S$56)*$S$58</f>
        <v>187.38733333333334</v>
      </c>
      <c r="H281" t="e">
        <f>(B281+$S$59)*$S$61</f>
        <v>#N/A</v>
      </c>
      <c r="I281">
        <f>(C281+$S$60)*$S$61</f>
        <v>71.85110650887574</v>
      </c>
    </row>
    <row r="282">
      <c r="B282" t="e">
        <f>IF(15&lt;=$S$14,$S$13+14*$S$15,NA())</f>
        <v>#N/A</v>
      </c>
      <c r="C282">
        <f>$S$12</f>
        <v>84.0</v>
      </c>
      <c r="D282" t="e">
        <f>(B282+$S$52)*$S$54</f>
        <v>#N/A</v>
      </c>
      <c r="E282">
        <f>(C282+$S$53)*$S$54</f>
        <v>157.0830422535211</v>
      </c>
      <c r="F282" t="e">
        <f>(B282+$S$55)*$S$58</f>
        <v>#N/A</v>
      </c>
      <c r="G282">
        <f>(C282+$S$56)*$S$58</f>
        <v>420.90077948717953</v>
      </c>
      <c r="H282" t="e">
        <f>(B282+$S$59)*$S$61</f>
        <v>#N/A</v>
      </c>
      <c r="I282">
        <f>(C282+$S$60)*$S$61</f>
        <v>190.6253846153846</v>
      </c>
    </row>
    <row r="284">
      <c r="B284" t="e">
        <f>IF(16&lt;=$S$14,$S$13+15*$S$15,NA())</f>
        <v>#N/A</v>
      </c>
      <c r="C284">
        <f>$S$7</f>
        <v>3.0</v>
      </c>
      <c r="D284" t="e">
        <f>(B284+$S$52)*$S$54</f>
        <v>#N/A</v>
      </c>
      <c r="E284">
        <f>(C284+$S$53)*$S$54</f>
        <v>77.05960563380282</v>
      </c>
      <c r="F284" t="e">
        <f>(B284+$S$55)*$S$58</f>
        <v>#N/A</v>
      </c>
      <c r="G284">
        <f>(C284+$S$56)*$S$58</f>
        <v>187.38733333333334</v>
      </c>
      <c r="H284" t="e">
        <f>(B284+$S$59)*$S$61</f>
        <v>#N/A</v>
      </c>
      <c r="I284">
        <f>(C284+$S$60)*$S$61</f>
        <v>71.85110650887574</v>
      </c>
    </row>
    <row r="285">
      <c r="B285" t="e">
        <f>IF(16&lt;=$S$14,$S$13+15*$S$15,NA())</f>
        <v>#N/A</v>
      </c>
      <c r="C285">
        <f>$S$12</f>
        <v>84.0</v>
      </c>
      <c r="D285" t="e">
        <f>(B285+$S$52)*$S$54</f>
        <v>#N/A</v>
      </c>
      <c r="E285">
        <f>(C285+$S$53)*$S$54</f>
        <v>157.0830422535211</v>
      </c>
      <c r="F285" t="e">
        <f>(B285+$S$55)*$S$58</f>
        <v>#N/A</v>
      </c>
      <c r="G285">
        <f>(C285+$S$56)*$S$58</f>
        <v>420.90077948717953</v>
      </c>
      <c r="H285" t="e">
        <f>(B285+$S$59)*$S$61</f>
        <v>#N/A</v>
      </c>
      <c r="I285">
        <f>(C285+$S$60)*$S$61</f>
        <v>190.6253846153846</v>
      </c>
    </row>
    <row r="287">
      <c r="B287" t="e">
        <f>IF(17&lt;=$S$14,$S$13+16*$S$15,NA())</f>
        <v>#N/A</v>
      </c>
      <c r="C287">
        <f>$S$7</f>
        <v>3.0</v>
      </c>
      <c r="D287" t="e">
        <f>(B287+$S$52)*$S$54</f>
        <v>#N/A</v>
      </c>
      <c r="E287">
        <f>(C287+$S$53)*$S$54</f>
        <v>77.05960563380282</v>
      </c>
      <c r="F287" t="e">
        <f>(B287+$S$55)*$S$58</f>
        <v>#N/A</v>
      </c>
      <c r="G287">
        <f>(C287+$S$56)*$S$58</f>
        <v>187.38733333333334</v>
      </c>
      <c r="H287" t="e">
        <f>(B287+$S$59)*$S$61</f>
        <v>#N/A</v>
      </c>
      <c r="I287">
        <f>(C287+$S$60)*$S$61</f>
        <v>71.85110650887574</v>
      </c>
    </row>
    <row r="288">
      <c r="B288" t="e">
        <f>IF(17&lt;=$S$14,$S$13+16*$S$15,NA())</f>
        <v>#N/A</v>
      </c>
      <c r="C288">
        <f>$S$12</f>
        <v>84.0</v>
      </c>
      <c r="D288" t="e">
        <f>(B288+$S$52)*$S$54</f>
        <v>#N/A</v>
      </c>
      <c r="E288">
        <f>(C288+$S$53)*$S$54</f>
        <v>157.0830422535211</v>
      </c>
      <c r="F288" t="e">
        <f>(B288+$S$55)*$S$58</f>
        <v>#N/A</v>
      </c>
      <c r="G288">
        <f>(C288+$S$56)*$S$58</f>
        <v>420.90077948717953</v>
      </c>
      <c r="H288" t="e">
        <f>(B288+$S$59)*$S$61</f>
        <v>#N/A</v>
      </c>
      <c r="I288">
        <f>(C288+$S$60)*$S$61</f>
        <v>190.6253846153846</v>
      </c>
    </row>
    <row r="290">
      <c r="B290" t="e">
        <f>IF(18&lt;=$S$14,$S$13+17*$S$15,NA())</f>
        <v>#N/A</v>
      </c>
      <c r="C290">
        <f>$S$7</f>
        <v>3.0</v>
      </c>
      <c r="D290" t="e">
        <f>(B290+$S$52)*$S$54</f>
        <v>#N/A</v>
      </c>
      <c r="E290">
        <f>(C290+$S$53)*$S$54</f>
        <v>77.05960563380282</v>
      </c>
      <c r="F290" t="e">
        <f>(B290+$S$55)*$S$58</f>
        <v>#N/A</v>
      </c>
      <c r="G290">
        <f>(C290+$S$56)*$S$58</f>
        <v>187.38733333333334</v>
      </c>
      <c r="H290" t="e">
        <f>(B290+$S$59)*$S$61</f>
        <v>#N/A</v>
      </c>
      <c r="I290">
        <f>(C290+$S$60)*$S$61</f>
        <v>71.85110650887574</v>
      </c>
    </row>
    <row r="291">
      <c r="B291" t="e">
        <f>IF(18&lt;=$S$14,$S$13+17*$S$15,NA())</f>
        <v>#N/A</v>
      </c>
      <c r="C291">
        <f>$S$12</f>
        <v>84.0</v>
      </c>
      <c r="D291" t="e">
        <f>(B291+$S$52)*$S$54</f>
        <v>#N/A</v>
      </c>
      <c r="E291">
        <f>(C291+$S$53)*$S$54</f>
        <v>157.0830422535211</v>
      </c>
      <c r="F291" t="e">
        <f>(B291+$S$55)*$S$58</f>
        <v>#N/A</v>
      </c>
      <c r="G291">
        <f>(C291+$S$56)*$S$58</f>
        <v>420.90077948717953</v>
      </c>
      <c r="H291" t="e">
        <f>(B291+$S$59)*$S$61</f>
        <v>#N/A</v>
      </c>
      <c r="I291">
        <f>(C291+$S$60)*$S$61</f>
        <v>190.6253846153846</v>
      </c>
    </row>
    <row r="293">
      <c r="B293" t="e">
        <f>IF(19&lt;=$S$14,$S$13+18*$S$15,NA())</f>
        <v>#N/A</v>
      </c>
      <c r="C293">
        <f>$S$7</f>
        <v>3.0</v>
      </c>
      <c r="D293" t="e">
        <f>(B293+$S$52)*$S$54</f>
        <v>#N/A</v>
      </c>
      <c r="E293">
        <f>(C293+$S$53)*$S$54</f>
        <v>77.05960563380282</v>
      </c>
      <c r="F293" t="e">
        <f>(B293+$S$55)*$S$58</f>
        <v>#N/A</v>
      </c>
      <c r="G293">
        <f>(C293+$S$56)*$S$58</f>
        <v>187.38733333333334</v>
      </c>
      <c r="H293" t="e">
        <f>(B293+$S$59)*$S$61</f>
        <v>#N/A</v>
      </c>
      <c r="I293">
        <f>(C293+$S$60)*$S$61</f>
        <v>71.85110650887574</v>
      </c>
    </row>
    <row r="294">
      <c r="B294" t="e">
        <f>IF(19&lt;=$S$14,$S$13+18*$S$15,NA())</f>
        <v>#N/A</v>
      </c>
      <c r="C294">
        <f>$S$12</f>
        <v>84.0</v>
      </c>
      <c r="D294" t="e">
        <f>(B294+$S$52)*$S$54</f>
        <v>#N/A</v>
      </c>
      <c r="E294">
        <f>(C294+$S$53)*$S$54</f>
        <v>157.0830422535211</v>
      </c>
      <c r="F294" t="e">
        <f>(B294+$S$55)*$S$58</f>
        <v>#N/A</v>
      </c>
      <c r="G294">
        <f>(C294+$S$56)*$S$58</f>
        <v>420.90077948717953</v>
      </c>
      <c r="H294" t="e">
        <f>(B294+$S$59)*$S$61</f>
        <v>#N/A</v>
      </c>
      <c r="I294">
        <f>(C294+$S$60)*$S$61</f>
        <v>190.6253846153846</v>
      </c>
    </row>
    <row r="296">
      <c r="B296" t="e">
        <f>IF(20&lt;=$S$14,$S$13+19*$S$15,NA())</f>
        <v>#N/A</v>
      </c>
      <c r="C296">
        <f>$S$7</f>
        <v>3.0</v>
      </c>
      <c r="D296" t="e">
        <f>(B296+$S$52)*$S$54</f>
        <v>#N/A</v>
      </c>
      <c r="E296">
        <f>(C296+$S$53)*$S$54</f>
        <v>77.05960563380282</v>
      </c>
      <c r="F296" t="e">
        <f>(B296+$S$55)*$S$58</f>
        <v>#N/A</v>
      </c>
      <c r="G296">
        <f>(C296+$S$56)*$S$58</f>
        <v>187.38733333333334</v>
      </c>
      <c r="H296" t="e">
        <f>(B296+$S$59)*$S$61</f>
        <v>#N/A</v>
      </c>
      <c r="I296">
        <f>(C296+$S$60)*$S$61</f>
        <v>71.85110650887574</v>
      </c>
    </row>
    <row r="297">
      <c r="B297" t="e">
        <f>IF(20&lt;=$S$14,$S$13+19*$S$15,NA())</f>
        <v>#N/A</v>
      </c>
      <c r="C297">
        <f>$S$12</f>
        <v>84.0</v>
      </c>
      <c r="D297" t="e">
        <f>(B297+$S$52)*$S$54</f>
        <v>#N/A</v>
      </c>
      <c r="E297">
        <f>(C297+$S$53)*$S$54</f>
        <v>157.0830422535211</v>
      </c>
      <c r="F297" t="e">
        <f>(B297+$S$55)*$S$58</f>
        <v>#N/A</v>
      </c>
      <c r="G297">
        <f>(C297+$S$56)*$S$58</f>
        <v>420.90077948717953</v>
      </c>
      <c r="H297" t="e">
        <f>(B297+$S$59)*$S$61</f>
        <v>#N/A</v>
      </c>
      <c r="I297">
        <f>(C297+$S$60)*$S$61</f>
        <v>190.6253846153846</v>
      </c>
    </row>
    <row r="299">
      <c r="B299" t="e">
        <f>IF(21&lt;=$S$14,$S$13+20*$S$15,NA())</f>
        <v>#N/A</v>
      </c>
      <c r="C299">
        <f>$S$7</f>
        <v>3.0</v>
      </c>
      <c r="D299" t="e">
        <f>(B299+$S$52)*$S$54</f>
        <v>#N/A</v>
      </c>
      <c r="E299">
        <f>(C299+$S$53)*$S$54</f>
        <v>77.05960563380282</v>
      </c>
      <c r="F299" t="e">
        <f>(B299+$S$55)*$S$58</f>
        <v>#N/A</v>
      </c>
      <c r="G299">
        <f>(C299+$S$56)*$S$58</f>
        <v>187.38733333333334</v>
      </c>
      <c r="H299" t="e">
        <f>(B299+$S$59)*$S$61</f>
        <v>#N/A</v>
      </c>
      <c r="I299">
        <f>(C299+$S$60)*$S$61</f>
        <v>71.85110650887574</v>
      </c>
    </row>
    <row r="300">
      <c r="B300" t="e">
        <f>IF(21&lt;=$S$14,$S$13+20*$S$15,NA())</f>
        <v>#N/A</v>
      </c>
      <c r="C300">
        <f>$S$12</f>
        <v>84.0</v>
      </c>
      <c r="D300" t="e">
        <f>(B300+$S$52)*$S$54</f>
        <v>#N/A</v>
      </c>
      <c r="E300">
        <f>(C300+$S$53)*$S$54</f>
        <v>157.0830422535211</v>
      </c>
      <c r="F300" t="e">
        <f>(B300+$S$55)*$S$58</f>
        <v>#N/A</v>
      </c>
      <c r="G300">
        <f>(C300+$S$56)*$S$58</f>
        <v>420.90077948717953</v>
      </c>
      <c r="H300" t="e">
        <f>(B300+$S$59)*$S$61</f>
        <v>#N/A</v>
      </c>
      <c r="I300">
        <f>(C300+$S$60)*$S$61</f>
        <v>190.6253846153846</v>
      </c>
    </row>
    <row r="302">
      <c r="B302" t="e">
        <f>IF(22&lt;=$S$14,$S$13+21*$S$15,NA())</f>
        <v>#N/A</v>
      </c>
      <c r="C302">
        <f>$S$7</f>
        <v>3.0</v>
      </c>
      <c r="D302" t="e">
        <f>(B302+$S$52)*$S$54</f>
        <v>#N/A</v>
      </c>
      <c r="E302">
        <f>(C302+$S$53)*$S$54</f>
        <v>77.05960563380282</v>
      </c>
      <c r="F302" t="e">
        <f>(B302+$S$55)*$S$58</f>
        <v>#N/A</v>
      </c>
      <c r="G302">
        <f>(C302+$S$56)*$S$58</f>
        <v>187.38733333333334</v>
      </c>
      <c r="H302" t="e">
        <f>(B302+$S$59)*$S$61</f>
        <v>#N/A</v>
      </c>
      <c r="I302">
        <f>(C302+$S$60)*$S$61</f>
        <v>71.85110650887574</v>
      </c>
    </row>
    <row r="303">
      <c r="B303" t="e">
        <f>IF(22&lt;=$S$14,$S$13+21*$S$15,NA())</f>
        <v>#N/A</v>
      </c>
      <c r="C303">
        <f>$S$12</f>
        <v>84.0</v>
      </c>
      <c r="D303" t="e">
        <f>(B303+$S$52)*$S$54</f>
        <v>#N/A</v>
      </c>
      <c r="E303">
        <f>(C303+$S$53)*$S$54</f>
        <v>157.0830422535211</v>
      </c>
      <c r="F303" t="e">
        <f>(B303+$S$55)*$S$58</f>
        <v>#N/A</v>
      </c>
      <c r="G303">
        <f>(C303+$S$56)*$S$58</f>
        <v>420.90077948717953</v>
      </c>
      <c r="H303" t="e">
        <f>(B303+$S$59)*$S$61</f>
        <v>#N/A</v>
      </c>
      <c r="I303">
        <f>(C303+$S$60)*$S$61</f>
        <v>190.6253846153846</v>
      </c>
    </row>
    <row r="305">
      <c r="B305" t="e">
        <f>IF(23&lt;=$S$14,$S$13+22*$S$15,NA())</f>
        <v>#N/A</v>
      </c>
      <c r="C305">
        <f>$S$7</f>
        <v>3.0</v>
      </c>
      <c r="D305" t="e">
        <f>(B305+$S$52)*$S$54</f>
        <v>#N/A</v>
      </c>
      <c r="E305">
        <f>(C305+$S$53)*$S$54</f>
        <v>77.05960563380282</v>
      </c>
      <c r="F305" t="e">
        <f>(B305+$S$55)*$S$58</f>
        <v>#N/A</v>
      </c>
      <c r="G305">
        <f>(C305+$S$56)*$S$58</f>
        <v>187.38733333333334</v>
      </c>
      <c r="H305" t="e">
        <f>(B305+$S$59)*$S$61</f>
        <v>#N/A</v>
      </c>
      <c r="I305">
        <f>(C305+$S$60)*$S$61</f>
        <v>71.85110650887574</v>
      </c>
    </row>
    <row r="306">
      <c r="B306" t="e">
        <f>IF(23&lt;=$S$14,$S$13+22*$S$15,NA())</f>
        <v>#N/A</v>
      </c>
      <c r="C306">
        <f>$S$12</f>
        <v>84.0</v>
      </c>
      <c r="D306" t="e">
        <f>(B306+$S$52)*$S$54</f>
        <v>#N/A</v>
      </c>
      <c r="E306">
        <f>(C306+$S$53)*$S$54</f>
        <v>157.0830422535211</v>
      </c>
      <c r="F306" t="e">
        <f>(B306+$S$55)*$S$58</f>
        <v>#N/A</v>
      </c>
      <c r="G306">
        <f>(C306+$S$56)*$S$58</f>
        <v>420.90077948717953</v>
      </c>
      <c r="H306" t="e">
        <f>(B306+$S$59)*$S$61</f>
        <v>#N/A</v>
      </c>
      <c r="I306">
        <f>(C306+$S$60)*$S$61</f>
        <v>190.6253846153846</v>
      </c>
    </row>
    <row r="308">
      <c r="B308" t="e">
        <f>IF(24&lt;=$S$14,$S$13+23*$S$15,NA())</f>
        <v>#N/A</v>
      </c>
      <c r="C308">
        <f>$S$7</f>
        <v>3.0</v>
      </c>
      <c r="D308" t="e">
        <f>(B308+$S$52)*$S$54</f>
        <v>#N/A</v>
      </c>
      <c r="E308">
        <f>(C308+$S$53)*$S$54</f>
        <v>77.05960563380282</v>
      </c>
      <c r="F308" t="e">
        <f>(B308+$S$55)*$S$58</f>
        <v>#N/A</v>
      </c>
      <c r="G308">
        <f>(C308+$S$56)*$S$58</f>
        <v>187.38733333333334</v>
      </c>
      <c r="H308" t="e">
        <f>(B308+$S$59)*$S$61</f>
        <v>#N/A</v>
      </c>
      <c r="I308">
        <f>(C308+$S$60)*$S$61</f>
        <v>71.85110650887574</v>
      </c>
    </row>
    <row r="309">
      <c r="B309" t="e">
        <f>IF(24&lt;=$S$14,$S$13+23*$S$15,NA())</f>
        <v>#N/A</v>
      </c>
      <c r="C309">
        <f>$S$12</f>
        <v>84.0</v>
      </c>
      <c r="D309" t="e">
        <f>(B309+$S$52)*$S$54</f>
        <v>#N/A</v>
      </c>
      <c r="E309">
        <f>(C309+$S$53)*$S$54</f>
        <v>157.0830422535211</v>
      </c>
      <c r="F309" t="e">
        <f>(B309+$S$55)*$S$58</f>
        <v>#N/A</v>
      </c>
      <c r="G309">
        <f>(C309+$S$56)*$S$58</f>
        <v>420.90077948717953</v>
      </c>
      <c r="H309" t="e">
        <f>(B309+$S$59)*$S$61</f>
        <v>#N/A</v>
      </c>
      <c r="I309">
        <f>(C309+$S$60)*$S$61</f>
        <v>190.6253846153846</v>
      </c>
    </row>
    <row r="311">
      <c r="B311" t="e">
        <f>IF(25&lt;=$S$14,$S$13+24*$S$15,NA())</f>
        <v>#N/A</v>
      </c>
      <c r="C311">
        <f>$S$7</f>
        <v>3.0</v>
      </c>
      <c r="D311" t="e">
        <f>(B311+$S$52)*$S$54</f>
        <v>#N/A</v>
      </c>
      <c r="E311">
        <f>(C311+$S$53)*$S$54</f>
        <v>77.05960563380282</v>
      </c>
      <c r="F311" t="e">
        <f>(B311+$S$55)*$S$58</f>
        <v>#N/A</v>
      </c>
      <c r="G311">
        <f>(C311+$S$56)*$S$58</f>
        <v>187.38733333333334</v>
      </c>
      <c r="H311" t="e">
        <f>(B311+$S$59)*$S$61</f>
        <v>#N/A</v>
      </c>
      <c r="I311">
        <f>(C311+$S$60)*$S$61</f>
        <v>71.85110650887574</v>
      </c>
    </row>
    <row r="312">
      <c r="B312" t="e">
        <f>IF(25&lt;=$S$14,$S$13+24*$S$15,NA())</f>
        <v>#N/A</v>
      </c>
      <c r="C312">
        <f>$S$12</f>
        <v>84.0</v>
      </c>
      <c r="D312" t="e">
        <f>(B312+$S$52)*$S$54</f>
        <v>#N/A</v>
      </c>
      <c r="E312">
        <f>(C312+$S$53)*$S$54</f>
        <v>157.0830422535211</v>
      </c>
      <c r="F312" t="e">
        <f>(B312+$S$55)*$S$58</f>
        <v>#N/A</v>
      </c>
      <c r="G312">
        <f>(C312+$S$56)*$S$58</f>
        <v>420.90077948717953</v>
      </c>
      <c r="H312" t="e">
        <f>(B312+$S$59)*$S$61</f>
        <v>#N/A</v>
      </c>
      <c r="I312">
        <f>(C312+$S$60)*$S$61</f>
        <v>190.6253846153846</v>
      </c>
    </row>
    <row r="314">
      <c r="B314" t="e">
        <f>IF(26&lt;=$S$14,$S$13+25*$S$15,NA())</f>
        <v>#N/A</v>
      </c>
      <c r="C314">
        <f>$S$7</f>
        <v>3.0</v>
      </c>
      <c r="D314" t="e">
        <f>(B314+$S$52)*$S$54</f>
        <v>#N/A</v>
      </c>
      <c r="E314">
        <f>(C314+$S$53)*$S$54</f>
        <v>77.05960563380282</v>
      </c>
      <c r="F314" t="e">
        <f>(B314+$S$55)*$S$58</f>
        <v>#N/A</v>
      </c>
      <c r="G314">
        <f>(C314+$S$56)*$S$58</f>
        <v>187.38733333333334</v>
      </c>
      <c r="H314" t="e">
        <f>(B314+$S$59)*$S$61</f>
        <v>#N/A</v>
      </c>
      <c r="I314">
        <f>(C314+$S$60)*$S$61</f>
        <v>71.85110650887574</v>
      </c>
    </row>
    <row r="315">
      <c r="B315" t="e">
        <f>IF(26&lt;=$S$14,$S$13+25*$S$15,NA())</f>
        <v>#N/A</v>
      </c>
      <c r="C315">
        <f>$S$12</f>
        <v>84.0</v>
      </c>
      <c r="D315" t="e">
        <f>(B315+$S$52)*$S$54</f>
        <v>#N/A</v>
      </c>
      <c r="E315">
        <f>(C315+$S$53)*$S$54</f>
        <v>157.0830422535211</v>
      </c>
      <c r="F315" t="e">
        <f>(B315+$S$55)*$S$58</f>
        <v>#N/A</v>
      </c>
      <c r="G315">
        <f>(C315+$S$56)*$S$58</f>
        <v>420.90077948717953</v>
      </c>
      <c r="H315" t="e">
        <f>(B315+$S$59)*$S$61</f>
        <v>#N/A</v>
      </c>
      <c r="I315">
        <f>(C315+$S$60)*$S$61</f>
        <v>190.6253846153846</v>
      </c>
    </row>
    <row r="317">
      <c r="B317" t="e">
        <f>IF(27&lt;=$S$14,$S$13+26*$S$15,NA())</f>
        <v>#N/A</v>
      </c>
      <c r="C317">
        <f>$S$7</f>
        <v>3.0</v>
      </c>
      <c r="D317" t="e">
        <f>(B317+$S$52)*$S$54</f>
        <v>#N/A</v>
      </c>
      <c r="E317">
        <f>(C317+$S$53)*$S$54</f>
        <v>77.05960563380282</v>
      </c>
      <c r="F317" t="e">
        <f>(B317+$S$55)*$S$58</f>
        <v>#N/A</v>
      </c>
      <c r="G317">
        <f>(C317+$S$56)*$S$58</f>
        <v>187.38733333333334</v>
      </c>
      <c r="H317" t="e">
        <f>(B317+$S$59)*$S$61</f>
        <v>#N/A</v>
      </c>
      <c r="I317">
        <f>(C317+$S$60)*$S$61</f>
        <v>71.85110650887574</v>
      </c>
    </row>
    <row r="318">
      <c r="B318" t="e">
        <f>IF(27&lt;=$S$14,$S$13+26*$S$15,NA())</f>
        <v>#N/A</v>
      </c>
      <c r="C318">
        <f>$S$12</f>
        <v>84.0</v>
      </c>
      <c r="D318" t="e">
        <f>(B318+$S$52)*$S$54</f>
        <v>#N/A</v>
      </c>
      <c r="E318">
        <f>(C318+$S$53)*$S$54</f>
        <v>157.0830422535211</v>
      </c>
      <c r="F318" t="e">
        <f>(B318+$S$55)*$S$58</f>
        <v>#N/A</v>
      </c>
      <c r="G318">
        <f>(C318+$S$56)*$S$58</f>
        <v>420.90077948717953</v>
      </c>
      <c r="H318" t="e">
        <f>(B318+$S$59)*$S$61</f>
        <v>#N/A</v>
      </c>
      <c r="I318">
        <f>(C318+$S$60)*$S$61</f>
        <v>190.6253846153846</v>
      </c>
    </row>
    <row r="320">
      <c r="B320" t="e">
        <f>IF(28&lt;=$S$14,$S$13+27*$S$15,NA())</f>
        <v>#N/A</v>
      </c>
      <c r="C320">
        <f>$S$7</f>
        <v>3.0</v>
      </c>
      <c r="D320" t="e">
        <f>(B320+$S$52)*$S$54</f>
        <v>#N/A</v>
      </c>
      <c r="E320">
        <f>(C320+$S$53)*$S$54</f>
        <v>77.05960563380282</v>
      </c>
      <c r="F320" t="e">
        <f>(B320+$S$55)*$S$58</f>
        <v>#N/A</v>
      </c>
      <c r="G320">
        <f>(C320+$S$56)*$S$58</f>
        <v>187.38733333333334</v>
      </c>
      <c r="H320" t="e">
        <f>(B320+$S$59)*$S$61</f>
        <v>#N/A</v>
      </c>
      <c r="I320">
        <f>(C320+$S$60)*$S$61</f>
        <v>71.85110650887574</v>
      </c>
    </row>
    <row r="321">
      <c r="B321" t="e">
        <f>IF(28&lt;=$S$14,$S$13+27*$S$15,NA())</f>
        <v>#N/A</v>
      </c>
      <c r="C321">
        <f>$S$12</f>
        <v>84.0</v>
      </c>
      <c r="D321" t="e">
        <f>(B321+$S$52)*$S$54</f>
        <v>#N/A</v>
      </c>
      <c r="E321">
        <f>(C321+$S$53)*$S$54</f>
        <v>157.0830422535211</v>
      </c>
      <c r="F321" t="e">
        <f>(B321+$S$55)*$S$58</f>
        <v>#N/A</v>
      </c>
      <c r="G321">
        <f>(C321+$S$56)*$S$58</f>
        <v>420.90077948717953</v>
      </c>
      <c r="H321" t="e">
        <f>(B321+$S$59)*$S$61</f>
        <v>#N/A</v>
      </c>
      <c r="I321">
        <f>(C321+$S$60)*$S$61</f>
        <v>190.6253846153846</v>
      </c>
    </row>
    <row r="323">
      <c r="B323" t="e">
        <f>IF(29&lt;=$S$14,$S$13+28*$S$15,NA())</f>
        <v>#N/A</v>
      </c>
      <c r="C323">
        <f>$S$7</f>
        <v>3.0</v>
      </c>
      <c r="D323" t="e">
        <f>(B323+$S$52)*$S$54</f>
        <v>#N/A</v>
      </c>
      <c r="E323">
        <f>(C323+$S$53)*$S$54</f>
        <v>77.05960563380282</v>
      </c>
      <c r="F323" t="e">
        <f>(B323+$S$55)*$S$58</f>
        <v>#N/A</v>
      </c>
      <c r="G323">
        <f>(C323+$S$56)*$S$58</f>
        <v>187.38733333333334</v>
      </c>
      <c r="H323" t="e">
        <f>(B323+$S$59)*$S$61</f>
        <v>#N/A</v>
      </c>
      <c r="I323">
        <f>(C323+$S$60)*$S$61</f>
        <v>71.85110650887574</v>
      </c>
    </row>
    <row r="324">
      <c r="B324" t="e">
        <f>IF(29&lt;=$S$14,$S$13+28*$S$15,NA())</f>
        <v>#N/A</v>
      </c>
      <c r="C324">
        <f>$S$12</f>
        <v>84.0</v>
      </c>
      <c r="D324" t="e">
        <f>(B324+$S$52)*$S$54</f>
        <v>#N/A</v>
      </c>
      <c r="E324">
        <f>(C324+$S$53)*$S$54</f>
        <v>157.0830422535211</v>
      </c>
      <c r="F324" t="e">
        <f>(B324+$S$55)*$S$58</f>
        <v>#N/A</v>
      </c>
      <c r="G324">
        <f>(C324+$S$56)*$S$58</f>
        <v>420.90077948717953</v>
      </c>
      <c r="H324" t="e">
        <f>(B324+$S$59)*$S$61</f>
        <v>#N/A</v>
      </c>
      <c r="I324">
        <f>(C324+$S$60)*$S$61</f>
        <v>190.6253846153846</v>
      </c>
    </row>
    <row r="326">
      <c r="B326" t="e">
        <f>IF(30&lt;=$S$14,$S$13+29*$S$15,NA())</f>
        <v>#N/A</v>
      </c>
      <c r="C326">
        <f>$S$7</f>
        <v>3.0</v>
      </c>
      <c r="D326" t="e">
        <f>(B326+$S$52)*$S$54</f>
        <v>#N/A</v>
      </c>
      <c r="E326">
        <f>(C326+$S$53)*$S$54</f>
        <v>77.05960563380282</v>
      </c>
      <c r="F326" t="e">
        <f>(B326+$S$55)*$S$58</f>
        <v>#N/A</v>
      </c>
      <c r="G326">
        <f>(C326+$S$56)*$S$58</f>
        <v>187.38733333333334</v>
      </c>
      <c r="H326" t="e">
        <f>(B326+$S$59)*$S$61</f>
        <v>#N/A</v>
      </c>
      <c r="I326">
        <f>(C326+$S$60)*$S$61</f>
        <v>71.85110650887574</v>
      </c>
    </row>
    <row r="327">
      <c r="B327" t="e">
        <f>IF(30&lt;=$S$14,$S$13+29*$S$15,NA())</f>
        <v>#N/A</v>
      </c>
      <c r="C327">
        <f>$S$12</f>
        <v>84.0</v>
      </c>
      <c r="D327" t="e">
        <f>(B327+$S$52)*$S$54</f>
        <v>#N/A</v>
      </c>
      <c r="E327">
        <f>(C327+$S$53)*$S$54</f>
        <v>157.0830422535211</v>
      </c>
      <c r="F327" t="e">
        <f>(B327+$S$55)*$S$58</f>
        <v>#N/A</v>
      </c>
      <c r="G327">
        <f>(C327+$S$56)*$S$58</f>
        <v>420.90077948717953</v>
      </c>
      <c r="H327" t="e">
        <f>(B327+$S$59)*$S$61</f>
        <v>#N/A</v>
      </c>
      <c r="I327">
        <f>(C327+$S$60)*$S$61</f>
        <v>190.6253846153846</v>
      </c>
    </row>
    <row r="329">
      <c r="B329" t="e">
        <f>IF(31&lt;=$S$14,$S$13+30*$S$15,NA())</f>
        <v>#N/A</v>
      </c>
      <c r="C329">
        <f>$S$7</f>
        <v>3.0</v>
      </c>
      <c r="D329" t="e">
        <f>(B329+$S$52)*$S$54</f>
        <v>#N/A</v>
      </c>
      <c r="E329">
        <f>(C329+$S$53)*$S$54</f>
        <v>77.05960563380282</v>
      </c>
      <c r="F329" t="e">
        <f>(B329+$S$55)*$S$58</f>
        <v>#N/A</v>
      </c>
      <c r="G329">
        <f>(C329+$S$56)*$S$58</f>
        <v>187.38733333333334</v>
      </c>
      <c r="H329" t="e">
        <f>(B329+$S$59)*$S$61</f>
        <v>#N/A</v>
      </c>
      <c r="I329">
        <f>(C329+$S$60)*$S$61</f>
        <v>71.85110650887574</v>
      </c>
    </row>
    <row r="330">
      <c r="B330" t="e">
        <f>IF(31&lt;=$S$14,$S$13+30*$S$15,NA())</f>
        <v>#N/A</v>
      </c>
      <c r="C330">
        <f>$S$12</f>
        <v>84.0</v>
      </c>
      <c r="D330" t="e">
        <f>(B330+$S$52)*$S$54</f>
        <v>#N/A</v>
      </c>
      <c r="E330">
        <f>(C330+$S$53)*$S$54</f>
        <v>157.0830422535211</v>
      </c>
      <c r="F330" t="e">
        <f>(B330+$S$55)*$S$58</f>
        <v>#N/A</v>
      </c>
      <c r="G330">
        <f>(C330+$S$56)*$S$58</f>
        <v>420.90077948717953</v>
      </c>
      <c r="H330" t="e">
        <f>(B330+$S$59)*$S$61</f>
        <v>#N/A</v>
      </c>
      <c r="I330">
        <f>(C330+$S$60)*$S$61</f>
        <v>190.6253846153846</v>
      </c>
    </row>
    <row r="332">
      <c r="B332" t="e">
        <f>IF(32&lt;=$S$14,$S$13+31*$S$15,NA())</f>
        <v>#N/A</v>
      </c>
      <c r="C332">
        <f>$S$7</f>
        <v>3.0</v>
      </c>
      <c r="D332" t="e">
        <f>(B332+$S$52)*$S$54</f>
        <v>#N/A</v>
      </c>
      <c r="E332">
        <f>(C332+$S$53)*$S$54</f>
        <v>77.05960563380282</v>
      </c>
      <c r="F332" t="e">
        <f>(B332+$S$55)*$S$58</f>
        <v>#N/A</v>
      </c>
      <c r="G332">
        <f>(C332+$S$56)*$S$58</f>
        <v>187.38733333333334</v>
      </c>
      <c r="H332" t="e">
        <f>(B332+$S$59)*$S$61</f>
        <v>#N/A</v>
      </c>
      <c r="I332">
        <f>(C332+$S$60)*$S$61</f>
        <v>71.85110650887574</v>
      </c>
    </row>
    <row r="333">
      <c r="B333" t="e">
        <f>IF(32&lt;=$S$14,$S$13+31*$S$15,NA())</f>
        <v>#N/A</v>
      </c>
      <c r="C333">
        <f>$S$12</f>
        <v>84.0</v>
      </c>
      <c r="D333" t="e">
        <f>(B333+$S$52)*$S$54</f>
        <v>#N/A</v>
      </c>
      <c r="E333">
        <f>(C333+$S$53)*$S$54</f>
        <v>157.0830422535211</v>
      </c>
      <c r="F333" t="e">
        <f>(B333+$S$55)*$S$58</f>
        <v>#N/A</v>
      </c>
      <c r="G333">
        <f>(C333+$S$56)*$S$58</f>
        <v>420.90077948717953</v>
      </c>
      <c r="H333" t="e">
        <f>(B333+$S$59)*$S$61</f>
        <v>#N/A</v>
      </c>
      <c r="I333">
        <f>(C333+$S$60)*$S$61</f>
        <v>190.6253846153846</v>
      </c>
    </row>
    <row r="335">
      <c r="B335" t="e">
        <f>IF(33&lt;=$S$14,$S$13+32*$S$15,NA())</f>
        <v>#N/A</v>
      </c>
      <c r="C335">
        <f>$S$7</f>
        <v>3.0</v>
      </c>
      <c r="D335" t="e">
        <f>(B335+$S$52)*$S$54</f>
        <v>#N/A</v>
      </c>
      <c r="E335">
        <f>(C335+$S$53)*$S$54</f>
        <v>77.05960563380282</v>
      </c>
      <c r="F335" t="e">
        <f>(B335+$S$55)*$S$58</f>
        <v>#N/A</v>
      </c>
      <c r="G335">
        <f>(C335+$S$56)*$S$58</f>
        <v>187.38733333333334</v>
      </c>
      <c r="H335" t="e">
        <f>(B335+$S$59)*$S$61</f>
        <v>#N/A</v>
      </c>
      <c r="I335">
        <f>(C335+$S$60)*$S$61</f>
        <v>71.85110650887574</v>
      </c>
    </row>
    <row r="336">
      <c r="B336" t="e">
        <f>IF(33&lt;=$S$14,$S$13+32*$S$15,NA())</f>
        <v>#N/A</v>
      </c>
      <c r="C336">
        <f>$S$12</f>
        <v>84.0</v>
      </c>
      <c r="D336" t="e">
        <f>(B336+$S$52)*$S$54</f>
        <v>#N/A</v>
      </c>
      <c r="E336">
        <f>(C336+$S$53)*$S$54</f>
        <v>157.0830422535211</v>
      </c>
      <c r="F336" t="e">
        <f>(B336+$S$55)*$S$58</f>
        <v>#N/A</v>
      </c>
      <c r="G336">
        <f>(C336+$S$56)*$S$58</f>
        <v>420.90077948717953</v>
      </c>
      <c r="H336" t="e">
        <f>(B336+$S$59)*$S$61</f>
        <v>#N/A</v>
      </c>
      <c r="I336">
        <f>(C336+$S$60)*$S$61</f>
        <v>190.6253846153846</v>
      </c>
    </row>
    <row r="338">
      <c r="B338" t="e">
        <f>IF(34&lt;=$S$14,$S$13+33*$S$15,NA())</f>
        <v>#N/A</v>
      </c>
      <c r="C338">
        <f>$S$7</f>
        <v>3.0</v>
      </c>
      <c r="D338" t="e">
        <f>(B338+$S$52)*$S$54</f>
        <v>#N/A</v>
      </c>
      <c r="E338">
        <f>(C338+$S$53)*$S$54</f>
        <v>77.05960563380282</v>
      </c>
      <c r="F338" t="e">
        <f>(B338+$S$55)*$S$58</f>
        <v>#N/A</v>
      </c>
      <c r="G338">
        <f>(C338+$S$56)*$S$58</f>
        <v>187.38733333333334</v>
      </c>
      <c r="H338" t="e">
        <f>(B338+$S$59)*$S$61</f>
        <v>#N/A</v>
      </c>
      <c r="I338">
        <f>(C338+$S$60)*$S$61</f>
        <v>71.85110650887574</v>
      </c>
    </row>
    <row r="339">
      <c r="B339" t="e">
        <f>IF(34&lt;=$S$14,$S$13+33*$S$15,NA())</f>
        <v>#N/A</v>
      </c>
      <c r="C339">
        <f>$S$12</f>
        <v>84.0</v>
      </c>
      <c r="D339" t="e">
        <f>(B339+$S$52)*$S$54</f>
        <v>#N/A</v>
      </c>
      <c r="E339">
        <f>(C339+$S$53)*$S$54</f>
        <v>157.0830422535211</v>
      </c>
      <c r="F339" t="e">
        <f>(B339+$S$55)*$S$58</f>
        <v>#N/A</v>
      </c>
      <c r="G339">
        <f>(C339+$S$56)*$S$58</f>
        <v>420.90077948717953</v>
      </c>
      <c r="H339" t="e">
        <f>(B339+$S$59)*$S$61</f>
        <v>#N/A</v>
      </c>
      <c r="I339">
        <f>(C339+$S$60)*$S$61</f>
        <v>190.6253846153846</v>
      </c>
    </row>
    <row r="341">
      <c r="B341" t="e">
        <f>IF(35&lt;=$S$14,$S$13+34*$S$15,NA())</f>
        <v>#N/A</v>
      </c>
      <c r="C341">
        <f>$S$7</f>
        <v>3.0</v>
      </c>
      <c r="D341" t="e">
        <f>(B341+$S$52)*$S$54</f>
        <v>#N/A</v>
      </c>
      <c r="E341">
        <f>(C341+$S$53)*$S$54</f>
        <v>77.05960563380282</v>
      </c>
      <c r="F341" t="e">
        <f>(B341+$S$55)*$S$58</f>
        <v>#N/A</v>
      </c>
      <c r="G341">
        <f>(C341+$S$56)*$S$58</f>
        <v>187.38733333333334</v>
      </c>
      <c r="H341" t="e">
        <f>(B341+$S$59)*$S$61</f>
        <v>#N/A</v>
      </c>
      <c r="I341">
        <f>(C341+$S$60)*$S$61</f>
        <v>71.85110650887574</v>
      </c>
    </row>
    <row r="342">
      <c r="B342" t="e">
        <f>IF(35&lt;=$S$14,$S$13+34*$S$15,NA())</f>
        <v>#N/A</v>
      </c>
      <c r="C342">
        <f>$S$12</f>
        <v>84.0</v>
      </c>
      <c r="D342" t="e">
        <f>(B342+$S$52)*$S$54</f>
        <v>#N/A</v>
      </c>
      <c r="E342">
        <f>(C342+$S$53)*$S$54</f>
        <v>157.0830422535211</v>
      </c>
      <c r="F342" t="e">
        <f>(B342+$S$55)*$S$58</f>
        <v>#N/A</v>
      </c>
      <c r="G342">
        <f>(C342+$S$56)*$S$58</f>
        <v>420.90077948717953</v>
      </c>
      <c r="H342" t="e">
        <f>(B342+$S$59)*$S$61</f>
        <v>#N/A</v>
      </c>
      <c r="I342">
        <f>(C342+$S$60)*$S$61</f>
        <v>190.6253846153846</v>
      </c>
    </row>
    <row r="344">
      <c r="B344" t="e">
        <f>IF(36&lt;=$S$14,$S$13+35*$S$15,NA())</f>
        <v>#N/A</v>
      </c>
      <c r="C344">
        <f>$S$7</f>
        <v>3.0</v>
      </c>
      <c r="D344" t="e">
        <f>(B344+$S$52)*$S$54</f>
        <v>#N/A</v>
      </c>
      <c r="E344">
        <f>(C344+$S$53)*$S$54</f>
        <v>77.05960563380282</v>
      </c>
      <c r="F344" t="e">
        <f>(B344+$S$55)*$S$58</f>
        <v>#N/A</v>
      </c>
      <c r="G344">
        <f>(C344+$S$56)*$S$58</f>
        <v>187.38733333333334</v>
      </c>
      <c r="H344" t="e">
        <f>(B344+$S$59)*$S$61</f>
        <v>#N/A</v>
      </c>
      <c r="I344">
        <f>(C344+$S$60)*$S$61</f>
        <v>71.85110650887574</v>
      </c>
    </row>
    <row r="345">
      <c r="B345" t="e">
        <f>IF(36&lt;=$S$14,$S$13+35*$S$15,NA())</f>
        <v>#N/A</v>
      </c>
      <c r="C345">
        <f>$S$12</f>
        <v>84.0</v>
      </c>
      <c r="D345" t="e">
        <f>(B345+$S$52)*$S$54</f>
        <v>#N/A</v>
      </c>
      <c r="E345">
        <f>(C345+$S$53)*$S$54</f>
        <v>157.0830422535211</v>
      </c>
      <c r="F345" t="e">
        <f>(B345+$S$55)*$S$58</f>
        <v>#N/A</v>
      </c>
      <c r="G345">
        <f>(C345+$S$56)*$S$58</f>
        <v>420.90077948717953</v>
      </c>
      <c r="H345" t="e">
        <f>(B345+$S$59)*$S$61</f>
        <v>#N/A</v>
      </c>
      <c r="I345">
        <f>(C345+$S$60)*$S$61</f>
        <v>190.6253846153846</v>
      </c>
    </row>
    <row r="347">
      <c r="B347" t="e">
        <f>IF(37&lt;=$S$14,$S$13+36*$S$15,NA())</f>
        <v>#N/A</v>
      </c>
      <c r="C347">
        <f>$S$7</f>
        <v>3.0</v>
      </c>
      <c r="D347" t="e">
        <f>(B347+$S$52)*$S$54</f>
        <v>#N/A</v>
      </c>
      <c r="E347">
        <f>(C347+$S$53)*$S$54</f>
        <v>77.05960563380282</v>
      </c>
      <c r="F347" t="e">
        <f>(B347+$S$55)*$S$58</f>
        <v>#N/A</v>
      </c>
      <c r="G347">
        <f>(C347+$S$56)*$S$58</f>
        <v>187.38733333333334</v>
      </c>
      <c r="H347" t="e">
        <f>(B347+$S$59)*$S$61</f>
        <v>#N/A</v>
      </c>
      <c r="I347">
        <f>(C347+$S$60)*$S$61</f>
        <v>71.85110650887574</v>
      </c>
    </row>
    <row r="348">
      <c r="B348" t="e">
        <f>IF(37&lt;=$S$14,$S$13+36*$S$15,NA())</f>
        <v>#N/A</v>
      </c>
      <c r="C348">
        <f>$S$12</f>
        <v>84.0</v>
      </c>
      <c r="D348" t="e">
        <f>(B348+$S$52)*$S$54</f>
        <v>#N/A</v>
      </c>
      <c r="E348">
        <f>(C348+$S$53)*$S$54</f>
        <v>157.0830422535211</v>
      </c>
      <c r="F348" t="e">
        <f>(B348+$S$55)*$S$58</f>
        <v>#N/A</v>
      </c>
      <c r="G348">
        <f>(C348+$S$56)*$S$58</f>
        <v>420.90077948717953</v>
      </c>
      <c r="H348" t="e">
        <f>(B348+$S$59)*$S$61</f>
        <v>#N/A</v>
      </c>
      <c r="I348">
        <f>(C348+$S$60)*$S$61</f>
        <v>190.6253846153846</v>
      </c>
    </row>
    <row r="350">
      <c r="B350" t="e">
        <f>IF(38&lt;=$S$14,$S$13+37*$S$15,NA())</f>
        <v>#N/A</v>
      </c>
      <c r="C350">
        <f>$S$7</f>
        <v>3.0</v>
      </c>
      <c r="D350" t="e">
        <f>(B350+$S$52)*$S$54</f>
        <v>#N/A</v>
      </c>
      <c r="E350">
        <f>(C350+$S$53)*$S$54</f>
        <v>77.05960563380282</v>
      </c>
      <c r="F350" t="e">
        <f>(B350+$S$55)*$S$58</f>
        <v>#N/A</v>
      </c>
      <c r="G350">
        <f>(C350+$S$56)*$S$58</f>
        <v>187.38733333333334</v>
      </c>
      <c r="H350" t="e">
        <f>(B350+$S$59)*$S$61</f>
        <v>#N/A</v>
      </c>
      <c r="I350">
        <f>(C350+$S$60)*$S$61</f>
        <v>71.85110650887574</v>
      </c>
    </row>
    <row r="351">
      <c r="B351" t="e">
        <f>IF(38&lt;=$S$14,$S$13+37*$S$15,NA())</f>
        <v>#N/A</v>
      </c>
      <c r="C351">
        <f>$S$12</f>
        <v>84.0</v>
      </c>
      <c r="D351" t="e">
        <f>(B351+$S$52)*$S$54</f>
        <v>#N/A</v>
      </c>
      <c r="E351">
        <f>(C351+$S$53)*$S$54</f>
        <v>157.0830422535211</v>
      </c>
      <c r="F351" t="e">
        <f>(B351+$S$55)*$S$58</f>
        <v>#N/A</v>
      </c>
      <c r="G351">
        <f>(C351+$S$56)*$S$58</f>
        <v>420.90077948717953</v>
      </c>
      <c r="H351" t="e">
        <f>(B351+$S$59)*$S$61</f>
        <v>#N/A</v>
      </c>
      <c r="I351">
        <f>(C351+$S$60)*$S$61</f>
        <v>190.6253846153846</v>
      </c>
    </row>
    <row r="353">
      <c r="B353" t="e">
        <f>IF(39&lt;=$S$14,$S$13+38*$S$15,NA())</f>
        <v>#N/A</v>
      </c>
      <c r="C353">
        <f>$S$7</f>
        <v>3.0</v>
      </c>
      <c r="D353" t="e">
        <f>(B353+$S$52)*$S$54</f>
        <v>#N/A</v>
      </c>
      <c r="E353">
        <f>(C353+$S$53)*$S$54</f>
        <v>77.05960563380282</v>
      </c>
      <c r="F353" t="e">
        <f>(B353+$S$55)*$S$58</f>
        <v>#N/A</v>
      </c>
      <c r="G353">
        <f>(C353+$S$56)*$S$58</f>
        <v>187.38733333333334</v>
      </c>
      <c r="H353" t="e">
        <f>(B353+$S$59)*$S$61</f>
        <v>#N/A</v>
      </c>
      <c r="I353">
        <f>(C353+$S$60)*$S$61</f>
        <v>71.85110650887574</v>
      </c>
    </row>
    <row r="354">
      <c r="B354" t="e">
        <f>IF(39&lt;=$S$14,$S$13+38*$S$15,NA())</f>
        <v>#N/A</v>
      </c>
      <c r="C354">
        <f>$S$12</f>
        <v>84.0</v>
      </c>
      <c r="D354" t="e">
        <f>(B354+$S$52)*$S$54</f>
        <v>#N/A</v>
      </c>
      <c r="E354">
        <f>(C354+$S$53)*$S$54</f>
        <v>157.0830422535211</v>
      </c>
      <c r="F354" t="e">
        <f>(B354+$S$55)*$S$58</f>
        <v>#N/A</v>
      </c>
      <c r="G354">
        <f>(C354+$S$56)*$S$58</f>
        <v>420.90077948717953</v>
      </c>
      <c r="H354" t="e">
        <f>(B354+$S$59)*$S$61</f>
        <v>#N/A</v>
      </c>
      <c r="I354">
        <f>(C354+$S$60)*$S$61</f>
        <v>190.6253846153846</v>
      </c>
    </row>
    <row r="356">
      <c r="B356" t="e">
        <f>IF(40&lt;=$S$14,$S$13+39*$S$15,NA())</f>
        <v>#N/A</v>
      </c>
      <c r="C356">
        <f>$S$7</f>
        <v>3.0</v>
      </c>
      <c r="D356" t="e">
        <f>(B356+$S$52)*$S$54</f>
        <v>#N/A</v>
      </c>
      <c r="E356">
        <f>(C356+$S$53)*$S$54</f>
        <v>77.05960563380282</v>
      </c>
      <c r="F356" t="e">
        <f>(B356+$S$55)*$S$58</f>
        <v>#N/A</v>
      </c>
      <c r="G356">
        <f>(C356+$S$56)*$S$58</f>
        <v>187.38733333333334</v>
      </c>
      <c r="H356" t="e">
        <f>(B356+$S$59)*$S$61</f>
        <v>#N/A</v>
      </c>
      <c r="I356">
        <f>(C356+$S$60)*$S$61</f>
        <v>71.85110650887574</v>
      </c>
    </row>
    <row r="357">
      <c r="B357" t="e">
        <f>IF(40&lt;=$S$14,$S$13+39*$S$15,NA())</f>
        <v>#N/A</v>
      </c>
      <c r="C357">
        <f>$S$12</f>
        <v>84.0</v>
      </c>
      <c r="D357" t="e">
        <f>(B357+$S$52)*$S$54</f>
        <v>#N/A</v>
      </c>
      <c r="E357">
        <f>(C357+$S$53)*$S$54</f>
        <v>157.0830422535211</v>
      </c>
      <c r="F357" t="e">
        <f>(B357+$S$55)*$S$58</f>
        <v>#N/A</v>
      </c>
      <c r="G357">
        <f>(C357+$S$56)*$S$58</f>
        <v>420.90077948717953</v>
      </c>
      <c r="H357" t="e">
        <f>(B357+$S$59)*$S$61</f>
        <v>#N/A</v>
      </c>
      <c r="I357">
        <f>(C357+$S$60)*$S$61</f>
        <v>190.6253846153846</v>
      </c>
    </row>
    <row r="359">
      <c r="B359" t="e">
        <f>IF(41&lt;=$S$14,$S$13+40*$S$15,NA())</f>
        <v>#N/A</v>
      </c>
      <c r="C359">
        <f>$S$7</f>
        <v>3.0</v>
      </c>
      <c r="D359" t="e">
        <f>(B359+$S$52)*$S$54</f>
        <v>#N/A</v>
      </c>
      <c r="E359">
        <f>(C359+$S$53)*$S$54</f>
        <v>77.05960563380282</v>
      </c>
      <c r="F359" t="e">
        <f>(B359+$S$55)*$S$58</f>
        <v>#N/A</v>
      </c>
      <c r="G359">
        <f>(C359+$S$56)*$S$58</f>
        <v>187.38733333333334</v>
      </c>
      <c r="H359" t="e">
        <f>(B359+$S$59)*$S$61</f>
        <v>#N/A</v>
      </c>
      <c r="I359">
        <f>(C359+$S$60)*$S$61</f>
        <v>71.85110650887574</v>
      </c>
    </row>
    <row r="360">
      <c r="B360" t="e">
        <f>IF(41&lt;=$S$14,$S$13+40*$S$15,NA())</f>
        <v>#N/A</v>
      </c>
      <c r="C360">
        <f>$S$12</f>
        <v>84.0</v>
      </c>
      <c r="D360" t="e">
        <f>(B360+$S$52)*$S$54</f>
        <v>#N/A</v>
      </c>
      <c r="E360">
        <f>(C360+$S$53)*$S$54</f>
        <v>157.0830422535211</v>
      </c>
      <c r="F360" t="e">
        <f>(B360+$S$55)*$S$58</f>
        <v>#N/A</v>
      </c>
      <c r="G360">
        <f>(C360+$S$56)*$S$58</f>
        <v>420.90077948717953</v>
      </c>
      <c r="H360" t="e">
        <f>(B360+$S$59)*$S$61</f>
        <v>#N/A</v>
      </c>
      <c r="I360">
        <f>(C360+$S$60)*$S$61</f>
        <v>190.6253846153846</v>
      </c>
    </row>
    <row r="362">
      <c r="B362" t="e">
        <f>IF(42&lt;=$S$14,$S$13+41*$S$15,NA())</f>
        <v>#N/A</v>
      </c>
      <c r="C362">
        <f>$S$7</f>
        <v>3.0</v>
      </c>
      <c r="D362" t="e">
        <f>(B362+$S$52)*$S$54</f>
        <v>#N/A</v>
      </c>
      <c r="E362">
        <f>(C362+$S$53)*$S$54</f>
        <v>77.05960563380282</v>
      </c>
      <c r="F362" t="e">
        <f>(B362+$S$55)*$S$58</f>
        <v>#N/A</v>
      </c>
      <c r="G362">
        <f>(C362+$S$56)*$S$58</f>
        <v>187.38733333333334</v>
      </c>
      <c r="H362" t="e">
        <f>(B362+$S$59)*$S$61</f>
        <v>#N/A</v>
      </c>
      <c r="I362">
        <f>(C362+$S$60)*$S$61</f>
        <v>71.85110650887574</v>
      </c>
    </row>
    <row r="363">
      <c r="B363" t="e">
        <f>IF(42&lt;=$S$14,$S$13+41*$S$15,NA())</f>
        <v>#N/A</v>
      </c>
      <c r="C363">
        <f>$S$12</f>
        <v>84.0</v>
      </c>
      <c r="D363" t="e">
        <f>(B363+$S$52)*$S$54</f>
        <v>#N/A</v>
      </c>
      <c r="E363">
        <f>(C363+$S$53)*$S$54</f>
        <v>157.0830422535211</v>
      </c>
      <c r="F363" t="e">
        <f>(B363+$S$55)*$S$58</f>
        <v>#N/A</v>
      </c>
      <c r="G363">
        <f>(C363+$S$56)*$S$58</f>
        <v>420.90077948717953</v>
      </c>
      <c r="H363" t="e">
        <f>(B363+$S$59)*$S$61</f>
        <v>#N/A</v>
      </c>
      <c r="I363">
        <f>(C363+$S$60)*$S$61</f>
        <v>190.6253846153846</v>
      </c>
    </row>
    <row r="365">
      <c r="B365" t="e">
        <f>IF(43&lt;=$S$14,$S$13+42*$S$15,NA())</f>
        <v>#N/A</v>
      </c>
      <c r="C365">
        <f>$S$7</f>
        <v>3.0</v>
      </c>
      <c r="D365" t="e">
        <f>(B365+$S$52)*$S$54</f>
        <v>#N/A</v>
      </c>
      <c r="E365">
        <f>(C365+$S$53)*$S$54</f>
        <v>77.05960563380282</v>
      </c>
      <c r="F365" t="e">
        <f>(B365+$S$55)*$S$58</f>
        <v>#N/A</v>
      </c>
      <c r="G365">
        <f>(C365+$S$56)*$S$58</f>
        <v>187.38733333333334</v>
      </c>
      <c r="H365" t="e">
        <f>(B365+$S$59)*$S$61</f>
        <v>#N/A</v>
      </c>
      <c r="I365">
        <f>(C365+$S$60)*$S$61</f>
        <v>71.85110650887574</v>
      </c>
    </row>
    <row r="366">
      <c r="B366" t="e">
        <f>IF(43&lt;=$S$14,$S$13+42*$S$15,NA())</f>
        <v>#N/A</v>
      </c>
      <c r="C366">
        <f>$S$12</f>
        <v>84.0</v>
      </c>
      <c r="D366" t="e">
        <f>(B366+$S$52)*$S$54</f>
        <v>#N/A</v>
      </c>
      <c r="E366">
        <f>(C366+$S$53)*$S$54</f>
        <v>157.0830422535211</v>
      </c>
      <c r="F366" t="e">
        <f>(B366+$S$55)*$S$58</f>
        <v>#N/A</v>
      </c>
      <c r="G366">
        <f>(C366+$S$56)*$S$58</f>
        <v>420.90077948717953</v>
      </c>
      <c r="H366" t="e">
        <f>(B366+$S$59)*$S$61</f>
        <v>#N/A</v>
      </c>
      <c r="I366">
        <f>(C366+$S$60)*$S$61</f>
        <v>190.6253846153846</v>
      </c>
    </row>
    <row r="368">
      <c r="B368" t="e">
        <f>IF(44&lt;=$S$14,$S$13+43*$S$15,NA())</f>
        <v>#N/A</v>
      </c>
      <c r="C368">
        <f>$S$7</f>
        <v>3.0</v>
      </c>
      <c r="D368" t="e">
        <f>(B368+$S$52)*$S$54</f>
        <v>#N/A</v>
      </c>
      <c r="E368">
        <f>(C368+$S$53)*$S$54</f>
        <v>77.05960563380282</v>
      </c>
      <c r="F368" t="e">
        <f>(B368+$S$55)*$S$58</f>
        <v>#N/A</v>
      </c>
      <c r="G368">
        <f>(C368+$S$56)*$S$58</f>
        <v>187.38733333333334</v>
      </c>
      <c r="H368" t="e">
        <f>(B368+$S$59)*$S$61</f>
        <v>#N/A</v>
      </c>
      <c r="I368">
        <f>(C368+$S$60)*$S$61</f>
        <v>71.85110650887574</v>
      </c>
    </row>
    <row r="369">
      <c r="B369" t="e">
        <f>IF(44&lt;=$S$14,$S$13+43*$S$15,NA())</f>
        <v>#N/A</v>
      </c>
      <c r="C369">
        <f>$S$12</f>
        <v>84.0</v>
      </c>
      <c r="D369" t="e">
        <f>(B369+$S$52)*$S$54</f>
        <v>#N/A</v>
      </c>
      <c r="E369">
        <f>(C369+$S$53)*$S$54</f>
        <v>157.0830422535211</v>
      </c>
      <c r="F369" t="e">
        <f>(B369+$S$55)*$S$58</f>
        <v>#N/A</v>
      </c>
      <c r="G369">
        <f>(C369+$S$56)*$S$58</f>
        <v>420.90077948717953</v>
      </c>
      <c r="H369" t="e">
        <f>(B369+$S$59)*$S$61</f>
        <v>#N/A</v>
      </c>
      <c r="I369">
        <f>(C369+$S$60)*$S$61</f>
        <v>190.6253846153846</v>
      </c>
    </row>
    <row r="371">
      <c r="B371" t="e">
        <f>IF(45&lt;=$S$14,$S$13+44*$S$15,NA())</f>
        <v>#N/A</v>
      </c>
      <c r="C371">
        <f>$S$7</f>
        <v>3.0</v>
      </c>
      <c r="D371" t="e">
        <f>(B371+$S$52)*$S$54</f>
        <v>#N/A</v>
      </c>
      <c r="E371">
        <f>(C371+$S$53)*$S$54</f>
        <v>77.05960563380282</v>
      </c>
      <c r="F371" t="e">
        <f>(B371+$S$55)*$S$58</f>
        <v>#N/A</v>
      </c>
      <c r="G371">
        <f>(C371+$S$56)*$S$58</f>
        <v>187.38733333333334</v>
      </c>
      <c r="H371" t="e">
        <f>(B371+$S$59)*$S$61</f>
        <v>#N/A</v>
      </c>
      <c r="I371">
        <f>(C371+$S$60)*$S$61</f>
        <v>71.85110650887574</v>
      </c>
    </row>
    <row r="372">
      <c r="B372" t="e">
        <f>IF(45&lt;=$S$14,$S$13+44*$S$15,NA())</f>
        <v>#N/A</v>
      </c>
      <c r="C372">
        <f>$S$12</f>
        <v>84.0</v>
      </c>
      <c r="D372" t="e">
        <f>(B372+$S$52)*$S$54</f>
        <v>#N/A</v>
      </c>
      <c r="E372">
        <f>(C372+$S$53)*$S$54</f>
        <v>157.0830422535211</v>
      </c>
      <c r="F372" t="e">
        <f>(B372+$S$55)*$S$58</f>
        <v>#N/A</v>
      </c>
      <c r="G372">
        <f>(C372+$S$56)*$S$58</f>
        <v>420.90077948717953</v>
      </c>
      <c r="H372" t="e">
        <f>(B372+$S$59)*$S$61</f>
        <v>#N/A</v>
      </c>
      <c r="I372">
        <f>(C372+$S$60)*$S$61</f>
        <v>190.6253846153846</v>
      </c>
    </row>
    <row r="374">
      <c r="B374" t="e">
        <f>IF(46&lt;=$S$14,$S$13+45*$S$15,NA())</f>
        <v>#N/A</v>
      </c>
      <c r="C374">
        <f>$S$7</f>
        <v>3.0</v>
      </c>
      <c r="D374" t="e">
        <f>(B374+$S$52)*$S$54</f>
        <v>#N/A</v>
      </c>
      <c r="E374">
        <f>(C374+$S$53)*$S$54</f>
        <v>77.05960563380282</v>
      </c>
      <c r="F374" t="e">
        <f>(B374+$S$55)*$S$58</f>
        <v>#N/A</v>
      </c>
      <c r="G374">
        <f>(C374+$S$56)*$S$58</f>
        <v>187.38733333333334</v>
      </c>
      <c r="H374" t="e">
        <f>(B374+$S$59)*$S$61</f>
        <v>#N/A</v>
      </c>
      <c r="I374">
        <f>(C374+$S$60)*$S$61</f>
        <v>71.85110650887574</v>
      </c>
    </row>
    <row r="375">
      <c r="B375" t="e">
        <f>IF(46&lt;=$S$14,$S$13+45*$S$15,NA())</f>
        <v>#N/A</v>
      </c>
      <c r="C375">
        <f>$S$12</f>
        <v>84.0</v>
      </c>
      <c r="D375" t="e">
        <f>(B375+$S$52)*$S$54</f>
        <v>#N/A</v>
      </c>
      <c r="E375">
        <f>(C375+$S$53)*$S$54</f>
        <v>157.0830422535211</v>
      </c>
      <c r="F375" t="e">
        <f>(B375+$S$55)*$S$58</f>
        <v>#N/A</v>
      </c>
      <c r="G375">
        <f>(C375+$S$56)*$S$58</f>
        <v>420.90077948717953</v>
      </c>
      <c r="H375" t="e">
        <f>(B375+$S$59)*$S$61</f>
        <v>#N/A</v>
      </c>
      <c r="I375">
        <f>(C375+$S$60)*$S$61</f>
        <v>190.6253846153846</v>
      </c>
    </row>
    <row r="377">
      <c r="B377" t="e">
        <f>IF(47&lt;=$S$14,$S$13+46*$S$15,NA())</f>
        <v>#N/A</v>
      </c>
      <c r="C377">
        <f>$S$7</f>
        <v>3.0</v>
      </c>
      <c r="D377" t="e">
        <f>(B377+$S$52)*$S$54</f>
        <v>#N/A</v>
      </c>
      <c r="E377">
        <f>(C377+$S$53)*$S$54</f>
        <v>77.05960563380282</v>
      </c>
      <c r="F377" t="e">
        <f>(B377+$S$55)*$S$58</f>
        <v>#N/A</v>
      </c>
      <c r="G377">
        <f>(C377+$S$56)*$S$58</f>
        <v>187.38733333333334</v>
      </c>
      <c r="H377" t="e">
        <f>(B377+$S$59)*$S$61</f>
        <v>#N/A</v>
      </c>
      <c r="I377">
        <f>(C377+$S$60)*$S$61</f>
        <v>71.85110650887574</v>
      </c>
    </row>
    <row r="378">
      <c r="B378" t="e">
        <f>IF(47&lt;=$S$14,$S$13+46*$S$15,NA())</f>
        <v>#N/A</v>
      </c>
      <c r="C378">
        <f>$S$12</f>
        <v>84.0</v>
      </c>
      <c r="D378" t="e">
        <f>(B378+$S$52)*$S$54</f>
        <v>#N/A</v>
      </c>
      <c r="E378">
        <f>(C378+$S$53)*$S$54</f>
        <v>157.0830422535211</v>
      </c>
      <c r="F378" t="e">
        <f>(B378+$S$55)*$S$58</f>
        <v>#N/A</v>
      </c>
      <c r="G378">
        <f>(C378+$S$56)*$S$58</f>
        <v>420.90077948717953</v>
      </c>
      <c r="H378" t="e">
        <f>(B378+$S$59)*$S$61</f>
        <v>#N/A</v>
      </c>
      <c r="I378">
        <f>(C378+$S$60)*$S$61</f>
        <v>190.6253846153846</v>
      </c>
    </row>
    <row r="380">
      <c r="B380" t="e">
        <f>IF(48&lt;=$S$14,$S$13+47*$S$15,NA())</f>
        <v>#N/A</v>
      </c>
      <c r="C380">
        <f>$S$7</f>
        <v>3.0</v>
      </c>
      <c r="D380" t="e">
        <f>(B380+$S$52)*$S$54</f>
        <v>#N/A</v>
      </c>
      <c r="E380">
        <f>(C380+$S$53)*$S$54</f>
        <v>77.05960563380282</v>
      </c>
      <c r="F380" t="e">
        <f>(B380+$S$55)*$S$58</f>
        <v>#N/A</v>
      </c>
      <c r="G380">
        <f>(C380+$S$56)*$S$58</f>
        <v>187.38733333333334</v>
      </c>
      <c r="H380" t="e">
        <f>(B380+$S$59)*$S$61</f>
        <v>#N/A</v>
      </c>
      <c r="I380">
        <f>(C380+$S$60)*$S$61</f>
        <v>71.85110650887574</v>
      </c>
    </row>
    <row r="381">
      <c r="B381" t="e">
        <f>IF(48&lt;=$S$14,$S$13+47*$S$15,NA())</f>
        <v>#N/A</v>
      </c>
      <c r="C381">
        <f>$S$12</f>
        <v>84.0</v>
      </c>
      <c r="D381" t="e">
        <f>(B381+$S$52)*$S$54</f>
        <v>#N/A</v>
      </c>
      <c r="E381">
        <f>(C381+$S$53)*$S$54</f>
        <v>157.0830422535211</v>
      </c>
      <c r="F381" t="e">
        <f>(B381+$S$55)*$S$58</f>
        <v>#N/A</v>
      </c>
      <c r="G381">
        <f>(C381+$S$56)*$S$58</f>
        <v>420.90077948717953</v>
      </c>
      <c r="H381" t="e">
        <f>(B381+$S$59)*$S$61</f>
        <v>#N/A</v>
      </c>
      <c r="I381">
        <f>(C381+$S$60)*$S$61</f>
        <v>190.6253846153846</v>
      </c>
    </row>
    <row r="383">
      <c r="B383" t="e">
        <f>IF(49&lt;=$S$14,$S$13+48*$S$15,NA())</f>
        <v>#N/A</v>
      </c>
      <c r="C383">
        <f>$S$7</f>
        <v>3.0</v>
      </c>
      <c r="D383" t="e">
        <f>(B383+$S$52)*$S$54</f>
        <v>#N/A</v>
      </c>
      <c r="E383">
        <f>(C383+$S$53)*$S$54</f>
        <v>77.05960563380282</v>
      </c>
      <c r="F383" t="e">
        <f>(B383+$S$55)*$S$58</f>
        <v>#N/A</v>
      </c>
      <c r="G383">
        <f>(C383+$S$56)*$S$58</f>
        <v>187.38733333333334</v>
      </c>
      <c r="H383" t="e">
        <f>(B383+$S$59)*$S$61</f>
        <v>#N/A</v>
      </c>
      <c r="I383">
        <f>(C383+$S$60)*$S$61</f>
        <v>71.85110650887574</v>
      </c>
    </row>
    <row r="384">
      <c r="B384" t="e">
        <f>IF(49&lt;=$S$14,$S$13+48*$S$15,NA())</f>
        <v>#N/A</v>
      </c>
      <c r="C384">
        <f>$S$12</f>
        <v>84.0</v>
      </c>
      <c r="D384" t="e">
        <f>(B384+$S$52)*$S$54</f>
        <v>#N/A</v>
      </c>
      <c r="E384">
        <f>(C384+$S$53)*$S$54</f>
        <v>157.0830422535211</v>
      </c>
      <c r="F384" t="e">
        <f>(B384+$S$55)*$S$58</f>
        <v>#N/A</v>
      </c>
      <c r="G384">
        <f>(C384+$S$56)*$S$58</f>
        <v>420.90077948717953</v>
      </c>
      <c r="H384" t="e">
        <f>(B384+$S$59)*$S$61</f>
        <v>#N/A</v>
      </c>
      <c r="I384">
        <f>(C384+$S$60)*$S$61</f>
        <v>190.6253846153846</v>
      </c>
    </row>
    <row r="386">
      <c r="B386" t="e">
        <f>IF(50&lt;=$S$14,$S$13+49*$S$15,NA())</f>
        <v>#N/A</v>
      </c>
      <c r="C386">
        <f>$S$7</f>
        <v>3.0</v>
      </c>
      <c r="D386" t="e">
        <f>(B386+$S$52)*$S$54</f>
        <v>#N/A</v>
      </c>
      <c r="E386">
        <f>(C386+$S$53)*$S$54</f>
        <v>77.05960563380282</v>
      </c>
      <c r="F386" t="e">
        <f>(B386+$S$55)*$S$58</f>
        <v>#N/A</v>
      </c>
      <c r="G386">
        <f>(C386+$S$56)*$S$58</f>
        <v>187.38733333333334</v>
      </c>
      <c r="H386" t="e">
        <f>(B386+$S$59)*$S$61</f>
        <v>#N/A</v>
      </c>
      <c r="I386">
        <f>(C386+$S$60)*$S$61</f>
        <v>71.85110650887574</v>
      </c>
    </row>
    <row r="387">
      <c r="B387" t="e">
        <f>IF(50&lt;=$S$14,$S$13+49*$S$15,NA())</f>
        <v>#N/A</v>
      </c>
      <c r="C387">
        <f>$S$12</f>
        <v>84.0</v>
      </c>
      <c r="D387" t="e">
        <f>(B387+$S$52)*$S$54</f>
        <v>#N/A</v>
      </c>
      <c r="E387">
        <f>(C387+$S$53)*$S$54</f>
        <v>157.0830422535211</v>
      </c>
      <c r="F387" t="e">
        <f>(B387+$S$55)*$S$58</f>
        <v>#N/A</v>
      </c>
      <c r="G387">
        <f>(C387+$S$56)*$S$58</f>
        <v>420.90077948717953</v>
      </c>
      <c r="H387" t="e">
        <f>(B387+$S$59)*$S$61</f>
        <v>#N/A</v>
      </c>
      <c r="I387">
        <f>(C387+$S$60)*$S$61</f>
        <v>190.6253846153846</v>
      </c>
    </row>
    <row r="389">
      <c r="B389">
        <f>$S$2-(IF(1&lt;=$S$14,$S$13+0*$S$15,NA()))</f>
        <v>812.0</v>
      </c>
      <c r="C389">
        <f>$S$7</f>
        <v>3.0</v>
      </c>
      <c r="D389">
        <f>(B389+$S$52)*$S$54</f>
        <v>846.6677183098591</v>
      </c>
      <c r="E389">
        <f>(C389+$S$53)*$S$54</f>
        <v>77.05960563380282</v>
      </c>
      <c r="F389">
        <f>(B389+$S$55)*$S$58</f>
        <v>2427.386687179487</v>
      </c>
      <c r="G389">
        <f>(C389+$S$56)*$S$58</f>
        <v>187.38733333333334</v>
      </c>
      <c r="H389">
        <f>(B389+$S$59)*$S$61</f>
        <v>1231.7332544378698</v>
      </c>
      <c r="I389">
        <f>(C389+$S$60)*$S$61</f>
        <v>71.85110650887574</v>
      </c>
    </row>
    <row r="390">
      <c r="B390">
        <f>$S$2-(IF(1&lt;=$S$14,$S$13+0*$S$15,NA()))</f>
        <v>812.0</v>
      </c>
      <c r="C390">
        <f>$S$12</f>
        <v>84.0</v>
      </c>
      <c r="D390">
        <f>(B390+$S$52)*$S$54</f>
        <v>846.6677183098591</v>
      </c>
      <c r="E390">
        <f>(C390+$S$53)*$S$54</f>
        <v>157.0830422535211</v>
      </c>
      <c r="F390">
        <f>(B390+$S$55)*$S$58</f>
        <v>2427.386687179487</v>
      </c>
      <c r="G390">
        <f>(C390+$S$56)*$S$58</f>
        <v>420.90077948717953</v>
      </c>
      <c r="H390">
        <f>(B390+$S$59)*$S$61</f>
        <v>1231.7332544378698</v>
      </c>
      <c r="I390">
        <f>(C390+$S$60)*$S$61</f>
        <v>190.6253846153846</v>
      </c>
    </row>
    <row r="392">
      <c r="B392">
        <f>$S$2-(IF(2&lt;=$S$14,$S$13+1*$S$15,NA()))</f>
        <v>803.5</v>
      </c>
      <c r="C392">
        <f>$S$7</f>
        <v>3.0</v>
      </c>
      <c r="D392">
        <f>(B392+$S$52)*$S$54</f>
        <v>838.2701971830985</v>
      </c>
      <c r="E392">
        <f>(C392+$S$53)*$S$54</f>
        <v>77.05960563380282</v>
      </c>
      <c r="F392">
        <f>(B392+$S$55)*$S$58</f>
        <v>2402.88218974359</v>
      </c>
      <c r="G392">
        <f>(C392+$S$56)*$S$58</f>
        <v>187.38733333333334</v>
      </c>
      <c r="H392">
        <f>(B392+$S$59)*$S$61</f>
        <v>1219.2692869822486</v>
      </c>
      <c r="I392">
        <f>(C392+$S$60)*$S$61</f>
        <v>71.85110650887574</v>
      </c>
    </row>
    <row r="393">
      <c r="B393">
        <f>$S$2-(IF(2&lt;=$S$14,$S$13+1*$S$15,NA()))</f>
        <v>803.5</v>
      </c>
      <c r="C393">
        <f>$S$12</f>
        <v>84.0</v>
      </c>
      <c r="D393">
        <f>(B393+$S$52)*$S$54</f>
        <v>838.2701971830985</v>
      </c>
      <c r="E393">
        <f>(C393+$S$53)*$S$54</f>
        <v>157.0830422535211</v>
      </c>
      <c r="F393">
        <f>(B393+$S$55)*$S$58</f>
        <v>2402.88218974359</v>
      </c>
      <c r="G393">
        <f>(C393+$S$56)*$S$58</f>
        <v>420.90077948717953</v>
      </c>
      <c r="H393">
        <f>(B393+$S$59)*$S$61</f>
        <v>1219.2692869822486</v>
      </c>
      <c r="I393">
        <f>(C393+$S$60)*$S$61</f>
        <v>190.6253846153846</v>
      </c>
    </row>
    <row r="395">
      <c r="B395">
        <f>$S$2-(IF(3&lt;=$S$14,$S$13+2*$S$15,NA()))</f>
        <v>795.0</v>
      </c>
      <c r="C395">
        <f>$S$7</f>
        <v>3.0</v>
      </c>
      <c r="D395">
        <f>(B395+$S$52)*$S$54</f>
        <v>829.8726760563379</v>
      </c>
      <c r="E395">
        <f>(C395+$S$53)*$S$54</f>
        <v>77.05960563380282</v>
      </c>
      <c r="F395">
        <f>(B395+$S$55)*$S$58</f>
        <v>2378.3776923076925</v>
      </c>
      <c r="G395">
        <f>(C395+$S$56)*$S$58</f>
        <v>187.38733333333334</v>
      </c>
      <c r="H395">
        <f>(B395+$S$59)*$S$61</f>
        <v>1206.8053195266273</v>
      </c>
      <c r="I395">
        <f>(C395+$S$60)*$S$61</f>
        <v>71.85110650887574</v>
      </c>
    </row>
    <row r="396">
      <c r="B396">
        <f>$S$2-(IF(3&lt;=$S$14,$S$13+2*$S$15,NA()))</f>
        <v>795.0</v>
      </c>
      <c r="C396">
        <f>$S$12</f>
        <v>84.0</v>
      </c>
      <c r="D396">
        <f>(B396+$S$52)*$S$54</f>
        <v>829.8726760563379</v>
      </c>
      <c r="E396">
        <f>(C396+$S$53)*$S$54</f>
        <v>157.0830422535211</v>
      </c>
      <c r="F396">
        <f>(B396+$S$55)*$S$58</f>
        <v>2378.3776923076925</v>
      </c>
      <c r="G396">
        <f>(C396+$S$56)*$S$58</f>
        <v>420.90077948717953</v>
      </c>
      <c r="H396">
        <f>(B396+$S$59)*$S$61</f>
        <v>1206.8053195266273</v>
      </c>
      <c r="I396">
        <f>(C396+$S$60)*$S$61</f>
        <v>190.6253846153846</v>
      </c>
    </row>
    <row r="398">
      <c r="B398">
        <f>$S$2-(IF(4&lt;=$S$14,$S$13+3*$S$15,NA()))</f>
        <v>786.5</v>
      </c>
      <c r="C398">
        <f>$S$7</f>
        <v>3.0</v>
      </c>
      <c r="D398">
        <f>(B398+$S$52)*$S$54</f>
        <v>821.4751549295775</v>
      </c>
      <c r="E398">
        <f>(C398+$S$53)*$S$54</f>
        <v>77.05960563380282</v>
      </c>
      <c r="F398">
        <f>(B398+$S$55)*$S$58</f>
        <v>2353.873194871795</v>
      </c>
      <c r="G398">
        <f>(C398+$S$56)*$S$58</f>
        <v>187.38733333333334</v>
      </c>
      <c r="H398">
        <f>(B398+$S$59)*$S$61</f>
        <v>1194.341352071006</v>
      </c>
      <c r="I398">
        <f>(C398+$S$60)*$S$61</f>
        <v>71.85110650887574</v>
      </c>
    </row>
    <row r="399">
      <c r="B399">
        <f>$S$2-(IF(4&lt;=$S$14,$S$13+3*$S$15,NA()))</f>
        <v>786.5</v>
      </c>
      <c r="C399">
        <f>$S$12</f>
        <v>84.0</v>
      </c>
      <c r="D399">
        <f>(B399+$S$52)*$S$54</f>
        <v>821.4751549295775</v>
      </c>
      <c r="E399">
        <f>(C399+$S$53)*$S$54</f>
        <v>157.0830422535211</v>
      </c>
      <c r="F399">
        <f>(B399+$S$55)*$S$58</f>
        <v>2353.873194871795</v>
      </c>
      <c r="G399">
        <f>(C399+$S$56)*$S$58</f>
        <v>420.90077948717953</v>
      </c>
      <c r="H399">
        <f>(B399+$S$59)*$S$61</f>
        <v>1194.341352071006</v>
      </c>
      <c r="I399">
        <f>(C399+$S$60)*$S$61</f>
        <v>190.6253846153846</v>
      </c>
    </row>
    <row r="401">
      <c r="B401">
        <f>$S$2-(IF(5&lt;=$S$14,$S$13+4*$S$15,NA()))</f>
        <v>778.0</v>
      </c>
      <c r="C401">
        <f>$S$7</f>
        <v>3.0</v>
      </c>
      <c r="D401">
        <f>(B401+$S$52)*$S$54</f>
        <v>813.0776338028169</v>
      </c>
      <c r="E401">
        <f>(C401+$S$53)*$S$54</f>
        <v>77.05960563380282</v>
      </c>
      <c r="F401">
        <f>(B401+$S$55)*$S$58</f>
        <v>2329.3686974358975</v>
      </c>
      <c r="G401">
        <f>(C401+$S$56)*$S$58</f>
        <v>187.38733333333334</v>
      </c>
      <c r="H401">
        <f>(B401+$S$59)*$S$61</f>
        <v>1181.8773846153847</v>
      </c>
      <c r="I401">
        <f>(C401+$S$60)*$S$61</f>
        <v>71.85110650887574</v>
      </c>
    </row>
    <row r="402">
      <c r="B402">
        <f>$S$2-(IF(5&lt;=$S$14,$S$13+4*$S$15,NA()))</f>
        <v>778.0</v>
      </c>
      <c r="C402">
        <f>$S$12</f>
        <v>84.0</v>
      </c>
      <c r="D402">
        <f>(B402+$S$52)*$S$54</f>
        <v>813.0776338028169</v>
      </c>
      <c r="E402">
        <f>(C402+$S$53)*$S$54</f>
        <v>157.0830422535211</v>
      </c>
      <c r="F402">
        <f>(B402+$S$55)*$S$58</f>
        <v>2329.3686974358975</v>
      </c>
      <c r="G402">
        <f>(C402+$S$56)*$S$58</f>
        <v>420.90077948717953</v>
      </c>
      <c r="H402">
        <f>(B402+$S$59)*$S$61</f>
        <v>1181.8773846153847</v>
      </c>
      <c r="I402">
        <f>(C402+$S$60)*$S$61</f>
        <v>190.6253846153846</v>
      </c>
    </row>
    <row r="404">
      <c r="B404">
        <f>$S$2-(IF(6&lt;=$S$14,$S$13+5*$S$15,NA()))</f>
        <v>769.5</v>
      </c>
      <c r="C404">
        <f>$S$7</f>
        <v>3.0</v>
      </c>
      <c r="D404">
        <f>(B404+$S$52)*$S$54</f>
        <v>804.6801126760563</v>
      </c>
      <c r="E404">
        <f>(C404+$S$53)*$S$54</f>
        <v>77.05960563380282</v>
      </c>
      <c r="F404">
        <f>(B404+$S$55)*$S$58</f>
        <v>2304.8642</v>
      </c>
      <c r="G404">
        <f>(C404+$S$56)*$S$58</f>
        <v>187.38733333333334</v>
      </c>
      <c r="H404">
        <f>(B404+$S$59)*$S$61</f>
        <v>1169.4134171597634</v>
      </c>
      <c r="I404">
        <f>(C404+$S$60)*$S$61</f>
        <v>71.85110650887574</v>
      </c>
    </row>
    <row r="405">
      <c r="B405">
        <f>$S$2-(IF(6&lt;=$S$14,$S$13+5*$S$15,NA()))</f>
        <v>769.5</v>
      </c>
      <c r="C405">
        <f>$S$12</f>
        <v>84.0</v>
      </c>
      <c r="D405">
        <f>(B405+$S$52)*$S$54</f>
        <v>804.6801126760563</v>
      </c>
      <c r="E405">
        <f>(C405+$S$53)*$S$54</f>
        <v>157.0830422535211</v>
      </c>
      <c r="F405">
        <f>(B405+$S$55)*$S$58</f>
        <v>2304.8642</v>
      </c>
      <c r="G405">
        <f>(C405+$S$56)*$S$58</f>
        <v>420.90077948717953</v>
      </c>
      <c r="H405">
        <f>(B405+$S$59)*$S$61</f>
        <v>1169.4134171597634</v>
      </c>
      <c r="I405">
        <f>(C405+$S$60)*$S$61</f>
        <v>190.6253846153846</v>
      </c>
    </row>
    <row r="407">
      <c r="B407">
        <f>$S$2-(IF(7&lt;=$S$14,$S$13+6*$S$15,NA()))</f>
        <v>761.0</v>
      </c>
      <c r="C407">
        <f>$S$7</f>
        <v>3.0</v>
      </c>
      <c r="D407">
        <f>(B407+$S$52)*$S$54</f>
        <v>796.2825915492957</v>
      </c>
      <c r="E407">
        <f>(C407+$S$53)*$S$54</f>
        <v>77.05960563380282</v>
      </c>
      <c r="F407">
        <f>(B407+$S$55)*$S$58</f>
        <v>2280.3597025641025</v>
      </c>
      <c r="G407">
        <f>(C407+$S$56)*$S$58</f>
        <v>187.38733333333334</v>
      </c>
      <c r="H407">
        <f>(B407+$S$59)*$S$61</f>
        <v>1156.949449704142</v>
      </c>
      <c r="I407">
        <f>(C407+$S$60)*$S$61</f>
        <v>71.85110650887574</v>
      </c>
    </row>
    <row r="408">
      <c r="B408">
        <f>$S$2-(IF(7&lt;=$S$14,$S$13+6*$S$15,NA()))</f>
        <v>761.0</v>
      </c>
      <c r="C408">
        <f>$S$12</f>
        <v>84.0</v>
      </c>
      <c r="D408">
        <f>(B408+$S$52)*$S$54</f>
        <v>796.2825915492957</v>
      </c>
      <c r="E408">
        <f>(C408+$S$53)*$S$54</f>
        <v>157.0830422535211</v>
      </c>
      <c r="F408">
        <f>(B408+$S$55)*$S$58</f>
        <v>2280.3597025641025</v>
      </c>
      <c r="G408">
        <f>(C408+$S$56)*$S$58</f>
        <v>420.90077948717953</v>
      </c>
      <c r="H408">
        <f>(B408+$S$59)*$S$61</f>
        <v>1156.949449704142</v>
      </c>
      <c r="I408">
        <f>(C408+$S$60)*$S$61</f>
        <v>190.6253846153846</v>
      </c>
    </row>
    <row r="410">
      <c r="B410">
        <f>$S$2-(IF(8&lt;=$S$14,$S$13+7*$S$15,NA()))</f>
        <v>752.5</v>
      </c>
      <c r="C410">
        <f>$S$7</f>
        <v>3.0</v>
      </c>
      <c r="D410">
        <f>(B410+$S$52)*$S$54</f>
        <v>787.8850704225351</v>
      </c>
      <c r="E410">
        <f>(C410+$S$53)*$S$54</f>
        <v>77.05960563380282</v>
      </c>
      <c r="F410">
        <f>(B410+$S$55)*$S$58</f>
        <v>2255.8552051282054</v>
      </c>
      <c r="G410">
        <f>(C410+$S$56)*$S$58</f>
        <v>187.38733333333334</v>
      </c>
      <c r="H410">
        <f>(B410+$S$59)*$S$61</f>
        <v>1144.4854822485206</v>
      </c>
      <c r="I410">
        <f>(C410+$S$60)*$S$61</f>
        <v>71.85110650887574</v>
      </c>
    </row>
    <row r="411">
      <c r="B411">
        <f>$S$2-(IF(8&lt;=$S$14,$S$13+7*$S$15,NA()))</f>
        <v>752.5</v>
      </c>
      <c r="C411">
        <f>$S$12</f>
        <v>84.0</v>
      </c>
      <c r="D411">
        <f>(B411+$S$52)*$S$54</f>
        <v>787.8850704225351</v>
      </c>
      <c r="E411">
        <f>(C411+$S$53)*$S$54</f>
        <v>157.0830422535211</v>
      </c>
      <c r="F411">
        <f>(B411+$S$55)*$S$58</f>
        <v>2255.8552051282054</v>
      </c>
      <c r="G411">
        <f>(C411+$S$56)*$S$58</f>
        <v>420.90077948717953</v>
      </c>
      <c r="H411">
        <f>(B411+$S$59)*$S$61</f>
        <v>1144.4854822485206</v>
      </c>
      <c r="I411">
        <f>(C411+$S$60)*$S$61</f>
        <v>190.6253846153846</v>
      </c>
    </row>
    <row r="413">
      <c r="B413">
        <f>$S$2-(IF(9&lt;=$S$14,$S$13+8*$S$15,NA()))</f>
        <v>744.0</v>
      </c>
      <c r="C413">
        <f>$S$7</f>
        <v>3.0</v>
      </c>
      <c r="D413">
        <f>(B413+$S$52)*$S$54</f>
        <v>779.4875492957746</v>
      </c>
      <c r="E413">
        <f>(C413+$S$53)*$S$54</f>
        <v>77.05960563380282</v>
      </c>
      <c r="F413">
        <f>(B413+$S$55)*$S$58</f>
        <v>2231.350707692308</v>
      </c>
      <c r="G413">
        <f>(C413+$S$56)*$S$58</f>
        <v>187.38733333333334</v>
      </c>
      <c r="H413">
        <f>(B413+$S$59)*$S$61</f>
        <v>1132.0215147928993</v>
      </c>
      <c r="I413">
        <f>(C413+$S$60)*$S$61</f>
        <v>71.85110650887574</v>
      </c>
    </row>
    <row r="414">
      <c r="B414">
        <f>$S$2-(IF(9&lt;=$S$14,$S$13+8*$S$15,NA()))</f>
        <v>744.0</v>
      </c>
      <c r="C414">
        <f>$S$12</f>
        <v>84.0</v>
      </c>
      <c r="D414">
        <f>(B414+$S$52)*$S$54</f>
        <v>779.4875492957746</v>
      </c>
      <c r="E414">
        <f>(C414+$S$53)*$S$54</f>
        <v>157.0830422535211</v>
      </c>
      <c r="F414">
        <f>(B414+$S$55)*$S$58</f>
        <v>2231.350707692308</v>
      </c>
      <c r="G414">
        <f>(C414+$S$56)*$S$58</f>
        <v>420.90077948717953</v>
      </c>
      <c r="H414">
        <f>(B414+$S$59)*$S$61</f>
        <v>1132.0215147928993</v>
      </c>
      <c r="I414">
        <f>(C414+$S$60)*$S$61</f>
        <v>190.6253846153846</v>
      </c>
    </row>
    <row r="416">
      <c r="B416">
        <f>$S$2-(IF(10&lt;=$S$14,$S$13+9*$S$15,NA()))</f>
        <v>735.5</v>
      </c>
      <c r="C416">
        <f>$S$7</f>
        <v>3.0</v>
      </c>
      <c r="D416">
        <f>(B416+$S$52)*$S$54</f>
        <v>771.0900281690141</v>
      </c>
      <c r="E416">
        <f>(C416+$S$53)*$S$54</f>
        <v>77.05960563380282</v>
      </c>
      <c r="F416">
        <f>(B416+$S$55)*$S$58</f>
        <v>2206.8462102564104</v>
      </c>
      <c r="G416">
        <f>(C416+$S$56)*$S$58</f>
        <v>187.38733333333334</v>
      </c>
      <c r="H416">
        <f>(B416+$S$59)*$S$61</f>
        <v>1119.557547337278</v>
      </c>
      <c r="I416">
        <f>(C416+$S$60)*$S$61</f>
        <v>71.85110650887574</v>
      </c>
    </row>
    <row r="417">
      <c r="B417">
        <f>$S$2-(IF(10&lt;=$S$14,$S$13+9*$S$15,NA()))</f>
        <v>735.5</v>
      </c>
      <c r="C417">
        <f>$S$12</f>
        <v>84.0</v>
      </c>
      <c r="D417">
        <f>(B417+$S$52)*$S$54</f>
        <v>771.0900281690141</v>
      </c>
      <c r="E417">
        <f>(C417+$S$53)*$S$54</f>
        <v>157.0830422535211</v>
      </c>
      <c r="F417">
        <f>(B417+$S$55)*$S$58</f>
        <v>2206.8462102564104</v>
      </c>
      <c r="G417">
        <f>(C417+$S$56)*$S$58</f>
        <v>420.90077948717953</v>
      </c>
      <c r="H417">
        <f>(B417+$S$59)*$S$61</f>
        <v>1119.557547337278</v>
      </c>
      <c r="I417">
        <f>(C417+$S$60)*$S$61</f>
        <v>190.6253846153846</v>
      </c>
    </row>
    <row r="419">
      <c r="B419">
        <f>$S$2-(IF(11&lt;=$S$14,$S$13+10*$S$15,NA()))</f>
        <v>727.0</v>
      </c>
      <c r="C419">
        <f>$S$7</f>
        <v>3.0</v>
      </c>
      <c r="D419">
        <f>(B419+$S$52)*$S$54</f>
        <v>762.6925070422535</v>
      </c>
      <c r="E419">
        <f>(C419+$S$53)*$S$54</f>
        <v>77.05960563380282</v>
      </c>
      <c r="F419">
        <f>(B419+$S$55)*$S$58</f>
        <v>2182.341712820513</v>
      </c>
      <c r="G419">
        <f>(C419+$S$56)*$S$58</f>
        <v>187.38733333333334</v>
      </c>
      <c r="H419">
        <f>(B419+$S$59)*$S$61</f>
        <v>1107.0935798816568</v>
      </c>
      <c r="I419">
        <f>(C419+$S$60)*$S$61</f>
        <v>71.85110650887574</v>
      </c>
    </row>
    <row r="420">
      <c r="B420">
        <f>$S$2-(IF(11&lt;=$S$14,$S$13+10*$S$15,NA()))</f>
        <v>727.0</v>
      </c>
      <c r="C420">
        <f>$S$12</f>
        <v>84.0</v>
      </c>
      <c r="D420">
        <f>(B420+$S$52)*$S$54</f>
        <v>762.6925070422535</v>
      </c>
      <c r="E420">
        <f>(C420+$S$53)*$S$54</f>
        <v>157.0830422535211</v>
      </c>
      <c r="F420">
        <f>(B420+$S$55)*$S$58</f>
        <v>2182.341712820513</v>
      </c>
      <c r="G420">
        <f>(C420+$S$56)*$S$58</f>
        <v>420.90077948717953</v>
      </c>
      <c r="H420">
        <f>(B420+$S$59)*$S$61</f>
        <v>1107.0935798816568</v>
      </c>
      <c r="I420">
        <f>(C420+$S$60)*$S$61</f>
        <v>190.6253846153846</v>
      </c>
    </row>
    <row r="422">
      <c r="B422">
        <f>$S$2-(IF(12&lt;=$S$14,$S$13+11*$S$15,NA()))</f>
        <v>718.5</v>
      </c>
      <c r="C422">
        <f>$S$7</f>
        <v>3.0</v>
      </c>
      <c r="D422">
        <f>(B422+$S$52)*$S$54</f>
        <v>754.2949859154929</v>
      </c>
      <c r="E422">
        <f>(C422+$S$53)*$S$54</f>
        <v>77.05960563380282</v>
      </c>
      <c r="F422">
        <f>(B422+$S$55)*$S$58</f>
        <v>2157.8372153846153</v>
      </c>
      <c r="G422">
        <f>(C422+$S$56)*$S$58</f>
        <v>187.38733333333334</v>
      </c>
      <c r="H422">
        <f>(B422+$S$59)*$S$61</f>
        <v>1094.6296124260355</v>
      </c>
      <c r="I422">
        <f>(C422+$S$60)*$S$61</f>
        <v>71.85110650887574</v>
      </c>
    </row>
    <row r="423">
      <c r="B423">
        <f>$S$2-(IF(12&lt;=$S$14,$S$13+11*$S$15,NA()))</f>
        <v>718.5</v>
      </c>
      <c r="C423">
        <f>$S$12</f>
        <v>84.0</v>
      </c>
      <c r="D423">
        <f>(B423+$S$52)*$S$54</f>
        <v>754.2949859154929</v>
      </c>
      <c r="E423">
        <f>(C423+$S$53)*$S$54</f>
        <v>157.0830422535211</v>
      </c>
      <c r="F423">
        <f>(B423+$S$55)*$S$58</f>
        <v>2157.8372153846153</v>
      </c>
      <c r="G423">
        <f>(C423+$S$56)*$S$58</f>
        <v>420.90077948717953</v>
      </c>
      <c r="H423">
        <f>(B423+$S$59)*$S$61</f>
        <v>1094.6296124260355</v>
      </c>
      <c r="I423">
        <f>(C423+$S$60)*$S$61</f>
        <v>190.6253846153846</v>
      </c>
    </row>
    <row r="425">
      <c r="B425" t="e">
        <f>$S$2-(IF(13&lt;=$S$14,$S$13+12*$S$15,NA()))</f>
        <v>#N/A</v>
      </c>
      <c r="C425">
        <f>$S$7</f>
        <v>3.0</v>
      </c>
      <c r="D425" t="e">
        <f>(B425+$S$52)*$S$54</f>
        <v>#N/A</v>
      </c>
      <c r="E425">
        <f>(C425+$S$53)*$S$54</f>
        <v>77.05960563380282</v>
      </c>
      <c r="F425" t="e">
        <f>(B425+$S$55)*$S$58</f>
        <v>#N/A</v>
      </c>
      <c r="G425">
        <f>(C425+$S$56)*$S$58</f>
        <v>187.38733333333334</v>
      </c>
      <c r="H425" t="e">
        <f>(B425+$S$59)*$S$61</f>
        <v>#N/A</v>
      </c>
      <c r="I425">
        <f>(C425+$S$60)*$S$61</f>
        <v>71.85110650887574</v>
      </c>
    </row>
    <row r="426">
      <c r="B426" t="e">
        <f>$S$2-(IF(13&lt;=$S$14,$S$13+12*$S$15,NA()))</f>
        <v>#N/A</v>
      </c>
      <c r="C426">
        <f>$S$12</f>
        <v>84.0</v>
      </c>
      <c r="D426" t="e">
        <f>(B426+$S$52)*$S$54</f>
        <v>#N/A</v>
      </c>
      <c r="E426">
        <f>(C426+$S$53)*$S$54</f>
        <v>157.0830422535211</v>
      </c>
      <c r="F426" t="e">
        <f>(B426+$S$55)*$S$58</f>
        <v>#N/A</v>
      </c>
      <c r="G426">
        <f>(C426+$S$56)*$S$58</f>
        <v>420.90077948717953</v>
      </c>
      <c r="H426" t="e">
        <f>(B426+$S$59)*$S$61</f>
        <v>#N/A</v>
      </c>
      <c r="I426">
        <f>(C426+$S$60)*$S$61</f>
        <v>190.6253846153846</v>
      </c>
    </row>
    <row r="428">
      <c r="B428" t="e">
        <f>$S$2-(IF(14&lt;=$S$14,$S$13+13*$S$15,NA()))</f>
        <v>#N/A</v>
      </c>
      <c r="C428">
        <f>$S$7</f>
        <v>3.0</v>
      </c>
      <c r="D428" t="e">
        <f>(B428+$S$52)*$S$54</f>
        <v>#N/A</v>
      </c>
      <c r="E428">
        <f>(C428+$S$53)*$S$54</f>
        <v>77.05960563380282</v>
      </c>
      <c r="F428" t="e">
        <f>(B428+$S$55)*$S$58</f>
        <v>#N/A</v>
      </c>
      <c r="G428">
        <f>(C428+$S$56)*$S$58</f>
        <v>187.38733333333334</v>
      </c>
      <c r="H428" t="e">
        <f>(B428+$S$59)*$S$61</f>
        <v>#N/A</v>
      </c>
      <c r="I428">
        <f>(C428+$S$60)*$S$61</f>
        <v>71.85110650887574</v>
      </c>
    </row>
    <row r="429">
      <c r="B429" t="e">
        <f>$S$2-(IF(14&lt;=$S$14,$S$13+13*$S$15,NA()))</f>
        <v>#N/A</v>
      </c>
      <c r="C429">
        <f>$S$12</f>
        <v>84.0</v>
      </c>
      <c r="D429" t="e">
        <f>(B429+$S$52)*$S$54</f>
        <v>#N/A</v>
      </c>
      <c r="E429">
        <f>(C429+$S$53)*$S$54</f>
        <v>157.0830422535211</v>
      </c>
      <c r="F429" t="e">
        <f>(B429+$S$55)*$S$58</f>
        <v>#N/A</v>
      </c>
      <c r="G429">
        <f>(C429+$S$56)*$S$58</f>
        <v>420.90077948717953</v>
      </c>
      <c r="H429" t="e">
        <f>(B429+$S$59)*$S$61</f>
        <v>#N/A</v>
      </c>
      <c r="I429">
        <f>(C429+$S$60)*$S$61</f>
        <v>190.6253846153846</v>
      </c>
    </row>
    <row r="431">
      <c r="B431" t="e">
        <f>$S$2-(IF(15&lt;=$S$14,$S$13+14*$S$15,NA()))</f>
        <v>#N/A</v>
      </c>
      <c r="C431">
        <f>$S$7</f>
        <v>3.0</v>
      </c>
      <c r="D431" t="e">
        <f>(B431+$S$52)*$S$54</f>
        <v>#N/A</v>
      </c>
      <c r="E431">
        <f>(C431+$S$53)*$S$54</f>
        <v>77.05960563380282</v>
      </c>
      <c r="F431" t="e">
        <f>(B431+$S$55)*$S$58</f>
        <v>#N/A</v>
      </c>
      <c r="G431">
        <f>(C431+$S$56)*$S$58</f>
        <v>187.38733333333334</v>
      </c>
      <c r="H431" t="e">
        <f>(B431+$S$59)*$S$61</f>
        <v>#N/A</v>
      </c>
      <c r="I431">
        <f>(C431+$S$60)*$S$61</f>
        <v>71.85110650887574</v>
      </c>
    </row>
    <row r="432">
      <c r="B432" t="e">
        <f>$S$2-(IF(15&lt;=$S$14,$S$13+14*$S$15,NA()))</f>
        <v>#N/A</v>
      </c>
      <c r="C432">
        <f>$S$12</f>
        <v>84.0</v>
      </c>
      <c r="D432" t="e">
        <f>(B432+$S$52)*$S$54</f>
        <v>#N/A</v>
      </c>
      <c r="E432">
        <f>(C432+$S$53)*$S$54</f>
        <v>157.0830422535211</v>
      </c>
      <c r="F432" t="e">
        <f>(B432+$S$55)*$S$58</f>
        <v>#N/A</v>
      </c>
      <c r="G432">
        <f>(C432+$S$56)*$S$58</f>
        <v>420.90077948717953</v>
      </c>
      <c r="H432" t="e">
        <f>(B432+$S$59)*$S$61</f>
        <v>#N/A</v>
      </c>
      <c r="I432">
        <f>(C432+$S$60)*$S$61</f>
        <v>190.6253846153846</v>
      </c>
    </row>
    <row r="434">
      <c r="B434" t="e">
        <f>$S$2-(IF(16&lt;=$S$14,$S$13+15*$S$15,NA()))</f>
        <v>#N/A</v>
      </c>
      <c r="C434">
        <f>$S$7</f>
        <v>3.0</v>
      </c>
      <c r="D434" t="e">
        <f>(B434+$S$52)*$S$54</f>
        <v>#N/A</v>
      </c>
      <c r="E434">
        <f>(C434+$S$53)*$S$54</f>
        <v>77.05960563380282</v>
      </c>
      <c r="F434" t="e">
        <f>(B434+$S$55)*$S$58</f>
        <v>#N/A</v>
      </c>
      <c r="G434">
        <f>(C434+$S$56)*$S$58</f>
        <v>187.38733333333334</v>
      </c>
      <c r="H434" t="e">
        <f>(B434+$S$59)*$S$61</f>
        <v>#N/A</v>
      </c>
      <c r="I434">
        <f>(C434+$S$60)*$S$61</f>
        <v>71.85110650887574</v>
      </c>
    </row>
    <row r="435">
      <c r="B435" t="e">
        <f>$S$2-(IF(16&lt;=$S$14,$S$13+15*$S$15,NA()))</f>
        <v>#N/A</v>
      </c>
      <c r="C435">
        <f>$S$12</f>
        <v>84.0</v>
      </c>
      <c r="D435" t="e">
        <f>(B435+$S$52)*$S$54</f>
        <v>#N/A</v>
      </c>
      <c r="E435">
        <f>(C435+$S$53)*$S$54</f>
        <v>157.0830422535211</v>
      </c>
      <c r="F435" t="e">
        <f>(B435+$S$55)*$S$58</f>
        <v>#N/A</v>
      </c>
      <c r="G435">
        <f>(C435+$S$56)*$S$58</f>
        <v>420.90077948717953</v>
      </c>
      <c r="H435" t="e">
        <f>(B435+$S$59)*$S$61</f>
        <v>#N/A</v>
      </c>
      <c r="I435">
        <f>(C435+$S$60)*$S$61</f>
        <v>190.6253846153846</v>
      </c>
    </row>
    <row r="437">
      <c r="B437" t="e">
        <f>$S$2-(IF(17&lt;=$S$14,$S$13+16*$S$15,NA()))</f>
        <v>#N/A</v>
      </c>
      <c r="C437">
        <f>$S$7</f>
        <v>3.0</v>
      </c>
      <c r="D437" t="e">
        <f>(B437+$S$52)*$S$54</f>
        <v>#N/A</v>
      </c>
      <c r="E437">
        <f>(C437+$S$53)*$S$54</f>
        <v>77.05960563380282</v>
      </c>
      <c r="F437" t="e">
        <f>(B437+$S$55)*$S$58</f>
        <v>#N/A</v>
      </c>
      <c r="G437">
        <f>(C437+$S$56)*$S$58</f>
        <v>187.38733333333334</v>
      </c>
      <c r="H437" t="e">
        <f>(B437+$S$59)*$S$61</f>
        <v>#N/A</v>
      </c>
      <c r="I437">
        <f>(C437+$S$60)*$S$61</f>
        <v>71.85110650887574</v>
      </c>
    </row>
    <row r="438">
      <c r="B438" t="e">
        <f>$S$2-(IF(17&lt;=$S$14,$S$13+16*$S$15,NA()))</f>
        <v>#N/A</v>
      </c>
      <c r="C438">
        <f>$S$12</f>
        <v>84.0</v>
      </c>
      <c r="D438" t="e">
        <f>(B438+$S$52)*$S$54</f>
        <v>#N/A</v>
      </c>
      <c r="E438">
        <f>(C438+$S$53)*$S$54</f>
        <v>157.0830422535211</v>
      </c>
      <c r="F438" t="e">
        <f>(B438+$S$55)*$S$58</f>
        <v>#N/A</v>
      </c>
      <c r="G438">
        <f>(C438+$S$56)*$S$58</f>
        <v>420.90077948717953</v>
      </c>
      <c r="H438" t="e">
        <f>(B438+$S$59)*$S$61</f>
        <v>#N/A</v>
      </c>
      <c r="I438">
        <f>(C438+$S$60)*$S$61</f>
        <v>190.6253846153846</v>
      </c>
    </row>
    <row r="440">
      <c r="B440" t="e">
        <f>$S$2-(IF(18&lt;=$S$14,$S$13+17*$S$15,NA()))</f>
        <v>#N/A</v>
      </c>
      <c r="C440">
        <f>$S$7</f>
        <v>3.0</v>
      </c>
      <c r="D440" t="e">
        <f>(B440+$S$52)*$S$54</f>
        <v>#N/A</v>
      </c>
      <c r="E440">
        <f>(C440+$S$53)*$S$54</f>
        <v>77.05960563380282</v>
      </c>
      <c r="F440" t="e">
        <f>(B440+$S$55)*$S$58</f>
        <v>#N/A</v>
      </c>
      <c r="G440">
        <f>(C440+$S$56)*$S$58</f>
        <v>187.38733333333334</v>
      </c>
      <c r="H440" t="e">
        <f>(B440+$S$59)*$S$61</f>
        <v>#N/A</v>
      </c>
      <c r="I440">
        <f>(C440+$S$60)*$S$61</f>
        <v>71.85110650887574</v>
      </c>
    </row>
    <row r="441">
      <c r="B441" t="e">
        <f>$S$2-(IF(18&lt;=$S$14,$S$13+17*$S$15,NA()))</f>
        <v>#N/A</v>
      </c>
      <c r="C441">
        <f>$S$12</f>
        <v>84.0</v>
      </c>
      <c r="D441" t="e">
        <f>(B441+$S$52)*$S$54</f>
        <v>#N/A</v>
      </c>
      <c r="E441">
        <f>(C441+$S$53)*$S$54</f>
        <v>157.0830422535211</v>
      </c>
      <c r="F441" t="e">
        <f>(B441+$S$55)*$S$58</f>
        <v>#N/A</v>
      </c>
      <c r="G441">
        <f>(C441+$S$56)*$S$58</f>
        <v>420.90077948717953</v>
      </c>
      <c r="H441" t="e">
        <f>(B441+$S$59)*$S$61</f>
        <v>#N/A</v>
      </c>
      <c r="I441">
        <f>(C441+$S$60)*$S$61</f>
        <v>190.6253846153846</v>
      </c>
    </row>
    <row r="443">
      <c r="B443" t="e">
        <f>$S$2-(IF(19&lt;=$S$14,$S$13+18*$S$15,NA()))</f>
        <v>#N/A</v>
      </c>
      <c r="C443">
        <f>$S$7</f>
        <v>3.0</v>
      </c>
      <c r="D443" t="e">
        <f>(B443+$S$52)*$S$54</f>
        <v>#N/A</v>
      </c>
      <c r="E443">
        <f>(C443+$S$53)*$S$54</f>
        <v>77.05960563380282</v>
      </c>
      <c r="F443" t="e">
        <f>(B443+$S$55)*$S$58</f>
        <v>#N/A</v>
      </c>
      <c r="G443">
        <f>(C443+$S$56)*$S$58</f>
        <v>187.38733333333334</v>
      </c>
      <c r="H443" t="e">
        <f>(B443+$S$59)*$S$61</f>
        <v>#N/A</v>
      </c>
      <c r="I443">
        <f>(C443+$S$60)*$S$61</f>
        <v>71.85110650887574</v>
      </c>
    </row>
    <row r="444">
      <c r="B444" t="e">
        <f>$S$2-(IF(19&lt;=$S$14,$S$13+18*$S$15,NA()))</f>
        <v>#N/A</v>
      </c>
      <c r="C444">
        <f>$S$12</f>
        <v>84.0</v>
      </c>
      <c r="D444" t="e">
        <f>(B444+$S$52)*$S$54</f>
        <v>#N/A</v>
      </c>
      <c r="E444">
        <f>(C444+$S$53)*$S$54</f>
        <v>157.0830422535211</v>
      </c>
      <c r="F444" t="e">
        <f>(B444+$S$55)*$S$58</f>
        <v>#N/A</v>
      </c>
      <c r="G444">
        <f>(C444+$S$56)*$S$58</f>
        <v>420.90077948717953</v>
      </c>
      <c r="H444" t="e">
        <f>(B444+$S$59)*$S$61</f>
        <v>#N/A</v>
      </c>
      <c r="I444">
        <f>(C444+$S$60)*$S$61</f>
        <v>190.6253846153846</v>
      </c>
    </row>
    <row r="446">
      <c r="B446" t="e">
        <f>$S$2-(IF(20&lt;=$S$14,$S$13+19*$S$15,NA()))</f>
        <v>#N/A</v>
      </c>
      <c r="C446">
        <f>$S$7</f>
        <v>3.0</v>
      </c>
      <c r="D446" t="e">
        <f>(B446+$S$52)*$S$54</f>
        <v>#N/A</v>
      </c>
      <c r="E446">
        <f>(C446+$S$53)*$S$54</f>
        <v>77.05960563380282</v>
      </c>
      <c r="F446" t="e">
        <f>(B446+$S$55)*$S$58</f>
        <v>#N/A</v>
      </c>
      <c r="G446">
        <f>(C446+$S$56)*$S$58</f>
        <v>187.38733333333334</v>
      </c>
      <c r="H446" t="e">
        <f>(B446+$S$59)*$S$61</f>
        <v>#N/A</v>
      </c>
      <c r="I446">
        <f>(C446+$S$60)*$S$61</f>
        <v>71.85110650887574</v>
      </c>
    </row>
    <row r="447">
      <c r="B447" t="e">
        <f>$S$2-(IF(20&lt;=$S$14,$S$13+19*$S$15,NA()))</f>
        <v>#N/A</v>
      </c>
      <c r="C447">
        <f>$S$12</f>
        <v>84.0</v>
      </c>
      <c r="D447" t="e">
        <f>(B447+$S$52)*$S$54</f>
        <v>#N/A</v>
      </c>
      <c r="E447">
        <f>(C447+$S$53)*$S$54</f>
        <v>157.0830422535211</v>
      </c>
      <c r="F447" t="e">
        <f>(B447+$S$55)*$S$58</f>
        <v>#N/A</v>
      </c>
      <c r="G447">
        <f>(C447+$S$56)*$S$58</f>
        <v>420.90077948717953</v>
      </c>
      <c r="H447" t="e">
        <f>(B447+$S$59)*$S$61</f>
        <v>#N/A</v>
      </c>
      <c r="I447">
        <f>(C447+$S$60)*$S$61</f>
        <v>190.6253846153846</v>
      </c>
    </row>
    <row r="449">
      <c r="B449" t="e">
        <f>$S$2-(IF(21&lt;=$S$14,$S$13+20*$S$15,NA()))</f>
        <v>#N/A</v>
      </c>
      <c r="C449">
        <f>$S$7</f>
        <v>3.0</v>
      </c>
      <c r="D449" t="e">
        <f>(B449+$S$52)*$S$54</f>
        <v>#N/A</v>
      </c>
      <c r="E449">
        <f>(C449+$S$53)*$S$54</f>
        <v>77.05960563380282</v>
      </c>
      <c r="F449" t="e">
        <f>(B449+$S$55)*$S$58</f>
        <v>#N/A</v>
      </c>
      <c r="G449">
        <f>(C449+$S$56)*$S$58</f>
        <v>187.38733333333334</v>
      </c>
      <c r="H449" t="e">
        <f>(B449+$S$59)*$S$61</f>
        <v>#N/A</v>
      </c>
      <c r="I449">
        <f>(C449+$S$60)*$S$61</f>
        <v>71.85110650887574</v>
      </c>
    </row>
    <row r="450">
      <c r="B450" t="e">
        <f>$S$2-(IF(21&lt;=$S$14,$S$13+20*$S$15,NA()))</f>
        <v>#N/A</v>
      </c>
      <c r="C450">
        <f>$S$12</f>
        <v>84.0</v>
      </c>
      <c r="D450" t="e">
        <f>(B450+$S$52)*$S$54</f>
        <v>#N/A</v>
      </c>
      <c r="E450">
        <f>(C450+$S$53)*$S$54</f>
        <v>157.0830422535211</v>
      </c>
      <c r="F450" t="e">
        <f>(B450+$S$55)*$S$58</f>
        <v>#N/A</v>
      </c>
      <c r="G450">
        <f>(C450+$S$56)*$S$58</f>
        <v>420.90077948717953</v>
      </c>
      <c r="H450" t="e">
        <f>(B450+$S$59)*$S$61</f>
        <v>#N/A</v>
      </c>
      <c r="I450">
        <f>(C450+$S$60)*$S$61</f>
        <v>190.6253846153846</v>
      </c>
    </row>
    <row r="452">
      <c r="B452" t="e">
        <f>$S$2-(IF(22&lt;=$S$14,$S$13+21*$S$15,NA()))</f>
        <v>#N/A</v>
      </c>
      <c r="C452">
        <f>$S$7</f>
        <v>3.0</v>
      </c>
      <c r="D452" t="e">
        <f>(B452+$S$52)*$S$54</f>
        <v>#N/A</v>
      </c>
      <c r="E452">
        <f>(C452+$S$53)*$S$54</f>
        <v>77.05960563380282</v>
      </c>
      <c r="F452" t="e">
        <f>(B452+$S$55)*$S$58</f>
        <v>#N/A</v>
      </c>
      <c r="G452">
        <f>(C452+$S$56)*$S$58</f>
        <v>187.38733333333334</v>
      </c>
      <c r="H452" t="e">
        <f>(B452+$S$59)*$S$61</f>
        <v>#N/A</v>
      </c>
      <c r="I452">
        <f>(C452+$S$60)*$S$61</f>
        <v>71.85110650887574</v>
      </c>
    </row>
    <row r="453">
      <c r="B453" t="e">
        <f>$S$2-(IF(22&lt;=$S$14,$S$13+21*$S$15,NA()))</f>
        <v>#N/A</v>
      </c>
      <c r="C453">
        <f>$S$12</f>
        <v>84.0</v>
      </c>
      <c r="D453" t="e">
        <f>(B453+$S$52)*$S$54</f>
        <v>#N/A</v>
      </c>
      <c r="E453">
        <f>(C453+$S$53)*$S$54</f>
        <v>157.0830422535211</v>
      </c>
      <c r="F453" t="e">
        <f>(B453+$S$55)*$S$58</f>
        <v>#N/A</v>
      </c>
      <c r="G453">
        <f>(C453+$S$56)*$S$58</f>
        <v>420.90077948717953</v>
      </c>
      <c r="H453" t="e">
        <f>(B453+$S$59)*$S$61</f>
        <v>#N/A</v>
      </c>
      <c r="I453">
        <f>(C453+$S$60)*$S$61</f>
        <v>190.6253846153846</v>
      </c>
    </row>
    <row r="455">
      <c r="B455" t="e">
        <f>$S$2-(IF(23&lt;=$S$14,$S$13+22*$S$15,NA()))</f>
        <v>#N/A</v>
      </c>
      <c r="C455">
        <f>$S$7</f>
        <v>3.0</v>
      </c>
      <c r="D455" t="e">
        <f>(B455+$S$52)*$S$54</f>
        <v>#N/A</v>
      </c>
      <c r="E455">
        <f>(C455+$S$53)*$S$54</f>
        <v>77.05960563380282</v>
      </c>
      <c r="F455" t="e">
        <f>(B455+$S$55)*$S$58</f>
        <v>#N/A</v>
      </c>
      <c r="G455">
        <f>(C455+$S$56)*$S$58</f>
        <v>187.38733333333334</v>
      </c>
      <c r="H455" t="e">
        <f>(B455+$S$59)*$S$61</f>
        <v>#N/A</v>
      </c>
      <c r="I455">
        <f>(C455+$S$60)*$S$61</f>
        <v>71.85110650887574</v>
      </c>
    </row>
    <row r="456">
      <c r="B456" t="e">
        <f>$S$2-(IF(23&lt;=$S$14,$S$13+22*$S$15,NA()))</f>
        <v>#N/A</v>
      </c>
      <c r="C456">
        <f>$S$12</f>
        <v>84.0</v>
      </c>
      <c r="D456" t="e">
        <f>(B456+$S$52)*$S$54</f>
        <v>#N/A</v>
      </c>
      <c r="E456">
        <f>(C456+$S$53)*$S$54</f>
        <v>157.0830422535211</v>
      </c>
      <c r="F456" t="e">
        <f>(B456+$S$55)*$S$58</f>
        <v>#N/A</v>
      </c>
      <c r="G456">
        <f>(C456+$S$56)*$S$58</f>
        <v>420.90077948717953</v>
      </c>
      <c r="H456" t="e">
        <f>(B456+$S$59)*$S$61</f>
        <v>#N/A</v>
      </c>
      <c r="I456">
        <f>(C456+$S$60)*$S$61</f>
        <v>190.6253846153846</v>
      </c>
    </row>
    <row r="458">
      <c r="B458" t="e">
        <f>$S$2-(IF(24&lt;=$S$14,$S$13+23*$S$15,NA()))</f>
        <v>#N/A</v>
      </c>
      <c r="C458">
        <f>$S$7</f>
        <v>3.0</v>
      </c>
      <c r="D458" t="e">
        <f>(B458+$S$52)*$S$54</f>
        <v>#N/A</v>
      </c>
      <c r="E458">
        <f>(C458+$S$53)*$S$54</f>
        <v>77.05960563380282</v>
      </c>
      <c r="F458" t="e">
        <f>(B458+$S$55)*$S$58</f>
        <v>#N/A</v>
      </c>
      <c r="G458">
        <f>(C458+$S$56)*$S$58</f>
        <v>187.38733333333334</v>
      </c>
      <c r="H458" t="e">
        <f>(B458+$S$59)*$S$61</f>
        <v>#N/A</v>
      </c>
      <c r="I458">
        <f>(C458+$S$60)*$S$61</f>
        <v>71.85110650887574</v>
      </c>
    </row>
    <row r="459">
      <c r="B459" t="e">
        <f>$S$2-(IF(24&lt;=$S$14,$S$13+23*$S$15,NA()))</f>
        <v>#N/A</v>
      </c>
      <c r="C459">
        <f>$S$12</f>
        <v>84.0</v>
      </c>
      <c r="D459" t="e">
        <f>(B459+$S$52)*$S$54</f>
        <v>#N/A</v>
      </c>
      <c r="E459">
        <f>(C459+$S$53)*$S$54</f>
        <v>157.0830422535211</v>
      </c>
      <c r="F459" t="e">
        <f>(B459+$S$55)*$S$58</f>
        <v>#N/A</v>
      </c>
      <c r="G459">
        <f>(C459+$S$56)*$S$58</f>
        <v>420.90077948717953</v>
      </c>
      <c r="H459" t="e">
        <f>(B459+$S$59)*$S$61</f>
        <v>#N/A</v>
      </c>
      <c r="I459">
        <f>(C459+$S$60)*$S$61</f>
        <v>190.6253846153846</v>
      </c>
    </row>
    <row r="461">
      <c r="B461" t="e">
        <f>$S$2-(IF(25&lt;=$S$14,$S$13+24*$S$15,NA()))</f>
        <v>#N/A</v>
      </c>
      <c r="C461">
        <f>$S$7</f>
        <v>3.0</v>
      </c>
      <c r="D461" t="e">
        <f>(B461+$S$52)*$S$54</f>
        <v>#N/A</v>
      </c>
      <c r="E461">
        <f>(C461+$S$53)*$S$54</f>
        <v>77.05960563380282</v>
      </c>
      <c r="F461" t="e">
        <f>(B461+$S$55)*$S$58</f>
        <v>#N/A</v>
      </c>
      <c r="G461">
        <f>(C461+$S$56)*$S$58</f>
        <v>187.38733333333334</v>
      </c>
      <c r="H461" t="e">
        <f>(B461+$S$59)*$S$61</f>
        <v>#N/A</v>
      </c>
      <c r="I461">
        <f>(C461+$S$60)*$S$61</f>
        <v>71.85110650887574</v>
      </c>
    </row>
    <row r="462">
      <c r="B462" t="e">
        <f>$S$2-(IF(25&lt;=$S$14,$S$13+24*$S$15,NA()))</f>
        <v>#N/A</v>
      </c>
      <c r="C462">
        <f>$S$12</f>
        <v>84.0</v>
      </c>
      <c r="D462" t="e">
        <f>(B462+$S$52)*$S$54</f>
        <v>#N/A</v>
      </c>
      <c r="E462">
        <f>(C462+$S$53)*$S$54</f>
        <v>157.0830422535211</v>
      </c>
      <c r="F462" t="e">
        <f>(B462+$S$55)*$S$58</f>
        <v>#N/A</v>
      </c>
      <c r="G462">
        <f>(C462+$S$56)*$S$58</f>
        <v>420.90077948717953</v>
      </c>
      <c r="H462" t="e">
        <f>(B462+$S$59)*$S$61</f>
        <v>#N/A</v>
      </c>
      <c r="I462">
        <f>(C462+$S$60)*$S$61</f>
        <v>190.6253846153846</v>
      </c>
    </row>
    <row r="464">
      <c r="B464" t="e">
        <f>$S$2-(IF(26&lt;=$S$14,$S$13+25*$S$15,NA()))</f>
        <v>#N/A</v>
      </c>
      <c r="C464">
        <f>$S$7</f>
        <v>3.0</v>
      </c>
      <c r="D464" t="e">
        <f>(B464+$S$52)*$S$54</f>
        <v>#N/A</v>
      </c>
      <c r="E464">
        <f>(C464+$S$53)*$S$54</f>
        <v>77.05960563380282</v>
      </c>
      <c r="F464" t="e">
        <f>(B464+$S$55)*$S$58</f>
        <v>#N/A</v>
      </c>
      <c r="G464">
        <f>(C464+$S$56)*$S$58</f>
        <v>187.38733333333334</v>
      </c>
      <c r="H464" t="e">
        <f>(B464+$S$59)*$S$61</f>
        <v>#N/A</v>
      </c>
      <c r="I464">
        <f>(C464+$S$60)*$S$61</f>
        <v>71.85110650887574</v>
      </c>
    </row>
    <row r="465">
      <c r="B465" t="e">
        <f>$S$2-(IF(26&lt;=$S$14,$S$13+25*$S$15,NA()))</f>
        <v>#N/A</v>
      </c>
      <c r="C465">
        <f>$S$12</f>
        <v>84.0</v>
      </c>
      <c r="D465" t="e">
        <f>(B465+$S$52)*$S$54</f>
        <v>#N/A</v>
      </c>
      <c r="E465">
        <f>(C465+$S$53)*$S$54</f>
        <v>157.0830422535211</v>
      </c>
      <c r="F465" t="e">
        <f>(B465+$S$55)*$S$58</f>
        <v>#N/A</v>
      </c>
      <c r="G465">
        <f>(C465+$S$56)*$S$58</f>
        <v>420.90077948717953</v>
      </c>
      <c r="H465" t="e">
        <f>(B465+$S$59)*$S$61</f>
        <v>#N/A</v>
      </c>
      <c r="I465">
        <f>(C465+$S$60)*$S$61</f>
        <v>190.6253846153846</v>
      </c>
    </row>
    <row r="467">
      <c r="B467" t="e">
        <f>$S$2-(IF(27&lt;=$S$14,$S$13+26*$S$15,NA()))</f>
        <v>#N/A</v>
      </c>
      <c r="C467">
        <f>$S$7</f>
        <v>3.0</v>
      </c>
      <c r="D467" t="e">
        <f>(B467+$S$52)*$S$54</f>
        <v>#N/A</v>
      </c>
      <c r="E467">
        <f>(C467+$S$53)*$S$54</f>
        <v>77.05960563380282</v>
      </c>
      <c r="F467" t="e">
        <f>(B467+$S$55)*$S$58</f>
        <v>#N/A</v>
      </c>
      <c r="G467">
        <f>(C467+$S$56)*$S$58</f>
        <v>187.38733333333334</v>
      </c>
      <c r="H467" t="e">
        <f>(B467+$S$59)*$S$61</f>
        <v>#N/A</v>
      </c>
      <c r="I467">
        <f>(C467+$S$60)*$S$61</f>
        <v>71.85110650887574</v>
      </c>
    </row>
    <row r="468">
      <c r="B468" t="e">
        <f>$S$2-(IF(27&lt;=$S$14,$S$13+26*$S$15,NA()))</f>
        <v>#N/A</v>
      </c>
      <c r="C468">
        <f>$S$12</f>
        <v>84.0</v>
      </c>
      <c r="D468" t="e">
        <f>(B468+$S$52)*$S$54</f>
        <v>#N/A</v>
      </c>
      <c r="E468">
        <f>(C468+$S$53)*$S$54</f>
        <v>157.0830422535211</v>
      </c>
      <c r="F468" t="e">
        <f>(B468+$S$55)*$S$58</f>
        <v>#N/A</v>
      </c>
      <c r="G468">
        <f>(C468+$S$56)*$S$58</f>
        <v>420.90077948717953</v>
      </c>
      <c r="H468" t="e">
        <f>(B468+$S$59)*$S$61</f>
        <v>#N/A</v>
      </c>
      <c r="I468">
        <f>(C468+$S$60)*$S$61</f>
        <v>190.6253846153846</v>
      </c>
    </row>
    <row r="470">
      <c r="B470" t="e">
        <f>$S$2-(IF(28&lt;=$S$14,$S$13+27*$S$15,NA()))</f>
        <v>#N/A</v>
      </c>
      <c r="C470">
        <f>$S$7</f>
        <v>3.0</v>
      </c>
      <c r="D470" t="e">
        <f>(B470+$S$52)*$S$54</f>
        <v>#N/A</v>
      </c>
      <c r="E470">
        <f>(C470+$S$53)*$S$54</f>
        <v>77.05960563380282</v>
      </c>
      <c r="F470" t="e">
        <f>(B470+$S$55)*$S$58</f>
        <v>#N/A</v>
      </c>
      <c r="G470">
        <f>(C470+$S$56)*$S$58</f>
        <v>187.38733333333334</v>
      </c>
      <c r="H470" t="e">
        <f>(B470+$S$59)*$S$61</f>
        <v>#N/A</v>
      </c>
      <c r="I470">
        <f>(C470+$S$60)*$S$61</f>
        <v>71.85110650887574</v>
      </c>
    </row>
    <row r="471">
      <c r="B471" t="e">
        <f>$S$2-(IF(28&lt;=$S$14,$S$13+27*$S$15,NA()))</f>
        <v>#N/A</v>
      </c>
      <c r="C471">
        <f>$S$12</f>
        <v>84.0</v>
      </c>
      <c r="D471" t="e">
        <f>(B471+$S$52)*$S$54</f>
        <v>#N/A</v>
      </c>
      <c r="E471">
        <f>(C471+$S$53)*$S$54</f>
        <v>157.0830422535211</v>
      </c>
      <c r="F471" t="e">
        <f>(B471+$S$55)*$S$58</f>
        <v>#N/A</v>
      </c>
      <c r="G471">
        <f>(C471+$S$56)*$S$58</f>
        <v>420.90077948717953</v>
      </c>
      <c r="H471" t="e">
        <f>(B471+$S$59)*$S$61</f>
        <v>#N/A</v>
      </c>
      <c r="I471">
        <f>(C471+$S$60)*$S$61</f>
        <v>190.6253846153846</v>
      </c>
    </row>
    <row r="473">
      <c r="B473" t="e">
        <f>$S$2-(IF(29&lt;=$S$14,$S$13+28*$S$15,NA()))</f>
        <v>#N/A</v>
      </c>
      <c r="C473">
        <f>$S$7</f>
        <v>3.0</v>
      </c>
      <c r="D473" t="e">
        <f>(B473+$S$52)*$S$54</f>
        <v>#N/A</v>
      </c>
      <c r="E473">
        <f>(C473+$S$53)*$S$54</f>
        <v>77.05960563380282</v>
      </c>
      <c r="F473" t="e">
        <f>(B473+$S$55)*$S$58</f>
        <v>#N/A</v>
      </c>
      <c r="G473">
        <f>(C473+$S$56)*$S$58</f>
        <v>187.38733333333334</v>
      </c>
      <c r="H473" t="e">
        <f>(B473+$S$59)*$S$61</f>
        <v>#N/A</v>
      </c>
      <c r="I473">
        <f>(C473+$S$60)*$S$61</f>
        <v>71.85110650887574</v>
      </c>
    </row>
    <row r="474">
      <c r="B474" t="e">
        <f>$S$2-(IF(29&lt;=$S$14,$S$13+28*$S$15,NA()))</f>
        <v>#N/A</v>
      </c>
      <c r="C474">
        <f>$S$12</f>
        <v>84.0</v>
      </c>
      <c r="D474" t="e">
        <f>(B474+$S$52)*$S$54</f>
        <v>#N/A</v>
      </c>
      <c r="E474">
        <f>(C474+$S$53)*$S$54</f>
        <v>157.0830422535211</v>
      </c>
      <c r="F474" t="e">
        <f>(B474+$S$55)*$S$58</f>
        <v>#N/A</v>
      </c>
      <c r="G474">
        <f>(C474+$S$56)*$S$58</f>
        <v>420.90077948717953</v>
      </c>
      <c r="H474" t="e">
        <f>(B474+$S$59)*$S$61</f>
        <v>#N/A</v>
      </c>
      <c r="I474">
        <f>(C474+$S$60)*$S$61</f>
        <v>190.6253846153846</v>
      </c>
    </row>
    <row r="476">
      <c r="B476" t="e">
        <f>$S$2-(IF(30&lt;=$S$14,$S$13+29*$S$15,NA()))</f>
        <v>#N/A</v>
      </c>
      <c r="C476">
        <f>$S$7</f>
        <v>3.0</v>
      </c>
      <c r="D476" t="e">
        <f>(B476+$S$52)*$S$54</f>
        <v>#N/A</v>
      </c>
      <c r="E476">
        <f>(C476+$S$53)*$S$54</f>
        <v>77.05960563380282</v>
      </c>
      <c r="F476" t="e">
        <f>(B476+$S$55)*$S$58</f>
        <v>#N/A</v>
      </c>
      <c r="G476">
        <f>(C476+$S$56)*$S$58</f>
        <v>187.38733333333334</v>
      </c>
      <c r="H476" t="e">
        <f>(B476+$S$59)*$S$61</f>
        <v>#N/A</v>
      </c>
      <c r="I476">
        <f>(C476+$S$60)*$S$61</f>
        <v>71.85110650887574</v>
      </c>
    </row>
    <row r="477">
      <c r="B477" t="e">
        <f>$S$2-(IF(30&lt;=$S$14,$S$13+29*$S$15,NA()))</f>
        <v>#N/A</v>
      </c>
      <c r="C477">
        <f>$S$12</f>
        <v>84.0</v>
      </c>
      <c r="D477" t="e">
        <f>(B477+$S$52)*$S$54</f>
        <v>#N/A</v>
      </c>
      <c r="E477">
        <f>(C477+$S$53)*$S$54</f>
        <v>157.0830422535211</v>
      </c>
      <c r="F477" t="e">
        <f>(B477+$S$55)*$S$58</f>
        <v>#N/A</v>
      </c>
      <c r="G477">
        <f>(C477+$S$56)*$S$58</f>
        <v>420.90077948717953</v>
      </c>
      <c r="H477" t="e">
        <f>(B477+$S$59)*$S$61</f>
        <v>#N/A</v>
      </c>
      <c r="I477">
        <f>(C477+$S$60)*$S$61</f>
        <v>190.6253846153846</v>
      </c>
    </row>
    <row r="479">
      <c r="B479" t="e">
        <f>$S$2-(IF(31&lt;=$S$14,$S$13+30*$S$15,NA()))</f>
        <v>#N/A</v>
      </c>
      <c r="C479">
        <f>$S$7</f>
        <v>3.0</v>
      </c>
      <c r="D479" t="e">
        <f>(B479+$S$52)*$S$54</f>
        <v>#N/A</v>
      </c>
      <c r="E479">
        <f>(C479+$S$53)*$S$54</f>
        <v>77.05960563380282</v>
      </c>
      <c r="F479" t="e">
        <f>(B479+$S$55)*$S$58</f>
        <v>#N/A</v>
      </c>
      <c r="G479">
        <f>(C479+$S$56)*$S$58</f>
        <v>187.38733333333334</v>
      </c>
      <c r="H479" t="e">
        <f>(B479+$S$59)*$S$61</f>
        <v>#N/A</v>
      </c>
      <c r="I479">
        <f>(C479+$S$60)*$S$61</f>
        <v>71.85110650887574</v>
      </c>
    </row>
    <row r="480">
      <c r="B480" t="e">
        <f>$S$2-(IF(31&lt;=$S$14,$S$13+30*$S$15,NA()))</f>
        <v>#N/A</v>
      </c>
      <c r="C480">
        <f>$S$12</f>
        <v>84.0</v>
      </c>
      <c r="D480" t="e">
        <f>(B480+$S$52)*$S$54</f>
        <v>#N/A</v>
      </c>
      <c r="E480">
        <f>(C480+$S$53)*$S$54</f>
        <v>157.0830422535211</v>
      </c>
      <c r="F480" t="e">
        <f>(B480+$S$55)*$S$58</f>
        <v>#N/A</v>
      </c>
      <c r="G480">
        <f>(C480+$S$56)*$S$58</f>
        <v>420.90077948717953</v>
      </c>
      <c r="H480" t="e">
        <f>(B480+$S$59)*$S$61</f>
        <v>#N/A</v>
      </c>
      <c r="I480">
        <f>(C480+$S$60)*$S$61</f>
        <v>190.6253846153846</v>
      </c>
    </row>
    <row r="482">
      <c r="B482" t="e">
        <f>$S$2-(IF(32&lt;=$S$14,$S$13+31*$S$15,NA()))</f>
        <v>#N/A</v>
      </c>
      <c r="C482">
        <f>$S$7</f>
        <v>3.0</v>
      </c>
      <c r="D482" t="e">
        <f>(B482+$S$52)*$S$54</f>
        <v>#N/A</v>
      </c>
      <c r="E482">
        <f>(C482+$S$53)*$S$54</f>
        <v>77.05960563380282</v>
      </c>
      <c r="F482" t="e">
        <f>(B482+$S$55)*$S$58</f>
        <v>#N/A</v>
      </c>
      <c r="G482">
        <f>(C482+$S$56)*$S$58</f>
        <v>187.38733333333334</v>
      </c>
      <c r="H482" t="e">
        <f>(B482+$S$59)*$S$61</f>
        <v>#N/A</v>
      </c>
      <c r="I482">
        <f>(C482+$S$60)*$S$61</f>
        <v>71.85110650887574</v>
      </c>
    </row>
    <row r="483">
      <c r="B483" t="e">
        <f>$S$2-(IF(32&lt;=$S$14,$S$13+31*$S$15,NA()))</f>
        <v>#N/A</v>
      </c>
      <c r="C483">
        <f>$S$12</f>
        <v>84.0</v>
      </c>
      <c r="D483" t="e">
        <f>(B483+$S$52)*$S$54</f>
        <v>#N/A</v>
      </c>
      <c r="E483">
        <f>(C483+$S$53)*$S$54</f>
        <v>157.0830422535211</v>
      </c>
      <c r="F483" t="e">
        <f>(B483+$S$55)*$S$58</f>
        <v>#N/A</v>
      </c>
      <c r="G483">
        <f>(C483+$S$56)*$S$58</f>
        <v>420.90077948717953</v>
      </c>
      <c r="H483" t="e">
        <f>(B483+$S$59)*$S$61</f>
        <v>#N/A</v>
      </c>
      <c r="I483">
        <f>(C483+$S$60)*$S$61</f>
        <v>190.6253846153846</v>
      </c>
    </row>
    <row r="485">
      <c r="B485" t="e">
        <f>$S$2-(IF(33&lt;=$S$14,$S$13+32*$S$15,NA()))</f>
        <v>#N/A</v>
      </c>
      <c r="C485">
        <f>$S$7</f>
        <v>3.0</v>
      </c>
      <c r="D485" t="e">
        <f>(B485+$S$52)*$S$54</f>
        <v>#N/A</v>
      </c>
      <c r="E485">
        <f>(C485+$S$53)*$S$54</f>
        <v>77.05960563380282</v>
      </c>
      <c r="F485" t="e">
        <f>(B485+$S$55)*$S$58</f>
        <v>#N/A</v>
      </c>
      <c r="G485">
        <f>(C485+$S$56)*$S$58</f>
        <v>187.38733333333334</v>
      </c>
      <c r="H485" t="e">
        <f>(B485+$S$59)*$S$61</f>
        <v>#N/A</v>
      </c>
      <c r="I485">
        <f>(C485+$S$60)*$S$61</f>
        <v>71.85110650887574</v>
      </c>
    </row>
    <row r="486">
      <c r="B486" t="e">
        <f>$S$2-(IF(33&lt;=$S$14,$S$13+32*$S$15,NA()))</f>
        <v>#N/A</v>
      </c>
      <c r="C486">
        <f>$S$12</f>
        <v>84.0</v>
      </c>
      <c r="D486" t="e">
        <f>(B486+$S$52)*$S$54</f>
        <v>#N/A</v>
      </c>
      <c r="E486">
        <f>(C486+$S$53)*$S$54</f>
        <v>157.0830422535211</v>
      </c>
      <c r="F486" t="e">
        <f>(B486+$S$55)*$S$58</f>
        <v>#N/A</v>
      </c>
      <c r="G486">
        <f>(C486+$S$56)*$S$58</f>
        <v>420.90077948717953</v>
      </c>
      <c r="H486" t="e">
        <f>(B486+$S$59)*$S$61</f>
        <v>#N/A</v>
      </c>
      <c r="I486">
        <f>(C486+$S$60)*$S$61</f>
        <v>190.6253846153846</v>
      </c>
    </row>
    <row r="488">
      <c r="B488" t="e">
        <f>$S$2-(IF(34&lt;=$S$14,$S$13+33*$S$15,NA()))</f>
        <v>#N/A</v>
      </c>
      <c r="C488">
        <f>$S$7</f>
        <v>3.0</v>
      </c>
      <c r="D488" t="e">
        <f>(B488+$S$52)*$S$54</f>
        <v>#N/A</v>
      </c>
      <c r="E488">
        <f>(C488+$S$53)*$S$54</f>
        <v>77.05960563380282</v>
      </c>
      <c r="F488" t="e">
        <f>(B488+$S$55)*$S$58</f>
        <v>#N/A</v>
      </c>
      <c r="G488">
        <f>(C488+$S$56)*$S$58</f>
        <v>187.38733333333334</v>
      </c>
      <c r="H488" t="e">
        <f>(B488+$S$59)*$S$61</f>
        <v>#N/A</v>
      </c>
      <c r="I488">
        <f>(C488+$S$60)*$S$61</f>
        <v>71.85110650887574</v>
      </c>
    </row>
    <row r="489">
      <c r="B489" t="e">
        <f>$S$2-(IF(34&lt;=$S$14,$S$13+33*$S$15,NA()))</f>
        <v>#N/A</v>
      </c>
      <c r="C489">
        <f>$S$12</f>
        <v>84.0</v>
      </c>
      <c r="D489" t="e">
        <f>(B489+$S$52)*$S$54</f>
        <v>#N/A</v>
      </c>
      <c r="E489">
        <f>(C489+$S$53)*$S$54</f>
        <v>157.0830422535211</v>
      </c>
      <c r="F489" t="e">
        <f>(B489+$S$55)*$S$58</f>
        <v>#N/A</v>
      </c>
      <c r="G489">
        <f>(C489+$S$56)*$S$58</f>
        <v>420.90077948717953</v>
      </c>
      <c r="H489" t="e">
        <f>(B489+$S$59)*$S$61</f>
        <v>#N/A</v>
      </c>
      <c r="I489">
        <f>(C489+$S$60)*$S$61</f>
        <v>190.6253846153846</v>
      </c>
    </row>
    <row r="491">
      <c r="B491" t="e">
        <f>$S$2-(IF(35&lt;=$S$14,$S$13+34*$S$15,NA()))</f>
        <v>#N/A</v>
      </c>
      <c r="C491">
        <f>$S$7</f>
        <v>3.0</v>
      </c>
      <c r="D491" t="e">
        <f>(B491+$S$52)*$S$54</f>
        <v>#N/A</v>
      </c>
      <c r="E491">
        <f>(C491+$S$53)*$S$54</f>
        <v>77.05960563380282</v>
      </c>
      <c r="F491" t="e">
        <f>(B491+$S$55)*$S$58</f>
        <v>#N/A</v>
      </c>
      <c r="G491">
        <f>(C491+$S$56)*$S$58</f>
        <v>187.38733333333334</v>
      </c>
      <c r="H491" t="e">
        <f>(B491+$S$59)*$S$61</f>
        <v>#N/A</v>
      </c>
      <c r="I491">
        <f>(C491+$S$60)*$S$61</f>
        <v>71.85110650887574</v>
      </c>
    </row>
    <row r="492">
      <c r="B492" t="e">
        <f>$S$2-(IF(35&lt;=$S$14,$S$13+34*$S$15,NA()))</f>
        <v>#N/A</v>
      </c>
      <c r="C492">
        <f>$S$12</f>
        <v>84.0</v>
      </c>
      <c r="D492" t="e">
        <f>(B492+$S$52)*$S$54</f>
        <v>#N/A</v>
      </c>
      <c r="E492">
        <f>(C492+$S$53)*$S$54</f>
        <v>157.0830422535211</v>
      </c>
      <c r="F492" t="e">
        <f>(B492+$S$55)*$S$58</f>
        <v>#N/A</v>
      </c>
      <c r="G492">
        <f>(C492+$S$56)*$S$58</f>
        <v>420.90077948717953</v>
      </c>
      <c r="H492" t="e">
        <f>(B492+$S$59)*$S$61</f>
        <v>#N/A</v>
      </c>
      <c r="I492">
        <f>(C492+$S$60)*$S$61</f>
        <v>190.6253846153846</v>
      </c>
    </row>
    <row r="494">
      <c r="B494" t="e">
        <f>$S$2-(IF(36&lt;=$S$14,$S$13+35*$S$15,NA()))</f>
        <v>#N/A</v>
      </c>
      <c r="C494">
        <f>$S$7</f>
        <v>3.0</v>
      </c>
      <c r="D494" t="e">
        <f>(B494+$S$52)*$S$54</f>
        <v>#N/A</v>
      </c>
      <c r="E494">
        <f>(C494+$S$53)*$S$54</f>
        <v>77.05960563380282</v>
      </c>
      <c r="F494" t="e">
        <f>(B494+$S$55)*$S$58</f>
        <v>#N/A</v>
      </c>
      <c r="G494">
        <f>(C494+$S$56)*$S$58</f>
        <v>187.38733333333334</v>
      </c>
      <c r="H494" t="e">
        <f>(B494+$S$59)*$S$61</f>
        <v>#N/A</v>
      </c>
      <c r="I494">
        <f>(C494+$S$60)*$S$61</f>
        <v>71.85110650887574</v>
      </c>
    </row>
    <row r="495">
      <c r="B495" t="e">
        <f>$S$2-(IF(36&lt;=$S$14,$S$13+35*$S$15,NA()))</f>
        <v>#N/A</v>
      </c>
      <c r="C495">
        <f>$S$12</f>
        <v>84.0</v>
      </c>
      <c r="D495" t="e">
        <f>(B495+$S$52)*$S$54</f>
        <v>#N/A</v>
      </c>
      <c r="E495">
        <f>(C495+$S$53)*$S$54</f>
        <v>157.0830422535211</v>
      </c>
      <c r="F495" t="e">
        <f>(B495+$S$55)*$S$58</f>
        <v>#N/A</v>
      </c>
      <c r="G495">
        <f>(C495+$S$56)*$S$58</f>
        <v>420.90077948717953</v>
      </c>
      <c r="H495" t="e">
        <f>(B495+$S$59)*$S$61</f>
        <v>#N/A</v>
      </c>
      <c r="I495">
        <f>(C495+$S$60)*$S$61</f>
        <v>190.6253846153846</v>
      </c>
    </row>
    <row r="497">
      <c r="B497" t="e">
        <f>$S$2-(IF(37&lt;=$S$14,$S$13+36*$S$15,NA()))</f>
        <v>#N/A</v>
      </c>
      <c r="C497">
        <f>$S$7</f>
        <v>3.0</v>
      </c>
      <c r="D497" t="e">
        <f>(B497+$S$52)*$S$54</f>
        <v>#N/A</v>
      </c>
      <c r="E497">
        <f>(C497+$S$53)*$S$54</f>
        <v>77.05960563380282</v>
      </c>
      <c r="F497" t="e">
        <f>(B497+$S$55)*$S$58</f>
        <v>#N/A</v>
      </c>
      <c r="G497">
        <f>(C497+$S$56)*$S$58</f>
        <v>187.38733333333334</v>
      </c>
      <c r="H497" t="e">
        <f>(B497+$S$59)*$S$61</f>
        <v>#N/A</v>
      </c>
      <c r="I497">
        <f>(C497+$S$60)*$S$61</f>
        <v>71.85110650887574</v>
      </c>
    </row>
    <row r="498">
      <c r="B498" t="e">
        <f>$S$2-(IF(37&lt;=$S$14,$S$13+36*$S$15,NA()))</f>
        <v>#N/A</v>
      </c>
      <c r="C498">
        <f>$S$12</f>
        <v>84.0</v>
      </c>
      <c r="D498" t="e">
        <f>(B498+$S$52)*$S$54</f>
        <v>#N/A</v>
      </c>
      <c r="E498">
        <f>(C498+$S$53)*$S$54</f>
        <v>157.0830422535211</v>
      </c>
      <c r="F498" t="e">
        <f>(B498+$S$55)*$S$58</f>
        <v>#N/A</v>
      </c>
      <c r="G498">
        <f>(C498+$S$56)*$S$58</f>
        <v>420.90077948717953</v>
      </c>
      <c r="H498" t="e">
        <f>(B498+$S$59)*$S$61</f>
        <v>#N/A</v>
      </c>
      <c r="I498">
        <f>(C498+$S$60)*$S$61</f>
        <v>190.6253846153846</v>
      </c>
    </row>
    <row r="500">
      <c r="B500" t="e">
        <f>$S$2-(IF(38&lt;=$S$14,$S$13+37*$S$15,NA()))</f>
        <v>#N/A</v>
      </c>
      <c r="C500">
        <f>$S$7</f>
        <v>3.0</v>
      </c>
      <c r="D500" t="e">
        <f>(B500+$S$52)*$S$54</f>
        <v>#N/A</v>
      </c>
      <c r="E500">
        <f>(C500+$S$53)*$S$54</f>
        <v>77.05960563380282</v>
      </c>
      <c r="F500" t="e">
        <f>(B500+$S$55)*$S$58</f>
        <v>#N/A</v>
      </c>
      <c r="G500">
        <f>(C500+$S$56)*$S$58</f>
        <v>187.38733333333334</v>
      </c>
      <c r="H500" t="e">
        <f>(B500+$S$59)*$S$61</f>
        <v>#N/A</v>
      </c>
      <c r="I500">
        <f>(C500+$S$60)*$S$61</f>
        <v>71.85110650887574</v>
      </c>
    </row>
    <row r="501">
      <c r="B501" t="e">
        <f>$S$2-(IF(38&lt;=$S$14,$S$13+37*$S$15,NA()))</f>
        <v>#N/A</v>
      </c>
      <c r="C501">
        <f>$S$12</f>
        <v>84.0</v>
      </c>
      <c r="D501" t="e">
        <f>(B501+$S$52)*$S$54</f>
        <v>#N/A</v>
      </c>
      <c r="E501">
        <f>(C501+$S$53)*$S$54</f>
        <v>157.0830422535211</v>
      </c>
      <c r="F501" t="e">
        <f>(B501+$S$55)*$S$58</f>
        <v>#N/A</v>
      </c>
      <c r="G501">
        <f>(C501+$S$56)*$S$58</f>
        <v>420.90077948717953</v>
      </c>
      <c r="H501" t="e">
        <f>(B501+$S$59)*$S$61</f>
        <v>#N/A</v>
      </c>
      <c r="I501">
        <f>(C501+$S$60)*$S$61</f>
        <v>190.6253846153846</v>
      </c>
    </row>
    <row r="503">
      <c r="B503" t="e">
        <f>$S$2-(IF(39&lt;=$S$14,$S$13+38*$S$15,NA()))</f>
        <v>#N/A</v>
      </c>
      <c r="C503">
        <f>$S$7</f>
        <v>3.0</v>
      </c>
      <c r="D503" t="e">
        <f>(B503+$S$52)*$S$54</f>
        <v>#N/A</v>
      </c>
      <c r="E503">
        <f>(C503+$S$53)*$S$54</f>
        <v>77.05960563380282</v>
      </c>
      <c r="F503" t="e">
        <f>(B503+$S$55)*$S$58</f>
        <v>#N/A</v>
      </c>
      <c r="G503">
        <f>(C503+$S$56)*$S$58</f>
        <v>187.38733333333334</v>
      </c>
      <c r="H503" t="e">
        <f>(B503+$S$59)*$S$61</f>
        <v>#N/A</v>
      </c>
      <c r="I503">
        <f>(C503+$S$60)*$S$61</f>
        <v>71.85110650887574</v>
      </c>
    </row>
    <row r="504">
      <c r="B504" t="e">
        <f>$S$2-(IF(39&lt;=$S$14,$S$13+38*$S$15,NA()))</f>
        <v>#N/A</v>
      </c>
      <c r="C504">
        <f>$S$12</f>
        <v>84.0</v>
      </c>
      <c r="D504" t="e">
        <f>(B504+$S$52)*$S$54</f>
        <v>#N/A</v>
      </c>
      <c r="E504">
        <f>(C504+$S$53)*$S$54</f>
        <v>157.0830422535211</v>
      </c>
      <c r="F504" t="e">
        <f>(B504+$S$55)*$S$58</f>
        <v>#N/A</v>
      </c>
      <c r="G504">
        <f>(C504+$S$56)*$S$58</f>
        <v>420.90077948717953</v>
      </c>
      <c r="H504" t="e">
        <f>(B504+$S$59)*$S$61</f>
        <v>#N/A</v>
      </c>
      <c r="I504">
        <f>(C504+$S$60)*$S$61</f>
        <v>190.6253846153846</v>
      </c>
    </row>
    <row r="506">
      <c r="B506" t="e">
        <f>$S$2-(IF(40&lt;=$S$14,$S$13+39*$S$15,NA()))</f>
        <v>#N/A</v>
      </c>
      <c r="C506">
        <f>$S$7</f>
        <v>3.0</v>
      </c>
      <c r="D506" t="e">
        <f>(B506+$S$52)*$S$54</f>
        <v>#N/A</v>
      </c>
      <c r="E506">
        <f>(C506+$S$53)*$S$54</f>
        <v>77.05960563380282</v>
      </c>
      <c r="F506" t="e">
        <f>(B506+$S$55)*$S$58</f>
        <v>#N/A</v>
      </c>
      <c r="G506">
        <f>(C506+$S$56)*$S$58</f>
        <v>187.38733333333334</v>
      </c>
      <c r="H506" t="e">
        <f>(B506+$S$59)*$S$61</f>
        <v>#N/A</v>
      </c>
      <c r="I506">
        <f>(C506+$S$60)*$S$61</f>
        <v>71.85110650887574</v>
      </c>
    </row>
    <row r="507">
      <c r="B507" t="e">
        <f>$S$2-(IF(40&lt;=$S$14,$S$13+39*$S$15,NA()))</f>
        <v>#N/A</v>
      </c>
      <c r="C507">
        <f>$S$12</f>
        <v>84.0</v>
      </c>
      <c r="D507" t="e">
        <f>(B507+$S$52)*$S$54</f>
        <v>#N/A</v>
      </c>
      <c r="E507">
        <f>(C507+$S$53)*$S$54</f>
        <v>157.0830422535211</v>
      </c>
      <c r="F507" t="e">
        <f>(B507+$S$55)*$S$58</f>
        <v>#N/A</v>
      </c>
      <c r="G507">
        <f>(C507+$S$56)*$S$58</f>
        <v>420.90077948717953</v>
      </c>
      <c r="H507" t="e">
        <f>(B507+$S$59)*$S$61</f>
        <v>#N/A</v>
      </c>
      <c r="I507">
        <f>(C507+$S$60)*$S$61</f>
        <v>190.6253846153846</v>
      </c>
    </row>
    <row r="509">
      <c r="B509" t="e">
        <f>$S$2-(IF(41&lt;=$S$14,$S$13+40*$S$15,NA()))</f>
        <v>#N/A</v>
      </c>
      <c r="C509">
        <f>$S$7</f>
        <v>3.0</v>
      </c>
      <c r="D509" t="e">
        <f>(B509+$S$52)*$S$54</f>
        <v>#N/A</v>
      </c>
      <c r="E509">
        <f>(C509+$S$53)*$S$54</f>
        <v>77.05960563380282</v>
      </c>
      <c r="F509" t="e">
        <f>(B509+$S$55)*$S$58</f>
        <v>#N/A</v>
      </c>
      <c r="G509">
        <f>(C509+$S$56)*$S$58</f>
        <v>187.38733333333334</v>
      </c>
      <c r="H509" t="e">
        <f>(B509+$S$59)*$S$61</f>
        <v>#N/A</v>
      </c>
      <c r="I509">
        <f>(C509+$S$60)*$S$61</f>
        <v>71.85110650887574</v>
      </c>
    </row>
    <row r="510">
      <c r="B510" t="e">
        <f>$S$2-(IF(41&lt;=$S$14,$S$13+40*$S$15,NA()))</f>
        <v>#N/A</v>
      </c>
      <c r="C510">
        <f>$S$12</f>
        <v>84.0</v>
      </c>
      <c r="D510" t="e">
        <f>(B510+$S$52)*$S$54</f>
        <v>#N/A</v>
      </c>
      <c r="E510">
        <f>(C510+$S$53)*$S$54</f>
        <v>157.0830422535211</v>
      </c>
      <c r="F510" t="e">
        <f>(B510+$S$55)*$S$58</f>
        <v>#N/A</v>
      </c>
      <c r="G510">
        <f>(C510+$S$56)*$S$58</f>
        <v>420.90077948717953</v>
      </c>
      <c r="H510" t="e">
        <f>(B510+$S$59)*$S$61</f>
        <v>#N/A</v>
      </c>
      <c r="I510">
        <f>(C510+$S$60)*$S$61</f>
        <v>190.6253846153846</v>
      </c>
    </row>
    <row r="512">
      <c r="B512" t="e">
        <f>$S$2-(IF(42&lt;=$S$14,$S$13+41*$S$15,NA()))</f>
        <v>#N/A</v>
      </c>
      <c r="C512">
        <f>$S$7</f>
        <v>3.0</v>
      </c>
      <c r="D512" t="e">
        <f>(B512+$S$52)*$S$54</f>
        <v>#N/A</v>
      </c>
      <c r="E512">
        <f>(C512+$S$53)*$S$54</f>
        <v>77.05960563380282</v>
      </c>
      <c r="F512" t="e">
        <f>(B512+$S$55)*$S$58</f>
        <v>#N/A</v>
      </c>
      <c r="G512">
        <f>(C512+$S$56)*$S$58</f>
        <v>187.38733333333334</v>
      </c>
      <c r="H512" t="e">
        <f>(B512+$S$59)*$S$61</f>
        <v>#N/A</v>
      </c>
      <c r="I512">
        <f>(C512+$S$60)*$S$61</f>
        <v>71.85110650887574</v>
      </c>
    </row>
    <row r="513">
      <c r="B513" t="e">
        <f>$S$2-(IF(42&lt;=$S$14,$S$13+41*$S$15,NA()))</f>
        <v>#N/A</v>
      </c>
      <c r="C513">
        <f>$S$12</f>
        <v>84.0</v>
      </c>
      <c r="D513" t="e">
        <f>(B513+$S$52)*$S$54</f>
        <v>#N/A</v>
      </c>
      <c r="E513">
        <f>(C513+$S$53)*$S$54</f>
        <v>157.0830422535211</v>
      </c>
      <c r="F513" t="e">
        <f>(B513+$S$55)*$S$58</f>
        <v>#N/A</v>
      </c>
      <c r="G513">
        <f>(C513+$S$56)*$S$58</f>
        <v>420.90077948717953</v>
      </c>
      <c r="H513" t="e">
        <f>(B513+$S$59)*$S$61</f>
        <v>#N/A</v>
      </c>
      <c r="I513">
        <f>(C513+$S$60)*$S$61</f>
        <v>190.6253846153846</v>
      </c>
    </row>
    <row r="515">
      <c r="B515" t="e">
        <f>$S$2-(IF(43&lt;=$S$14,$S$13+42*$S$15,NA()))</f>
        <v>#N/A</v>
      </c>
      <c r="C515">
        <f>$S$7</f>
        <v>3.0</v>
      </c>
      <c r="D515" t="e">
        <f>(B515+$S$52)*$S$54</f>
        <v>#N/A</v>
      </c>
      <c r="E515">
        <f>(C515+$S$53)*$S$54</f>
        <v>77.05960563380282</v>
      </c>
      <c r="F515" t="e">
        <f>(B515+$S$55)*$S$58</f>
        <v>#N/A</v>
      </c>
      <c r="G515">
        <f>(C515+$S$56)*$S$58</f>
        <v>187.38733333333334</v>
      </c>
      <c r="H515" t="e">
        <f>(B515+$S$59)*$S$61</f>
        <v>#N/A</v>
      </c>
      <c r="I515">
        <f>(C515+$S$60)*$S$61</f>
        <v>71.85110650887574</v>
      </c>
    </row>
    <row r="516">
      <c r="B516" t="e">
        <f>$S$2-(IF(43&lt;=$S$14,$S$13+42*$S$15,NA()))</f>
        <v>#N/A</v>
      </c>
      <c r="C516">
        <f>$S$12</f>
        <v>84.0</v>
      </c>
      <c r="D516" t="e">
        <f>(B516+$S$52)*$S$54</f>
        <v>#N/A</v>
      </c>
      <c r="E516">
        <f>(C516+$S$53)*$S$54</f>
        <v>157.0830422535211</v>
      </c>
      <c r="F516" t="e">
        <f>(B516+$S$55)*$S$58</f>
        <v>#N/A</v>
      </c>
      <c r="G516">
        <f>(C516+$S$56)*$S$58</f>
        <v>420.90077948717953</v>
      </c>
      <c r="H516" t="e">
        <f>(B516+$S$59)*$S$61</f>
        <v>#N/A</v>
      </c>
      <c r="I516">
        <f>(C516+$S$60)*$S$61</f>
        <v>190.6253846153846</v>
      </c>
    </row>
    <row r="518">
      <c r="B518" t="e">
        <f>$S$2-(IF(44&lt;=$S$14,$S$13+43*$S$15,NA()))</f>
        <v>#N/A</v>
      </c>
      <c r="C518">
        <f>$S$7</f>
        <v>3.0</v>
      </c>
      <c r="D518" t="e">
        <f>(B518+$S$52)*$S$54</f>
        <v>#N/A</v>
      </c>
      <c r="E518">
        <f>(C518+$S$53)*$S$54</f>
        <v>77.05960563380282</v>
      </c>
      <c r="F518" t="e">
        <f>(B518+$S$55)*$S$58</f>
        <v>#N/A</v>
      </c>
      <c r="G518">
        <f>(C518+$S$56)*$S$58</f>
        <v>187.38733333333334</v>
      </c>
      <c r="H518" t="e">
        <f>(B518+$S$59)*$S$61</f>
        <v>#N/A</v>
      </c>
      <c r="I518">
        <f>(C518+$S$60)*$S$61</f>
        <v>71.85110650887574</v>
      </c>
    </row>
    <row r="519">
      <c r="B519" t="e">
        <f>$S$2-(IF(44&lt;=$S$14,$S$13+43*$S$15,NA()))</f>
        <v>#N/A</v>
      </c>
      <c r="C519">
        <f>$S$12</f>
        <v>84.0</v>
      </c>
      <c r="D519" t="e">
        <f>(B519+$S$52)*$S$54</f>
        <v>#N/A</v>
      </c>
      <c r="E519">
        <f>(C519+$S$53)*$S$54</f>
        <v>157.0830422535211</v>
      </c>
      <c r="F519" t="e">
        <f>(B519+$S$55)*$S$58</f>
        <v>#N/A</v>
      </c>
      <c r="G519">
        <f>(C519+$S$56)*$S$58</f>
        <v>420.90077948717953</v>
      </c>
      <c r="H519" t="e">
        <f>(B519+$S$59)*$S$61</f>
        <v>#N/A</v>
      </c>
      <c r="I519">
        <f>(C519+$S$60)*$S$61</f>
        <v>190.6253846153846</v>
      </c>
    </row>
    <row r="521">
      <c r="B521" t="e">
        <f>$S$2-(IF(45&lt;=$S$14,$S$13+44*$S$15,NA()))</f>
        <v>#N/A</v>
      </c>
      <c r="C521">
        <f>$S$7</f>
        <v>3.0</v>
      </c>
      <c r="D521" t="e">
        <f>(B521+$S$52)*$S$54</f>
        <v>#N/A</v>
      </c>
      <c r="E521">
        <f>(C521+$S$53)*$S$54</f>
        <v>77.05960563380282</v>
      </c>
      <c r="F521" t="e">
        <f>(B521+$S$55)*$S$58</f>
        <v>#N/A</v>
      </c>
      <c r="G521">
        <f>(C521+$S$56)*$S$58</f>
        <v>187.38733333333334</v>
      </c>
      <c r="H521" t="e">
        <f>(B521+$S$59)*$S$61</f>
        <v>#N/A</v>
      </c>
      <c r="I521">
        <f>(C521+$S$60)*$S$61</f>
        <v>71.85110650887574</v>
      </c>
    </row>
    <row r="522">
      <c r="B522" t="e">
        <f>$S$2-(IF(45&lt;=$S$14,$S$13+44*$S$15,NA()))</f>
        <v>#N/A</v>
      </c>
      <c r="C522">
        <f>$S$12</f>
        <v>84.0</v>
      </c>
      <c r="D522" t="e">
        <f>(B522+$S$52)*$S$54</f>
        <v>#N/A</v>
      </c>
      <c r="E522">
        <f>(C522+$S$53)*$S$54</f>
        <v>157.0830422535211</v>
      </c>
      <c r="F522" t="e">
        <f>(B522+$S$55)*$S$58</f>
        <v>#N/A</v>
      </c>
      <c r="G522">
        <f>(C522+$S$56)*$S$58</f>
        <v>420.90077948717953</v>
      </c>
      <c r="H522" t="e">
        <f>(B522+$S$59)*$S$61</f>
        <v>#N/A</v>
      </c>
      <c r="I522">
        <f>(C522+$S$60)*$S$61</f>
        <v>190.6253846153846</v>
      </c>
    </row>
    <row r="524">
      <c r="B524" t="e">
        <f>$S$2-(IF(46&lt;=$S$14,$S$13+45*$S$15,NA()))</f>
        <v>#N/A</v>
      </c>
      <c r="C524">
        <f>$S$7</f>
        <v>3.0</v>
      </c>
      <c r="D524" t="e">
        <f>(B524+$S$52)*$S$54</f>
        <v>#N/A</v>
      </c>
      <c r="E524">
        <f>(C524+$S$53)*$S$54</f>
        <v>77.05960563380282</v>
      </c>
      <c r="F524" t="e">
        <f>(B524+$S$55)*$S$58</f>
        <v>#N/A</v>
      </c>
      <c r="G524">
        <f>(C524+$S$56)*$S$58</f>
        <v>187.38733333333334</v>
      </c>
      <c r="H524" t="e">
        <f>(B524+$S$59)*$S$61</f>
        <v>#N/A</v>
      </c>
      <c r="I524">
        <f>(C524+$S$60)*$S$61</f>
        <v>71.85110650887574</v>
      </c>
    </row>
    <row r="525">
      <c r="B525" t="e">
        <f>$S$2-(IF(46&lt;=$S$14,$S$13+45*$S$15,NA()))</f>
        <v>#N/A</v>
      </c>
      <c r="C525">
        <f>$S$12</f>
        <v>84.0</v>
      </c>
      <c r="D525" t="e">
        <f>(B525+$S$52)*$S$54</f>
        <v>#N/A</v>
      </c>
      <c r="E525">
        <f>(C525+$S$53)*$S$54</f>
        <v>157.0830422535211</v>
      </c>
      <c r="F525" t="e">
        <f>(B525+$S$55)*$S$58</f>
        <v>#N/A</v>
      </c>
      <c r="G525">
        <f>(C525+$S$56)*$S$58</f>
        <v>420.90077948717953</v>
      </c>
      <c r="H525" t="e">
        <f>(B525+$S$59)*$S$61</f>
        <v>#N/A</v>
      </c>
      <c r="I525">
        <f>(C525+$S$60)*$S$61</f>
        <v>190.6253846153846</v>
      </c>
    </row>
    <row r="527">
      <c r="B527" t="e">
        <f>$S$2-(IF(47&lt;=$S$14,$S$13+46*$S$15,NA()))</f>
        <v>#N/A</v>
      </c>
      <c r="C527">
        <f>$S$7</f>
        <v>3.0</v>
      </c>
      <c r="D527" t="e">
        <f>(B527+$S$52)*$S$54</f>
        <v>#N/A</v>
      </c>
      <c r="E527">
        <f>(C527+$S$53)*$S$54</f>
        <v>77.05960563380282</v>
      </c>
      <c r="F527" t="e">
        <f>(B527+$S$55)*$S$58</f>
        <v>#N/A</v>
      </c>
      <c r="G527">
        <f>(C527+$S$56)*$S$58</f>
        <v>187.38733333333334</v>
      </c>
      <c r="H527" t="e">
        <f>(B527+$S$59)*$S$61</f>
        <v>#N/A</v>
      </c>
      <c r="I527">
        <f>(C527+$S$60)*$S$61</f>
        <v>71.85110650887574</v>
      </c>
    </row>
    <row r="528">
      <c r="B528" t="e">
        <f>$S$2-(IF(47&lt;=$S$14,$S$13+46*$S$15,NA()))</f>
        <v>#N/A</v>
      </c>
      <c r="C528">
        <f>$S$12</f>
        <v>84.0</v>
      </c>
      <c r="D528" t="e">
        <f>(B528+$S$52)*$S$54</f>
        <v>#N/A</v>
      </c>
      <c r="E528">
        <f>(C528+$S$53)*$S$54</f>
        <v>157.0830422535211</v>
      </c>
      <c r="F528" t="e">
        <f>(B528+$S$55)*$S$58</f>
        <v>#N/A</v>
      </c>
      <c r="G528">
        <f>(C528+$S$56)*$S$58</f>
        <v>420.90077948717953</v>
      </c>
      <c r="H528" t="e">
        <f>(B528+$S$59)*$S$61</f>
        <v>#N/A</v>
      </c>
      <c r="I528">
        <f>(C528+$S$60)*$S$61</f>
        <v>190.6253846153846</v>
      </c>
    </row>
    <row r="530">
      <c r="B530" t="e">
        <f>$S$2-(IF(48&lt;=$S$14,$S$13+47*$S$15,NA()))</f>
        <v>#N/A</v>
      </c>
      <c r="C530">
        <f>$S$7</f>
        <v>3.0</v>
      </c>
      <c r="D530" t="e">
        <f>(B530+$S$52)*$S$54</f>
        <v>#N/A</v>
      </c>
      <c r="E530">
        <f>(C530+$S$53)*$S$54</f>
        <v>77.05960563380282</v>
      </c>
      <c r="F530" t="e">
        <f>(B530+$S$55)*$S$58</f>
        <v>#N/A</v>
      </c>
      <c r="G530">
        <f>(C530+$S$56)*$S$58</f>
        <v>187.38733333333334</v>
      </c>
      <c r="H530" t="e">
        <f>(B530+$S$59)*$S$61</f>
        <v>#N/A</v>
      </c>
      <c r="I530">
        <f>(C530+$S$60)*$S$61</f>
        <v>71.85110650887574</v>
      </c>
    </row>
    <row r="531">
      <c r="B531" t="e">
        <f>$S$2-(IF(48&lt;=$S$14,$S$13+47*$S$15,NA()))</f>
        <v>#N/A</v>
      </c>
      <c r="C531">
        <f>$S$12</f>
        <v>84.0</v>
      </c>
      <c r="D531" t="e">
        <f>(B531+$S$52)*$S$54</f>
        <v>#N/A</v>
      </c>
      <c r="E531">
        <f>(C531+$S$53)*$S$54</f>
        <v>157.0830422535211</v>
      </c>
      <c r="F531" t="e">
        <f>(B531+$S$55)*$S$58</f>
        <v>#N/A</v>
      </c>
      <c r="G531">
        <f>(C531+$S$56)*$S$58</f>
        <v>420.90077948717953</v>
      </c>
      <c r="H531" t="e">
        <f>(B531+$S$59)*$S$61</f>
        <v>#N/A</v>
      </c>
      <c r="I531">
        <f>(C531+$S$60)*$S$61</f>
        <v>190.6253846153846</v>
      </c>
    </row>
    <row r="533">
      <c r="B533" t="e">
        <f>$S$2-(IF(49&lt;=$S$14,$S$13+48*$S$15,NA()))</f>
        <v>#N/A</v>
      </c>
      <c r="C533">
        <f>$S$7</f>
        <v>3.0</v>
      </c>
      <c r="D533" t="e">
        <f>(B533+$S$52)*$S$54</f>
        <v>#N/A</v>
      </c>
      <c r="E533">
        <f>(C533+$S$53)*$S$54</f>
        <v>77.05960563380282</v>
      </c>
      <c r="F533" t="e">
        <f>(B533+$S$55)*$S$58</f>
        <v>#N/A</v>
      </c>
      <c r="G533">
        <f>(C533+$S$56)*$S$58</f>
        <v>187.38733333333334</v>
      </c>
      <c r="H533" t="e">
        <f>(B533+$S$59)*$S$61</f>
        <v>#N/A</v>
      </c>
      <c r="I533">
        <f>(C533+$S$60)*$S$61</f>
        <v>71.85110650887574</v>
      </c>
    </row>
    <row r="534">
      <c r="B534" t="e">
        <f>$S$2-(IF(49&lt;=$S$14,$S$13+48*$S$15,NA()))</f>
        <v>#N/A</v>
      </c>
      <c r="C534">
        <f>$S$12</f>
        <v>84.0</v>
      </c>
      <c r="D534" t="e">
        <f>(B534+$S$52)*$S$54</f>
        <v>#N/A</v>
      </c>
      <c r="E534">
        <f>(C534+$S$53)*$S$54</f>
        <v>157.0830422535211</v>
      </c>
      <c r="F534" t="e">
        <f>(B534+$S$55)*$S$58</f>
        <v>#N/A</v>
      </c>
      <c r="G534">
        <f>(C534+$S$56)*$S$58</f>
        <v>420.90077948717953</v>
      </c>
      <c r="H534" t="e">
        <f>(B534+$S$59)*$S$61</f>
        <v>#N/A</v>
      </c>
      <c r="I534">
        <f>(C534+$S$60)*$S$61</f>
        <v>190.6253846153846</v>
      </c>
    </row>
    <row r="536">
      <c r="B536" t="e">
        <f>$S$2-(IF(50&lt;=$S$14,$S$13+49*$S$15,NA()))</f>
        <v>#N/A</v>
      </c>
      <c r="C536">
        <f>$S$7</f>
        <v>3.0</v>
      </c>
      <c r="D536" t="e">
        <f>(B536+$S$52)*$S$54</f>
        <v>#N/A</v>
      </c>
      <c r="E536">
        <f>(C536+$S$53)*$S$54</f>
        <v>77.05960563380282</v>
      </c>
      <c r="F536" t="e">
        <f>(B536+$S$55)*$S$58</f>
        <v>#N/A</v>
      </c>
      <c r="G536">
        <f>(C536+$S$56)*$S$58</f>
        <v>187.38733333333334</v>
      </c>
      <c r="H536" t="e">
        <f>(B536+$S$59)*$S$61</f>
        <v>#N/A</v>
      </c>
      <c r="I536">
        <f>(C536+$S$60)*$S$61</f>
        <v>71.85110650887574</v>
      </c>
    </row>
    <row r="537">
      <c r="B537" t="e">
        <f>$S$2-(IF(50&lt;=$S$14,$S$13+49*$S$15,NA()))</f>
        <v>#N/A</v>
      </c>
      <c r="C537">
        <f>$S$12</f>
        <v>84.0</v>
      </c>
      <c r="D537" t="e">
        <f>(B537+$S$52)*$S$54</f>
        <v>#N/A</v>
      </c>
      <c r="E537">
        <f>(C537+$S$53)*$S$54</f>
        <v>157.0830422535211</v>
      </c>
      <c r="F537" t="e">
        <f>(B537+$S$55)*$S$58</f>
        <v>#N/A</v>
      </c>
      <c r="G537">
        <f>(C537+$S$56)*$S$58</f>
        <v>420.90077948717953</v>
      </c>
      <c r="H537" t="e">
        <f>(B537+$S$59)*$S$61</f>
        <v>#N/A</v>
      </c>
      <c r="I537">
        <f>(C537+$S$60)*$S$61</f>
        <v>190.6253846153846</v>
      </c>
    </row>
    <row r="540">
      <c r="A540" t="inlineStr">
        <is>
          <t>Trecho 2</t>
        </is>
      </c>
      <c r="B540">
        <f>IF(1&lt;=$S$16,$S$8+$S$20+0.5*$S$17,NA())</f>
        <v>105.5</v>
      </c>
      <c r="C540">
        <f>$S$7</f>
        <v>3.0</v>
      </c>
      <c r="D540">
        <f>(B540+$S$52)*$S$54</f>
        <v>148.68552112676056</v>
      </c>
      <c r="E540">
        <f>(C540+$S$53)*$S$54</f>
        <v>77.05960563380282</v>
      </c>
      <c r="F540">
        <f>(B540+$S$55)*$S$58</f>
        <v>390.63051794871797</v>
      </c>
      <c r="G540">
        <f>(C540+$S$56)*$S$58</f>
        <v>187.38733333333334</v>
      </c>
      <c r="H540">
        <f>(B540+$S$59)*$S$61</f>
        <v>195.75760650887574</v>
      </c>
      <c r="I540">
        <f>(C540+$S$60)*$S$61</f>
        <v>71.85110650887574</v>
      </c>
    </row>
    <row r="541">
      <c r="B541">
        <f>IF(1&lt;=$S$16,$S$8+$S$20+0.5*$S$17,NA())</f>
        <v>105.5</v>
      </c>
      <c r="C541">
        <f>$S$12</f>
        <v>84.0</v>
      </c>
      <c r="D541">
        <f>(B541+$S$52)*$S$54</f>
        <v>148.68552112676056</v>
      </c>
      <c r="E541">
        <f>(C541+$S$53)*$S$54</f>
        <v>157.0830422535211</v>
      </c>
      <c r="F541">
        <f>(B541+$S$55)*$S$58</f>
        <v>390.63051794871797</v>
      </c>
      <c r="G541">
        <f>(C541+$S$56)*$S$58</f>
        <v>420.90077948717953</v>
      </c>
      <c r="H541">
        <f>(B541+$S$59)*$S$61</f>
        <v>195.75760650887574</v>
      </c>
      <c r="I541">
        <f>(C541+$S$60)*$S$61</f>
        <v>190.6253846153846</v>
      </c>
    </row>
    <row r="543">
      <c r="B543">
        <f>IF(2&lt;=$S$16,$S$8+$S$20+1.5*$S$17,NA())</f>
        <v>116.5</v>
      </c>
      <c r="C543">
        <f>$S$7</f>
        <v>3.0</v>
      </c>
      <c r="D543">
        <f>(B543+$S$52)*$S$54</f>
        <v>159.55290140845068</v>
      </c>
      <c r="E543">
        <f>(C543+$S$53)*$S$54</f>
        <v>77.05960563380282</v>
      </c>
      <c r="F543">
        <f>(B543+$S$55)*$S$58</f>
        <v>422.3422205128205</v>
      </c>
      <c r="G543">
        <f>(C543+$S$56)*$S$58</f>
        <v>187.38733333333334</v>
      </c>
      <c r="H543">
        <f>(B543+$S$59)*$S$61</f>
        <v>211.88744674556213</v>
      </c>
      <c r="I543">
        <f>(C543+$S$60)*$S$61</f>
        <v>71.85110650887574</v>
      </c>
    </row>
    <row r="544">
      <c r="B544">
        <f>IF(2&lt;=$S$16,$S$8+$S$20+1.5*$S$17,NA())</f>
        <v>116.5</v>
      </c>
      <c r="C544">
        <f>$S$12</f>
        <v>84.0</v>
      </c>
      <c r="D544">
        <f>(B544+$S$52)*$S$54</f>
        <v>159.55290140845068</v>
      </c>
      <c r="E544">
        <f>(C544+$S$53)*$S$54</f>
        <v>157.0830422535211</v>
      </c>
      <c r="F544">
        <f>(B544+$S$55)*$S$58</f>
        <v>422.3422205128205</v>
      </c>
      <c r="G544">
        <f>(C544+$S$56)*$S$58</f>
        <v>420.90077948717953</v>
      </c>
      <c r="H544">
        <f>(B544+$S$59)*$S$61</f>
        <v>211.88744674556213</v>
      </c>
      <c r="I544">
        <f>(C544+$S$60)*$S$61</f>
        <v>190.6253846153846</v>
      </c>
    </row>
    <row r="546">
      <c r="B546">
        <f>IF(3&lt;=$S$16,$S$8+$S$20+2.5*$S$17,NA())</f>
        <v>127.5</v>
      </c>
      <c r="C546">
        <f>$S$7</f>
        <v>3.0</v>
      </c>
      <c r="D546">
        <f>(B546+$S$52)*$S$54</f>
        <v>170.42028169014083</v>
      </c>
      <c r="E546">
        <f>(C546+$S$53)*$S$54</f>
        <v>77.05960563380282</v>
      </c>
      <c r="F546">
        <f>(B546+$S$55)*$S$58</f>
        <v>454.0539230769231</v>
      </c>
      <c r="G546">
        <f>(C546+$S$56)*$S$58</f>
        <v>187.38733333333334</v>
      </c>
      <c r="H546">
        <f>(B546+$S$59)*$S$61</f>
        <v>228.01728698224852</v>
      </c>
      <c r="I546">
        <f>(C546+$S$60)*$S$61</f>
        <v>71.85110650887574</v>
      </c>
    </row>
    <row r="547">
      <c r="B547">
        <f>IF(3&lt;=$S$16,$S$8+$S$20+2.5*$S$17,NA())</f>
        <v>127.5</v>
      </c>
      <c r="C547">
        <f>$S$12</f>
        <v>84.0</v>
      </c>
      <c r="D547">
        <f>(B547+$S$52)*$S$54</f>
        <v>170.42028169014083</v>
      </c>
      <c r="E547">
        <f>(C547+$S$53)*$S$54</f>
        <v>157.0830422535211</v>
      </c>
      <c r="F547">
        <f>(B547+$S$55)*$S$58</f>
        <v>454.0539230769231</v>
      </c>
      <c r="G547">
        <f>(C547+$S$56)*$S$58</f>
        <v>420.90077948717953</v>
      </c>
      <c r="H547">
        <f>(B547+$S$59)*$S$61</f>
        <v>228.01728698224852</v>
      </c>
      <c r="I547">
        <f>(C547+$S$60)*$S$61</f>
        <v>190.6253846153846</v>
      </c>
    </row>
    <row r="549">
      <c r="B549">
        <f>IF(4&lt;=$S$16,$S$8+$S$20+3.5*$S$17,NA())</f>
        <v>138.5</v>
      </c>
      <c r="C549">
        <f>$S$7</f>
        <v>3.0</v>
      </c>
      <c r="D549">
        <f>(B549+$S$52)*$S$54</f>
        <v>181.28766197183097</v>
      </c>
      <c r="E549">
        <f>(C549+$S$53)*$S$54</f>
        <v>77.05960563380282</v>
      </c>
      <c r="F549">
        <f>(B549+$S$55)*$S$58</f>
        <v>485.7656256410257</v>
      </c>
      <c r="G549">
        <f>(C549+$S$56)*$S$58</f>
        <v>187.38733333333334</v>
      </c>
      <c r="H549">
        <f>(B549+$S$59)*$S$61</f>
        <v>244.1471272189349</v>
      </c>
      <c r="I549">
        <f>(C549+$S$60)*$S$61</f>
        <v>71.85110650887574</v>
      </c>
    </row>
    <row r="550">
      <c r="B550">
        <f>IF(4&lt;=$S$16,$S$8+$S$20+3.5*$S$17,NA())</f>
        <v>138.5</v>
      </c>
      <c r="C550">
        <f>$S$12</f>
        <v>84.0</v>
      </c>
      <c r="D550">
        <f>(B550+$S$52)*$S$54</f>
        <v>181.28766197183097</v>
      </c>
      <c r="E550">
        <f>(C550+$S$53)*$S$54</f>
        <v>157.0830422535211</v>
      </c>
      <c r="F550">
        <f>(B550+$S$55)*$S$58</f>
        <v>485.7656256410257</v>
      </c>
      <c r="G550">
        <f>(C550+$S$56)*$S$58</f>
        <v>420.90077948717953</v>
      </c>
      <c r="H550">
        <f>(B550+$S$59)*$S$61</f>
        <v>244.1471272189349</v>
      </c>
      <c r="I550">
        <f>(C550+$S$60)*$S$61</f>
        <v>190.6253846153846</v>
      </c>
    </row>
    <row r="552">
      <c r="B552">
        <f>IF(5&lt;=$S$16,$S$8+$S$20+4.5*$S$17,NA())</f>
        <v>149.5</v>
      </c>
      <c r="C552">
        <f>$S$7</f>
        <v>3.0</v>
      </c>
      <c r="D552">
        <f>(B552+$S$52)*$S$54</f>
        <v>192.15504225352112</v>
      </c>
      <c r="E552">
        <f>(C552+$S$53)*$S$54</f>
        <v>77.05960563380282</v>
      </c>
      <c r="F552">
        <f>(B552+$S$55)*$S$58</f>
        <v>517.4773282051283</v>
      </c>
      <c r="G552">
        <f>(C552+$S$56)*$S$58</f>
        <v>187.38733333333334</v>
      </c>
      <c r="H552">
        <f>(B552+$S$59)*$S$61</f>
        <v>260.2769674556213</v>
      </c>
      <c r="I552">
        <f>(C552+$S$60)*$S$61</f>
        <v>71.85110650887574</v>
      </c>
    </row>
    <row r="553">
      <c r="B553">
        <f>IF(5&lt;=$S$16,$S$8+$S$20+4.5*$S$17,NA())</f>
        <v>149.5</v>
      </c>
      <c r="C553">
        <f>$S$12</f>
        <v>84.0</v>
      </c>
      <c r="D553">
        <f>(B553+$S$52)*$S$54</f>
        <v>192.15504225352112</v>
      </c>
      <c r="E553">
        <f>(C553+$S$53)*$S$54</f>
        <v>157.0830422535211</v>
      </c>
      <c r="F553">
        <f>(B553+$S$55)*$S$58</f>
        <v>517.4773282051283</v>
      </c>
      <c r="G553">
        <f>(C553+$S$56)*$S$58</f>
        <v>420.90077948717953</v>
      </c>
      <c r="H553">
        <f>(B553+$S$59)*$S$61</f>
        <v>260.2769674556213</v>
      </c>
      <c r="I553">
        <f>(C553+$S$60)*$S$61</f>
        <v>190.6253846153846</v>
      </c>
    </row>
    <row r="555">
      <c r="B555">
        <f>IF(6&lt;=$S$16,$S$8+$S$20+5.5*$S$17,NA())</f>
        <v>160.5</v>
      </c>
      <c r="C555">
        <f>$S$7</f>
        <v>3.0</v>
      </c>
      <c r="D555">
        <f>(B555+$S$52)*$S$54</f>
        <v>203.02242253521126</v>
      </c>
      <c r="E555">
        <f>(C555+$S$53)*$S$54</f>
        <v>77.05960563380282</v>
      </c>
      <c r="F555">
        <f>(B555+$S$55)*$S$58</f>
        <v>549.1890307692308</v>
      </c>
      <c r="G555">
        <f>(C555+$S$56)*$S$58</f>
        <v>187.38733333333334</v>
      </c>
      <c r="H555">
        <f>(B555+$S$59)*$S$61</f>
        <v>276.40680769230767</v>
      </c>
      <c r="I555">
        <f>(C555+$S$60)*$S$61</f>
        <v>71.85110650887574</v>
      </c>
    </row>
    <row r="556">
      <c r="B556">
        <f>IF(6&lt;=$S$16,$S$8+$S$20+5.5*$S$17,NA())</f>
        <v>160.5</v>
      </c>
      <c r="C556">
        <f>$S$12</f>
        <v>84.0</v>
      </c>
      <c r="D556">
        <f>(B556+$S$52)*$S$54</f>
        <v>203.02242253521126</v>
      </c>
      <c r="E556">
        <f>(C556+$S$53)*$S$54</f>
        <v>157.0830422535211</v>
      </c>
      <c r="F556">
        <f>(B556+$S$55)*$S$58</f>
        <v>549.1890307692308</v>
      </c>
      <c r="G556">
        <f>(C556+$S$56)*$S$58</f>
        <v>420.90077948717953</v>
      </c>
      <c r="H556">
        <f>(B556+$S$59)*$S$61</f>
        <v>276.40680769230767</v>
      </c>
      <c r="I556">
        <f>(C556+$S$60)*$S$61</f>
        <v>190.6253846153846</v>
      </c>
    </row>
    <row r="558">
      <c r="B558">
        <f>IF(7&lt;=$S$16,$S$8+$S$20+6.5*$S$17,NA())</f>
        <v>171.5</v>
      </c>
      <c r="C558">
        <f>$S$7</f>
        <v>3.0</v>
      </c>
      <c r="D558">
        <f>(B558+$S$52)*$S$54</f>
        <v>213.8898028169014</v>
      </c>
      <c r="E558">
        <f>(C558+$S$53)*$S$54</f>
        <v>77.05960563380282</v>
      </c>
      <c r="F558">
        <f>(B558+$S$55)*$S$58</f>
        <v>580.9007333333334</v>
      </c>
      <c r="G558">
        <f>(C558+$S$56)*$S$58</f>
        <v>187.38733333333334</v>
      </c>
      <c r="H558">
        <f>(B558+$S$59)*$S$61</f>
        <v>292.53664792899406</v>
      </c>
      <c r="I558">
        <f>(C558+$S$60)*$S$61</f>
        <v>71.85110650887574</v>
      </c>
    </row>
    <row r="559">
      <c r="B559">
        <f>IF(7&lt;=$S$16,$S$8+$S$20+6.5*$S$17,NA())</f>
        <v>171.5</v>
      </c>
      <c r="C559">
        <f>$S$12</f>
        <v>84.0</v>
      </c>
      <c r="D559">
        <f>(B559+$S$52)*$S$54</f>
        <v>213.8898028169014</v>
      </c>
      <c r="E559">
        <f>(C559+$S$53)*$S$54</f>
        <v>157.0830422535211</v>
      </c>
      <c r="F559">
        <f>(B559+$S$55)*$S$58</f>
        <v>580.9007333333334</v>
      </c>
      <c r="G559">
        <f>(C559+$S$56)*$S$58</f>
        <v>420.90077948717953</v>
      </c>
      <c r="H559">
        <f>(B559+$S$59)*$S$61</f>
        <v>292.53664792899406</v>
      </c>
      <c r="I559">
        <f>(C559+$S$60)*$S$61</f>
        <v>190.6253846153846</v>
      </c>
    </row>
    <row r="561">
      <c r="B561">
        <f>IF(8&lt;=$S$16,$S$8+$S$20+7.5*$S$17,NA())</f>
        <v>182.5</v>
      </c>
      <c r="C561">
        <f>$S$7</f>
        <v>3.0</v>
      </c>
      <c r="D561">
        <f>(B561+$S$52)*$S$54</f>
        <v>224.75718309859153</v>
      </c>
      <c r="E561">
        <f>(C561+$S$53)*$S$54</f>
        <v>77.05960563380282</v>
      </c>
      <c r="F561">
        <f>(B561+$S$55)*$S$58</f>
        <v>612.612435897436</v>
      </c>
      <c r="G561">
        <f>(C561+$S$56)*$S$58</f>
        <v>187.38733333333334</v>
      </c>
      <c r="H561">
        <f>(B561+$S$59)*$S$61</f>
        <v>308.66648816568045</v>
      </c>
      <c r="I561">
        <f>(C561+$S$60)*$S$61</f>
        <v>71.85110650887574</v>
      </c>
    </row>
    <row r="562">
      <c r="B562">
        <f>IF(8&lt;=$S$16,$S$8+$S$20+7.5*$S$17,NA())</f>
        <v>182.5</v>
      </c>
      <c r="C562">
        <f>$S$12</f>
        <v>84.0</v>
      </c>
      <c r="D562">
        <f>(B562+$S$52)*$S$54</f>
        <v>224.75718309859153</v>
      </c>
      <c r="E562">
        <f>(C562+$S$53)*$S$54</f>
        <v>157.0830422535211</v>
      </c>
      <c r="F562">
        <f>(B562+$S$55)*$S$58</f>
        <v>612.612435897436</v>
      </c>
      <c r="G562">
        <f>(C562+$S$56)*$S$58</f>
        <v>420.90077948717953</v>
      </c>
      <c r="H562">
        <f>(B562+$S$59)*$S$61</f>
        <v>308.66648816568045</v>
      </c>
      <c r="I562">
        <f>(C562+$S$60)*$S$61</f>
        <v>190.6253846153846</v>
      </c>
    </row>
    <row r="564">
      <c r="B564" t="e">
        <f>IF(9&lt;=$S$16,$S$8+$S$20+8.5*$S$17,NA())</f>
        <v>#N/A</v>
      </c>
      <c r="C564">
        <f>$S$7</f>
        <v>3.0</v>
      </c>
      <c r="D564" t="e">
        <f>(B564+$S$52)*$S$54</f>
        <v>#N/A</v>
      </c>
      <c r="E564">
        <f>(C564+$S$53)*$S$54</f>
        <v>77.05960563380282</v>
      </c>
      <c r="F564" t="e">
        <f>(B564+$S$55)*$S$58</f>
        <v>#N/A</v>
      </c>
      <c r="G564">
        <f>(C564+$S$56)*$S$58</f>
        <v>187.38733333333334</v>
      </c>
      <c r="H564" t="e">
        <f>(B564+$S$59)*$S$61</f>
        <v>#N/A</v>
      </c>
      <c r="I564">
        <f>(C564+$S$60)*$S$61</f>
        <v>71.85110650887574</v>
      </c>
    </row>
    <row r="565">
      <c r="B565" t="e">
        <f>IF(9&lt;=$S$16,$S$8+$S$20+8.5*$S$17,NA())</f>
        <v>#N/A</v>
      </c>
      <c r="C565">
        <f>$S$12</f>
        <v>84.0</v>
      </c>
      <c r="D565" t="e">
        <f>(B565+$S$52)*$S$54</f>
        <v>#N/A</v>
      </c>
      <c r="E565">
        <f>(C565+$S$53)*$S$54</f>
        <v>157.0830422535211</v>
      </c>
      <c r="F565" t="e">
        <f>(B565+$S$55)*$S$58</f>
        <v>#N/A</v>
      </c>
      <c r="G565">
        <f>(C565+$S$56)*$S$58</f>
        <v>420.90077948717953</v>
      </c>
      <c r="H565" t="e">
        <f>(B565+$S$59)*$S$61</f>
        <v>#N/A</v>
      </c>
      <c r="I565">
        <f>(C565+$S$60)*$S$61</f>
        <v>190.6253846153846</v>
      </c>
    </row>
    <row r="567">
      <c r="B567" t="e">
        <f>IF(10&lt;=$S$16,$S$8+$S$20+9.5*$S$17,NA())</f>
        <v>#N/A</v>
      </c>
      <c r="C567">
        <f>$S$7</f>
        <v>3.0</v>
      </c>
      <c r="D567" t="e">
        <f>(B567+$S$52)*$S$54</f>
        <v>#N/A</v>
      </c>
      <c r="E567">
        <f>(C567+$S$53)*$S$54</f>
        <v>77.05960563380282</v>
      </c>
      <c r="F567" t="e">
        <f>(B567+$S$55)*$S$58</f>
        <v>#N/A</v>
      </c>
      <c r="G567">
        <f>(C567+$S$56)*$S$58</f>
        <v>187.38733333333334</v>
      </c>
      <c r="H567" t="e">
        <f>(B567+$S$59)*$S$61</f>
        <v>#N/A</v>
      </c>
      <c r="I567">
        <f>(C567+$S$60)*$S$61</f>
        <v>71.85110650887574</v>
      </c>
    </row>
    <row r="568">
      <c r="B568" t="e">
        <f>IF(10&lt;=$S$16,$S$8+$S$20+9.5*$S$17,NA())</f>
        <v>#N/A</v>
      </c>
      <c r="C568">
        <f>$S$12</f>
        <v>84.0</v>
      </c>
      <c r="D568" t="e">
        <f>(B568+$S$52)*$S$54</f>
        <v>#N/A</v>
      </c>
      <c r="E568">
        <f>(C568+$S$53)*$S$54</f>
        <v>157.0830422535211</v>
      </c>
      <c r="F568" t="e">
        <f>(B568+$S$55)*$S$58</f>
        <v>#N/A</v>
      </c>
      <c r="G568">
        <f>(C568+$S$56)*$S$58</f>
        <v>420.90077948717953</v>
      </c>
      <c r="H568" t="e">
        <f>(B568+$S$59)*$S$61</f>
        <v>#N/A</v>
      </c>
      <c r="I568">
        <f>(C568+$S$60)*$S$61</f>
        <v>190.6253846153846</v>
      </c>
    </row>
    <row r="570">
      <c r="B570" t="e">
        <f>IF(11&lt;=$S$16,$S$8+$S$20+10.5*$S$17,NA())</f>
        <v>#N/A</v>
      </c>
      <c r="C570">
        <f>$S$7</f>
        <v>3.0</v>
      </c>
      <c r="D570" t="e">
        <f>(B570+$S$52)*$S$54</f>
        <v>#N/A</v>
      </c>
      <c r="E570">
        <f>(C570+$S$53)*$S$54</f>
        <v>77.05960563380282</v>
      </c>
      <c r="F570" t="e">
        <f>(B570+$S$55)*$S$58</f>
        <v>#N/A</v>
      </c>
      <c r="G570">
        <f>(C570+$S$56)*$S$58</f>
        <v>187.38733333333334</v>
      </c>
      <c r="H570" t="e">
        <f>(B570+$S$59)*$S$61</f>
        <v>#N/A</v>
      </c>
      <c r="I570">
        <f>(C570+$S$60)*$S$61</f>
        <v>71.85110650887574</v>
      </c>
    </row>
    <row r="571">
      <c r="B571" t="e">
        <f>IF(11&lt;=$S$16,$S$8+$S$20+10.5*$S$17,NA())</f>
        <v>#N/A</v>
      </c>
      <c r="C571">
        <f>$S$12</f>
        <v>84.0</v>
      </c>
      <c r="D571" t="e">
        <f>(B571+$S$52)*$S$54</f>
        <v>#N/A</v>
      </c>
      <c r="E571">
        <f>(C571+$S$53)*$S$54</f>
        <v>157.0830422535211</v>
      </c>
      <c r="F571" t="e">
        <f>(B571+$S$55)*$S$58</f>
        <v>#N/A</v>
      </c>
      <c r="G571">
        <f>(C571+$S$56)*$S$58</f>
        <v>420.90077948717953</v>
      </c>
      <c r="H571" t="e">
        <f>(B571+$S$59)*$S$61</f>
        <v>#N/A</v>
      </c>
      <c r="I571">
        <f>(C571+$S$60)*$S$61</f>
        <v>190.6253846153846</v>
      </c>
    </row>
    <row r="573">
      <c r="B573" t="e">
        <f>IF(12&lt;=$S$16,$S$8+$S$20+11.5*$S$17,NA())</f>
        <v>#N/A</v>
      </c>
      <c r="C573">
        <f>$S$7</f>
        <v>3.0</v>
      </c>
      <c r="D573" t="e">
        <f>(B573+$S$52)*$S$54</f>
        <v>#N/A</v>
      </c>
      <c r="E573">
        <f>(C573+$S$53)*$S$54</f>
        <v>77.05960563380282</v>
      </c>
      <c r="F573" t="e">
        <f>(B573+$S$55)*$S$58</f>
        <v>#N/A</v>
      </c>
      <c r="G573">
        <f>(C573+$S$56)*$S$58</f>
        <v>187.38733333333334</v>
      </c>
      <c r="H573" t="e">
        <f>(B573+$S$59)*$S$61</f>
        <v>#N/A</v>
      </c>
      <c r="I573">
        <f>(C573+$S$60)*$S$61</f>
        <v>71.85110650887574</v>
      </c>
    </row>
    <row r="574">
      <c r="B574" t="e">
        <f>IF(12&lt;=$S$16,$S$8+$S$20+11.5*$S$17,NA())</f>
        <v>#N/A</v>
      </c>
      <c r="C574">
        <f>$S$12</f>
        <v>84.0</v>
      </c>
      <c r="D574" t="e">
        <f>(B574+$S$52)*$S$54</f>
        <v>#N/A</v>
      </c>
      <c r="E574">
        <f>(C574+$S$53)*$S$54</f>
        <v>157.0830422535211</v>
      </c>
      <c r="F574" t="e">
        <f>(B574+$S$55)*$S$58</f>
        <v>#N/A</v>
      </c>
      <c r="G574">
        <f>(C574+$S$56)*$S$58</f>
        <v>420.90077948717953</v>
      </c>
      <c r="H574" t="e">
        <f>(B574+$S$59)*$S$61</f>
        <v>#N/A</v>
      </c>
      <c r="I574">
        <f>(C574+$S$60)*$S$61</f>
        <v>190.6253846153846</v>
      </c>
    </row>
    <row r="576">
      <c r="B576" t="e">
        <f>IF(13&lt;=$S$16,$S$8+$S$20+12.5*$S$17,NA())</f>
        <v>#N/A</v>
      </c>
      <c r="C576">
        <f>$S$7</f>
        <v>3.0</v>
      </c>
      <c r="D576" t="e">
        <f>(B576+$S$52)*$S$54</f>
        <v>#N/A</v>
      </c>
      <c r="E576">
        <f>(C576+$S$53)*$S$54</f>
        <v>77.05960563380282</v>
      </c>
      <c r="F576" t="e">
        <f>(B576+$S$55)*$S$58</f>
        <v>#N/A</v>
      </c>
      <c r="G576">
        <f>(C576+$S$56)*$S$58</f>
        <v>187.38733333333334</v>
      </c>
      <c r="H576" t="e">
        <f>(B576+$S$59)*$S$61</f>
        <v>#N/A</v>
      </c>
      <c r="I576">
        <f>(C576+$S$60)*$S$61</f>
        <v>71.85110650887574</v>
      </c>
    </row>
    <row r="577">
      <c r="B577" t="e">
        <f>IF(13&lt;=$S$16,$S$8+$S$20+12.5*$S$17,NA())</f>
        <v>#N/A</v>
      </c>
      <c r="C577">
        <f>$S$12</f>
        <v>84.0</v>
      </c>
      <c r="D577" t="e">
        <f>(B577+$S$52)*$S$54</f>
        <v>#N/A</v>
      </c>
      <c r="E577">
        <f>(C577+$S$53)*$S$54</f>
        <v>157.0830422535211</v>
      </c>
      <c r="F577" t="e">
        <f>(B577+$S$55)*$S$58</f>
        <v>#N/A</v>
      </c>
      <c r="G577">
        <f>(C577+$S$56)*$S$58</f>
        <v>420.90077948717953</v>
      </c>
      <c r="H577" t="e">
        <f>(B577+$S$59)*$S$61</f>
        <v>#N/A</v>
      </c>
      <c r="I577">
        <f>(C577+$S$60)*$S$61</f>
        <v>190.6253846153846</v>
      </c>
    </row>
    <row r="579">
      <c r="B579" t="e">
        <f>IF(14&lt;=$S$16,$S$8+$S$20+13.5*$S$17,NA())</f>
        <v>#N/A</v>
      </c>
      <c r="C579">
        <f>$S$7</f>
        <v>3.0</v>
      </c>
      <c r="D579" t="e">
        <f>(B579+$S$52)*$S$54</f>
        <v>#N/A</v>
      </c>
      <c r="E579">
        <f>(C579+$S$53)*$S$54</f>
        <v>77.05960563380282</v>
      </c>
      <c r="F579" t="e">
        <f>(B579+$S$55)*$S$58</f>
        <v>#N/A</v>
      </c>
      <c r="G579">
        <f>(C579+$S$56)*$S$58</f>
        <v>187.38733333333334</v>
      </c>
      <c r="H579" t="e">
        <f>(B579+$S$59)*$S$61</f>
        <v>#N/A</v>
      </c>
      <c r="I579">
        <f>(C579+$S$60)*$S$61</f>
        <v>71.85110650887574</v>
      </c>
    </row>
    <row r="580">
      <c r="B580" t="e">
        <f>IF(14&lt;=$S$16,$S$8+$S$20+13.5*$S$17,NA())</f>
        <v>#N/A</v>
      </c>
      <c r="C580">
        <f>$S$12</f>
        <v>84.0</v>
      </c>
      <c r="D580" t="e">
        <f>(B580+$S$52)*$S$54</f>
        <v>#N/A</v>
      </c>
      <c r="E580">
        <f>(C580+$S$53)*$S$54</f>
        <v>157.0830422535211</v>
      </c>
      <c r="F580" t="e">
        <f>(B580+$S$55)*$S$58</f>
        <v>#N/A</v>
      </c>
      <c r="G580">
        <f>(C580+$S$56)*$S$58</f>
        <v>420.90077948717953</v>
      </c>
      <c r="H580" t="e">
        <f>(B580+$S$59)*$S$61</f>
        <v>#N/A</v>
      </c>
      <c r="I580">
        <f>(C580+$S$60)*$S$61</f>
        <v>190.6253846153846</v>
      </c>
    </row>
    <row r="582">
      <c r="B582" t="e">
        <f>IF(15&lt;=$S$16,$S$8+$S$20+14.5*$S$17,NA())</f>
        <v>#N/A</v>
      </c>
      <c r="C582">
        <f>$S$7</f>
        <v>3.0</v>
      </c>
      <c r="D582" t="e">
        <f>(B582+$S$52)*$S$54</f>
        <v>#N/A</v>
      </c>
      <c r="E582">
        <f>(C582+$S$53)*$S$54</f>
        <v>77.05960563380282</v>
      </c>
      <c r="F582" t="e">
        <f>(B582+$S$55)*$S$58</f>
        <v>#N/A</v>
      </c>
      <c r="G582">
        <f>(C582+$S$56)*$S$58</f>
        <v>187.38733333333334</v>
      </c>
      <c r="H582" t="e">
        <f>(B582+$S$59)*$S$61</f>
        <v>#N/A</v>
      </c>
      <c r="I582">
        <f>(C582+$S$60)*$S$61</f>
        <v>71.85110650887574</v>
      </c>
    </row>
    <row r="583">
      <c r="B583" t="e">
        <f>IF(15&lt;=$S$16,$S$8+$S$20+14.5*$S$17,NA())</f>
        <v>#N/A</v>
      </c>
      <c r="C583">
        <f>$S$12</f>
        <v>84.0</v>
      </c>
      <c r="D583" t="e">
        <f>(B583+$S$52)*$S$54</f>
        <v>#N/A</v>
      </c>
      <c r="E583">
        <f>(C583+$S$53)*$S$54</f>
        <v>157.0830422535211</v>
      </c>
      <c r="F583" t="e">
        <f>(B583+$S$55)*$S$58</f>
        <v>#N/A</v>
      </c>
      <c r="G583">
        <f>(C583+$S$56)*$S$58</f>
        <v>420.90077948717953</v>
      </c>
      <c r="H583" t="e">
        <f>(B583+$S$59)*$S$61</f>
        <v>#N/A</v>
      </c>
      <c r="I583">
        <f>(C583+$S$60)*$S$61</f>
        <v>190.6253846153846</v>
      </c>
    </row>
    <row r="585">
      <c r="B585" t="e">
        <f>IF(16&lt;=$S$16,$S$8+$S$20+15.5*$S$17,NA())</f>
        <v>#N/A</v>
      </c>
      <c r="C585">
        <f>$S$7</f>
        <v>3.0</v>
      </c>
      <c r="D585" t="e">
        <f>(B585+$S$52)*$S$54</f>
        <v>#N/A</v>
      </c>
      <c r="E585">
        <f>(C585+$S$53)*$S$54</f>
        <v>77.05960563380282</v>
      </c>
      <c r="F585" t="e">
        <f>(B585+$S$55)*$S$58</f>
        <v>#N/A</v>
      </c>
      <c r="G585">
        <f>(C585+$S$56)*$S$58</f>
        <v>187.38733333333334</v>
      </c>
      <c r="H585" t="e">
        <f>(B585+$S$59)*$S$61</f>
        <v>#N/A</v>
      </c>
      <c r="I585">
        <f>(C585+$S$60)*$S$61</f>
        <v>71.85110650887574</v>
      </c>
    </row>
    <row r="586">
      <c r="B586" t="e">
        <f>IF(16&lt;=$S$16,$S$8+$S$20+15.5*$S$17,NA())</f>
        <v>#N/A</v>
      </c>
      <c r="C586">
        <f>$S$12</f>
        <v>84.0</v>
      </c>
      <c r="D586" t="e">
        <f>(B586+$S$52)*$S$54</f>
        <v>#N/A</v>
      </c>
      <c r="E586">
        <f>(C586+$S$53)*$S$54</f>
        <v>157.0830422535211</v>
      </c>
      <c r="F586" t="e">
        <f>(B586+$S$55)*$S$58</f>
        <v>#N/A</v>
      </c>
      <c r="G586">
        <f>(C586+$S$56)*$S$58</f>
        <v>420.90077948717953</v>
      </c>
      <c r="H586" t="e">
        <f>(B586+$S$59)*$S$61</f>
        <v>#N/A</v>
      </c>
      <c r="I586">
        <f>(C586+$S$60)*$S$61</f>
        <v>190.6253846153846</v>
      </c>
    </row>
    <row r="588">
      <c r="B588" t="e">
        <f>IF(17&lt;=$S$16,$S$8+$S$20+16.5*$S$17,NA())</f>
        <v>#N/A</v>
      </c>
      <c r="C588">
        <f>$S$7</f>
        <v>3.0</v>
      </c>
      <c r="D588" t="e">
        <f>(B588+$S$52)*$S$54</f>
        <v>#N/A</v>
      </c>
      <c r="E588">
        <f>(C588+$S$53)*$S$54</f>
        <v>77.05960563380282</v>
      </c>
      <c r="F588" t="e">
        <f>(B588+$S$55)*$S$58</f>
        <v>#N/A</v>
      </c>
      <c r="G588">
        <f>(C588+$S$56)*$S$58</f>
        <v>187.38733333333334</v>
      </c>
      <c r="H588" t="e">
        <f>(B588+$S$59)*$S$61</f>
        <v>#N/A</v>
      </c>
      <c r="I588">
        <f>(C588+$S$60)*$S$61</f>
        <v>71.85110650887574</v>
      </c>
    </row>
    <row r="589">
      <c r="B589" t="e">
        <f>IF(17&lt;=$S$16,$S$8+$S$20+16.5*$S$17,NA())</f>
        <v>#N/A</v>
      </c>
      <c r="C589">
        <f>$S$12</f>
        <v>84.0</v>
      </c>
      <c r="D589" t="e">
        <f>(B589+$S$52)*$S$54</f>
        <v>#N/A</v>
      </c>
      <c r="E589">
        <f>(C589+$S$53)*$S$54</f>
        <v>157.0830422535211</v>
      </c>
      <c r="F589" t="e">
        <f>(B589+$S$55)*$S$58</f>
        <v>#N/A</v>
      </c>
      <c r="G589">
        <f>(C589+$S$56)*$S$58</f>
        <v>420.90077948717953</v>
      </c>
      <c r="H589" t="e">
        <f>(B589+$S$59)*$S$61</f>
        <v>#N/A</v>
      </c>
      <c r="I589">
        <f>(C589+$S$60)*$S$61</f>
        <v>190.6253846153846</v>
      </c>
    </row>
    <row r="591">
      <c r="B591" t="e">
        <f>IF(18&lt;=$S$16,$S$8+$S$20+17.5*$S$17,NA())</f>
        <v>#N/A</v>
      </c>
      <c r="C591">
        <f>$S$7</f>
        <v>3.0</v>
      </c>
      <c r="D591" t="e">
        <f>(B591+$S$52)*$S$54</f>
        <v>#N/A</v>
      </c>
      <c r="E591">
        <f>(C591+$S$53)*$S$54</f>
        <v>77.05960563380282</v>
      </c>
      <c r="F591" t="e">
        <f>(B591+$S$55)*$S$58</f>
        <v>#N/A</v>
      </c>
      <c r="G591">
        <f>(C591+$S$56)*$S$58</f>
        <v>187.38733333333334</v>
      </c>
      <c r="H591" t="e">
        <f>(B591+$S$59)*$S$61</f>
        <v>#N/A</v>
      </c>
      <c r="I591">
        <f>(C591+$S$60)*$S$61</f>
        <v>71.85110650887574</v>
      </c>
    </row>
    <row r="592">
      <c r="B592" t="e">
        <f>IF(18&lt;=$S$16,$S$8+$S$20+17.5*$S$17,NA())</f>
        <v>#N/A</v>
      </c>
      <c r="C592">
        <f>$S$12</f>
        <v>84.0</v>
      </c>
      <c r="D592" t="e">
        <f>(B592+$S$52)*$S$54</f>
        <v>#N/A</v>
      </c>
      <c r="E592">
        <f>(C592+$S$53)*$S$54</f>
        <v>157.0830422535211</v>
      </c>
      <c r="F592" t="e">
        <f>(B592+$S$55)*$S$58</f>
        <v>#N/A</v>
      </c>
      <c r="G592">
        <f>(C592+$S$56)*$S$58</f>
        <v>420.90077948717953</v>
      </c>
      <c r="H592" t="e">
        <f>(B592+$S$59)*$S$61</f>
        <v>#N/A</v>
      </c>
      <c r="I592">
        <f>(C592+$S$60)*$S$61</f>
        <v>190.6253846153846</v>
      </c>
    </row>
    <row r="594">
      <c r="B594" t="e">
        <f>IF(19&lt;=$S$16,$S$8+$S$20+18.5*$S$17,NA())</f>
        <v>#N/A</v>
      </c>
      <c r="C594">
        <f>$S$7</f>
        <v>3.0</v>
      </c>
      <c r="D594" t="e">
        <f>(B594+$S$52)*$S$54</f>
        <v>#N/A</v>
      </c>
      <c r="E594">
        <f>(C594+$S$53)*$S$54</f>
        <v>77.05960563380282</v>
      </c>
      <c r="F594" t="e">
        <f>(B594+$S$55)*$S$58</f>
        <v>#N/A</v>
      </c>
      <c r="G594">
        <f>(C594+$S$56)*$S$58</f>
        <v>187.38733333333334</v>
      </c>
      <c r="H594" t="e">
        <f>(B594+$S$59)*$S$61</f>
        <v>#N/A</v>
      </c>
      <c r="I594">
        <f>(C594+$S$60)*$S$61</f>
        <v>71.85110650887574</v>
      </c>
    </row>
    <row r="595">
      <c r="B595" t="e">
        <f>IF(19&lt;=$S$16,$S$8+$S$20+18.5*$S$17,NA())</f>
        <v>#N/A</v>
      </c>
      <c r="C595">
        <f>$S$12</f>
        <v>84.0</v>
      </c>
      <c r="D595" t="e">
        <f>(B595+$S$52)*$S$54</f>
        <v>#N/A</v>
      </c>
      <c r="E595">
        <f>(C595+$S$53)*$S$54</f>
        <v>157.0830422535211</v>
      </c>
      <c r="F595" t="e">
        <f>(B595+$S$55)*$S$58</f>
        <v>#N/A</v>
      </c>
      <c r="G595">
        <f>(C595+$S$56)*$S$58</f>
        <v>420.90077948717953</v>
      </c>
      <c r="H595" t="e">
        <f>(B595+$S$59)*$S$61</f>
        <v>#N/A</v>
      </c>
      <c r="I595">
        <f>(C595+$S$60)*$S$61</f>
        <v>190.6253846153846</v>
      </c>
    </row>
    <row r="597">
      <c r="B597" t="e">
        <f>IF(20&lt;=$S$16,$S$8+$S$20+19.5*$S$17,NA())</f>
        <v>#N/A</v>
      </c>
      <c r="C597">
        <f>$S$7</f>
        <v>3.0</v>
      </c>
      <c r="D597" t="e">
        <f>(B597+$S$52)*$S$54</f>
        <v>#N/A</v>
      </c>
      <c r="E597">
        <f>(C597+$S$53)*$S$54</f>
        <v>77.05960563380282</v>
      </c>
      <c r="F597" t="e">
        <f>(B597+$S$55)*$S$58</f>
        <v>#N/A</v>
      </c>
      <c r="G597">
        <f>(C597+$S$56)*$S$58</f>
        <v>187.38733333333334</v>
      </c>
      <c r="H597" t="e">
        <f>(B597+$S$59)*$S$61</f>
        <v>#N/A</v>
      </c>
      <c r="I597">
        <f>(C597+$S$60)*$S$61</f>
        <v>71.85110650887574</v>
      </c>
    </row>
    <row r="598">
      <c r="B598" t="e">
        <f>IF(20&lt;=$S$16,$S$8+$S$20+19.5*$S$17,NA())</f>
        <v>#N/A</v>
      </c>
      <c r="C598">
        <f>$S$12</f>
        <v>84.0</v>
      </c>
      <c r="D598" t="e">
        <f>(B598+$S$52)*$S$54</f>
        <v>#N/A</v>
      </c>
      <c r="E598">
        <f>(C598+$S$53)*$S$54</f>
        <v>157.0830422535211</v>
      </c>
      <c r="F598" t="e">
        <f>(B598+$S$55)*$S$58</f>
        <v>#N/A</v>
      </c>
      <c r="G598">
        <f>(C598+$S$56)*$S$58</f>
        <v>420.90077948717953</v>
      </c>
      <c r="H598" t="e">
        <f>(B598+$S$59)*$S$61</f>
        <v>#N/A</v>
      </c>
      <c r="I598">
        <f>(C598+$S$60)*$S$61</f>
        <v>190.6253846153846</v>
      </c>
    </row>
    <row r="600">
      <c r="B600" t="e">
        <f>IF(21&lt;=$S$16,$S$8+$S$20+20.5*$S$17,NA())</f>
        <v>#N/A</v>
      </c>
      <c r="C600">
        <f>$S$7</f>
        <v>3.0</v>
      </c>
      <c r="D600" t="e">
        <f>(B600+$S$52)*$S$54</f>
        <v>#N/A</v>
      </c>
      <c r="E600">
        <f>(C600+$S$53)*$S$54</f>
        <v>77.05960563380282</v>
      </c>
      <c r="F600" t="e">
        <f>(B600+$S$55)*$S$58</f>
        <v>#N/A</v>
      </c>
      <c r="G600">
        <f>(C600+$S$56)*$S$58</f>
        <v>187.38733333333334</v>
      </c>
      <c r="H600" t="e">
        <f>(B600+$S$59)*$S$61</f>
        <v>#N/A</v>
      </c>
      <c r="I600">
        <f>(C600+$S$60)*$S$61</f>
        <v>71.85110650887574</v>
      </c>
    </row>
    <row r="601">
      <c r="B601" t="e">
        <f>IF(21&lt;=$S$16,$S$8+$S$20+20.5*$S$17,NA())</f>
        <v>#N/A</v>
      </c>
      <c r="C601">
        <f>$S$12</f>
        <v>84.0</v>
      </c>
      <c r="D601" t="e">
        <f>(B601+$S$52)*$S$54</f>
        <v>#N/A</v>
      </c>
      <c r="E601">
        <f>(C601+$S$53)*$S$54</f>
        <v>157.0830422535211</v>
      </c>
      <c r="F601" t="e">
        <f>(B601+$S$55)*$S$58</f>
        <v>#N/A</v>
      </c>
      <c r="G601">
        <f>(C601+$S$56)*$S$58</f>
        <v>420.90077948717953</v>
      </c>
      <c r="H601" t="e">
        <f>(B601+$S$59)*$S$61</f>
        <v>#N/A</v>
      </c>
      <c r="I601">
        <f>(C601+$S$60)*$S$61</f>
        <v>190.6253846153846</v>
      </c>
    </row>
    <row r="603">
      <c r="B603" t="e">
        <f>IF(22&lt;=$S$16,$S$8+$S$20+21.5*$S$17,NA())</f>
        <v>#N/A</v>
      </c>
      <c r="C603">
        <f>$S$7</f>
        <v>3.0</v>
      </c>
      <c r="D603" t="e">
        <f>(B603+$S$52)*$S$54</f>
        <v>#N/A</v>
      </c>
      <c r="E603">
        <f>(C603+$S$53)*$S$54</f>
        <v>77.05960563380282</v>
      </c>
      <c r="F603" t="e">
        <f>(B603+$S$55)*$S$58</f>
        <v>#N/A</v>
      </c>
      <c r="G603">
        <f>(C603+$S$56)*$S$58</f>
        <v>187.38733333333334</v>
      </c>
      <c r="H603" t="e">
        <f>(B603+$S$59)*$S$61</f>
        <v>#N/A</v>
      </c>
      <c r="I603">
        <f>(C603+$S$60)*$S$61</f>
        <v>71.85110650887574</v>
      </c>
    </row>
    <row r="604">
      <c r="B604" t="e">
        <f>IF(22&lt;=$S$16,$S$8+$S$20+21.5*$S$17,NA())</f>
        <v>#N/A</v>
      </c>
      <c r="C604">
        <f>$S$12</f>
        <v>84.0</v>
      </c>
      <c r="D604" t="e">
        <f>(B604+$S$52)*$S$54</f>
        <v>#N/A</v>
      </c>
      <c r="E604">
        <f>(C604+$S$53)*$S$54</f>
        <v>157.0830422535211</v>
      </c>
      <c r="F604" t="e">
        <f>(B604+$S$55)*$S$58</f>
        <v>#N/A</v>
      </c>
      <c r="G604">
        <f>(C604+$S$56)*$S$58</f>
        <v>420.90077948717953</v>
      </c>
      <c r="H604" t="e">
        <f>(B604+$S$59)*$S$61</f>
        <v>#N/A</v>
      </c>
      <c r="I604">
        <f>(C604+$S$60)*$S$61</f>
        <v>190.6253846153846</v>
      </c>
    </row>
    <row r="606">
      <c r="B606" t="e">
        <f>IF(23&lt;=$S$16,$S$8+$S$20+22.5*$S$17,NA())</f>
        <v>#N/A</v>
      </c>
      <c r="C606">
        <f>$S$7</f>
        <v>3.0</v>
      </c>
      <c r="D606" t="e">
        <f>(B606+$S$52)*$S$54</f>
        <v>#N/A</v>
      </c>
      <c r="E606">
        <f>(C606+$S$53)*$S$54</f>
        <v>77.05960563380282</v>
      </c>
      <c r="F606" t="e">
        <f>(B606+$S$55)*$S$58</f>
        <v>#N/A</v>
      </c>
      <c r="G606">
        <f>(C606+$S$56)*$S$58</f>
        <v>187.38733333333334</v>
      </c>
      <c r="H606" t="e">
        <f>(B606+$S$59)*$S$61</f>
        <v>#N/A</v>
      </c>
      <c r="I606">
        <f>(C606+$S$60)*$S$61</f>
        <v>71.85110650887574</v>
      </c>
    </row>
    <row r="607">
      <c r="B607" t="e">
        <f>IF(23&lt;=$S$16,$S$8+$S$20+22.5*$S$17,NA())</f>
        <v>#N/A</v>
      </c>
      <c r="C607">
        <f>$S$12</f>
        <v>84.0</v>
      </c>
      <c r="D607" t="e">
        <f>(B607+$S$52)*$S$54</f>
        <v>#N/A</v>
      </c>
      <c r="E607">
        <f>(C607+$S$53)*$S$54</f>
        <v>157.0830422535211</v>
      </c>
      <c r="F607" t="e">
        <f>(B607+$S$55)*$S$58</f>
        <v>#N/A</v>
      </c>
      <c r="G607">
        <f>(C607+$S$56)*$S$58</f>
        <v>420.90077948717953</v>
      </c>
      <c r="H607" t="e">
        <f>(B607+$S$59)*$S$61</f>
        <v>#N/A</v>
      </c>
      <c r="I607">
        <f>(C607+$S$60)*$S$61</f>
        <v>190.6253846153846</v>
      </c>
    </row>
    <row r="609">
      <c r="B609" t="e">
        <f>IF(24&lt;=$S$16,$S$8+$S$20+23.5*$S$17,NA())</f>
        <v>#N/A</v>
      </c>
      <c r="C609">
        <f>$S$7</f>
        <v>3.0</v>
      </c>
      <c r="D609" t="e">
        <f>(B609+$S$52)*$S$54</f>
        <v>#N/A</v>
      </c>
      <c r="E609">
        <f>(C609+$S$53)*$S$54</f>
        <v>77.05960563380282</v>
      </c>
      <c r="F609" t="e">
        <f>(B609+$S$55)*$S$58</f>
        <v>#N/A</v>
      </c>
      <c r="G609">
        <f>(C609+$S$56)*$S$58</f>
        <v>187.38733333333334</v>
      </c>
      <c r="H609" t="e">
        <f>(B609+$S$59)*$S$61</f>
        <v>#N/A</v>
      </c>
      <c r="I609">
        <f>(C609+$S$60)*$S$61</f>
        <v>71.85110650887574</v>
      </c>
    </row>
    <row r="610">
      <c r="B610" t="e">
        <f>IF(24&lt;=$S$16,$S$8+$S$20+23.5*$S$17,NA())</f>
        <v>#N/A</v>
      </c>
      <c r="C610">
        <f>$S$12</f>
        <v>84.0</v>
      </c>
      <c r="D610" t="e">
        <f>(B610+$S$52)*$S$54</f>
        <v>#N/A</v>
      </c>
      <c r="E610">
        <f>(C610+$S$53)*$S$54</f>
        <v>157.0830422535211</v>
      </c>
      <c r="F610" t="e">
        <f>(B610+$S$55)*$S$58</f>
        <v>#N/A</v>
      </c>
      <c r="G610">
        <f>(C610+$S$56)*$S$58</f>
        <v>420.90077948717953</v>
      </c>
      <c r="H610" t="e">
        <f>(B610+$S$59)*$S$61</f>
        <v>#N/A</v>
      </c>
      <c r="I610">
        <f>(C610+$S$60)*$S$61</f>
        <v>190.6253846153846</v>
      </c>
    </row>
    <row r="612">
      <c r="B612" t="e">
        <f>IF(25&lt;=$S$16,$S$8+$S$20+24.5*$S$17,NA())</f>
        <v>#N/A</v>
      </c>
      <c r="C612">
        <f>$S$7</f>
        <v>3.0</v>
      </c>
      <c r="D612" t="e">
        <f>(B612+$S$52)*$S$54</f>
        <v>#N/A</v>
      </c>
      <c r="E612">
        <f>(C612+$S$53)*$S$54</f>
        <v>77.05960563380282</v>
      </c>
      <c r="F612" t="e">
        <f>(B612+$S$55)*$S$58</f>
        <v>#N/A</v>
      </c>
      <c r="G612">
        <f>(C612+$S$56)*$S$58</f>
        <v>187.38733333333334</v>
      </c>
      <c r="H612" t="e">
        <f>(B612+$S$59)*$S$61</f>
        <v>#N/A</v>
      </c>
      <c r="I612">
        <f>(C612+$S$60)*$S$61</f>
        <v>71.85110650887574</v>
      </c>
    </row>
    <row r="613">
      <c r="B613" t="e">
        <f>IF(25&lt;=$S$16,$S$8+$S$20+24.5*$S$17,NA())</f>
        <v>#N/A</v>
      </c>
      <c r="C613">
        <f>$S$12</f>
        <v>84.0</v>
      </c>
      <c r="D613" t="e">
        <f>(B613+$S$52)*$S$54</f>
        <v>#N/A</v>
      </c>
      <c r="E613">
        <f>(C613+$S$53)*$S$54</f>
        <v>157.0830422535211</v>
      </c>
      <c r="F613" t="e">
        <f>(B613+$S$55)*$S$58</f>
        <v>#N/A</v>
      </c>
      <c r="G613">
        <f>(C613+$S$56)*$S$58</f>
        <v>420.90077948717953</v>
      </c>
      <c r="H613" t="e">
        <f>(B613+$S$59)*$S$61</f>
        <v>#N/A</v>
      </c>
      <c r="I613">
        <f>(C613+$S$60)*$S$61</f>
        <v>190.6253846153846</v>
      </c>
    </row>
    <row r="615">
      <c r="B615" t="e">
        <f>IF(26&lt;=$S$16,$S$8+$S$20+25.5*$S$17,NA())</f>
        <v>#N/A</v>
      </c>
      <c r="C615">
        <f>$S$7</f>
        <v>3.0</v>
      </c>
      <c r="D615" t="e">
        <f>(B615+$S$52)*$S$54</f>
        <v>#N/A</v>
      </c>
      <c r="E615">
        <f>(C615+$S$53)*$S$54</f>
        <v>77.05960563380282</v>
      </c>
      <c r="F615" t="e">
        <f>(B615+$S$55)*$S$58</f>
        <v>#N/A</v>
      </c>
      <c r="G615">
        <f>(C615+$S$56)*$S$58</f>
        <v>187.38733333333334</v>
      </c>
      <c r="H615" t="e">
        <f>(B615+$S$59)*$S$61</f>
        <v>#N/A</v>
      </c>
      <c r="I615">
        <f>(C615+$S$60)*$S$61</f>
        <v>71.85110650887574</v>
      </c>
    </row>
    <row r="616">
      <c r="B616" t="e">
        <f>IF(26&lt;=$S$16,$S$8+$S$20+25.5*$S$17,NA())</f>
        <v>#N/A</v>
      </c>
      <c r="C616">
        <f>$S$12</f>
        <v>84.0</v>
      </c>
      <c r="D616" t="e">
        <f>(B616+$S$52)*$S$54</f>
        <v>#N/A</v>
      </c>
      <c r="E616">
        <f>(C616+$S$53)*$S$54</f>
        <v>157.0830422535211</v>
      </c>
      <c r="F616" t="e">
        <f>(B616+$S$55)*$S$58</f>
        <v>#N/A</v>
      </c>
      <c r="G616">
        <f>(C616+$S$56)*$S$58</f>
        <v>420.90077948717953</v>
      </c>
      <c r="H616" t="e">
        <f>(B616+$S$59)*$S$61</f>
        <v>#N/A</v>
      </c>
      <c r="I616">
        <f>(C616+$S$60)*$S$61</f>
        <v>190.6253846153846</v>
      </c>
    </row>
    <row r="618">
      <c r="B618" t="e">
        <f>IF(27&lt;=$S$16,$S$8+$S$20+26.5*$S$17,NA())</f>
        <v>#N/A</v>
      </c>
      <c r="C618">
        <f>$S$7</f>
        <v>3.0</v>
      </c>
      <c r="D618" t="e">
        <f>(B618+$S$52)*$S$54</f>
        <v>#N/A</v>
      </c>
      <c r="E618">
        <f>(C618+$S$53)*$S$54</f>
        <v>77.05960563380282</v>
      </c>
      <c r="F618" t="e">
        <f>(B618+$S$55)*$S$58</f>
        <v>#N/A</v>
      </c>
      <c r="G618">
        <f>(C618+$S$56)*$S$58</f>
        <v>187.38733333333334</v>
      </c>
      <c r="H618" t="e">
        <f>(B618+$S$59)*$S$61</f>
        <v>#N/A</v>
      </c>
      <c r="I618">
        <f>(C618+$S$60)*$S$61</f>
        <v>71.85110650887574</v>
      </c>
    </row>
    <row r="619">
      <c r="B619" t="e">
        <f>IF(27&lt;=$S$16,$S$8+$S$20+26.5*$S$17,NA())</f>
        <v>#N/A</v>
      </c>
      <c r="C619">
        <f>$S$12</f>
        <v>84.0</v>
      </c>
      <c r="D619" t="e">
        <f>(B619+$S$52)*$S$54</f>
        <v>#N/A</v>
      </c>
      <c r="E619">
        <f>(C619+$S$53)*$S$54</f>
        <v>157.0830422535211</v>
      </c>
      <c r="F619" t="e">
        <f>(B619+$S$55)*$S$58</f>
        <v>#N/A</v>
      </c>
      <c r="G619">
        <f>(C619+$S$56)*$S$58</f>
        <v>420.90077948717953</v>
      </c>
      <c r="H619" t="e">
        <f>(B619+$S$59)*$S$61</f>
        <v>#N/A</v>
      </c>
      <c r="I619">
        <f>(C619+$S$60)*$S$61</f>
        <v>190.6253846153846</v>
      </c>
    </row>
    <row r="621">
      <c r="B621" t="e">
        <f>IF(28&lt;=$S$16,$S$8+$S$20+27.5*$S$17,NA())</f>
        <v>#N/A</v>
      </c>
      <c r="C621">
        <f>$S$7</f>
        <v>3.0</v>
      </c>
      <c r="D621" t="e">
        <f>(B621+$S$52)*$S$54</f>
        <v>#N/A</v>
      </c>
      <c r="E621">
        <f>(C621+$S$53)*$S$54</f>
        <v>77.05960563380282</v>
      </c>
      <c r="F621" t="e">
        <f>(B621+$S$55)*$S$58</f>
        <v>#N/A</v>
      </c>
      <c r="G621">
        <f>(C621+$S$56)*$S$58</f>
        <v>187.38733333333334</v>
      </c>
      <c r="H621" t="e">
        <f>(B621+$S$59)*$S$61</f>
        <v>#N/A</v>
      </c>
      <c r="I621">
        <f>(C621+$S$60)*$S$61</f>
        <v>71.85110650887574</v>
      </c>
    </row>
    <row r="622">
      <c r="B622" t="e">
        <f>IF(28&lt;=$S$16,$S$8+$S$20+27.5*$S$17,NA())</f>
        <v>#N/A</v>
      </c>
      <c r="C622">
        <f>$S$12</f>
        <v>84.0</v>
      </c>
      <c r="D622" t="e">
        <f>(B622+$S$52)*$S$54</f>
        <v>#N/A</v>
      </c>
      <c r="E622">
        <f>(C622+$S$53)*$S$54</f>
        <v>157.0830422535211</v>
      </c>
      <c r="F622" t="e">
        <f>(B622+$S$55)*$S$58</f>
        <v>#N/A</v>
      </c>
      <c r="G622">
        <f>(C622+$S$56)*$S$58</f>
        <v>420.90077948717953</v>
      </c>
      <c r="H622" t="e">
        <f>(B622+$S$59)*$S$61</f>
        <v>#N/A</v>
      </c>
      <c r="I622">
        <f>(C622+$S$60)*$S$61</f>
        <v>190.6253846153846</v>
      </c>
    </row>
    <row r="624">
      <c r="B624" t="e">
        <f>IF(29&lt;=$S$16,$S$8+$S$20+28.5*$S$17,NA())</f>
        <v>#N/A</v>
      </c>
      <c r="C624">
        <f>$S$7</f>
        <v>3.0</v>
      </c>
      <c r="D624" t="e">
        <f>(B624+$S$52)*$S$54</f>
        <v>#N/A</v>
      </c>
      <c r="E624">
        <f>(C624+$S$53)*$S$54</f>
        <v>77.05960563380282</v>
      </c>
      <c r="F624" t="e">
        <f>(B624+$S$55)*$S$58</f>
        <v>#N/A</v>
      </c>
      <c r="G624">
        <f>(C624+$S$56)*$S$58</f>
        <v>187.38733333333334</v>
      </c>
      <c r="H624" t="e">
        <f>(B624+$S$59)*$S$61</f>
        <v>#N/A</v>
      </c>
      <c r="I624">
        <f>(C624+$S$60)*$S$61</f>
        <v>71.85110650887574</v>
      </c>
    </row>
    <row r="625">
      <c r="B625" t="e">
        <f>IF(29&lt;=$S$16,$S$8+$S$20+28.5*$S$17,NA())</f>
        <v>#N/A</v>
      </c>
      <c r="C625">
        <f>$S$12</f>
        <v>84.0</v>
      </c>
      <c r="D625" t="e">
        <f>(B625+$S$52)*$S$54</f>
        <v>#N/A</v>
      </c>
      <c r="E625">
        <f>(C625+$S$53)*$S$54</f>
        <v>157.0830422535211</v>
      </c>
      <c r="F625" t="e">
        <f>(B625+$S$55)*$S$58</f>
        <v>#N/A</v>
      </c>
      <c r="G625">
        <f>(C625+$S$56)*$S$58</f>
        <v>420.90077948717953</v>
      </c>
      <c r="H625" t="e">
        <f>(B625+$S$59)*$S$61</f>
        <v>#N/A</v>
      </c>
      <c r="I625">
        <f>(C625+$S$60)*$S$61</f>
        <v>190.6253846153846</v>
      </c>
    </row>
    <row r="627">
      <c r="B627" t="e">
        <f>IF(30&lt;=$S$16,$S$8+$S$20+29.5*$S$17,NA())</f>
        <v>#N/A</v>
      </c>
      <c r="C627">
        <f>$S$7</f>
        <v>3.0</v>
      </c>
      <c r="D627" t="e">
        <f>(B627+$S$52)*$S$54</f>
        <v>#N/A</v>
      </c>
      <c r="E627">
        <f>(C627+$S$53)*$S$54</f>
        <v>77.05960563380282</v>
      </c>
      <c r="F627" t="e">
        <f>(B627+$S$55)*$S$58</f>
        <v>#N/A</v>
      </c>
      <c r="G627">
        <f>(C627+$S$56)*$S$58</f>
        <v>187.38733333333334</v>
      </c>
      <c r="H627" t="e">
        <f>(B627+$S$59)*$S$61</f>
        <v>#N/A</v>
      </c>
      <c r="I627">
        <f>(C627+$S$60)*$S$61</f>
        <v>71.85110650887574</v>
      </c>
    </row>
    <row r="628">
      <c r="B628" t="e">
        <f>IF(30&lt;=$S$16,$S$8+$S$20+29.5*$S$17,NA())</f>
        <v>#N/A</v>
      </c>
      <c r="C628">
        <f>$S$12</f>
        <v>84.0</v>
      </c>
      <c r="D628" t="e">
        <f>(B628+$S$52)*$S$54</f>
        <v>#N/A</v>
      </c>
      <c r="E628">
        <f>(C628+$S$53)*$S$54</f>
        <v>157.0830422535211</v>
      </c>
      <c r="F628" t="e">
        <f>(B628+$S$55)*$S$58</f>
        <v>#N/A</v>
      </c>
      <c r="G628">
        <f>(C628+$S$56)*$S$58</f>
        <v>420.90077948717953</v>
      </c>
      <c r="H628" t="e">
        <f>(B628+$S$59)*$S$61</f>
        <v>#N/A</v>
      </c>
      <c r="I628">
        <f>(C628+$S$60)*$S$61</f>
        <v>190.6253846153846</v>
      </c>
    </row>
    <row r="630">
      <c r="B630" t="e">
        <f>IF(31&lt;=$S$16,$S$8+$S$20+30.5*$S$17,NA())</f>
        <v>#N/A</v>
      </c>
      <c r="C630">
        <f>$S$7</f>
        <v>3.0</v>
      </c>
      <c r="D630" t="e">
        <f>(B630+$S$52)*$S$54</f>
        <v>#N/A</v>
      </c>
      <c r="E630">
        <f>(C630+$S$53)*$S$54</f>
        <v>77.05960563380282</v>
      </c>
      <c r="F630" t="e">
        <f>(B630+$S$55)*$S$58</f>
        <v>#N/A</v>
      </c>
      <c r="G630">
        <f>(C630+$S$56)*$S$58</f>
        <v>187.38733333333334</v>
      </c>
      <c r="H630" t="e">
        <f>(B630+$S$59)*$S$61</f>
        <v>#N/A</v>
      </c>
      <c r="I630">
        <f>(C630+$S$60)*$S$61</f>
        <v>71.85110650887574</v>
      </c>
    </row>
    <row r="631">
      <c r="B631" t="e">
        <f>IF(31&lt;=$S$16,$S$8+$S$20+30.5*$S$17,NA())</f>
        <v>#N/A</v>
      </c>
      <c r="C631">
        <f>$S$12</f>
        <v>84.0</v>
      </c>
      <c r="D631" t="e">
        <f>(B631+$S$52)*$S$54</f>
        <v>#N/A</v>
      </c>
      <c r="E631">
        <f>(C631+$S$53)*$S$54</f>
        <v>157.0830422535211</v>
      </c>
      <c r="F631" t="e">
        <f>(B631+$S$55)*$S$58</f>
        <v>#N/A</v>
      </c>
      <c r="G631">
        <f>(C631+$S$56)*$S$58</f>
        <v>420.90077948717953</v>
      </c>
      <c r="H631" t="e">
        <f>(B631+$S$59)*$S$61</f>
        <v>#N/A</v>
      </c>
      <c r="I631">
        <f>(C631+$S$60)*$S$61</f>
        <v>190.6253846153846</v>
      </c>
    </row>
    <row r="633">
      <c r="B633" t="e">
        <f>IF(32&lt;=$S$16,$S$8+$S$20+31.5*$S$17,NA())</f>
        <v>#N/A</v>
      </c>
      <c r="C633">
        <f>$S$7</f>
        <v>3.0</v>
      </c>
      <c r="D633" t="e">
        <f>(B633+$S$52)*$S$54</f>
        <v>#N/A</v>
      </c>
      <c r="E633">
        <f>(C633+$S$53)*$S$54</f>
        <v>77.05960563380282</v>
      </c>
      <c r="F633" t="e">
        <f>(B633+$S$55)*$S$58</f>
        <v>#N/A</v>
      </c>
      <c r="G633">
        <f>(C633+$S$56)*$S$58</f>
        <v>187.38733333333334</v>
      </c>
      <c r="H633" t="e">
        <f>(B633+$S$59)*$S$61</f>
        <v>#N/A</v>
      </c>
      <c r="I633">
        <f>(C633+$S$60)*$S$61</f>
        <v>71.85110650887574</v>
      </c>
    </row>
    <row r="634">
      <c r="B634" t="e">
        <f>IF(32&lt;=$S$16,$S$8+$S$20+31.5*$S$17,NA())</f>
        <v>#N/A</v>
      </c>
      <c r="C634">
        <f>$S$12</f>
        <v>84.0</v>
      </c>
      <c r="D634" t="e">
        <f>(B634+$S$52)*$S$54</f>
        <v>#N/A</v>
      </c>
      <c r="E634">
        <f>(C634+$S$53)*$S$54</f>
        <v>157.0830422535211</v>
      </c>
      <c r="F634" t="e">
        <f>(B634+$S$55)*$S$58</f>
        <v>#N/A</v>
      </c>
      <c r="G634">
        <f>(C634+$S$56)*$S$58</f>
        <v>420.90077948717953</v>
      </c>
      <c r="H634" t="e">
        <f>(B634+$S$59)*$S$61</f>
        <v>#N/A</v>
      </c>
      <c r="I634">
        <f>(C634+$S$60)*$S$61</f>
        <v>190.6253846153846</v>
      </c>
    </row>
    <row r="636">
      <c r="B636" t="e">
        <f>IF(33&lt;=$S$16,$S$8+$S$20+32.5*$S$17,NA())</f>
        <v>#N/A</v>
      </c>
      <c r="C636">
        <f>$S$7</f>
        <v>3.0</v>
      </c>
      <c r="D636" t="e">
        <f>(B636+$S$52)*$S$54</f>
        <v>#N/A</v>
      </c>
      <c r="E636">
        <f>(C636+$S$53)*$S$54</f>
        <v>77.05960563380282</v>
      </c>
      <c r="F636" t="e">
        <f>(B636+$S$55)*$S$58</f>
        <v>#N/A</v>
      </c>
      <c r="G636">
        <f>(C636+$S$56)*$S$58</f>
        <v>187.38733333333334</v>
      </c>
      <c r="H636" t="e">
        <f>(B636+$S$59)*$S$61</f>
        <v>#N/A</v>
      </c>
      <c r="I636">
        <f>(C636+$S$60)*$S$61</f>
        <v>71.85110650887574</v>
      </c>
    </row>
    <row r="637">
      <c r="B637" t="e">
        <f>IF(33&lt;=$S$16,$S$8+$S$20+32.5*$S$17,NA())</f>
        <v>#N/A</v>
      </c>
      <c r="C637">
        <f>$S$12</f>
        <v>84.0</v>
      </c>
      <c r="D637" t="e">
        <f>(B637+$S$52)*$S$54</f>
        <v>#N/A</v>
      </c>
      <c r="E637">
        <f>(C637+$S$53)*$S$54</f>
        <v>157.0830422535211</v>
      </c>
      <c r="F637" t="e">
        <f>(B637+$S$55)*$S$58</f>
        <v>#N/A</v>
      </c>
      <c r="G637">
        <f>(C637+$S$56)*$S$58</f>
        <v>420.90077948717953</v>
      </c>
      <c r="H637" t="e">
        <f>(B637+$S$59)*$S$61</f>
        <v>#N/A</v>
      </c>
      <c r="I637">
        <f>(C637+$S$60)*$S$61</f>
        <v>190.6253846153846</v>
      </c>
    </row>
    <row r="639">
      <c r="B639" t="e">
        <f>IF(34&lt;=$S$16,$S$8+$S$20+33.5*$S$17,NA())</f>
        <v>#N/A</v>
      </c>
      <c r="C639">
        <f>$S$7</f>
        <v>3.0</v>
      </c>
      <c r="D639" t="e">
        <f>(B639+$S$52)*$S$54</f>
        <v>#N/A</v>
      </c>
      <c r="E639">
        <f>(C639+$S$53)*$S$54</f>
        <v>77.05960563380282</v>
      </c>
      <c r="F639" t="e">
        <f>(B639+$S$55)*$S$58</f>
        <v>#N/A</v>
      </c>
      <c r="G639">
        <f>(C639+$S$56)*$S$58</f>
        <v>187.38733333333334</v>
      </c>
      <c r="H639" t="e">
        <f>(B639+$S$59)*$S$61</f>
        <v>#N/A</v>
      </c>
      <c r="I639">
        <f>(C639+$S$60)*$S$61</f>
        <v>71.85110650887574</v>
      </c>
    </row>
    <row r="640">
      <c r="B640" t="e">
        <f>IF(34&lt;=$S$16,$S$8+$S$20+33.5*$S$17,NA())</f>
        <v>#N/A</v>
      </c>
      <c r="C640">
        <f>$S$12</f>
        <v>84.0</v>
      </c>
      <c r="D640" t="e">
        <f>(B640+$S$52)*$S$54</f>
        <v>#N/A</v>
      </c>
      <c r="E640">
        <f>(C640+$S$53)*$S$54</f>
        <v>157.0830422535211</v>
      </c>
      <c r="F640" t="e">
        <f>(B640+$S$55)*$S$58</f>
        <v>#N/A</v>
      </c>
      <c r="G640">
        <f>(C640+$S$56)*$S$58</f>
        <v>420.90077948717953</v>
      </c>
      <c r="H640" t="e">
        <f>(B640+$S$59)*$S$61</f>
        <v>#N/A</v>
      </c>
      <c r="I640">
        <f>(C640+$S$60)*$S$61</f>
        <v>190.6253846153846</v>
      </c>
    </row>
    <row r="642">
      <c r="B642" t="e">
        <f>IF(35&lt;=$S$16,$S$8+$S$20+34.5*$S$17,NA())</f>
        <v>#N/A</v>
      </c>
      <c r="C642">
        <f>$S$7</f>
        <v>3.0</v>
      </c>
      <c r="D642" t="e">
        <f>(B642+$S$52)*$S$54</f>
        <v>#N/A</v>
      </c>
      <c r="E642">
        <f>(C642+$S$53)*$S$54</f>
        <v>77.05960563380282</v>
      </c>
      <c r="F642" t="e">
        <f>(B642+$S$55)*$S$58</f>
        <v>#N/A</v>
      </c>
      <c r="G642">
        <f>(C642+$S$56)*$S$58</f>
        <v>187.38733333333334</v>
      </c>
      <c r="H642" t="e">
        <f>(B642+$S$59)*$S$61</f>
        <v>#N/A</v>
      </c>
      <c r="I642">
        <f>(C642+$S$60)*$S$61</f>
        <v>71.85110650887574</v>
      </c>
    </row>
    <row r="643">
      <c r="B643" t="e">
        <f>IF(35&lt;=$S$16,$S$8+$S$20+34.5*$S$17,NA())</f>
        <v>#N/A</v>
      </c>
      <c r="C643">
        <f>$S$12</f>
        <v>84.0</v>
      </c>
      <c r="D643" t="e">
        <f>(B643+$S$52)*$S$54</f>
        <v>#N/A</v>
      </c>
      <c r="E643">
        <f>(C643+$S$53)*$S$54</f>
        <v>157.0830422535211</v>
      </c>
      <c r="F643" t="e">
        <f>(B643+$S$55)*$S$58</f>
        <v>#N/A</v>
      </c>
      <c r="G643">
        <f>(C643+$S$56)*$S$58</f>
        <v>420.90077948717953</v>
      </c>
      <c r="H643" t="e">
        <f>(B643+$S$59)*$S$61</f>
        <v>#N/A</v>
      </c>
      <c r="I643">
        <f>(C643+$S$60)*$S$61</f>
        <v>190.6253846153846</v>
      </c>
    </row>
    <row r="645">
      <c r="B645" t="e">
        <f>IF(36&lt;=$S$16,$S$8+$S$20+35.5*$S$17,NA())</f>
        <v>#N/A</v>
      </c>
      <c r="C645">
        <f>$S$7</f>
        <v>3.0</v>
      </c>
      <c r="D645" t="e">
        <f>(B645+$S$52)*$S$54</f>
        <v>#N/A</v>
      </c>
      <c r="E645">
        <f>(C645+$S$53)*$S$54</f>
        <v>77.05960563380282</v>
      </c>
      <c r="F645" t="e">
        <f>(B645+$S$55)*$S$58</f>
        <v>#N/A</v>
      </c>
      <c r="G645">
        <f>(C645+$S$56)*$S$58</f>
        <v>187.38733333333334</v>
      </c>
      <c r="H645" t="e">
        <f>(B645+$S$59)*$S$61</f>
        <v>#N/A</v>
      </c>
      <c r="I645">
        <f>(C645+$S$60)*$S$61</f>
        <v>71.85110650887574</v>
      </c>
    </row>
    <row r="646">
      <c r="B646" t="e">
        <f>IF(36&lt;=$S$16,$S$8+$S$20+35.5*$S$17,NA())</f>
        <v>#N/A</v>
      </c>
      <c r="C646">
        <f>$S$12</f>
        <v>84.0</v>
      </c>
      <c r="D646" t="e">
        <f>(B646+$S$52)*$S$54</f>
        <v>#N/A</v>
      </c>
      <c r="E646">
        <f>(C646+$S$53)*$S$54</f>
        <v>157.0830422535211</v>
      </c>
      <c r="F646" t="e">
        <f>(B646+$S$55)*$S$58</f>
        <v>#N/A</v>
      </c>
      <c r="G646">
        <f>(C646+$S$56)*$S$58</f>
        <v>420.90077948717953</v>
      </c>
      <c r="H646" t="e">
        <f>(B646+$S$59)*$S$61</f>
        <v>#N/A</v>
      </c>
      <c r="I646">
        <f>(C646+$S$60)*$S$61</f>
        <v>190.6253846153846</v>
      </c>
    </row>
    <row r="648">
      <c r="B648" t="e">
        <f>IF(37&lt;=$S$16,$S$8+$S$20+36.5*$S$17,NA())</f>
        <v>#N/A</v>
      </c>
      <c r="C648">
        <f>$S$7</f>
        <v>3.0</v>
      </c>
      <c r="D648" t="e">
        <f>(B648+$S$52)*$S$54</f>
        <v>#N/A</v>
      </c>
      <c r="E648">
        <f>(C648+$S$53)*$S$54</f>
        <v>77.05960563380282</v>
      </c>
      <c r="F648" t="e">
        <f>(B648+$S$55)*$S$58</f>
        <v>#N/A</v>
      </c>
      <c r="G648">
        <f>(C648+$S$56)*$S$58</f>
        <v>187.38733333333334</v>
      </c>
      <c r="H648" t="e">
        <f>(B648+$S$59)*$S$61</f>
        <v>#N/A</v>
      </c>
      <c r="I648">
        <f>(C648+$S$60)*$S$61</f>
        <v>71.85110650887574</v>
      </c>
    </row>
    <row r="649">
      <c r="B649" t="e">
        <f>IF(37&lt;=$S$16,$S$8+$S$20+36.5*$S$17,NA())</f>
        <v>#N/A</v>
      </c>
      <c r="C649">
        <f>$S$12</f>
        <v>84.0</v>
      </c>
      <c r="D649" t="e">
        <f>(B649+$S$52)*$S$54</f>
        <v>#N/A</v>
      </c>
      <c r="E649">
        <f>(C649+$S$53)*$S$54</f>
        <v>157.0830422535211</v>
      </c>
      <c r="F649" t="e">
        <f>(B649+$S$55)*$S$58</f>
        <v>#N/A</v>
      </c>
      <c r="G649">
        <f>(C649+$S$56)*$S$58</f>
        <v>420.90077948717953</v>
      </c>
      <c r="H649" t="e">
        <f>(B649+$S$59)*$S$61</f>
        <v>#N/A</v>
      </c>
      <c r="I649">
        <f>(C649+$S$60)*$S$61</f>
        <v>190.6253846153846</v>
      </c>
    </row>
    <row r="651">
      <c r="B651" t="e">
        <f>IF(38&lt;=$S$16,$S$8+$S$20+37.5*$S$17,NA())</f>
        <v>#N/A</v>
      </c>
      <c r="C651">
        <f>$S$7</f>
        <v>3.0</v>
      </c>
      <c r="D651" t="e">
        <f>(B651+$S$52)*$S$54</f>
        <v>#N/A</v>
      </c>
      <c r="E651">
        <f>(C651+$S$53)*$S$54</f>
        <v>77.05960563380282</v>
      </c>
      <c r="F651" t="e">
        <f>(B651+$S$55)*$S$58</f>
        <v>#N/A</v>
      </c>
      <c r="G651">
        <f>(C651+$S$56)*$S$58</f>
        <v>187.38733333333334</v>
      </c>
      <c r="H651" t="e">
        <f>(B651+$S$59)*$S$61</f>
        <v>#N/A</v>
      </c>
      <c r="I651">
        <f>(C651+$S$60)*$S$61</f>
        <v>71.85110650887574</v>
      </c>
    </row>
    <row r="652">
      <c r="B652" t="e">
        <f>IF(38&lt;=$S$16,$S$8+$S$20+37.5*$S$17,NA())</f>
        <v>#N/A</v>
      </c>
      <c r="C652">
        <f>$S$12</f>
        <v>84.0</v>
      </c>
      <c r="D652" t="e">
        <f>(B652+$S$52)*$S$54</f>
        <v>#N/A</v>
      </c>
      <c r="E652">
        <f>(C652+$S$53)*$S$54</f>
        <v>157.0830422535211</v>
      </c>
      <c r="F652" t="e">
        <f>(B652+$S$55)*$S$58</f>
        <v>#N/A</v>
      </c>
      <c r="G652">
        <f>(C652+$S$56)*$S$58</f>
        <v>420.90077948717953</v>
      </c>
      <c r="H652" t="e">
        <f>(B652+$S$59)*$S$61</f>
        <v>#N/A</v>
      </c>
      <c r="I652">
        <f>(C652+$S$60)*$S$61</f>
        <v>190.6253846153846</v>
      </c>
    </row>
    <row r="654">
      <c r="B654" t="e">
        <f>IF(39&lt;=$S$16,$S$8+$S$20+38.5*$S$17,NA())</f>
        <v>#N/A</v>
      </c>
      <c r="C654">
        <f>$S$7</f>
        <v>3.0</v>
      </c>
      <c r="D654" t="e">
        <f>(B654+$S$52)*$S$54</f>
        <v>#N/A</v>
      </c>
      <c r="E654">
        <f>(C654+$S$53)*$S$54</f>
        <v>77.05960563380282</v>
      </c>
      <c r="F654" t="e">
        <f>(B654+$S$55)*$S$58</f>
        <v>#N/A</v>
      </c>
      <c r="G654">
        <f>(C654+$S$56)*$S$58</f>
        <v>187.38733333333334</v>
      </c>
      <c r="H654" t="e">
        <f>(B654+$S$59)*$S$61</f>
        <v>#N/A</v>
      </c>
      <c r="I654">
        <f>(C654+$S$60)*$S$61</f>
        <v>71.85110650887574</v>
      </c>
    </row>
    <row r="655">
      <c r="B655" t="e">
        <f>IF(39&lt;=$S$16,$S$8+$S$20+38.5*$S$17,NA())</f>
        <v>#N/A</v>
      </c>
      <c r="C655">
        <f>$S$12</f>
        <v>84.0</v>
      </c>
      <c r="D655" t="e">
        <f>(B655+$S$52)*$S$54</f>
        <v>#N/A</v>
      </c>
      <c r="E655">
        <f>(C655+$S$53)*$S$54</f>
        <v>157.0830422535211</v>
      </c>
      <c r="F655" t="e">
        <f>(B655+$S$55)*$S$58</f>
        <v>#N/A</v>
      </c>
      <c r="G655">
        <f>(C655+$S$56)*$S$58</f>
        <v>420.90077948717953</v>
      </c>
      <c r="H655" t="e">
        <f>(B655+$S$59)*$S$61</f>
        <v>#N/A</v>
      </c>
      <c r="I655">
        <f>(C655+$S$60)*$S$61</f>
        <v>190.6253846153846</v>
      </c>
    </row>
    <row r="657">
      <c r="B657" t="e">
        <f>IF(40&lt;=$S$16,$S$8+$S$20+39.5*$S$17,NA())</f>
        <v>#N/A</v>
      </c>
      <c r="C657">
        <f>$S$7</f>
        <v>3.0</v>
      </c>
      <c r="D657" t="e">
        <f>(B657+$S$52)*$S$54</f>
        <v>#N/A</v>
      </c>
      <c r="E657">
        <f>(C657+$S$53)*$S$54</f>
        <v>77.05960563380282</v>
      </c>
      <c r="F657" t="e">
        <f>(B657+$S$55)*$S$58</f>
        <v>#N/A</v>
      </c>
      <c r="G657">
        <f>(C657+$S$56)*$S$58</f>
        <v>187.38733333333334</v>
      </c>
      <c r="H657" t="e">
        <f>(B657+$S$59)*$S$61</f>
        <v>#N/A</v>
      </c>
      <c r="I657">
        <f>(C657+$S$60)*$S$61</f>
        <v>71.85110650887574</v>
      </c>
    </row>
    <row r="658">
      <c r="B658" t="e">
        <f>IF(40&lt;=$S$16,$S$8+$S$20+39.5*$S$17,NA())</f>
        <v>#N/A</v>
      </c>
      <c r="C658">
        <f>$S$12</f>
        <v>84.0</v>
      </c>
      <c r="D658" t="e">
        <f>(B658+$S$52)*$S$54</f>
        <v>#N/A</v>
      </c>
      <c r="E658">
        <f>(C658+$S$53)*$S$54</f>
        <v>157.0830422535211</v>
      </c>
      <c r="F658" t="e">
        <f>(B658+$S$55)*$S$58</f>
        <v>#N/A</v>
      </c>
      <c r="G658">
        <f>(C658+$S$56)*$S$58</f>
        <v>420.90077948717953</v>
      </c>
      <c r="H658" t="e">
        <f>(B658+$S$59)*$S$61</f>
        <v>#N/A</v>
      </c>
      <c r="I658">
        <f>(C658+$S$60)*$S$61</f>
        <v>190.6253846153846</v>
      </c>
    </row>
    <row r="660">
      <c r="B660" t="e">
        <f>IF(41&lt;=$S$16,$S$8+$S$20+40.5*$S$17,NA())</f>
        <v>#N/A</v>
      </c>
      <c r="C660">
        <f>$S$7</f>
        <v>3.0</v>
      </c>
      <c r="D660" t="e">
        <f>(B660+$S$52)*$S$54</f>
        <v>#N/A</v>
      </c>
      <c r="E660">
        <f>(C660+$S$53)*$S$54</f>
        <v>77.05960563380282</v>
      </c>
      <c r="F660" t="e">
        <f>(B660+$S$55)*$S$58</f>
        <v>#N/A</v>
      </c>
      <c r="G660">
        <f>(C660+$S$56)*$S$58</f>
        <v>187.38733333333334</v>
      </c>
      <c r="H660" t="e">
        <f>(B660+$S$59)*$S$61</f>
        <v>#N/A</v>
      </c>
      <c r="I660">
        <f>(C660+$S$60)*$S$61</f>
        <v>71.85110650887574</v>
      </c>
    </row>
    <row r="661">
      <c r="B661" t="e">
        <f>IF(41&lt;=$S$16,$S$8+$S$20+40.5*$S$17,NA())</f>
        <v>#N/A</v>
      </c>
      <c r="C661">
        <f>$S$12</f>
        <v>84.0</v>
      </c>
      <c r="D661" t="e">
        <f>(B661+$S$52)*$S$54</f>
        <v>#N/A</v>
      </c>
      <c r="E661">
        <f>(C661+$S$53)*$S$54</f>
        <v>157.0830422535211</v>
      </c>
      <c r="F661" t="e">
        <f>(B661+$S$55)*$S$58</f>
        <v>#N/A</v>
      </c>
      <c r="G661">
        <f>(C661+$S$56)*$S$58</f>
        <v>420.90077948717953</v>
      </c>
      <c r="H661" t="e">
        <f>(B661+$S$59)*$S$61</f>
        <v>#N/A</v>
      </c>
      <c r="I661">
        <f>(C661+$S$60)*$S$61</f>
        <v>190.6253846153846</v>
      </c>
    </row>
    <row r="663">
      <c r="B663" t="e">
        <f>IF(42&lt;=$S$16,$S$8+$S$20+41.5*$S$17,NA())</f>
        <v>#N/A</v>
      </c>
      <c r="C663">
        <f>$S$7</f>
        <v>3.0</v>
      </c>
      <c r="D663" t="e">
        <f>(B663+$S$52)*$S$54</f>
        <v>#N/A</v>
      </c>
      <c r="E663">
        <f>(C663+$S$53)*$S$54</f>
        <v>77.05960563380282</v>
      </c>
      <c r="F663" t="e">
        <f>(B663+$S$55)*$S$58</f>
        <v>#N/A</v>
      </c>
      <c r="G663">
        <f>(C663+$S$56)*$S$58</f>
        <v>187.38733333333334</v>
      </c>
      <c r="H663" t="e">
        <f>(B663+$S$59)*$S$61</f>
        <v>#N/A</v>
      </c>
      <c r="I663">
        <f>(C663+$S$60)*$S$61</f>
        <v>71.85110650887574</v>
      </c>
    </row>
    <row r="664">
      <c r="B664" t="e">
        <f>IF(42&lt;=$S$16,$S$8+$S$20+41.5*$S$17,NA())</f>
        <v>#N/A</v>
      </c>
      <c r="C664">
        <f>$S$12</f>
        <v>84.0</v>
      </c>
      <c r="D664" t="e">
        <f>(B664+$S$52)*$S$54</f>
        <v>#N/A</v>
      </c>
      <c r="E664">
        <f>(C664+$S$53)*$S$54</f>
        <v>157.0830422535211</v>
      </c>
      <c r="F664" t="e">
        <f>(B664+$S$55)*$S$58</f>
        <v>#N/A</v>
      </c>
      <c r="G664">
        <f>(C664+$S$56)*$S$58</f>
        <v>420.90077948717953</v>
      </c>
      <c r="H664" t="e">
        <f>(B664+$S$59)*$S$61</f>
        <v>#N/A</v>
      </c>
      <c r="I664">
        <f>(C664+$S$60)*$S$61</f>
        <v>190.6253846153846</v>
      </c>
    </row>
    <row r="666">
      <c r="B666" t="e">
        <f>IF(43&lt;=$S$16,$S$8+$S$20+42.5*$S$17,NA())</f>
        <v>#N/A</v>
      </c>
      <c r="C666">
        <f>$S$7</f>
        <v>3.0</v>
      </c>
      <c r="D666" t="e">
        <f>(B666+$S$52)*$S$54</f>
        <v>#N/A</v>
      </c>
      <c r="E666">
        <f>(C666+$S$53)*$S$54</f>
        <v>77.05960563380282</v>
      </c>
      <c r="F666" t="e">
        <f>(B666+$S$55)*$S$58</f>
        <v>#N/A</v>
      </c>
      <c r="G666">
        <f>(C666+$S$56)*$S$58</f>
        <v>187.38733333333334</v>
      </c>
      <c r="H666" t="e">
        <f>(B666+$S$59)*$S$61</f>
        <v>#N/A</v>
      </c>
      <c r="I666">
        <f>(C666+$S$60)*$S$61</f>
        <v>71.85110650887574</v>
      </c>
    </row>
    <row r="667">
      <c r="B667" t="e">
        <f>IF(43&lt;=$S$16,$S$8+$S$20+42.5*$S$17,NA())</f>
        <v>#N/A</v>
      </c>
      <c r="C667">
        <f>$S$12</f>
        <v>84.0</v>
      </c>
      <c r="D667" t="e">
        <f>(B667+$S$52)*$S$54</f>
        <v>#N/A</v>
      </c>
      <c r="E667">
        <f>(C667+$S$53)*$S$54</f>
        <v>157.0830422535211</v>
      </c>
      <c r="F667" t="e">
        <f>(B667+$S$55)*$S$58</f>
        <v>#N/A</v>
      </c>
      <c r="G667">
        <f>(C667+$S$56)*$S$58</f>
        <v>420.90077948717953</v>
      </c>
      <c r="H667" t="e">
        <f>(B667+$S$59)*$S$61</f>
        <v>#N/A</v>
      </c>
      <c r="I667">
        <f>(C667+$S$60)*$S$61</f>
        <v>190.6253846153846</v>
      </c>
    </row>
    <row r="669">
      <c r="B669" t="e">
        <f>IF(44&lt;=$S$16,$S$8+$S$20+43.5*$S$17,NA())</f>
        <v>#N/A</v>
      </c>
      <c r="C669">
        <f>$S$7</f>
        <v>3.0</v>
      </c>
      <c r="D669" t="e">
        <f>(B669+$S$52)*$S$54</f>
        <v>#N/A</v>
      </c>
      <c r="E669">
        <f>(C669+$S$53)*$S$54</f>
        <v>77.05960563380282</v>
      </c>
      <c r="F669" t="e">
        <f>(B669+$S$55)*$S$58</f>
        <v>#N/A</v>
      </c>
      <c r="G669">
        <f>(C669+$S$56)*$S$58</f>
        <v>187.38733333333334</v>
      </c>
      <c r="H669" t="e">
        <f>(B669+$S$59)*$S$61</f>
        <v>#N/A</v>
      </c>
      <c r="I669">
        <f>(C669+$S$60)*$S$61</f>
        <v>71.85110650887574</v>
      </c>
    </row>
    <row r="670">
      <c r="B670" t="e">
        <f>IF(44&lt;=$S$16,$S$8+$S$20+43.5*$S$17,NA())</f>
        <v>#N/A</v>
      </c>
      <c r="C670">
        <f>$S$12</f>
        <v>84.0</v>
      </c>
      <c r="D670" t="e">
        <f>(B670+$S$52)*$S$54</f>
        <v>#N/A</v>
      </c>
      <c r="E670">
        <f>(C670+$S$53)*$S$54</f>
        <v>157.0830422535211</v>
      </c>
      <c r="F670" t="e">
        <f>(B670+$S$55)*$S$58</f>
        <v>#N/A</v>
      </c>
      <c r="G670">
        <f>(C670+$S$56)*$S$58</f>
        <v>420.90077948717953</v>
      </c>
      <c r="H670" t="e">
        <f>(B670+$S$59)*$S$61</f>
        <v>#N/A</v>
      </c>
      <c r="I670">
        <f>(C670+$S$60)*$S$61</f>
        <v>190.6253846153846</v>
      </c>
    </row>
    <row r="672">
      <c r="B672" t="e">
        <f>IF(45&lt;=$S$16,$S$8+$S$20+44.5*$S$17,NA())</f>
        <v>#N/A</v>
      </c>
      <c r="C672">
        <f>$S$7</f>
        <v>3.0</v>
      </c>
      <c r="D672" t="e">
        <f>(B672+$S$52)*$S$54</f>
        <v>#N/A</v>
      </c>
      <c r="E672">
        <f>(C672+$S$53)*$S$54</f>
        <v>77.05960563380282</v>
      </c>
      <c r="F672" t="e">
        <f>(B672+$S$55)*$S$58</f>
        <v>#N/A</v>
      </c>
      <c r="G672">
        <f>(C672+$S$56)*$S$58</f>
        <v>187.38733333333334</v>
      </c>
      <c r="H672" t="e">
        <f>(B672+$S$59)*$S$61</f>
        <v>#N/A</v>
      </c>
      <c r="I672">
        <f>(C672+$S$60)*$S$61</f>
        <v>71.85110650887574</v>
      </c>
    </row>
    <row r="673">
      <c r="B673" t="e">
        <f>IF(45&lt;=$S$16,$S$8+$S$20+44.5*$S$17,NA())</f>
        <v>#N/A</v>
      </c>
      <c r="C673">
        <f>$S$12</f>
        <v>84.0</v>
      </c>
      <c r="D673" t="e">
        <f>(B673+$S$52)*$S$54</f>
        <v>#N/A</v>
      </c>
      <c r="E673">
        <f>(C673+$S$53)*$S$54</f>
        <v>157.0830422535211</v>
      </c>
      <c r="F673" t="e">
        <f>(B673+$S$55)*$S$58</f>
        <v>#N/A</v>
      </c>
      <c r="G673">
        <f>(C673+$S$56)*$S$58</f>
        <v>420.90077948717953</v>
      </c>
      <c r="H673" t="e">
        <f>(B673+$S$59)*$S$61</f>
        <v>#N/A</v>
      </c>
      <c r="I673">
        <f>(C673+$S$60)*$S$61</f>
        <v>190.6253846153846</v>
      </c>
    </row>
    <row r="675">
      <c r="B675" t="e">
        <f>IF(46&lt;=$S$16,$S$8+$S$20+45.5*$S$17,NA())</f>
        <v>#N/A</v>
      </c>
      <c r="C675">
        <f>$S$7</f>
        <v>3.0</v>
      </c>
      <c r="D675" t="e">
        <f>(B675+$S$52)*$S$54</f>
        <v>#N/A</v>
      </c>
      <c r="E675">
        <f>(C675+$S$53)*$S$54</f>
        <v>77.05960563380282</v>
      </c>
      <c r="F675" t="e">
        <f>(B675+$S$55)*$S$58</f>
        <v>#N/A</v>
      </c>
      <c r="G675">
        <f>(C675+$S$56)*$S$58</f>
        <v>187.38733333333334</v>
      </c>
      <c r="H675" t="e">
        <f>(B675+$S$59)*$S$61</f>
        <v>#N/A</v>
      </c>
      <c r="I675">
        <f>(C675+$S$60)*$S$61</f>
        <v>71.85110650887574</v>
      </c>
    </row>
    <row r="676">
      <c r="B676" t="e">
        <f>IF(46&lt;=$S$16,$S$8+$S$20+45.5*$S$17,NA())</f>
        <v>#N/A</v>
      </c>
      <c r="C676">
        <f>$S$12</f>
        <v>84.0</v>
      </c>
      <c r="D676" t="e">
        <f>(B676+$S$52)*$S$54</f>
        <v>#N/A</v>
      </c>
      <c r="E676">
        <f>(C676+$S$53)*$S$54</f>
        <v>157.0830422535211</v>
      </c>
      <c r="F676" t="e">
        <f>(B676+$S$55)*$S$58</f>
        <v>#N/A</v>
      </c>
      <c r="G676">
        <f>(C676+$S$56)*$S$58</f>
        <v>420.90077948717953</v>
      </c>
      <c r="H676" t="e">
        <f>(B676+$S$59)*$S$61</f>
        <v>#N/A</v>
      </c>
      <c r="I676">
        <f>(C676+$S$60)*$S$61</f>
        <v>190.6253846153846</v>
      </c>
    </row>
    <row r="678">
      <c r="B678" t="e">
        <f>IF(47&lt;=$S$16,$S$8+$S$20+46.5*$S$17,NA())</f>
        <v>#N/A</v>
      </c>
      <c r="C678">
        <f>$S$7</f>
        <v>3.0</v>
      </c>
      <c r="D678" t="e">
        <f>(B678+$S$52)*$S$54</f>
        <v>#N/A</v>
      </c>
      <c r="E678">
        <f>(C678+$S$53)*$S$54</f>
        <v>77.05960563380282</v>
      </c>
      <c r="F678" t="e">
        <f>(B678+$S$55)*$S$58</f>
        <v>#N/A</v>
      </c>
      <c r="G678">
        <f>(C678+$S$56)*$S$58</f>
        <v>187.38733333333334</v>
      </c>
      <c r="H678" t="e">
        <f>(B678+$S$59)*$S$61</f>
        <v>#N/A</v>
      </c>
      <c r="I678">
        <f>(C678+$S$60)*$S$61</f>
        <v>71.85110650887574</v>
      </c>
    </row>
    <row r="679">
      <c r="B679" t="e">
        <f>IF(47&lt;=$S$16,$S$8+$S$20+46.5*$S$17,NA())</f>
        <v>#N/A</v>
      </c>
      <c r="C679">
        <f>$S$12</f>
        <v>84.0</v>
      </c>
      <c r="D679" t="e">
        <f>(B679+$S$52)*$S$54</f>
        <v>#N/A</v>
      </c>
      <c r="E679">
        <f>(C679+$S$53)*$S$54</f>
        <v>157.0830422535211</v>
      </c>
      <c r="F679" t="e">
        <f>(B679+$S$55)*$S$58</f>
        <v>#N/A</v>
      </c>
      <c r="G679">
        <f>(C679+$S$56)*$S$58</f>
        <v>420.90077948717953</v>
      </c>
      <c r="H679" t="e">
        <f>(B679+$S$59)*$S$61</f>
        <v>#N/A</v>
      </c>
      <c r="I679">
        <f>(C679+$S$60)*$S$61</f>
        <v>190.6253846153846</v>
      </c>
    </row>
    <row r="681">
      <c r="B681" t="e">
        <f>IF(48&lt;=$S$16,$S$8+$S$20+47.5*$S$17,NA())</f>
        <v>#N/A</v>
      </c>
      <c r="C681">
        <f>$S$7</f>
        <v>3.0</v>
      </c>
      <c r="D681" t="e">
        <f>(B681+$S$52)*$S$54</f>
        <v>#N/A</v>
      </c>
      <c r="E681">
        <f>(C681+$S$53)*$S$54</f>
        <v>77.05960563380282</v>
      </c>
      <c r="F681" t="e">
        <f>(B681+$S$55)*$S$58</f>
        <v>#N/A</v>
      </c>
      <c r="G681">
        <f>(C681+$S$56)*$S$58</f>
        <v>187.38733333333334</v>
      </c>
      <c r="H681" t="e">
        <f>(B681+$S$59)*$S$61</f>
        <v>#N/A</v>
      </c>
      <c r="I681">
        <f>(C681+$S$60)*$S$61</f>
        <v>71.85110650887574</v>
      </c>
    </row>
    <row r="682">
      <c r="B682" t="e">
        <f>IF(48&lt;=$S$16,$S$8+$S$20+47.5*$S$17,NA())</f>
        <v>#N/A</v>
      </c>
      <c r="C682">
        <f>$S$12</f>
        <v>84.0</v>
      </c>
      <c r="D682" t="e">
        <f>(B682+$S$52)*$S$54</f>
        <v>#N/A</v>
      </c>
      <c r="E682">
        <f>(C682+$S$53)*$S$54</f>
        <v>157.0830422535211</v>
      </c>
      <c r="F682" t="e">
        <f>(B682+$S$55)*$S$58</f>
        <v>#N/A</v>
      </c>
      <c r="G682">
        <f>(C682+$S$56)*$S$58</f>
        <v>420.90077948717953</v>
      </c>
      <c r="H682" t="e">
        <f>(B682+$S$59)*$S$61</f>
        <v>#N/A</v>
      </c>
      <c r="I682">
        <f>(C682+$S$60)*$S$61</f>
        <v>190.6253846153846</v>
      </c>
    </row>
    <row r="684">
      <c r="B684" t="e">
        <f>IF(49&lt;=$S$16,$S$8+$S$20+48.5*$S$17,NA())</f>
        <v>#N/A</v>
      </c>
      <c r="C684">
        <f>$S$7</f>
        <v>3.0</v>
      </c>
      <c r="D684" t="e">
        <f>(B684+$S$52)*$S$54</f>
        <v>#N/A</v>
      </c>
      <c r="E684">
        <f>(C684+$S$53)*$S$54</f>
        <v>77.05960563380282</v>
      </c>
      <c r="F684" t="e">
        <f>(B684+$S$55)*$S$58</f>
        <v>#N/A</v>
      </c>
      <c r="G684">
        <f>(C684+$S$56)*$S$58</f>
        <v>187.38733333333334</v>
      </c>
      <c r="H684" t="e">
        <f>(B684+$S$59)*$S$61</f>
        <v>#N/A</v>
      </c>
      <c r="I684">
        <f>(C684+$S$60)*$S$61</f>
        <v>71.85110650887574</v>
      </c>
    </row>
    <row r="685">
      <c r="B685" t="e">
        <f>IF(49&lt;=$S$16,$S$8+$S$20+48.5*$S$17,NA())</f>
        <v>#N/A</v>
      </c>
      <c r="C685">
        <f>$S$12</f>
        <v>84.0</v>
      </c>
      <c r="D685" t="e">
        <f>(B685+$S$52)*$S$54</f>
        <v>#N/A</v>
      </c>
      <c r="E685">
        <f>(C685+$S$53)*$S$54</f>
        <v>157.0830422535211</v>
      </c>
      <c r="F685" t="e">
        <f>(B685+$S$55)*$S$58</f>
        <v>#N/A</v>
      </c>
      <c r="G685">
        <f>(C685+$S$56)*$S$58</f>
        <v>420.90077948717953</v>
      </c>
      <c r="H685" t="e">
        <f>(B685+$S$59)*$S$61</f>
        <v>#N/A</v>
      </c>
      <c r="I685">
        <f>(C685+$S$60)*$S$61</f>
        <v>190.6253846153846</v>
      </c>
    </row>
    <row r="687">
      <c r="B687" t="e">
        <f>IF(50&lt;=$S$16,$S$8+$S$20+49.5*$S$17,NA())</f>
        <v>#N/A</v>
      </c>
      <c r="C687">
        <f>$S$7</f>
        <v>3.0</v>
      </c>
      <c r="D687" t="e">
        <f>(B687+$S$52)*$S$54</f>
        <v>#N/A</v>
      </c>
      <c r="E687">
        <f>(C687+$S$53)*$S$54</f>
        <v>77.05960563380282</v>
      </c>
      <c r="F687" t="e">
        <f>(B687+$S$55)*$S$58</f>
        <v>#N/A</v>
      </c>
      <c r="G687">
        <f>(C687+$S$56)*$S$58</f>
        <v>187.38733333333334</v>
      </c>
      <c r="H687" t="e">
        <f>(B687+$S$59)*$S$61</f>
        <v>#N/A</v>
      </c>
      <c r="I687">
        <f>(C687+$S$60)*$S$61</f>
        <v>71.85110650887574</v>
      </c>
    </row>
    <row r="688">
      <c r="B688" t="e">
        <f>IF(50&lt;=$S$16,$S$8+$S$20+49.5*$S$17,NA())</f>
        <v>#N/A</v>
      </c>
      <c r="C688">
        <f>$S$12</f>
        <v>84.0</v>
      </c>
      <c r="D688" t="e">
        <f>(B688+$S$52)*$S$54</f>
        <v>#N/A</v>
      </c>
      <c r="E688">
        <f>(C688+$S$53)*$S$54</f>
        <v>157.0830422535211</v>
      </c>
      <c r="F688" t="e">
        <f>(B688+$S$55)*$S$58</f>
        <v>#N/A</v>
      </c>
      <c r="G688">
        <f>(C688+$S$56)*$S$58</f>
        <v>420.90077948717953</v>
      </c>
      <c r="H688" t="e">
        <f>(B688+$S$59)*$S$61</f>
        <v>#N/A</v>
      </c>
      <c r="I688">
        <f>(C688+$S$60)*$S$61</f>
        <v>190.6253846153846</v>
      </c>
    </row>
    <row r="690">
      <c r="B690">
        <f>$S$2-(IF(1&lt;=$S$16,$S$8+$S$20+0.5*$S$17,NA()))</f>
        <v>709.5</v>
      </c>
      <c r="C690">
        <f>$S$7</f>
        <v>3.0</v>
      </c>
      <c r="D690">
        <f>(B690+$S$52)*$S$54</f>
        <v>745.4034929577464</v>
      </c>
      <c r="E690">
        <f>(C690+$S$53)*$S$54</f>
        <v>77.05960563380282</v>
      </c>
      <c r="F690">
        <f>(B690+$S$55)*$S$58</f>
        <v>2131.891276923077</v>
      </c>
      <c r="G690">
        <f>(C690+$S$56)*$S$58</f>
        <v>187.38733333333334</v>
      </c>
      <c r="H690">
        <f>(B690+$S$59)*$S$61</f>
        <v>1081.4324704142011</v>
      </c>
      <c r="I690">
        <f>(C690+$S$60)*$S$61</f>
        <v>71.85110650887574</v>
      </c>
    </row>
    <row r="691">
      <c r="B691">
        <f>$S$2-(IF(1&lt;=$S$16,$S$8+$S$20+0.5*$S$17,NA()))</f>
        <v>709.5</v>
      </c>
      <c r="C691">
        <f>$S$12</f>
        <v>84.0</v>
      </c>
      <c r="D691">
        <f>(B691+$S$52)*$S$54</f>
        <v>745.4034929577464</v>
      </c>
      <c r="E691">
        <f>(C691+$S$53)*$S$54</f>
        <v>157.0830422535211</v>
      </c>
      <c r="F691">
        <f>(B691+$S$55)*$S$58</f>
        <v>2131.891276923077</v>
      </c>
      <c r="G691">
        <f>(C691+$S$56)*$S$58</f>
        <v>420.90077948717953</v>
      </c>
      <c r="H691">
        <f>(B691+$S$59)*$S$61</f>
        <v>1081.4324704142011</v>
      </c>
      <c r="I691">
        <f>(C691+$S$60)*$S$61</f>
        <v>190.6253846153846</v>
      </c>
    </row>
    <row r="693">
      <c r="B693">
        <f>$S$2-(IF(2&lt;=$S$16,$S$8+$S$20+1.5*$S$17,NA()))</f>
        <v>698.5</v>
      </c>
      <c r="C693">
        <f>$S$7</f>
        <v>3.0</v>
      </c>
      <c r="D693">
        <f>(B693+$S$52)*$S$54</f>
        <v>734.5361126760563</v>
      </c>
      <c r="E693">
        <f>(C693+$S$53)*$S$54</f>
        <v>77.05960563380282</v>
      </c>
      <c r="F693">
        <f>(B693+$S$55)*$S$58</f>
        <v>2100.1795743589746</v>
      </c>
      <c r="G693">
        <f>(C693+$S$56)*$S$58</f>
        <v>187.38733333333334</v>
      </c>
      <c r="H693">
        <f>(B693+$S$59)*$S$61</f>
        <v>1065.3026301775149</v>
      </c>
      <c r="I693">
        <f>(C693+$S$60)*$S$61</f>
        <v>71.85110650887574</v>
      </c>
    </row>
    <row r="694">
      <c r="B694">
        <f>$S$2-(IF(2&lt;=$S$16,$S$8+$S$20+1.5*$S$17,NA()))</f>
        <v>698.5</v>
      </c>
      <c r="C694">
        <f>$S$12</f>
        <v>84.0</v>
      </c>
      <c r="D694">
        <f>(B694+$S$52)*$S$54</f>
        <v>734.5361126760563</v>
      </c>
      <c r="E694">
        <f>(C694+$S$53)*$S$54</f>
        <v>157.0830422535211</v>
      </c>
      <c r="F694">
        <f>(B694+$S$55)*$S$58</f>
        <v>2100.1795743589746</v>
      </c>
      <c r="G694">
        <f>(C694+$S$56)*$S$58</f>
        <v>420.90077948717953</v>
      </c>
      <c r="H694">
        <f>(B694+$S$59)*$S$61</f>
        <v>1065.3026301775149</v>
      </c>
      <c r="I694">
        <f>(C694+$S$60)*$S$61</f>
        <v>190.6253846153846</v>
      </c>
    </row>
    <row r="696">
      <c r="B696">
        <f>$S$2-(IF(3&lt;=$S$16,$S$8+$S$20+2.5*$S$17,NA()))</f>
        <v>687.5</v>
      </c>
      <c r="C696">
        <f>$S$7</f>
        <v>3.0</v>
      </c>
      <c r="D696">
        <f>(B696+$S$52)*$S$54</f>
        <v>723.6687323943662</v>
      </c>
      <c r="E696">
        <f>(C696+$S$53)*$S$54</f>
        <v>77.05960563380282</v>
      </c>
      <c r="F696">
        <f>(B696+$S$55)*$S$58</f>
        <v>2068.467871794872</v>
      </c>
      <c r="G696">
        <f>(C696+$S$56)*$S$58</f>
        <v>187.38733333333334</v>
      </c>
      <c r="H696">
        <f>(B696+$S$59)*$S$61</f>
        <v>1049.1727899408284</v>
      </c>
      <c r="I696">
        <f>(C696+$S$60)*$S$61</f>
        <v>71.85110650887574</v>
      </c>
    </row>
    <row r="697">
      <c r="B697">
        <f>$S$2-(IF(3&lt;=$S$16,$S$8+$S$20+2.5*$S$17,NA()))</f>
        <v>687.5</v>
      </c>
      <c r="C697">
        <f>$S$12</f>
        <v>84.0</v>
      </c>
      <c r="D697">
        <f>(B697+$S$52)*$S$54</f>
        <v>723.6687323943662</v>
      </c>
      <c r="E697">
        <f>(C697+$S$53)*$S$54</f>
        <v>157.0830422535211</v>
      </c>
      <c r="F697">
        <f>(B697+$S$55)*$S$58</f>
        <v>2068.467871794872</v>
      </c>
      <c r="G697">
        <f>(C697+$S$56)*$S$58</f>
        <v>420.90077948717953</v>
      </c>
      <c r="H697">
        <f>(B697+$S$59)*$S$61</f>
        <v>1049.1727899408284</v>
      </c>
      <c r="I697">
        <f>(C697+$S$60)*$S$61</f>
        <v>190.6253846153846</v>
      </c>
    </row>
    <row r="699">
      <c r="B699">
        <f>$S$2-(IF(4&lt;=$S$16,$S$8+$S$20+3.5*$S$17,NA()))</f>
        <v>676.5</v>
      </c>
      <c r="C699">
        <f>$S$7</f>
        <v>3.0</v>
      </c>
      <c r="D699">
        <f>(B699+$S$52)*$S$54</f>
        <v>712.801352112676</v>
      </c>
      <c r="E699">
        <f>(C699+$S$53)*$S$54</f>
        <v>77.05960563380282</v>
      </c>
      <c r="F699">
        <f>(B699+$S$55)*$S$58</f>
        <v>2036.7561692307693</v>
      </c>
      <c r="G699">
        <f>(C699+$S$56)*$S$58</f>
        <v>187.38733333333334</v>
      </c>
      <c r="H699">
        <f>(B699+$S$59)*$S$61</f>
        <v>1033.042949704142</v>
      </c>
      <c r="I699">
        <f>(C699+$S$60)*$S$61</f>
        <v>71.85110650887574</v>
      </c>
    </row>
    <row r="700">
      <c r="B700">
        <f>$S$2-(IF(4&lt;=$S$16,$S$8+$S$20+3.5*$S$17,NA()))</f>
        <v>676.5</v>
      </c>
      <c r="C700">
        <f>$S$12</f>
        <v>84.0</v>
      </c>
      <c r="D700">
        <f>(B700+$S$52)*$S$54</f>
        <v>712.801352112676</v>
      </c>
      <c r="E700">
        <f>(C700+$S$53)*$S$54</f>
        <v>157.0830422535211</v>
      </c>
      <c r="F700">
        <f>(B700+$S$55)*$S$58</f>
        <v>2036.7561692307693</v>
      </c>
      <c r="G700">
        <f>(C700+$S$56)*$S$58</f>
        <v>420.90077948717953</v>
      </c>
      <c r="H700">
        <f>(B700+$S$59)*$S$61</f>
        <v>1033.042949704142</v>
      </c>
      <c r="I700">
        <f>(C700+$S$60)*$S$61</f>
        <v>190.6253846153846</v>
      </c>
    </row>
    <row r="702">
      <c r="B702">
        <f>$S$2-(IF(5&lt;=$S$16,$S$8+$S$20+4.5*$S$17,NA()))</f>
        <v>665.5</v>
      </c>
      <c r="C702">
        <f>$S$7</f>
        <v>3.0</v>
      </c>
      <c r="D702">
        <f>(B702+$S$52)*$S$54</f>
        <v>701.9339718309859</v>
      </c>
      <c r="E702">
        <f>(C702+$S$53)*$S$54</f>
        <v>77.05960563380282</v>
      </c>
      <c r="F702">
        <f>(B702+$S$55)*$S$58</f>
        <v>2005.0444666666667</v>
      </c>
      <c r="G702">
        <f>(C702+$S$56)*$S$58</f>
        <v>187.38733333333334</v>
      </c>
      <c r="H702">
        <f>(B702+$S$59)*$S$61</f>
        <v>1016.9131094674556</v>
      </c>
      <c r="I702">
        <f>(C702+$S$60)*$S$61</f>
        <v>71.85110650887574</v>
      </c>
    </row>
    <row r="703">
      <c r="B703">
        <f>$S$2-(IF(5&lt;=$S$16,$S$8+$S$20+4.5*$S$17,NA()))</f>
        <v>665.5</v>
      </c>
      <c r="C703">
        <f>$S$12</f>
        <v>84.0</v>
      </c>
      <c r="D703">
        <f>(B703+$S$52)*$S$54</f>
        <v>701.9339718309859</v>
      </c>
      <c r="E703">
        <f>(C703+$S$53)*$S$54</f>
        <v>157.0830422535211</v>
      </c>
      <c r="F703">
        <f>(B703+$S$55)*$S$58</f>
        <v>2005.0444666666667</v>
      </c>
      <c r="G703">
        <f>(C703+$S$56)*$S$58</f>
        <v>420.90077948717953</v>
      </c>
      <c r="H703">
        <f>(B703+$S$59)*$S$61</f>
        <v>1016.9131094674556</v>
      </c>
      <c r="I703">
        <f>(C703+$S$60)*$S$61</f>
        <v>190.6253846153846</v>
      </c>
    </row>
    <row r="705">
      <c r="B705">
        <f>$S$2-(IF(6&lt;=$S$16,$S$8+$S$20+5.5*$S$17,NA()))</f>
        <v>654.5</v>
      </c>
      <c r="C705">
        <f>$S$7</f>
        <v>3.0</v>
      </c>
      <c r="D705">
        <f>(B705+$S$52)*$S$54</f>
        <v>691.0665915492957</v>
      </c>
      <c r="E705">
        <f>(C705+$S$53)*$S$54</f>
        <v>77.05960563380282</v>
      </c>
      <c r="F705">
        <f>(B705+$S$55)*$S$58</f>
        <v>1973.3327641025642</v>
      </c>
      <c r="G705">
        <f>(C705+$S$56)*$S$58</f>
        <v>187.38733333333334</v>
      </c>
      <c r="H705">
        <f>(B705+$S$59)*$S$61</f>
        <v>1000.7832692307692</v>
      </c>
      <c r="I705">
        <f>(C705+$S$60)*$S$61</f>
        <v>71.85110650887574</v>
      </c>
    </row>
    <row r="706">
      <c r="B706">
        <f>$S$2-(IF(6&lt;=$S$16,$S$8+$S$20+5.5*$S$17,NA()))</f>
        <v>654.5</v>
      </c>
      <c r="C706">
        <f>$S$12</f>
        <v>84.0</v>
      </c>
      <c r="D706">
        <f>(B706+$S$52)*$S$54</f>
        <v>691.0665915492957</v>
      </c>
      <c r="E706">
        <f>(C706+$S$53)*$S$54</f>
        <v>157.0830422535211</v>
      </c>
      <c r="F706">
        <f>(B706+$S$55)*$S$58</f>
        <v>1973.3327641025642</v>
      </c>
      <c r="G706">
        <f>(C706+$S$56)*$S$58</f>
        <v>420.90077948717953</v>
      </c>
      <c r="H706">
        <f>(B706+$S$59)*$S$61</f>
        <v>1000.7832692307692</v>
      </c>
      <c r="I706">
        <f>(C706+$S$60)*$S$61</f>
        <v>190.6253846153846</v>
      </c>
    </row>
    <row r="708">
      <c r="B708">
        <f>$S$2-(IF(7&lt;=$S$16,$S$8+$S$20+6.5*$S$17,NA()))</f>
        <v>643.5</v>
      </c>
      <c r="C708">
        <f>$S$7</f>
        <v>3.0</v>
      </c>
      <c r="D708">
        <f>(B708+$S$52)*$S$54</f>
        <v>680.1992112676056</v>
      </c>
      <c r="E708">
        <f>(C708+$S$53)*$S$54</f>
        <v>77.05960563380282</v>
      </c>
      <c r="F708">
        <f>(B708+$S$55)*$S$58</f>
        <v>1941.6210615384616</v>
      </c>
      <c r="G708">
        <f>(C708+$S$56)*$S$58</f>
        <v>187.38733333333334</v>
      </c>
      <c r="H708">
        <f>(B708+$S$59)*$S$61</f>
        <v>984.6534289940828</v>
      </c>
      <c r="I708">
        <f>(C708+$S$60)*$S$61</f>
        <v>71.85110650887574</v>
      </c>
    </row>
    <row r="709">
      <c r="B709">
        <f>$S$2-(IF(7&lt;=$S$16,$S$8+$S$20+6.5*$S$17,NA()))</f>
        <v>643.5</v>
      </c>
      <c r="C709">
        <f>$S$12</f>
        <v>84.0</v>
      </c>
      <c r="D709">
        <f>(B709+$S$52)*$S$54</f>
        <v>680.1992112676056</v>
      </c>
      <c r="E709">
        <f>(C709+$S$53)*$S$54</f>
        <v>157.0830422535211</v>
      </c>
      <c r="F709">
        <f>(B709+$S$55)*$S$58</f>
        <v>1941.6210615384616</v>
      </c>
      <c r="G709">
        <f>(C709+$S$56)*$S$58</f>
        <v>420.90077948717953</v>
      </c>
      <c r="H709">
        <f>(B709+$S$59)*$S$61</f>
        <v>984.6534289940828</v>
      </c>
      <c r="I709">
        <f>(C709+$S$60)*$S$61</f>
        <v>190.6253846153846</v>
      </c>
    </row>
    <row r="711">
      <c r="B711">
        <f>$S$2-(IF(8&lt;=$S$16,$S$8+$S$20+7.5*$S$17,NA()))</f>
        <v>632.5</v>
      </c>
      <c r="C711">
        <f>$S$7</f>
        <v>3.0</v>
      </c>
      <c r="D711">
        <f>(B711+$S$52)*$S$54</f>
        <v>669.3318309859154</v>
      </c>
      <c r="E711">
        <f>(C711+$S$53)*$S$54</f>
        <v>77.05960563380282</v>
      </c>
      <c r="F711">
        <f>(B711+$S$55)*$S$58</f>
        <v>1909.909358974359</v>
      </c>
      <c r="G711">
        <f>(C711+$S$56)*$S$58</f>
        <v>187.38733333333334</v>
      </c>
      <c r="H711">
        <f>(B711+$S$59)*$S$61</f>
        <v>968.5235887573964</v>
      </c>
      <c r="I711">
        <f>(C711+$S$60)*$S$61</f>
        <v>71.85110650887574</v>
      </c>
    </row>
    <row r="712">
      <c r="B712">
        <f>$S$2-(IF(8&lt;=$S$16,$S$8+$S$20+7.5*$S$17,NA()))</f>
        <v>632.5</v>
      </c>
      <c r="C712">
        <f>$S$12</f>
        <v>84.0</v>
      </c>
      <c r="D712">
        <f>(B712+$S$52)*$S$54</f>
        <v>669.3318309859154</v>
      </c>
      <c r="E712">
        <f>(C712+$S$53)*$S$54</f>
        <v>157.0830422535211</v>
      </c>
      <c r="F712">
        <f>(B712+$S$55)*$S$58</f>
        <v>1909.909358974359</v>
      </c>
      <c r="G712">
        <f>(C712+$S$56)*$S$58</f>
        <v>420.90077948717953</v>
      </c>
      <c r="H712">
        <f>(B712+$S$59)*$S$61</f>
        <v>968.5235887573964</v>
      </c>
      <c r="I712">
        <f>(C712+$S$60)*$S$61</f>
        <v>190.6253846153846</v>
      </c>
    </row>
    <row r="714">
      <c r="B714" t="e">
        <f>$S$2-(IF(9&lt;=$S$16,$S$8+$S$20+8.5*$S$17,NA()))</f>
        <v>#N/A</v>
      </c>
      <c r="C714">
        <f>$S$7</f>
        <v>3.0</v>
      </c>
      <c r="D714" t="e">
        <f>(B714+$S$52)*$S$54</f>
        <v>#N/A</v>
      </c>
      <c r="E714">
        <f>(C714+$S$53)*$S$54</f>
        <v>77.05960563380282</v>
      </c>
      <c r="F714" t="e">
        <f>(B714+$S$55)*$S$58</f>
        <v>#N/A</v>
      </c>
      <c r="G714">
        <f>(C714+$S$56)*$S$58</f>
        <v>187.38733333333334</v>
      </c>
      <c r="H714" t="e">
        <f>(B714+$S$59)*$S$61</f>
        <v>#N/A</v>
      </c>
      <c r="I714">
        <f>(C714+$S$60)*$S$61</f>
        <v>71.85110650887574</v>
      </c>
    </row>
    <row r="715">
      <c r="B715" t="e">
        <f>$S$2-(IF(9&lt;=$S$16,$S$8+$S$20+8.5*$S$17,NA()))</f>
        <v>#N/A</v>
      </c>
      <c r="C715">
        <f>$S$12</f>
        <v>84.0</v>
      </c>
      <c r="D715" t="e">
        <f>(B715+$S$52)*$S$54</f>
        <v>#N/A</v>
      </c>
      <c r="E715">
        <f>(C715+$S$53)*$S$54</f>
        <v>157.0830422535211</v>
      </c>
      <c r="F715" t="e">
        <f>(B715+$S$55)*$S$58</f>
        <v>#N/A</v>
      </c>
      <c r="G715">
        <f>(C715+$S$56)*$S$58</f>
        <v>420.90077948717953</v>
      </c>
      <c r="H715" t="e">
        <f>(B715+$S$59)*$S$61</f>
        <v>#N/A</v>
      </c>
      <c r="I715">
        <f>(C715+$S$60)*$S$61</f>
        <v>190.6253846153846</v>
      </c>
    </row>
    <row r="717">
      <c r="B717" t="e">
        <f>$S$2-(IF(10&lt;=$S$16,$S$8+$S$20+9.5*$S$17,NA()))</f>
        <v>#N/A</v>
      </c>
      <c r="C717">
        <f>$S$7</f>
        <v>3.0</v>
      </c>
      <c r="D717" t="e">
        <f>(B717+$S$52)*$S$54</f>
        <v>#N/A</v>
      </c>
      <c r="E717">
        <f>(C717+$S$53)*$S$54</f>
        <v>77.05960563380282</v>
      </c>
      <c r="F717" t="e">
        <f>(B717+$S$55)*$S$58</f>
        <v>#N/A</v>
      </c>
      <c r="G717">
        <f>(C717+$S$56)*$S$58</f>
        <v>187.38733333333334</v>
      </c>
      <c r="H717" t="e">
        <f>(B717+$S$59)*$S$61</f>
        <v>#N/A</v>
      </c>
      <c r="I717">
        <f>(C717+$S$60)*$S$61</f>
        <v>71.85110650887574</v>
      </c>
    </row>
    <row r="718">
      <c r="B718" t="e">
        <f>$S$2-(IF(10&lt;=$S$16,$S$8+$S$20+9.5*$S$17,NA()))</f>
        <v>#N/A</v>
      </c>
      <c r="C718">
        <f>$S$12</f>
        <v>84.0</v>
      </c>
      <c r="D718" t="e">
        <f>(B718+$S$52)*$S$54</f>
        <v>#N/A</v>
      </c>
      <c r="E718">
        <f>(C718+$S$53)*$S$54</f>
        <v>157.0830422535211</v>
      </c>
      <c r="F718" t="e">
        <f>(B718+$S$55)*$S$58</f>
        <v>#N/A</v>
      </c>
      <c r="G718">
        <f>(C718+$S$56)*$S$58</f>
        <v>420.90077948717953</v>
      </c>
      <c r="H718" t="e">
        <f>(B718+$S$59)*$S$61</f>
        <v>#N/A</v>
      </c>
      <c r="I718">
        <f>(C718+$S$60)*$S$61</f>
        <v>190.6253846153846</v>
      </c>
    </row>
    <row r="720">
      <c r="B720" t="e">
        <f>$S$2-(IF(11&lt;=$S$16,$S$8+$S$20+10.5*$S$17,NA()))</f>
        <v>#N/A</v>
      </c>
      <c r="C720">
        <f>$S$7</f>
        <v>3.0</v>
      </c>
      <c r="D720" t="e">
        <f>(B720+$S$52)*$S$54</f>
        <v>#N/A</v>
      </c>
      <c r="E720">
        <f>(C720+$S$53)*$S$54</f>
        <v>77.05960563380282</v>
      </c>
      <c r="F720" t="e">
        <f>(B720+$S$55)*$S$58</f>
        <v>#N/A</v>
      </c>
      <c r="G720">
        <f>(C720+$S$56)*$S$58</f>
        <v>187.38733333333334</v>
      </c>
      <c r="H720" t="e">
        <f>(B720+$S$59)*$S$61</f>
        <v>#N/A</v>
      </c>
      <c r="I720">
        <f>(C720+$S$60)*$S$61</f>
        <v>71.85110650887574</v>
      </c>
    </row>
    <row r="721">
      <c r="B721" t="e">
        <f>$S$2-(IF(11&lt;=$S$16,$S$8+$S$20+10.5*$S$17,NA()))</f>
        <v>#N/A</v>
      </c>
      <c r="C721">
        <f>$S$12</f>
        <v>84.0</v>
      </c>
      <c r="D721" t="e">
        <f>(B721+$S$52)*$S$54</f>
        <v>#N/A</v>
      </c>
      <c r="E721">
        <f>(C721+$S$53)*$S$54</f>
        <v>157.0830422535211</v>
      </c>
      <c r="F721" t="e">
        <f>(B721+$S$55)*$S$58</f>
        <v>#N/A</v>
      </c>
      <c r="G721">
        <f>(C721+$S$56)*$S$58</f>
        <v>420.90077948717953</v>
      </c>
      <c r="H721" t="e">
        <f>(B721+$S$59)*$S$61</f>
        <v>#N/A</v>
      </c>
      <c r="I721">
        <f>(C721+$S$60)*$S$61</f>
        <v>190.6253846153846</v>
      </c>
    </row>
    <row r="723">
      <c r="B723" t="e">
        <f>$S$2-(IF(12&lt;=$S$16,$S$8+$S$20+11.5*$S$17,NA()))</f>
        <v>#N/A</v>
      </c>
      <c r="C723">
        <f>$S$7</f>
        <v>3.0</v>
      </c>
      <c r="D723" t="e">
        <f>(B723+$S$52)*$S$54</f>
        <v>#N/A</v>
      </c>
      <c r="E723">
        <f>(C723+$S$53)*$S$54</f>
        <v>77.05960563380282</v>
      </c>
      <c r="F723" t="e">
        <f>(B723+$S$55)*$S$58</f>
        <v>#N/A</v>
      </c>
      <c r="G723">
        <f>(C723+$S$56)*$S$58</f>
        <v>187.38733333333334</v>
      </c>
      <c r="H723" t="e">
        <f>(B723+$S$59)*$S$61</f>
        <v>#N/A</v>
      </c>
      <c r="I723">
        <f>(C723+$S$60)*$S$61</f>
        <v>71.85110650887574</v>
      </c>
    </row>
    <row r="724">
      <c r="B724" t="e">
        <f>$S$2-(IF(12&lt;=$S$16,$S$8+$S$20+11.5*$S$17,NA()))</f>
        <v>#N/A</v>
      </c>
      <c r="C724">
        <f>$S$12</f>
        <v>84.0</v>
      </c>
      <c r="D724" t="e">
        <f>(B724+$S$52)*$S$54</f>
        <v>#N/A</v>
      </c>
      <c r="E724">
        <f>(C724+$S$53)*$S$54</f>
        <v>157.0830422535211</v>
      </c>
      <c r="F724" t="e">
        <f>(B724+$S$55)*$S$58</f>
        <v>#N/A</v>
      </c>
      <c r="G724">
        <f>(C724+$S$56)*$S$58</f>
        <v>420.90077948717953</v>
      </c>
      <c r="H724" t="e">
        <f>(B724+$S$59)*$S$61</f>
        <v>#N/A</v>
      </c>
      <c r="I724">
        <f>(C724+$S$60)*$S$61</f>
        <v>190.6253846153846</v>
      </c>
    </row>
    <row r="726">
      <c r="B726" t="e">
        <f>$S$2-(IF(13&lt;=$S$16,$S$8+$S$20+12.5*$S$17,NA()))</f>
        <v>#N/A</v>
      </c>
      <c r="C726">
        <f>$S$7</f>
        <v>3.0</v>
      </c>
      <c r="D726" t="e">
        <f>(B726+$S$52)*$S$54</f>
        <v>#N/A</v>
      </c>
      <c r="E726">
        <f>(C726+$S$53)*$S$54</f>
        <v>77.05960563380282</v>
      </c>
      <c r="F726" t="e">
        <f>(B726+$S$55)*$S$58</f>
        <v>#N/A</v>
      </c>
      <c r="G726">
        <f>(C726+$S$56)*$S$58</f>
        <v>187.38733333333334</v>
      </c>
      <c r="H726" t="e">
        <f>(B726+$S$59)*$S$61</f>
        <v>#N/A</v>
      </c>
      <c r="I726">
        <f>(C726+$S$60)*$S$61</f>
        <v>71.85110650887574</v>
      </c>
    </row>
    <row r="727">
      <c r="B727" t="e">
        <f>$S$2-(IF(13&lt;=$S$16,$S$8+$S$20+12.5*$S$17,NA()))</f>
        <v>#N/A</v>
      </c>
      <c r="C727">
        <f>$S$12</f>
        <v>84.0</v>
      </c>
      <c r="D727" t="e">
        <f>(B727+$S$52)*$S$54</f>
        <v>#N/A</v>
      </c>
      <c r="E727">
        <f>(C727+$S$53)*$S$54</f>
        <v>157.0830422535211</v>
      </c>
      <c r="F727" t="e">
        <f>(B727+$S$55)*$S$58</f>
        <v>#N/A</v>
      </c>
      <c r="G727">
        <f>(C727+$S$56)*$S$58</f>
        <v>420.90077948717953</v>
      </c>
      <c r="H727" t="e">
        <f>(B727+$S$59)*$S$61</f>
        <v>#N/A</v>
      </c>
      <c r="I727">
        <f>(C727+$S$60)*$S$61</f>
        <v>190.6253846153846</v>
      </c>
    </row>
    <row r="729">
      <c r="B729" t="e">
        <f>$S$2-(IF(14&lt;=$S$16,$S$8+$S$20+13.5*$S$17,NA()))</f>
        <v>#N/A</v>
      </c>
      <c r="C729">
        <f>$S$7</f>
        <v>3.0</v>
      </c>
      <c r="D729" t="e">
        <f>(B729+$S$52)*$S$54</f>
        <v>#N/A</v>
      </c>
      <c r="E729">
        <f>(C729+$S$53)*$S$54</f>
        <v>77.05960563380282</v>
      </c>
      <c r="F729" t="e">
        <f>(B729+$S$55)*$S$58</f>
        <v>#N/A</v>
      </c>
      <c r="G729">
        <f>(C729+$S$56)*$S$58</f>
        <v>187.38733333333334</v>
      </c>
      <c r="H729" t="e">
        <f>(B729+$S$59)*$S$61</f>
        <v>#N/A</v>
      </c>
      <c r="I729">
        <f>(C729+$S$60)*$S$61</f>
        <v>71.85110650887574</v>
      </c>
    </row>
    <row r="730">
      <c r="B730" t="e">
        <f>$S$2-(IF(14&lt;=$S$16,$S$8+$S$20+13.5*$S$17,NA()))</f>
        <v>#N/A</v>
      </c>
      <c r="C730">
        <f>$S$12</f>
        <v>84.0</v>
      </c>
      <c r="D730" t="e">
        <f>(B730+$S$52)*$S$54</f>
        <v>#N/A</v>
      </c>
      <c r="E730">
        <f>(C730+$S$53)*$S$54</f>
        <v>157.0830422535211</v>
      </c>
      <c r="F730" t="e">
        <f>(B730+$S$55)*$S$58</f>
        <v>#N/A</v>
      </c>
      <c r="G730">
        <f>(C730+$S$56)*$S$58</f>
        <v>420.90077948717953</v>
      </c>
      <c r="H730" t="e">
        <f>(B730+$S$59)*$S$61</f>
        <v>#N/A</v>
      </c>
      <c r="I730">
        <f>(C730+$S$60)*$S$61</f>
        <v>190.6253846153846</v>
      </c>
    </row>
    <row r="732">
      <c r="B732" t="e">
        <f>$S$2-(IF(15&lt;=$S$16,$S$8+$S$20+14.5*$S$17,NA()))</f>
        <v>#N/A</v>
      </c>
      <c r="C732">
        <f>$S$7</f>
        <v>3.0</v>
      </c>
      <c r="D732" t="e">
        <f>(B732+$S$52)*$S$54</f>
        <v>#N/A</v>
      </c>
      <c r="E732">
        <f>(C732+$S$53)*$S$54</f>
        <v>77.05960563380282</v>
      </c>
      <c r="F732" t="e">
        <f>(B732+$S$55)*$S$58</f>
        <v>#N/A</v>
      </c>
      <c r="G732">
        <f>(C732+$S$56)*$S$58</f>
        <v>187.38733333333334</v>
      </c>
      <c r="H732" t="e">
        <f>(B732+$S$59)*$S$61</f>
        <v>#N/A</v>
      </c>
      <c r="I732">
        <f>(C732+$S$60)*$S$61</f>
        <v>71.85110650887574</v>
      </c>
    </row>
    <row r="733">
      <c r="B733" t="e">
        <f>$S$2-(IF(15&lt;=$S$16,$S$8+$S$20+14.5*$S$17,NA()))</f>
        <v>#N/A</v>
      </c>
      <c r="C733">
        <f>$S$12</f>
        <v>84.0</v>
      </c>
      <c r="D733" t="e">
        <f>(B733+$S$52)*$S$54</f>
        <v>#N/A</v>
      </c>
      <c r="E733">
        <f>(C733+$S$53)*$S$54</f>
        <v>157.0830422535211</v>
      </c>
      <c r="F733" t="e">
        <f>(B733+$S$55)*$S$58</f>
        <v>#N/A</v>
      </c>
      <c r="G733">
        <f>(C733+$S$56)*$S$58</f>
        <v>420.90077948717953</v>
      </c>
      <c r="H733" t="e">
        <f>(B733+$S$59)*$S$61</f>
        <v>#N/A</v>
      </c>
      <c r="I733">
        <f>(C733+$S$60)*$S$61</f>
        <v>190.6253846153846</v>
      </c>
    </row>
    <row r="735">
      <c r="B735" t="e">
        <f>$S$2-(IF(16&lt;=$S$16,$S$8+$S$20+15.5*$S$17,NA()))</f>
        <v>#N/A</v>
      </c>
      <c r="C735">
        <f>$S$7</f>
        <v>3.0</v>
      </c>
      <c r="D735" t="e">
        <f>(B735+$S$52)*$S$54</f>
        <v>#N/A</v>
      </c>
      <c r="E735">
        <f>(C735+$S$53)*$S$54</f>
        <v>77.05960563380282</v>
      </c>
      <c r="F735" t="e">
        <f>(B735+$S$55)*$S$58</f>
        <v>#N/A</v>
      </c>
      <c r="G735">
        <f>(C735+$S$56)*$S$58</f>
        <v>187.38733333333334</v>
      </c>
      <c r="H735" t="e">
        <f>(B735+$S$59)*$S$61</f>
        <v>#N/A</v>
      </c>
      <c r="I735">
        <f>(C735+$S$60)*$S$61</f>
        <v>71.85110650887574</v>
      </c>
    </row>
    <row r="736">
      <c r="B736" t="e">
        <f>$S$2-(IF(16&lt;=$S$16,$S$8+$S$20+15.5*$S$17,NA()))</f>
        <v>#N/A</v>
      </c>
      <c r="C736">
        <f>$S$12</f>
        <v>84.0</v>
      </c>
      <c r="D736" t="e">
        <f>(B736+$S$52)*$S$54</f>
        <v>#N/A</v>
      </c>
      <c r="E736">
        <f>(C736+$S$53)*$S$54</f>
        <v>157.0830422535211</v>
      </c>
      <c r="F736" t="e">
        <f>(B736+$S$55)*$S$58</f>
        <v>#N/A</v>
      </c>
      <c r="G736">
        <f>(C736+$S$56)*$S$58</f>
        <v>420.90077948717953</v>
      </c>
      <c r="H736" t="e">
        <f>(B736+$S$59)*$S$61</f>
        <v>#N/A</v>
      </c>
      <c r="I736">
        <f>(C736+$S$60)*$S$61</f>
        <v>190.6253846153846</v>
      </c>
    </row>
    <row r="738">
      <c r="B738" t="e">
        <f>$S$2-(IF(17&lt;=$S$16,$S$8+$S$20+16.5*$S$17,NA()))</f>
        <v>#N/A</v>
      </c>
      <c r="C738">
        <f>$S$7</f>
        <v>3.0</v>
      </c>
      <c r="D738" t="e">
        <f>(B738+$S$52)*$S$54</f>
        <v>#N/A</v>
      </c>
      <c r="E738">
        <f>(C738+$S$53)*$S$54</f>
        <v>77.05960563380282</v>
      </c>
      <c r="F738" t="e">
        <f>(B738+$S$55)*$S$58</f>
        <v>#N/A</v>
      </c>
      <c r="G738">
        <f>(C738+$S$56)*$S$58</f>
        <v>187.38733333333334</v>
      </c>
      <c r="H738" t="e">
        <f>(B738+$S$59)*$S$61</f>
        <v>#N/A</v>
      </c>
      <c r="I738">
        <f>(C738+$S$60)*$S$61</f>
        <v>71.85110650887574</v>
      </c>
    </row>
    <row r="739">
      <c r="B739" t="e">
        <f>$S$2-(IF(17&lt;=$S$16,$S$8+$S$20+16.5*$S$17,NA()))</f>
        <v>#N/A</v>
      </c>
      <c r="C739">
        <f>$S$12</f>
        <v>84.0</v>
      </c>
      <c r="D739" t="e">
        <f>(B739+$S$52)*$S$54</f>
        <v>#N/A</v>
      </c>
      <c r="E739">
        <f>(C739+$S$53)*$S$54</f>
        <v>157.0830422535211</v>
      </c>
      <c r="F739" t="e">
        <f>(B739+$S$55)*$S$58</f>
        <v>#N/A</v>
      </c>
      <c r="G739">
        <f>(C739+$S$56)*$S$58</f>
        <v>420.90077948717953</v>
      </c>
      <c r="H739" t="e">
        <f>(B739+$S$59)*$S$61</f>
        <v>#N/A</v>
      </c>
      <c r="I739">
        <f>(C739+$S$60)*$S$61</f>
        <v>190.6253846153846</v>
      </c>
    </row>
    <row r="741">
      <c r="B741" t="e">
        <f>$S$2-(IF(18&lt;=$S$16,$S$8+$S$20+17.5*$S$17,NA()))</f>
        <v>#N/A</v>
      </c>
      <c r="C741">
        <f>$S$7</f>
        <v>3.0</v>
      </c>
      <c r="D741" t="e">
        <f>(B741+$S$52)*$S$54</f>
        <v>#N/A</v>
      </c>
      <c r="E741">
        <f>(C741+$S$53)*$S$54</f>
        <v>77.05960563380282</v>
      </c>
      <c r="F741" t="e">
        <f>(B741+$S$55)*$S$58</f>
        <v>#N/A</v>
      </c>
      <c r="G741">
        <f>(C741+$S$56)*$S$58</f>
        <v>187.38733333333334</v>
      </c>
      <c r="H741" t="e">
        <f>(B741+$S$59)*$S$61</f>
        <v>#N/A</v>
      </c>
      <c r="I741">
        <f>(C741+$S$60)*$S$61</f>
        <v>71.85110650887574</v>
      </c>
    </row>
    <row r="742">
      <c r="B742" t="e">
        <f>$S$2-(IF(18&lt;=$S$16,$S$8+$S$20+17.5*$S$17,NA()))</f>
        <v>#N/A</v>
      </c>
      <c r="C742">
        <f>$S$12</f>
        <v>84.0</v>
      </c>
      <c r="D742" t="e">
        <f>(B742+$S$52)*$S$54</f>
        <v>#N/A</v>
      </c>
      <c r="E742">
        <f>(C742+$S$53)*$S$54</f>
        <v>157.0830422535211</v>
      </c>
      <c r="F742" t="e">
        <f>(B742+$S$55)*$S$58</f>
        <v>#N/A</v>
      </c>
      <c r="G742">
        <f>(C742+$S$56)*$S$58</f>
        <v>420.90077948717953</v>
      </c>
      <c r="H742" t="e">
        <f>(B742+$S$59)*$S$61</f>
        <v>#N/A</v>
      </c>
      <c r="I742">
        <f>(C742+$S$60)*$S$61</f>
        <v>190.6253846153846</v>
      </c>
    </row>
    <row r="744">
      <c r="B744" t="e">
        <f>$S$2-(IF(19&lt;=$S$16,$S$8+$S$20+18.5*$S$17,NA()))</f>
        <v>#N/A</v>
      </c>
      <c r="C744">
        <f>$S$7</f>
        <v>3.0</v>
      </c>
      <c r="D744" t="e">
        <f>(B744+$S$52)*$S$54</f>
        <v>#N/A</v>
      </c>
      <c r="E744">
        <f>(C744+$S$53)*$S$54</f>
        <v>77.05960563380282</v>
      </c>
      <c r="F744" t="e">
        <f>(B744+$S$55)*$S$58</f>
        <v>#N/A</v>
      </c>
      <c r="G744">
        <f>(C744+$S$56)*$S$58</f>
        <v>187.38733333333334</v>
      </c>
      <c r="H744" t="e">
        <f>(B744+$S$59)*$S$61</f>
        <v>#N/A</v>
      </c>
      <c r="I744">
        <f>(C744+$S$60)*$S$61</f>
        <v>71.85110650887574</v>
      </c>
    </row>
    <row r="745">
      <c r="B745" t="e">
        <f>$S$2-(IF(19&lt;=$S$16,$S$8+$S$20+18.5*$S$17,NA()))</f>
        <v>#N/A</v>
      </c>
      <c r="C745">
        <f>$S$12</f>
        <v>84.0</v>
      </c>
      <c r="D745" t="e">
        <f>(B745+$S$52)*$S$54</f>
        <v>#N/A</v>
      </c>
      <c r="E745">
        <f>(C745+$S$53)*$S$54</f>
        <v>157.0830422535211</v>
      </c>
      <c r="F745" t="e">
        <f>(B745+$S$55)*$S$58</f>
        <v>#N/A</v>
      </c>
      <c r="G745">
        <f>(C745+$S$56)*$S$58</f>
        <v>420.90077948717953</v>
      </c>
      <c r="H745" t="e">
        <f>(B745+$S$59)*$S$61</f>
        <v>#N/A</v>
      </c>
      <c r="I745">
        <f>(C745+$S$60)*$S$61</f>
        <v>190.6253846153846</v>
      </c>
    </row>
    <row r="747">
      <c r="B747" t="e">
        <f>$S$2-(IF(20&lt;=$S$16,$S$8+$S$20+19.5*$S$17,NA()))</f>
        <v>#N/A</v>
      </c>
      <c r="C747">
        <f>$S$7</f>
        <v>3.0</v>
      </c>
      <c r="D747" t="e">
        <f>(B747+$S$52)*$S$54</f>
        <v>#N/A</v>
      </c>
      <c r="E747">
        <f>(C747+$S$53)*$S$54</f>
        <v>77.05960563380282</v>
      </c>
      <c r="F747" t="e">
        <f>(B747+$S$55)*$S$58</f>
        <v>#N/A</v>
      </c>
      <c r="G747">
        <f>(C747+$S$56)*$S$58</f>
        <v>187.38733333333334</v>
      </c>
      <c r="H747" t="e">
        <f>(B747+$S$59)*$S$61</f>
        <v>#N/A</v>
      </c>
      <c r="I747">
        <f>(C747+$S$60)*$S$61</f>
        <v>71.85110650887574</v>
      </c>
    </row>
    <row r="748">
      <c r="B748" t="e">
        <f>$S$2-(IF(20&lt;=$S$16,$S$8+$S$20+19.5*$S$17,NA()))</f>
        <v>#N/A</v>
      </c>
      <c r="C748">
        <f>$S$12</f>
        <v>84.0</v>
      </c>
      <c r="D748" t="e">
        <f>(B748+$S$52)*$S$54</f>
        <v>#N/A</v>
      </c>
      <c r="E748">
        <f>(C748+$S$53)*$S$54</f>
        <v>157.0830422535211</v>
      </c>
      <c r="F748" t="e">
        <f>(B748+$S$55)*$S$58</f>
        <v>#N/A</v>
      </c>
      <c r="G748">
        <f>(C748+$S$56)*$S$58</f>
        <v>420.90077948717953</v>
      </c>
      <c r="H748" t="e">
        <f>(B748+$S$59)*$S$61</f>
        <v>#N/A</v>
      </c>
      <c r="I748">
        <f>(C748+$S$60)*$S$61</f>
        <v>190.6253846153846</v>
      </c>
    </row>
    <row r="750">
      <c r="B750" t="e">
        <f>$S$2-(IF(21&lt;=$S$16,$S$8+$S$20+20.5*$S$17,NA()))</f>
        <v>#N/A</v>
      </c>
      <c r="C750">
        <f>$S$7</f>
        <v>3.0</v>
      </c>
      <c r="D750" t="e">
        <f>(B750+$S$52)*$S$54</f>
        <v>#N/A</v>
      </c>
      <c r="E750">
        <f>(C750+$S$53)*$S$54</f>
        <v>77.05960563380282</v>
      </c>
      <c r="F750" t="e">
        <f>(B750+$S$55)*$S$58</f>
        <v>#N/A</v>
      </c>
      <c r="G750">
        <f>(C750+$S$56)*$S$58</f>
        <v>187.38733333333334</v>
      </c>
      <c r="H750" t="e">
        <f>(B750+$S$59)*$S$61</f>
        <v>#N/A</v>
      </c>
      <c r="I750">
        <f>(C750+$S$60)*$S$61</f>
        <v>71.85110650887574</v>
      </c>
    </row>
    <row r="751">
      <c r="B751" t="e">
        <f>$S$2-(IF(21&lt;=$S$16,$S$8+$S$20+20.5*$S$17,NA()))</f>
        <v>#N/A</v>
      </c>
      <c r="C751">
        <f>$S$12</f>
        <v>84.0</v>
      </c>
      <c r="D751" t="e">
        <f>(B751+$S$52)*$S$54</f>
        <v>#N/A</v>
      </c>
      <c r="E751">
        <f>(C751+$S$53)*$S$54</f>
        <v>157.0830422535211</v>
      </c>
      <c r="F751" t="e">
        <f>(B751+$S$55)*$S$58</f>
        <v>#N/A</v>
      </c>
      <c r="G751">
        <f>(C751+$S$56)*$S$58</f>
        <v>420.90077948717953</v>
      </c>
      <c r="H751" t="e">
        <f>(B751+$S$59)*$S$61</f>
        <v>#N/A</v>
      </c>
      <c r="I751">
        <f>(C751+$S$60)*$S$61</f>
        <v>190.6253846153846</v>
      </c>
    </row>
    <row r="753">
      <c r="B753" t="e">
        <f>$S$2-(IF(22&lt;=$S$16,$S$8+$S$20+21.5*$S$17,NA()))</f>
        <v>#N/A</v>
      </c>
      <c r="C753">
        <f>$S$7</f>
        <v>3.0</v>
      </c>
      <c r="D753" t="e">
        <f>(B753+$S$52)*$S$54</f>
        <v>#N/A</v>
      </c>
      <c r="E753">
        <f>(C753+$S$53)*$S$54</f>
        <v>77.05960563380282</v>
      </c>
      <c r="F753" t="e">
        <f>(B753+$S$55)*$S$58</f>
        <v>#N/A</v>
      </c>
      <c r="G753">
        <f>(C753+$S$56)*$S$58</f>
        <v>187.38733333333334</v>
      </c>
      <c r="H753" t="e">
        <f>(B753+$S$59)*$S$61</f>
        <v>#N/A</v>
      </c>
      <c r="I753">
        <f>(C753+$S$60)*$S$61</f>
        <v>71.85110650887574</v>
      </c>
    </row>
    <row r="754">
      <c r="B754" t="e">
        <f>$S$2-(IF(22&lt;=$S$16,$S$8+$S$20+21.5*$S$17,NA()))</f>
        <v>#N/A</v>
      </c>
      <c r="C754">
        <f>$S$12</f>
        <v>84.0</v>
      </c>
      <c r="D754" t="e">
        <f>(B754+$S$52)*$S$54</f>
        <v>#N/A</v>
      </c>
      <c r="E754">
        <f>(C754+$S$53)*$S$54</f>
        <v>157.0830422535211</v>
      </c>
      <c r="F754" t="e">
        <f>(B754+$S$55)*$S$58</f>
        <v>#N/A</v>
      </c>
      <c r="G754">
        <f>(C754+$S$56)*$S$58</f>
        <v>420.90077948717953</v>
      </c>
      <c r="H754" t="e">
        <f>(B754+$S$59)*$S$61</f>
        <v>#N/A</v>
      </c>
      <c r="I754">
        <f>(C754+$S$60)*$S$61</f>
        <v>190.6253846153846</v>
      </c>
    </row>
    <row r="756">
      <c r="B756" t="e">
        <f>$S$2-(IF(23&lt;=$S$16,$S$8+$S$20+22.5*$S$17,NA()))</f>
        <v>#N/A</v>
      </c>
      <c r="C756">
        <f>$S$7</f>
        <v>3.0</v>
      </c>
      <c r="D756" t="e">
        <f>(B756+$S$52)*$S$54</f>
        <v>#N/A</v>
      </c>
      <c r="E756">
        <f>(C756+$S$53)*$S$54</f>
        <v>77.05960563380282</v>
      </c>
      <c r="F756" t="e">
        <f>(B756+$S$55)*$S$58</f>
        <v>#N/A</v>
      </c>
      <c r="G756">
        <f>(C756+$S$56)*$S$58</f>
        <v>187.38733333333334</v>
      </c>
      <c r="H756" t="e">
        <f>(B756+$S$59)*$S$61</f>
        <v>#N/A</v>
      </c>
      <c r="I756">
        <f>(C756+$S$60)*$S$61</f>
        <v>71.85110650887574</v>
      </c>
    </row>
    <row r="757">
      <c r="B757" t="e">
        <f>$S$2-(IF(23&lt;=$S$16,$S$8+$S$20+22.5*$S$17,NA()))</f>
        <v>#N/A</v>
      </c>
      <c r="C757">
        <f>$S$12</f>
        <v>84.0</v>
      </c>
      <c r="D757" t="e">
        <f>(B757+$S$52)*$S$54</f>
        <v>#N/A</v>
      </c>
      <c r="E757">
        <f>(C757+$S$53)*$S$54</f>
        <v>157.0830422535211</v>
      </c>
      <c r="F757" t="e">
        <f>(B757+$S$55)*$S$58</f>
        <v>#N/A</v>
      </c>
      <c r="G757">
        <f>(C757+$S$56)*$S$58</f>
        <v>420.90077948717953</v>
      </c>
      <c r="H757" t="e">
        <f>(B757+$S$59)*$S$61</f>
        <v>#N/A</v>
      </c>
      <c r="I757">
        <f>(C757+$S$60)*$S$61</f>
        <v>190.6253846153846</v>
      </c>
    </row>
    <row r="759">
      <c r="B759" t="e">
        <f>$S$2-(IF(24&lt;=$S$16,$S$8+$S$20+23.5*$S$17,NA()))</f>
        <v>#N/A</v>
      </c>
      <c r="C759">
        <f>$S$7</f>
        <v>3.0</v>
      </c>
      <c r="D759" t="e">
        <f>(B759+$S$52)*$S$54</f>
        <v>#N/A</v>
      </c>
      <c r="E759">
        <f>(C759+$S$53)*$S$54</f>
        <v>77.05960563380282</v>
      </c>
      <c r="F759" t="e">
        <f>(B759+$S$55)*$S$58</f>
        <v>#N/A</v>
      </c>
      <c r="G759">
        <f>(C759+$S$56)*$S$58</f>
        <v>187.38733333333334</v>
      </c>
      <c r="H759" t="e">
        <f>(B759+$S$59)*$S$61</f>
        <v>#N/A</v>
      </c>
      <c r="I759">
        <f>(C759+$S$60)*$S$61</f>
        <v>71.85110650887574</v>
      </c>
    </row>
    <row r="760">
      <c r="B760" t="e">
        <f>$S$2-(IF(24&lt;=$S$16,$S$8+$S$20+23.5*$S$17,NA()))</f>
        <v>#N/A</v>
      </c>
      <c r="C760">
        <f>$S$12</f>
        <v>84.0</v>
      </c>
      <c r="D760" t="e">
        <f>(B760+$S$52)*$S$54</f>
        <v>#N/A</v>
      </c>
      <c r="E760">
        <f>(C760+$S$53)*$S$54</f>
        <v>157.0830422535211</v>
      </c>
      <c r="F760" t="e">
        <f>(B760+$S$55)*$S$58</f>
        <v>#N/A</v>
      </c>
      <c r="G760">
        <f>(C760+$S$56)*$S$58</f>
        <v>420.90077948717953</v>
      </c>
      <c r="H760" t="e">
        <f>(B760+$S$59)*$S$61</f>
        <v>#N/A</v>
      </c>
      <c r="I760">
        <f>(C760+$S$60)*$S$61</f>
        <v>190.6253846153846</v>
      </c>
    </row>
    <row r="762">
      <c r="B762" t="e">
        <f>$S$2-(IF(25&lt;=$S$16,$S$8+$S$20+24.5*$S$17,NA()))</f>
        <v>#N/A</v>
      </c>
      <c r="C762">
        <f>$S$7</f>
        <v>3.0</v>
      </c>
      <c r="D762" t="e">
        <f>(B762+$S$52)*$S$54</f>
        <v>#N/A</v>
      </c>
      <c r="E762">
        <f>(C762+$S$53)*$S$54</f>
        <v>77.05960563380282</v>
      </c>
      <c r="F762" t="e">
        <f>(B762+$S$55)*$S$58</f>
        <v>#N/A</v>
      </c>
      <c r="G762">
        <f>(C762+$S$56)*$S$58</f>
        <v>187.38733333333334</v>
      </c>
      <c r="H762" t="e">
        <f>(B762+$S$59)*$S$61</f>
        <v>#N/A</v>
      </c>
      <c r="I762">
        <f>(C762+$S$60)*$S$61</f>
        <v>71.85110650887574</v>
      </c>
    </row>
    <row r="763">
      <c r="B763" t="e">
        <f>$S$2-(IF(25&lt;=$S$16,$S$8+$S$20+24.5*$S$17,NA()))</f>
        <v>#N/A</v>
      </c>
      <c r="C763">
        <f>$S$12</f>
        <v>84.0</v>
      </c>
      <c r="D763" t="e">
        <f>(B763+$S$52)*$S$54</f>
        <v>#N/A</v>
      </c>
      <c r="E763">
        <f>(C763+$S$53)*$S$54</f>
        <v>157.0830422535211</v>
      </c>
      <c r="F763" t="e">
        <f>(B763+$S$55)*$S$58</f>
        <v>#N/A</v>
      </c>
      <c r="G763">
        <f>(C763+$S$56)*$S$58</f>
        <v>420.90077948717953</v>
      </c>
      <c r="H763" t="e">
        <f>(B763+$S$59)*$S$61</f>
        <v>#N/A</v>
      </c>
      <c r="I763">
        <f>(C763+$S$60)*$S$61</f>
        <v>190.6253846153846</v>
      </c>
    </row>
    <row r="765">
      <c r="B765" t="e">
        <f>$S$2-(IF(26&lt;=$S$16,$S$8+$S$20+25.5*$S$17,NA()))</f>
        <v>#N/A</v>
      </c>
      <c r="C765">
        <f>$S$7</f>
        <v>3.0</v>
      </c>
      <c r="D765" t="e">
        <f>(B765+$S$52)*$S$54</f>
        <v>#N/A</v>
      </c>
      <c r="E765">
        <f>(C765+$S$53)*$S$54</f>
        <v>77.05960563380282</v>
      </c>
      <c r="F765" t="e">
        <f>(B765+$S$55)*$S$58</f>
        <v>#N/A</v>
      </c>
      <c r="G765">
        <f>(C765+$S$56)*$S$58</f>
        <v>187.38733333333334</v>
      </c>
      <c r="H765" t="e">
        <f>(B765+$S$59)*$S$61</f>
        <v>#N/A</v>
      </c>
      <c r="I765">
        <f>(C765+$S$60)*$S$61</f>
        <v>71.85110650887574</v>
      </c>
    </row>
    <row r="766">
      <c r="B766" t="e">
        <f>$S$2-(IF(26&lt;=$S$16,$S$8+$S$20+25.5*$S$17,NA()))</f>
        <v>#N/A</v>
      </c>
      <c r="C766">
        <f>$S$12</f>
        <v>84.0</v>
      </c>
      <c r="D766" t="e">
        <f>(B766+$S$52)*$S$54</f>
        <v>#N/A</v>
      </c>
      <c r="E766">
        <f>(C766+$S$53)*$S$54</f>
        <v>157.0830422535211</v>
      </c>
      <c r="F766" t="e">
        <f>(B766+$S$55)*$S$58</f>
        <v>#N/A</v>
      </c>
      <c r="G766">
        <f>(C766+$S$56)*$S$58</f>
        <v>420.90077948717953</v>
      </c>
      <c r="H766" t="e">
        <f>(B766+$S$59)*$S$61</f>
        <v>#N/A</v>
      </c>
      <c r="I766">
        <f>(C766+$S$60)*$S$61</f>
        <v>190.6253846153846</v>
      </c>
    </row>
    <row r="768">
      <c r="B768" t="e">
        <f>$S$2-(IF(27&lt;=$S$16,$S$8+$S$20+26.5*$S$17,NA()))</f>
        <v>#N/A</v>
      </c>
      <c r="C768">
        <f>$S$7</f>
        <v>3.0</v>
      </c>
      <c r="D768" t="e">
        <f>(B768+$S$52)*$S$54</f>
        <v>#N/A</v>
      </c>
      <c r="E768">
        <f>(C768+$S$53)*$S$54</f>
        <v>77.05960563380282</v>
      </c>
      <c r="F768" t="e">
        <f>(B768+$S$55)*$S$58</f>
        <v>#N/A</v>
      </c>
      <c r="G768">
        <f>(C768+$S$56)*$S$58</f>
        <v>187.38733333333334</v>
      </c>
      <c r="H768" t="e">
        <f>(B768+$S$59)*$S$61</f>
        <v>#N/A</v>
      </c>
      <c r="I768">
        <f>(C768+$S$60)*$S$61</f>
        <v>71.85110650887574</v>
      </c>
    </row>
    <row r="769">
      <c r="B769" t="e">
        <f>$S$2-(IF(27&lt;=$S$16,$S$8+$S$20+26.5*$S$17,NA()))</f>
        <v>#N/A</v>
      </c>
      <c r="C769">
        <f>$S$12</f>
        <v>84.0</v>
      </c>
      <c r="D769" t="e">
        <f>(B769+$S$52)*$S$54</f>
        <v>#N/A</v>
      </c>
      <c r="E769">
        <f>(C769+$S$53)*$S$54</f>
        <v>157.0830422535211</v>
      </c>
      <c r="F769" t="e">
        <f>(B769+$S$55)*$S$58</f>
        <v>#N/A</v>
      </c>
      <c r="G769">
        <f>(C769+$S$56)*$S$58</f>
        <v>420.90077948717953</v>
      </c>
      <c r="H769" t="e">
        <f>(B769+$S$59)*$S$61</f>
        <v>#N/A</v>
      </c>
      <c r="I769">
        <f>(C769+$S$60)*$S$61</f>
        <v>190.6253846153846</v>
      </c>
    </row>
    <row r="771">
      <c r="B771" t="e">
        <f>$S$2-(IF(28&lt;=$S$16,$S$8+$S$20+27.5*$S$17,NA()))</f>
        <v>#N/A</v>
      </c>
      <c r="C771">
        <f>$S$7</f>
        <v>3.0</v>
      </c>
      <c r="D771" t="e">
        <f>(B771+$S$52)*$S$54</f>
        <v>#N/A</v>
      </c>
      <c r="E771">
        <f>(C771+$S$53)*$S$54</f>
        <v>77.05960563380282</v>
      </c>
      <c r="F771" t="e">
        <f>(B771+$S$55)*$S$58</f>
        <v>#N/A</v>
      </c>
      <c r="G771">
        <f>(C771+$S$56)*$S$58</f>
        <v>187.38733333333334</v>
      </c>
      <c r="H771" t="e">
        <f>(B771+$S$59)*$S$61</f>
        <v>#N/A</v>
      </c>
      <c r="I771">
        <f>(C771+$S$60)*$S$61</f>
        <v>71.85110650887574</v>
      </c>
    </row>
    <row r="772">
      <c r="B772" t="e">
        <f>$S$2-(IF(28&lt;=$S$16,$S$8+$S$20+27.5*$S$17,NA()))</f>
        <v>#N/A</v>
      </c>
      <c r="C772">
        <f>$S$12</f>
        <v>84.0</v>
      </c>
      <c r="D772" t="e">
        <f>(B772+$S$52)*$S$54</f>
        <v>#N/A</v>
      </c>
      <c r="E772">
        <f>(C772+$S$53)*$S$54</f>
        <v>157.0830422535211</v>
      </c>
      <c r="F772" t="e">
        <f>(B772+$S$55)*$S$58</f>
        <v>#N/A</v>
      </c>
      <c r="G772">
        <f>(C772+$S$56)*$S$58</f>
        <v>420.90077948717953</v>
      </c>
      <c r="H772" t="e">
        <f>(B772+$S$59)*$S$61</f>
        <v>#N/A</v>
      </c>
      <c r="I772">
        <f>(C772+$S$60)*$S$61</f>
        <v>190.6253846153846</v>
      </c>
    </row>
    <row r="774">
      <c r="B774" t="e">
        <f>$S$2-(IF(29&lt;=$S$16,$S$8+$S$20+28.5*$S$17,NA()))</f>
        <v>#N/A</v>
      </c>
      <c r="C774">
        <f>$S$7</f>
        <v>3.0</v>
      </c>
      <c r="D774" t="e">
        <f>(B774+$S$52)*$S$54</f>
        <v>#N/A</v>
      </c>
      <c r="E774">
        <f>(C774+$S$53)*$S$54</f>
        <v>77.05960563380282</v>
      </c>
      <c r="F774" t="e">
        <f>(B774+$S$55)*$S$58</f>
        <v>#N/A</v>
      </c>
      <c r="G774">
        <f>(C774+$S$56)*$S$58</f>
        <v>187.38733333333334</v>
      </c>
      <c r="H774" t="e">
        <f>(B774+$S$59)*$S$61</f>
        <v>#N/A</v>
      </c>
      <c r="I774">
        <f>(C774+$S$60)*$S$61</f>
        <v>71.85110650887574</v>
      </c>
    </row>
    <row r="775">
      <c r="B775" t="e">
        <f>$S$2-(IF(29&lt;=$S$16,$S$8+$S$20+28.5*$S$17,NA()))</f>
        <v>#N/A</v>
      </c>
      <c r="C775">
        <f>$S$12</f>
        <v>84.0</v>
      </c>
      <c r="D775" t="e">
        <f>(B775+$S$52)*$S$54</f>
        <v>#N/A</v>
      </c>
      <c r="E775">
        <f>(C775+$S$53)*$S$54</f>
        <v>157.0830422535211</v>
      </c>
      <c r="F775" t="e">
        <f>(B775+$S$55)*$S$58</f>
        <v>#N/A</v>
      </c>
      <c r="G775">
        <f>(C775+$S$56)*$S$58</f>
        <v>420.90077948717953</v>
      </c>
      <c r="H775" t="e">
        <f>(B775+$S$59)*$S$61</f>
        <v>#N/A</v>
      </c>
      <c r="I775">
        <f>(C775+$S$60)*$S$61</f>
        <v>190.6253846153846</v>
      </c>
    </row>
    <row r="777">
      <c r="B777" t="e">
        <f>$S$2-(IF(30&lt;=$S$16,$S$8+$S$20+29.5*$S$17,NA()))</f>
        <v>#N/A</v>
      </c>
      <c r="C777">
        <f>$S$7</f>
        <v>3.0</v>
      </c>
      <c r="D777" t="e">
        <f>(B777+$S$52)*$S$54</f>
        <v>#N/A</v>
      </c>
      <c r="E777">
        <f>(C777+$S$53)*$S$54</f>
        <v>77.05960563380282</v>
      </c>
      <c r="F777" t="e">
        <f>(B777+$S$55)*$S$58</f>
        <v>#N/A</v>
      </c>
      <c r="G777">
        <f>(C777+$S$56)*$S$58</f>
        <v>187.38733333333334</v>
      </c>
      <c r="H777" t="e">
        <f>(B777+$S$59)*$S$61</f>
        <v>#N/A</v>
      </c>
      <c r="I777">
        <f>(C777+$S$60)*$S$61</f>
        <v>71.85110650887574</v>
      </c>
    </row>
    <row r="778">
      <c r="B778" t="e">
        <f>$S$2-(IF(30&lt;=$S$16,$S$8+$S$20+29.5*$S$17,NA()))</f>
        <v>#N/A</v>
      </c>
      <c r="C778">
        <f>$S$12</f>
        <v>84.0</v>
      </c>
      <c r="D778" t="e">
        <f>(B778+$S$52)*$S$54</f>
        <v>#N/A</v>
      </c>
      <c r="E778">
        <f>(C778+$S$53)*$S$54</f>
        <v>157.0830422535211</v>
      </c>
      <c r="F778" t="e">
        <f>(B778+$S$55)*$S$58</f>
        <v>#N/A</v>
      </c>
      <c r="G778">
        <f>(C778+$S$56)*$S$58</f>
        <v>420.90077948717953</v>
      </c>
      <c r="H778" t="e">
        <f>(B778+$S$59)*$S$61</f>
        <v>#N/A</v>
      </c>
      <c r="I778">
        <f>(C778+$S$60)*$S$61</f>
        <v>190.6253846153846</v>
      </c>
    </row>
    <row r="780">
      <c r="B780" t="e">
        <f>$S$2-(IF(31&lt;=$S$16,$S$8+$S$20+30.5*$S$17,NA()))</f>
        <v>#N/A</v>
      </c>
      <c r="C780">
        <f>$S$7</f>
        <v>3.0</v>
      </c>
      <c r="D780" t="e">
        <f>(B780+$S$52)*$S$54</f>
        <v>#N/A</v>
      </c>
      <c r="E780">
        <f>(C780+$S$53)*$S$54</f>
        <v>77.05960563380282</v>
      </c>
      <c r="F780" t="e">
        <f>(B780+$S$55)*$S$58</f>
        <v>#N/A</v>
      </c>
      <c r="G780">
        <f>(C780+$S$56)*$S$58</f>
        <v>187.38733333333334</v>
      </c>
      <c r="H780" t="e">
        <f>(B780+$S$59)*$S$61</f>
        <v>#N/A</v>
      </c>
      <c r="I780">
        <f>(C780+$S$60)*$S$61</f>
        <v>71.85110650887574</v>
      </c>
    </row>
    <row r="781">
      <c r="B781" t="e">
        <f>$S$2-(IF(31&lt;=$S$16,$S$8+$S$20+30.5*$S$17,NA()))</f>
        <v>#N/A</v>
      </c>
      <c r="C781">
        <f>$S$12</f>
        <v>84.0</v>
      </c>
      <c r="D781" t="e">
        <f>(B781+$S$52)*$S$54</f>
        <v>#N/A</v>
      </c>
      <c r="E781">
        <f>(C781+$S$53)*$S$54</f>
        <v>157.0830422535211</v>
      </c>
      <c r="F781" t="e">
        <f>(B781+$S$55)*$S$58</f>
        <v>#N/A</v>
      </c>
      <c r="G781">
        <f>(C781+$S$56)*$S$58</f>
        <v>420.90077948717953</v>
      </c>
      <c r="H781" t="e">
        <f>(B781+$S$59)*$S$61</f>
        <v>#N/A</v>
      </c>
      <c r="I781">
        <f>(C781+$S$60)*$S$61</f>
        <v>190.6253846153846</v>
      </c>
    </row>
    <row r="783">
      <c r="B783" t="e">
        <f>$S$2-(IF(32&lt;=$S$16,$S$8+$S$20+31.5*$S$17,NA()))</f>
        <v>#N/A</v>
      </c>
      <c r="C783">
        <f>$S$7</f>
        <v>3.0</v>
      </c>
      <c r="D783" t="e">
        <f>(B783+$S$52)*$S$54</f>
        <v>#N/A</v>
      </c>
      <c r="E783">
        <f>(C783+$S$53)*$S$54</f>
        <v>77.05960563380282</v>
      </c>
      <c r="F783" t="e">
        <f>(B783+$S$55)*$S$58</f>
        <v>#N/A</v>
      </c>
      <c r="G783">
        <f>(C783+$S$56)*$S$58</f>
        <v>187.38733333333334</v>
      </c>
      <c r="H783" t="e">
        <f>(B783+$S$59)*$S$61</f>
        <v>#N/A</v>
      </c>
      <c r="I783">
        <f>(C783+$S$60)*$S$61</f>
        <v>71.85110650887574</v>
      </c>
    </row>
    <row r="784">
      <c r="B784" t="e">
        <f>$S$2-(IF(32&lt;=$S$16,$S$8+$S$20+31.5*$S$17,NA()))</f>
        <v>#N/A</v>
      </c>
      <c r="C784">
        <f>$S$12</f>
        <v>84.0</v>
      </c>
      <c r="D784" t="e">
        <f>(B784+$S$52)*$S$54</f>
        <v>#N/A</v>
      </c>
      <c r="E784">
        <f>(C784+$S$53)*$S$54</f>
        <v>157.0830422535211</v>
      </c>
      <c r="F784" t="e">
        <f>(B784+$S$55)*$S$58</f>
        <v>#N/A</v>
      </c>
      <c r="G784">
        <f>(C784+$S$56)*$S$58</f>
        <v>420.90077948717953</v>
      </c>
      <c r="H784" t="e">
        <f>(B784+$S$59)*$S$61</f>
        <v>#N/A</v>
      </c>
      <c r="I784">
        <f>(C784+$S$60)*$S$61</f>
        <v>190.6253846153846</v>
      </c>
    </row>
    <row r="786">
      <c r="B786" t="e">
        <f>$S$2-(IF(33&lt;=$S$16,$S$8+$S$20+32.5*$S$17,NA()))</f>
        <v>#N/A</v>
      </c>
      <c r="C786">
        <f>$S$7</f>
        <v>3.0</v>
      </c>
      <c r="D786" t="e">
        <f>(B786+$S$52)*$S$54</f>
        <v>#N/A</v>
      </c>
      <c r="E786">
        <f>(C786+$S$53)*$S$54</f>
        <v>77.05960563380282</v>
      </c>
      <c r="F786" t="e">
        <f>(B786+$S$55)*$S$58</f>
        <v>#N/A</v>
      </c>
      <c r="G786">
        <f>(C786+$S$56)*$S$58</f>
        <v>187.38733333333334</v>
      </c>
      <c r="H786" t="e">
        <f>(B786+$S$59)*$S$61</f>
        <v>#N/A</v>
      </c>
      <c r="I786">
        <f>(C786+$S$60)*$S$61</f>
        <v>71.85110650887574</v>
      </c>
    </row>
    <row r="787">
      <c r="B787" t="e">
        <f>$S$2-(IF(33&lt;=$S$16,$S$8+$S$20+32.5*$S$17,NA()))</f>
        <v>#N/A</v>
      </c>
      <c r="C787">
        <f>$S$12</f>
        <v>84.0</v>
      </c>
      <c r="D787" t="e">
        <f>(B787+$S$52)*$S$54</f>
        <v>#N/A</v>
      </c>
      <c r="E787">
        <f>(C787+$S$53)*$S$54</f>
        <v>157.0830422535211</v>
      </c>
      <c r="F787" t="e">
        <f>(B787+$S$55)*$S$58</f>
        <v>#N/A</v>
      </c>
      <c r="G787">
        <f>(C787+$S$56)*$S$58</f>
        <v>420.90077948717953</v>
      </c>
      <c r="H787" t="e">
        <f>(B787+$S$59)*$S$61</f>
        <v>#N/A</v>
      </c>
      <c r="I787">
        <f>(C787+$S$60)*$S$61</f>
        <v>190.6253846153846</v>
      </c>
    </row>
    <row r="789">
      <c r="B789" t="e">
        <f>$S$2-(IF(34&lt;=$S$16,$S$8+$S$20+33.5*$S$17,NA()))</f>
        <v>#N/A</v>
      </c>
      <c r="C789">
        <f>$S$7</f>
        <v>3.0</v>
      </c>
      <c r="D789" t="e">
        <f>(B789+$S$52)*$S$54</f>
        <v>#N/A</v>
      </c>
      <c r="E789">
        <f>(C789+$S$53)*$S$54</f>
        <v>77.05960563380282</v>
      </c>
      <c r="F789" t="e">
        <f>(B789+$S$55)*$S$58</f>
        <v>#N/A</v>
      </c>
      <c r="G789">
        <f>(C789+$S$56)*$S$58</f>
        <v>187.38733333333334</v>
      </c>
      <c r="H789" t="e">
        <f>(B789+$S$59)*$S$61</f>
        <v>#N/A</v>
      </c>
      <c r="I789">
        <f>(C789+$S$60)*$S$61</f>
        <v>71.85110650887574</v>
      </c>
    </row>
    <row r="790">
      <c r="B790" t="e">
        <f>$S$2-(IF(34&lt;=$S$16,$S$8+$S$20+33.5*$S$17,NA()))</f>
        <v>#N/A</v>
      </c>
      <c r="C790">
        <f>$S$12</f>
        <v>84.0</v>
      </c>
      <c r="D790" t="e">
        <f>(B790+$S$52)*$S$54</f>
        <v>#N/A</v>
      </c>
      <c r="E790">
        <f>(C790+$S$53)*$S$54</f>
        <v>157.0830422535211</v>
      </c>
      <c r="F790" t="e">
        <f>(B790+$S$55)*$S$58</f>
        <v>#N/A</v>
      </c>
      <c r="G790">
        <f>(C790+$S$56)*$S$58</f>
        <v>420.90077948717953</v>
      </c>
      <c r="H790" t="e">
        <f>(B790+$S$59)*$S$61</f>
        <v>#N/A</v>
      </c>
      <c r="I790">
        <f>(C790+$S$60)*$S$61</f>
        <v>190.6253846153846</v>
      </c>
    </row>
    <row r="792">
      <c r="B792" t="e">
        <f>$S$2-(IF(35&lt;=$S$16,$S$8+$S$20+34.5*$S$17,NA()))</f>
        <v>#N/A</v>
      </c>
      <c r="C792">
        <f>$S$7</f>
        <v>3.0</v>
      </c>
      <c r="D792" t="e">
        <f>(B792+$S$52)*$S$54</f>
        <v>#N/A</v>
      </c>
      <c r="E792">
        <f>(C792+$S$53)*$S$54</f>
        <v>77.05960563380282</v>
      </c>
      <c r="F792" t="e">
        <f>(B792+$S$55)*$S$58</f>
        <v>#N/A</v>
      </c>
      <c r="G792">
        <f>(C792+$S$56)*$S$58</f>
        <v>187.38733333333334</v>
      </c>
      <c r="H792" t="e">
        <f>(B792+$S$59)*$S$61</f>
        <v>#N/A</v>
      </c>
      <c r="I792">
        <f>(C792+$S$60)*$S$61</f>
        <v>71.85110650887574</v>
      </c>
    </row>
    <row r="793">
      <c r="B793" t="e">
        <f>$S$2-(IF(35&lt;=$S$16,$S$8+$S$20+34.5*$S$17,NA()))</f>
        <v>#N/A</v>
      </c>
      <c r="C793">
        <f>$S$12</f>
        <v>84.0</v>
      </c>
      <c r="D793" t="e">
        <f>(B793+$S$52)*$S$54</f>
        <v>#N/A</v>
      </c>
      <c r="E793">
        <f>(C793+$S$53)*$S$54</f>
        <v>157.0830422535211</v>
      </c>
      <c r="F793" t="e">
        <f>(B793+$S$55)*$S$58</f>
        <v>#N/A</v>
      </c>
      <c r="G793">
        <f>(C793+$S$56)*$S$58</f>
        <v>420.90077948717953</v>
      </c>
      <c r="H793" t="e">
        <f>(B793+$S$59)*$S$61</f>
        <v>#N/A</v>
      </c>
      <c r="I793">
        <f>(C793+$S$60)*$S$61</f>
        <v>190.6253846153846</v>
      </c>
    </row>
    <row r="795">
      <c r="B795" t="e">
        <f>$S$2-(IF(36&lt;=$S$16,$S$8+$S$20+35.5*$S$17,NA()))</f>
        <v>#N/A</v>
      </c>
      <c r="C795">
        <f>$S$7</f>
        <v>3.0</v>
      </c>
      <c r="D795" t="e">
        <f>(B795+$S$52)*$S$54</f>
        <v>#N/A</v>
      </c>
      <c r="E795">
        <f>(C795+$S$53)*$S$54</f>
        <v>77.05960563380282</v>
      </c>
      <c r="F795" t="e">
        <f>(B795+$S$55)*$S$58</f>
        <v>#N/A</v>
      </c>
      <c r="G795">
        <f>(C795+$S$56)*$S$58</f>
        <v>187.38733333333334</v>
      </c>
      <c r="H795" t="e">
        <f>(B795+$S$59)*$S$61</f>
        <v>#N/A</v>
      </c>
      <c r="I795">
        <f>(C795+$S$60)*$S$61</f>
        <v>71.85110650887574</v>
      </c>
    </row>
    <row r="796">
      <c r="B796" t="e">
        <f>$S$2-(IF(36&lt;=$S$16,$S$8+$S$20+35.5*$S$17,NA()))</f>
        <v>#N/A</v>
      </c>
      <c r="C796">
        <f>$S$12</f>
        <v>84.0</v>
      </c>
      <c r="D796" t="e">
        <f>(B796+$S$52)*$S$54</f>
        <v>#N/A</v>
      </c>
      <c r="E796">
        <f>(C796+$S$53)*$S$54</f>
        <v>157.0830422535211</v>
      </c>
      <c r="F796" t="e">
        <f>(B796+$S$55)*$S$58</f>
        <v>#N/A</v>
      </c>
      <c r="G796">
        <f>(C796+$S$56)*$S$58</f>
        <v>420.90077948717953</v>
      </c>
      <c r="H796" t="e">
        <f>(B796+$S$59)*$S$61</f>
        <v>#N/A</v>
      </c>
      <c r="I796">
        <f>(C796+$S$60)*$S$61</f>
        <v>190.6253846153846</v>
      </c>
    </row>
    <row r="798">
      <c r="B798" t="e">
        <f>$S$2-(IF(37&lt;=$S$16,$S$8+$S$20+36.5*$S$17,NA()))</f>
        <v>#N/A</v>
      </c>
      <c r="C798">
        <f>$S$7</f>
        <v>3.0</v>
      </c>
      <c r="D798" t="e">
        <f>(B798+$S$52)*$S$54</f>
        <v>#N/A</v>
      </c>
      <c r="E798">
        <f>(C798+$S$53)*$S$54</f>
        <v>77.05960563380282</v>
      </c>
      <c r="F798" t="e">
        <f>(B798+$S$55)*$S$58</f>
        <v>#N/A</v>
      </c>
      <c r="G798">
        <f>(C798+$S$56)*$S$58</f>
        <v>187.38733333333334</v>
      </c>
      <c r="H798" t="e">
        <f>(B798+$S$59)*$S$61</f>
        <v>#N/A</v>
      </c>
      <c r="I798">
        <f>(C798+$S$60)*$S$61</f>
        <v>71.85110650887574</v>
      </c>
    </row>
    <row r="799">
      <c r="B799" t="e">
        <f>$S$2-(IF(37&lt;=$S$16,$S$8+$S$20+36.5*$S$17,NA()))</f>
        <v>#N/A</v>
      </c>
      <c r="C799">
        <f>$S$12</f>
        <v>84.0</v>
      </c>
      <c r="D799" t="e">
        <f>(B799+$S$52)*$S$54</f>
        <v>#N/A</v>
      </c>
      <c r="E799">
        <f>(C799+$S$53)*$S$54</f>
        <v>157.0830422535211</v>
      </c>
      <c r="F799" t="e">
        <f>(B799+$S$55)*$S$58</f>
        <v>#N/A</v>
      </c>
      <c r="G799">
        <f>(C799+$S$56)*$S$58</f>
        <v>420.90077948717953</v>
      </c>
      <c r="H799" t="e">
        <f>(B799+$S$59)*$S$61</f>
        <v>#N/A</v>
      </c>
      <c r="I799">
        <f>(C799+$S$60)*$S$61</f>
        <v>190.6253846153846</v>
      </c>
    </row>
    <row r="801">
      <c r="B801" t="e">
        <f>$S$2-(IF(38&lt;=$S$16,$S$8+$S$20+37.5*$S$17,NA()))</f>
        <v>#N/A</v>
      </c>
      <c r="C801">
        <f>$S$7</f>
        <v>3.0</v>
      </c>
      <c r="D801" t="e">
        <f>(B801+$S$52)*$S$54</f>
        <v>#N/A</v>
      </c>
      <c r="E801">
        <f>(C801+$S$53)*$S$54</f>
        <v>77.05960563380282</v>
      </c>
      <c r="F801" t="e">
        <f>(B801+$S$55)*$S$58</f>
        <v>#N/A</v>
      </c>
      <c r="G801">
        <f>(C801+$S$56)*$S$58</f>
        <v>187.38733333333334</v>
      </c>
      <c r="H801" t="e">
        <f>(B801+$S$59)*$S$61</f>
        <v>#N/A</v>
      </c>
      <c r="I801">
        <f>(C801+$S$60)*$S$61</f>
        <v>71.85110650887574</v>
      </c>
    </row>
    <row r="802">
      <c r="B802" t="e">
        <f>$S$2-(IF(38&lt;=$S$16,$S$8+$S$20+37.5*$S$17,NA()))</f>
        <v>#N/A</v>
      </c>
      <c r="C802">
        <f>$S$12</f>
        <v>84.0</v>
      </c>
      <c r="D802" t="e">
        <f>(B802+$S$52)*$S$54</f>
        <v>#N/A</v>
      </c>
      <c r="E802">
        <f>(C802+$S$53)*$S$54</f>
        <v>157.0830422535211</v>
      </c>
      <c r="F802" t="e">
        <f>(B802+$S$55)*$S$58</f>
        <v>#N/A</v>
      </c>
      <c r="G802">
        <f>(C802+$S$56)*$S$58</f>
        <v>420.90077948717953</v>
      </c>
      <c r="H802" t="e">
        <f>(B802+$S$59)*$S$61</f>
        <v>#N/A</v>
      </c>
      <c r="I802">
        <f>(C802+$S$60)*$S$61</f>
        <v>190.6253846153846</v>
      </c>
    </row>
    <row r="804">
      <c r="B804" t="e">
        <f>$S$2-(IF(39&lt;=$S$16,$S$8+$S$20+38.5*$S$17,NA()))</f>
        <v>#N/A</v>
      </c>
      <c r="C804">
        <f>$S$7</f>
        <v>3.0</v>
      </c>
      <c r="D804" t="e">
        <f>(B804+$S$52)*$S$54</f>
        <v>#N/A</v>
      </c>
      <c r="E804">
        <f>(C804+$S$53)*$S$54</f>
        <v>77.05960563380282</v>
      </c>
      <c r="F804" t="e">
        <f>(B804+$S$55)*$S$58</f>
        <v>#N/A</v>
      </c>
      <c r="G804">
        <f>(C804+$S$56)*$S$58</f>
        <v>187.38733333333334</v>
      </c>
      <c r="H804" t="e">
        <f>(B804+$S$59)*$S$61</f>
        <v>#N/A</v>
      </c>
      <c r="I804">
        <f>(C804+$S$60)*$S$61</f>
        <v>71.85110650887574</v>
      </c>
    </row>
    <row r="805">
      <c r="B805" t="e">
        <f>$S$2-(IF(39&lt;=$S$16,$S$8+$S$20+38.5*$S$17,NA()))</f>
        <v>#N/A</v>
      </c>
      <c r="C805">
        <f>$S$12</f>
        <v>84.0</v>
      </c>
      <c r="D805" t="e">
        <f>(B805+$S$52)*$S$54</f>
        <v>#N/A</v>
      </c>
      <c r="E805">
        <f>(C805+$S$53)*$S$54</f>
        <v>157.0830422535211</v>
      </c>
      <c r="F805" t="e">
        <f>(B805+$S$55)*$S$58</f>
        <v>#N/A</v>
      </c>
      <c r="G805">
        <f>(C805+$S$56)*$S$58</f>
        <v>420.90077948717953</v>
      </c>
      <c r="H805" t="e">
        <f>(B805+$S$59)*$S$61</f>
        <v>#N/A</v>
      </c>
      <c r="I805">
        <f>(C805+$S$60)*$S$61</f>
        <v>190.6253846153846</v>
      </c>
    </row>
    <row r="807">
      <c r="B807" t="e">
        <f>$S$2-(IF(40&lt;=$S$16,$S$8+$S$20+39.5*$S$17,NA()))</f>
        <v>#N/A</v>
      </c>
      <c r="C807">
        <f>$S$7</f>
        <v>3.0</v>
      </c>
      <c r="D807" t="e">
        <f>(B807+$S$52)*$S$54</f>
        <v>#N/A</v>
      </c>
      <c r="E807">
        <f>(C807+$S$53)*$S$54</f>
        <v>77.05960563380282</v>
      </c>
      <c r="F807" t="e">
        <f>(B807+$S$55)*$S$58</f>
        <v>#N/A</v>
      </c>
      <c r="G807">
        <f>(C807+$S$56)*$S$58</f>
        <v>187.38733333333334</v>
      </c>
      <c r="H807" t="e">
        <f>(B807+$S$59)*$S$61</f>
        <v>#N/A</v>
      </c>
      <c r="I807">
        <f>(C807+$S$60)*$S$61</f>
        <v>71.85110650887574</v>
      </c>
    </row>
    <row r="808">
      <c r="B808" t="e">
        <f>$S$2-(IF(40&lt;=$S$16,$S$8+$S$20+39.5*$S$17,NA()))</f>
        <v>#N/A</v>
      </c>
      <c r="C808">
        <f>$S$12</f>
        <v>84.0</v>
      </c>
      <c r="D808" t="e">
        <f>(B808+$S$52)*$S$54</f>
        <v>#N/A</v>
      </c>
      <c r="E808">
        <f>(C808+$S$53)*$S$54</f>
        <v>157.0830422535211</v>
      </c>
      <c r="F808" t="e">
        <f>(B808+$S$55)*$S$58</f>
        <v>#N/A</v>
      </c>
      <c r="G808">
        <f>(C808+$S$56)*$S$58</f>
        <v>420.90077948717953</v>
      </c>
      <c r="H808" t="e">
        <f>(B808+$S$59)*$S$61</f>
        <v>#N/A</v>
      </c>
      <c r="I808">
        <f>(C808+$S$60)*$S$61</f>
        <v>190.6253846153846</v>
      </c>
    </row>
    <row r="810">
      <c r="B810" t="e">
        <f>$S$2-(IF(41&lt;=$S$16,$S$8+$S$20+40.5*$S$17,NA()))</f>
        <v>#N/A</v>
      </c>
      <c r="C810">
        <f>$S$7</f>
        <v>3.0</v>
      </c>
      <c r="D810" t="e">
        <f>(B810+$S$52)*$S$54</f>
        <v>#N/A</v>
      </c>
      <c r="E810">
        <f>(C810+$S$53)*$S$54</f>
        <v>77.05960563380282</v>
      </c>
      <c r="F810" t="e">
        <f>(B810+$S$55)*$S$58</f>
        <v>#N/A</v>
      </c>
      <c r="G810">
        <f>(C810+$S$56)*$S$58</f>
        <v>187.38733333333334</v>
      </c>
      <c r="H810" t="e">
        <f>(B810+$S$59)*$S$61</f>
        <v>#N/A</v>
      </c>
      <c r="I810">
        <f>(C810+$S$60)*$S$61</f>
        <v>71.85110650887574</v>
      </c>
    </row>
    <row r="811">
      <c r="B811" t="e">
        <f>$S$2-(IF(41&lt;=$S$16,$S$8+$S$20+40.5*$S$17,NA()))</f>
        <v>#N/A</v>
      </c>
      <c r="C811">
        <f>$S$12</f>
        <v>84.0</v>
      </c>
      <c r="D811" t="e">
        <f>(B811+$S$52)*$S$54</f>
        <v>#N/A</v>
      </c>
      <c r="E811">
        <f>(C811+$S$53)*$S$54</f>
        <v>157.0830422535211</v>
      </c>
      <c r="F811" t="e">
        <f>(B811+$S$55)*$S$58</f>
        <v>#N/A</v>
      </c>
      <c r="G811">
        <f>(C811+$S$56)*$S$58</f>
        <v>420.90077948717953</v>
      </c>
      <c r="H811" t="e">
        <f>(B811+$S$59)*$S$61</f>
        <v>#N/A</v>
      </c>
      <c r="I811">
        <f>(C811+$S$60)*$S$61</f>
        <v>190.6253846153846</v>
      </c>
    </row>
    <row r="813">
      <c r="B813" t="e">
        <f>$S$2-(IF(42&lt;=$S$16,$S$8+$S$20+41.5*$S$17,NA()))</f>
        <v>#N/A</v>
      </c>
      <c r="C813">
        <f>$S$7</f>
        <v>3.0</v>
      </c>
      <c r="D813" t="e">
        <f>(B813+$S$52)*$S$54</f>
        <v>#N/A</v>
      </c>
      <c r="E813">
        <f>(C813+$S$53)*$S$54</f>
        <v>77.05960563380282</v>
      </c>
      <c r="F813" t="e">
        <f>(B813+$S$55)*$S$58</f>
        <v>#N/A</v>
      </c>
      <c r="G813">
        <f>(C813+$S$56)*$S$58</f>
        <v>187.38733333333334</v>
      </c>
      <c r="H813" t="e">
        <f>(B813+$S$59)*$S$61</f>
        <v>#N/A</v>
      </c>
      <c r="I813">
        <f>(C813+$S$60)*$S$61</f>
        <v>71.85110650887574</v>
      </c>
    </row>
    <row r="814">
      <c r="B814" t="e">
        <f>$S$2-(IF(42&lt;=$S$16,$S$8+$S$20+41.5*$S$17,NA()))</f>
        <v>#N/A</v>
      </c>
      <c r="C814">
        <f>$S$12</f>
        <v>84.0</v>
      </c>
      <c r="D814" t="e">
        <f>(B814+$S$52)*$S$54</f>
        <v>#N/A</v>
      </c>
      <c r="E814">
        <f>(C814+$S$53)*$S$54</f>
        <v>157.0830422535211</v>
      </c>
      <c r="F814" t="e">
        <f>(B814+$S$55)*$S$58</f>
        <v>#N/A</v>
      </c>
      <c r="G814">
        <f>(C814+$S$56)*$S$58</f>
        <v>420.90077948717953</v>
      </c>
      <c r="H814" t="e">
        <f>(B814+$S$59)*$S$61</f>
        <v>#N/A</v>
      </c>
      <c r="I814">
        <f>(C814+$S$60)*$S$61</f>
        <v>190.6253846153846</v>
      </c>
    </row>
    <row r="816">
      <c r="B816" t="e">
        <f>$S$2-(IF(43&lt;=$S$16,$S$8+$S$20+42.5*$S$17,NA()))</f>
        <v>#N/A</v>
      </c>
      <c r="C816">
        <f>$S$7</f>
        <v>3.0</v>
      </c>
      <c r="D816" t="e">
        <f>(B816+$S$52)*$S$54</f>
        <v>#N/A</v>
      </c>
      <c r="E816">
        <f>(C816+$S$53)*$S$54</f>
        <v>77.05960563380282</v>
      </c>
      <c r="F816" t="e">
        <f>(B816+$S$55)*$S$58</f>
        <v>#N/A</v>
      </c>
      <c r="G816">
        <f>(C816+$S$56)*$S$58</f>
        <v>187.38733333333334</v>
      </c>
      <c r="H816" t="e">
        <f>(B816+$S$59)*$S$61</f>
        <v>#N/A</v>
      </c>
      <c r="I816">
        <f>(C816+$S$60)*$S$61</f>
        <v>71.85110650887574</v>
      </c>
    </row>
    <row r="817">
      <c r="B817" t="e">
        <f>$S$2-(IF(43&lt;=$S$16,$S$8+$S$20+42.5*$S$17,NA()))</f>
        <v>#N/A</v>
      </c>
      <c r="C817">
        <f>$S$12</f>
        <v>84.0</v>
      </c>
      <c r="D817" t="e">
        <f>(B817+$S$52)*$S$54</f>
        <v>#N/A</v>
      </c>
      <c r="E817">
        <f>(C817+$S$53)*$S$54</f>
        <v>157.0830422535211</v>
      </c>
      <c r="F817" t="e">
        <f>(B817+$S$55)*$S$58</f>
        <v>#N/A</v>
      </c>
      <c r="G817">
        <f>(C817+$S$56)*$S$58</f>
        <v>420.90077948717953</v>
      </c>
      <c r="H817" t="e">
        <f>(B817+$S$59)*$S$61</f>
        <v>#N/A</v>
      </c>
      <c r="I817">
        <f>(C817+$S$60)*$S$61</f>
        <v>190.6253846153846</v>
      </c>
    </row>
    <row r="819">
      <c r="B819" t="e">
        <f>$S$2-(IF(44&lt;=$S$16,$S$8+$S$20+43.5*$S$17,NA()))</f>
        <v>#N/A</v>
      </c>
      <c r="C819">
        <f>$S$7</f>
        <v>3.0</v>
      </c>
      <c r="D819" t="e">
        <f>(B819+$S$52)*$S$54</f>
        <v>#N/A</v>
      </c>
      <c r="E819">
        <f>(C819+$S$53)*$S$54</f>
        <v>77.05960563380282</v>
      </c>
      <c r="F819" t="e">
        <f>(B819+$S$55)*$S$58</f>
        <v>#N/A</v>
      </c>
      <c r="G819">
        <f>(C819+$S$56)*$S$58</f>
        <v>187.38733333333334</v>
      </c>
      <c r="H819" t="e">
        <f>(B819+$S$59)*$S$61</f>
        <v>#N/A</v>
      </c>
      <c r="I819">
        <f>(C819+$S$60)*$S$61</f>
        <v>71.85110650887574</v>
      </c>
    </row>
    <row r="820">
      <c r="B820" t="e">
        <f>$S$2-(IF(44&lt;=$S$16,$S$8+$S$20+43.5*$S$17,NA()))</f>
        <v>#N/A</v>
      </c>
      <c r="C820">
        <f>$S$12</f>
        <v>84.0</v>
      </c>
      <c r="D820" t="e">
        <f>(B820+$S$52)*$S$54</f>
        <v>#N/A</v>
      </c>
      <c r="E820">
        <f>(C820+$S$53)*$S$54</f>
        <v>157.0830422535211</v>
      </c>
      <c r="F820" t="e">
        <f>(B820+$S$55)*$S$58</f>
        <v>#N/A</v>
      </c>
      <c r="G820">
        <f>(C820+$S$56)*$S$58</f>
        <v>420.90077948717953</v>
      </c>
      <c r="H820" t="e">
        <f>(B820+$S$59)*$S$61</f>
        <v>#N/A</v>
      </c>
      <c r="I820">
        <f>(C820+$S$60)*$S$61</f>
        <v>190.6253846153846</v>
      </c>
    </row>
    <row r="822">
      <c r="B822" t="e">
        <f>$S$2-(IF(45&lt;=$S$16,$S$8+$S$20+44.5*$S$17,NA()))</f>
        <v>#N/A</v>
      </c>
      <c r="C822">
        <f>$S$7</f>
        <v>3.0</v>
      </c>
      <c r="D822" t="e">
        <f>(B822+$S$52)*$S$54</f>
        <v>#N/A</v>
      </c>
      <c r="E822">
        <f>(C822+$S$53)*$S$54</f>
        <v>77.05960563380282</v>
      </c>
      <c r="F822" t="e">
        <f>(B822+$S$55)*$S$58</f>
        <v>#N/A</v>
      </c>
      <c r="G822">
        <f>(C822+$S$56)*$S$58</f>
        <v>187.38733333333334</v>
      </c>
      <c r="H822" t="e">
        <f>(B822+$S$59)*$S$61</f>
        <v>#N/A</v>
      </c>
      <c r="I822">
        <f>(C822+$S$60)*$S$61</f>
        <v>71.85110650887574</v>
      </c>
    </row>
    <row r="823">
      <c r="B823" t="e">
        <f>$S$2-(IF(45&lt;=$S$16,$S$8+$S$20+44.5*$S$17,NA()))</f>
        <v>#N/A</v>
      </c>
      <c r="C823">
        <f>$S$12</f>
        <v>84.0</v>
      </c>
      <c r="D823" t="e">
        <f>(B823+$S$52)*$S$54</f>
        <v>#N/A</v>
      </c>
      <c r="E823">
        <f>(C823+$S$53)*$S$54</f>
        <v>157.0830422535211</v>
      </c>
      <c r="F823" t="e">
        <f>(B823+$S$55)*$S$58</f>
        <v>#N/A</v>
      </c>
      <c r="G823">
        <f>(C823+$S$56)*$S$58</f>
        <v>420.90077948717953</v>
      </c>
      <c r="H823" t="e">
        <f>(B823+$S$59)*$S$61</f>
        <v>#N/A</v>
      </c>
      <c r="I823">
        <f>(C823+$S$60)*$S$61</f>
        <v>190.6253846153846</v>
      </c>
    </row>
    <row r="825">
      <c r="B825" t="e">
        <f>$S$2-(IF(46&lt;=$S$16,$S$8+$S$20+45.5*$S$17,NA()))</f>
        <v>#N/A</v>
      </c>
      <c r="C825">
        <f>$S$7</f>
        <v>3.0</v>
      </c>
      <c r="D825" t="e">
        <f>(B825+$S$52)*$S$54</f>
        <v>#N/A</v>
      </c>
      <c r="E825">
        <f>(C825+$S$53)*$S$54</f>
        <v>77.05960563380282</v>
      </c>
      <c r="F825" t="e">
        <f>(B825+$S$55)*$S$58</f>
        <v>#N/A</v>
      </c>
      <c r="G825">
        <f>(C825+$S$56)*$S$58</f>
        <v>187.38733333333334</v>
      </c>
      <c r="H825" t="e">
        <f>(B825+$S$59)*$S$61</f>
        <v>#N/A</v>
      </c>
      <c r="I825">
        <f>(C825+$S$60)*$S$61</f>
        <v>71.85110650887574</v>
      </c>
    </row>
    <row r="826">
      <c r="B826" t="e">
        <f>$S$2-(IF(46&lt;=$S$16,$S$8+$S$20+45.5*$S$17,NA()))</f>
        <v>#N/A</v>
      </c>
      <c r="C826">
        <f>$S$12</f>
        <v>84.0</v>
      </c>
      <c r="D826" t="e">
        <f>(B826+$S$52)*$S$54</f>
        <v>#N/A</v>
      </c>
      <c r="E826">
        <f>(C826+$S$53)*$S$54</f>
        <v>157.0830422535211</v>
      </c>
      <c r="F826" t="e">
        <f>(B826+$S$55)*$S$58</f>
        <v>#N/A</v>
      </c>
      <c r="G826">
        <f>(C826+$S$56)*$S$58</f>
        <v>420.90077948717953</v>
      </c>
      <c r="H826" t="e">
        <f>(B826+$S$59)*$S$61</f>
        <v>#N/A</v>
      </c>
      <c r="I826">
        <f>(C826+$S$60)*$S$61</f>
        <v>190.6253846153846</v>
      </c>
    </row>
    <row r="828">
      <c r="B828" t="e">
        <f>$S$2-(IF(47&lt;=$S$16,$S$8+$S$20+46.5*$S$17,NA()))</f>
        <v>#N/A</v>
      </c>
      <c r="C828">
        <f>$S$7</f>
        <v>3.0</v>
      </c>
      <c r="D828" t="e">
        <f>(B828+$S$52)*$S$54</f>
        <v>#N/A</v>
      </c>
      <c r="E828">
        <f>(C828+$S$53)*$S$54</f>
        <v>77.05960563380282</v>
      </c>
      <c r="F828" t="e">
        <f>(B828+$S$55)*$S$58</f>
        <v>#N/A</v>
      </c>
      <c r="G828">
        <f>(C828+$S$56)*$S$58</f>
        <v>187.38733333333334</v>
      </c>
      <c r="H828" t="e">
        <f>(B828+$S$59)*$S$61</f>
        <v>#N/A</v>
      </c>
      <c r="I828">
        <f>(C828+$S$60)*$S$61</f>
        <v>71.85110650887574</v>
      </c>
    </row>
    <row r="829">
      <c r="B829" t="e">
        <f>$S$2-(IF(47&lt;=$S$16,$S$8+$S$20+46.5*$S$17,NA()))</f>
        <v>#N/A</v>
      </c>
      <c r="C829">
        <f>$S$12</f>
        <v>84.0</v>
      </c>
      <c r="D829" t="e">
        <f>(B829+$S$52)*$S$54</f>
        <v>#N/A</v>
      </c>
      <c r="E829">
        <f>(C829+$S$53)*$S$54</f>
        <v>157.0830422535211</v>
      </c>
      <c r="F829" t="e">
        <f>(B829+$S$55)*$S$58</f>
        <v>#N/A</v>
      </c>
      <c r="G829">
        <f>(C829+$S$56)*$S$58</f>
        <v>420.90077948717953</v>
      </c>
      <c r="H829" t="e">
        <f>(B829+$S$59)*$S$61</f>
        <v>#N/A</v>
      </c>
      <c r="I829">
        <f>(C829+$S$60)*$S$61</f>
        <v>190.6253846153846</v>
      </c>
    </row>
    <row r="831">
      <c r="B831" t="e">
        <f>$S$2-(IF(48&lt;=$S$16,$S$8+$S$20+47.5*$S$17,NA()))</f>
        <v>#N/A</v>
      </c>
      <c r="C831">
        <f>$S$7</f>
        <v>3.0</v>
      </c>
      <c r="D831" t="e">
        <f>(B831+$S$52)*$S$54</f>
        <v>#N/A</v>
      </c>
      <c r="E831">
        <f>(C831+$S$53)*$S$54</f>
        <v>77.05960563380282</v>
      </c>
      <c r="F831" t="e">
        <f>(B831+$S$55)*$S$58</f>
        <v>#N/A</v>
      </c>
      <c r="G831">
        <f>(C831+$S$56)*$S$58</f>
        <v>187.38733333333334</v>
      </c>
      <c r="H831" t="e">
        <f>(B831+$S$59)*$S$61</f>
        <v>#N/A</v>
      </c>
      <c r="I831">
        <f>(C831+$S$60)*$S$61</f>
        <v>71.85110650887574</v>
      </c>
    </row>
    <row r="832">
      <c r="B832" t="e">
        <f>$S$2-(IF(48&lt;=$S$16,$S$8+$S$20+47.5*$S$17,NA()))</f>
        <v>#N/A</v>
      </c>
      <c r="C832">
        <f>$S$12</f>
        <v>84.0</v>
      </c>
      <c r="D832" t="e">
        <f>(B832+$S$52)*$S$54</f>
        <v>#N/A</v>
      </c>
      <c r="E832">
        <f>(C832+$S$53)*$S$54</f>
        <v>157.0830422535211</v>
      </c>
      <c r="F832" t="e">
        <f>(B832+$S$55)*$S$58</f>
        <v>#N/A</v>
      </c>
      <c r="G832">
        <f>(C832+$S$56)*$S$58</f>
        <v>420.90077948717953</v>
      </c>
      <c r="H832" t="e">
        <f>(B832+$S$59)*$S$61</f>
        <v>#N/A</v>
      </c>
      <c r="I832">
        <f>(C832+$S$60)*$S$61</f>
        <v>190.6253846153846</v>
      </c>
    </row>
    <row r="834">
      <c r="B834" t="e">
        <f>$S$2-(IF(49&lt;=$S$16,$S$8+$S$20+48.5*$S$17,NA()))</f>
        <v>#N/A</v>
      </c>
      <c r="C834">
        <f>$S$7</f>
        <v>3.0</v>
      </c>
      <c r="D834" t="e">
        <f>(B834+$S$52)*$S$54</f>
        <v>#N/A</v>
      </c>
      <c r="E834">
        <f>(C834+$S$53)*$S$54</f>
        <v>77.05960563380282</v>
      </c>
      <c r="F834" t="e">
        <f>(B834+$S$55)*$S$58</f>
        <v>#N/A</v>
      </c>
      <c r="G834">
        <f>(C834+$S$56)*$S$58</f>
        <v>187.38733333333334</v>
      </c>
      <c r="H834" t="e">
        <f>(B834+$S$59)*$S$61</f>
        <v>#N/A</v>
      </c>
      <c r="I834">
        <f>(C834+$S$60)*$S$61</f>
        <v>71.85110650887574</v>
      </c>
    </row>
    <row r="835">
      <c r="B835" t="e">
        <f>$S$2-(IF(49&lt;=$S$16,$S$8+$S$20+48.5*$S$17,NA()))</f>
        <v>#N/A</v>
      </c>
      <c r="C835">
        <f>$S$12</f>
        <v>84.0</v>
      </c>
      <c r="D835" t="e">
        <f>(B835+$S$52)*$S$54</f>
        <v>#N/A</v>
      </c>
      <c r="E835">
        <f>(C835+$S$53)*$S$54</f>
        <v>157.0830422535211</v>
      </c>
      <c r="F835" t="e">
        <f>(B835+$S$55)*$S$58</f>
        <v>#N/A</v>
      </c>
      <c r="G835">
        <f>(C835+$S$56)*$S$58</f>
        <v>420.90077948717953</v>
      </c>
      <c r="H835" t="e">
        <f>(B835+$S$59)*$S$61</f>
        <v>#N/A</v>
      </c>
      <c r="I835">
        <f>(C835+$S$60)*$S$61</f>
        <v>190.6253846153846</v>
      </c>
    </row>
    <row r="837">
      <c r="B837" t="e">
        <f>$S$2-(IF(50&lt;=$S$16,$S$8+$S$20+49.5*$S$17,NA()))</f>
        <v>#N/A</v>
      </c>
      <c r="C837">
        <f>$S$7</f>
        <v>3.0</v>
      </c>
      <c r="D837" t="e">
        <f>(B837+$S$52)*$S$54</f>
        <v>#N/A</v>
      </c>
      <c r="E837">
        <f>(C837+$S$53)*$S$54</f>
        <v>77.05960563380282</v>
      </c>
      <c r="F837" t="e">
        <f>(B837+$S$55)*$S$58</f>
        <v>#N/A</v>
      </c>
      <c r="G837">
        <f>(C837+$S$56)*$S$58</f>
        <v>187.38733333333334</v>
      </c>
      <c r="H837" t="e">
        <f>(B837+$S$59)*$S$61</f>
        <v>#N/A</v>
      </c>
      <c r="I837">
        <f>(C837+$S$60)*$S$61</f>
        <v>71.85110650887574</v>
      </c>
    </row>
    <row r="838">
      <c r="B838" t="e">
        <f>$S$2-(IF(50&lt;=$S$16,$S$8+$S$20+49.5*$S$17,NA()))</f>
        <v>#N/A</v>
      </c>
      <c r="C838">
        <f>$S$12</f>
        <v>84.0</v>
      </c>
      <c r="D838" t="e">
        <f>(B838+$S$52)*$S$54</f>
        <v>#N/A</v>
      </c>
      <c r="E838">
        <f>(C838+$S$53)*$S$54</f>
        <v>157.0830422535211</v>
      </c>
      <c r="F838" t="e">
        <f>(B838+$S$55)*$S$58</f>
        <v>#N/A</v>
      </c>
      <c r="G838">
        <f>(C838+$S$56)*$S$58</f>
        <v>420.90077948717953</v>
      </c>
      <c r="H838" t="e">
        <f>(B838+$S$59)*$S$61</f>
        <v>#N/A</v>
      </c>
      <c r="I838">
        <f>(C838+$S$60)*$S$61</f>
        <v>190.6253846153846</v>
      </c>
    </row>
    <row r="841">
      <c r="A841" t="inlineStr">
        <is>
          <t>Trecho 3</t>
        </is>
      </c>
      <c r="B841">
        <f>IF(1&lt;=$S$18,MIN($S$8+$S$21+0.5*$S$19,$S$3),NA())</f>
        <v>183.75</v>
      </c>
      <c r="C841">
        <f>$S$7</f>
        <v>3.0</v>
      </c>
      <c r="D841">
        <f>(B841+$S$52)*$S$54</f>
        <v>225.99211267605634</v>
      </c>
      <c r="E841">
        <f>(C841+$S$53)*$S$54</f>
        <v>77.05960563380282</v>
      </c>
      <c r="F841">
        <f>(B841+$S$55)*$S$58</f>
        <v>616.2160384615385</v>
      </c>
      <c r="G841">
        <f>(C841+$S$56)*$S$58</f>
        <v>187.38733333333334</v>
      </c>
      <c r="H841">
        <f>(B841+$S$59)*$S$61</f>
        <v>310.499424556213</v>
      </c>
      <c r="I841">
        <f>(C841+$S$60)*$S$61</f>
        <v>71.85110650887574</v>
      </c>
    </row>
    <row r="842">
      <c r="B842">
        <f>IF(1&lt;=$S$18,MIN($S$8+$S$21+0.5*$S$19,$S$3),NA())</f>
        <v>183.75</v>
      </c>
      <c r="C842">
        <f>$S$12</f>
        <v>84.0</v>
      </c>
      <c r="D842">
        <f>(B842+$S$52)*$S$54</f>
        <v>225.99211267605634</v>
      </c>
      <c r="E842">
        <f>(C842+$S$53)*$S$54</f>
        <v>157.0830422535211</v>
      </c>
      <c r="F842">
        <f>(B842+$S$55)*$S$58</f>
        <v>616.2160384615385</v>
      </c>
      <c r="G842">
        <f>(C842+$S$56)*$S$58</f>
        <v>420.90077948717953</v>
      </c>
      <c r="H842">
        <f>(B842+$S$59)*$S$61</f>
        <v>310.499424556213</v>
      </c>
      <c r="I842">
        <f>(C842+$S$60)*$S$61</f>
        <v>190.6253846153846</v>
      </c>
    </row>
    <row r="844">
      <c r="B844">
        <f>IF(2&lt;=$S$18,MIN($S$8+$S$21+1.5*$S$19,$S$3),NA())</f>
        <v>191.25</v>
      </c>
      <c r="C844">
        <f>$S$7</f>
        <v>3.0</v>
      </c>
      <c r="D844">
        <f>(B844+$S$52)*$S$54</f>
        <v>233.40169014084506</v>
      </c>
      <c r="E844">
        <f>(C844+$S$53)*$S$54</f>
        <v>77.05960563380282</v>
      </c>
      <c r="F844">
        <f>(B844+$S$55)*$S$58</f>
        <v>637.8376538461539</v>
      </c>
      <c r="G844">
        <f>(C844+$S$56)*$S$58</f>
        <v>187.38733333333334</v>
      </c>
      <c r="H844">
        <f>(B844+$S$59)*$S$61</f>
        <v>321.49704289940826</v>
      </c>
      <c r="I844">
        <f>(C844+$S$60)*$S$61</f>
        <v>71.85110650887574</v>
      </c>
    </row>
    <row r="845">
      <c r="B845">
        <f>IF(2&lt;=$S$18,MIN($S$8+$S$21+1.5*$S$19,$S$3),NA())</f>
        <v>191.25</v>
      </c>
      <c r="C845">
        <f>$S$12</f>
        <v>84.0</v>
      </c>
      <c r="D845">
        <f>(B845+$S$52)*$S$54</f>
        <v>233.40169014084506</v>
      </c>
      <c r="E845">
        <f>(C845+$S$53)*$S$54</f>
        <v>157.0830422535211</v>
      </c>
      <c r="F845">
        <f>(B845+$S$55)*$S$58</f>
        <v>637.8376538461539</v>
      </c>
      <c r="G845">
        <f>(C845+$S$56)*$S$58</f>
        <v>420.90077948717953</v>
      </c>
      <c r="H845">
        <f>(B845+$S$59)*$S$61</f>
        <v>321.49704289940826</v>
      </c>
      <c r="I845">
        <f>(C845+$S$60)*$S$61</f>
        <v>190.6253846153846</v>
      </c>
    </row>
    <row r="847">
      <c r="B847">
        <f>IF(3&lt;=$S$18,MIN($S$8+$S$21+2.5*$S$19,$S$3),NA())</f>
        <v>198.75</v>
      </c>
      <c r="C847">
        <f>$S$7</f>
        <v>3.0</v>
      </c>
      <c r="D847">
        <f>(B847+$S$52)*$S$54</f>
        <v>240.8112676056338</v>
      </c>
      <c r="E847">
        <f>(C847+$S$53)*$S$54</f>
        <v>77.05960563380282</v>
      </c>
      <c r="F847">
        <f>(B847+$S$55)*$S$58</f>
        <v>659.4592692307692</v>
      </c>
      <c r="G847">
        <f>(C847+$S$56)*$S$58</f>
        <v>187.38733333333334</v>
      </c>
      <c r="H847">
        <f>(B847+$S$59)*$S$61</f>
        <v>332.49466124260357</v>
      </c>
      <c r="I847">
        <f>(C847+$S$60)*$S$61</f>
        <v>71.85110650887574</v>
      </c>
    </row>
    <row r="848">
      <c r="B848">
        <f>IF(3&lt;=$S$18,MIN($S$8+$S$21+2.5*$S$19,$S$3),NA())</f>
        <v>198.75</v>
      </c>
      <c r="C848">
        <f>$S$12</f>
        <v>84.0</v>
      </c>
      <c r="D848">
        <f>(B848+$S$52)*$S$54</f>
        <v>240.8112676056338</v>
      </c>
      <c r="E848">
        <f>(C848+$S$53)*$S$54</f>
        <v>157.0830422535211</v>
      </c>
      <c r="F848">
        <f>(B848+$S$55)*$S$58</f>
        <v>659.4592692307692</v>
      </c>
      <c r="G848">
        <f>(C848+$S$56)*$S$58</f>
        <v>420.90077948717953</v>
      </c>
      <c r="H848">
        <f>(B848+$S$59)*$S$61</f>
        <v>332.49466124260357</v>
      </c>
      <c r="I848">
        <f>(C848+$S$60)*$S$61</f>
        <v>190.6253846153846</v>
      </c>
    </row>
    <row r="850">
      <c r="B850">
        <f>IF(4&lt;=$S$18,MIN($S$8+$S$21+3.5*$S$19,$S$3),NA())</f>
        <v>206.25</v>
      </c>
      <c r="C850">
        <f>$S$7</f>
        <v>3.0</v>
      </c>
      <c r="D850">
        <f>(B850+$S$52)*$S$54</f>
        <v>248.2208450704225</v>
      </c>
      <c r="E850">
        <f>(C850+$S$53)*$S$54</f>
        <v>77.05960563380282</v>
      </c>
      <c r="F850">
        <f>(B850+$S$55)*$S$58</f>
        <v>681.0808846153847</v>
      </c>
      <c r="G850">
        <f>(C850+$S$56)*$S$58</f>
        <v>187.38733333333334</v>
      </c>
      <c r="H850">
        <f>(B850+$S$59)*$S$61</f>
        <v>343.4922795857988</v>
      </c>
      <c r="I850">
        <f>(C850+$S$60)*$S$61</f>
        <v>71.85110650887574</v>
      </c>
    </row>
    <row r="851">
      <c r="B851">
        <f>IF(4&lt;=$S$18,MIN($S$8+$S$21+3.5*$S$19,$S$3),NA())</f>
        <v>206.25</v>
      </c>
      <c r="C851">
        <f>$S$12</f>
        <v>84.0</v>
      </c>
      <c r="D851">
        <f>(B851+$S$52)*$S$54</f>
        <v>248.2208450704225</v>
      </c>
      <c r="E851">
        <f>(C851+$S$53)*$S$54</f>
        <v>157.0830422535211</v>
      </c>
      <c r="F851">
        <f>(B851+$S$55)*$S$58</f>
        <v>681.0808846153847</v>
      </c>
      <c r="G851">
        <f>(C851+$S$56)*$S$58</f>
        <v>420.90077948717953</v>
      </c>
      <c r="H851">
        <f>(B851+$S$59)*$S$61</f>
        <v>343.4922795857988</v>
      </c>
      <c r="I851">
        <f>(C851+$S$60)*$S$61</f>
        <v>190.6253846153846</v>
      </c>
    </row>
    <row r="853">
      <c r="B853">
        <f>IF(5&lt;=$S$18,MIN($S$8+$S$21+4.5*$S$19,$S$3),NA())</f>
        <v>213.75</v>
      </c>
      <c r="C853">
        <f>$S$7</f>
        <v>3.0</v>
      </c>
      <c r="D853">
        <f>(B853+$S$52)*$S$54</f>
        <v>255.63042253521124</v>
      </c>
      <c r="E853">
        <f>(C853+$S$53)*$S$54</f>
        <v>77.05960563380282</v>
      </c>
      <c r="F853">
        <f>(B853+$S$55)*$S$58</f>
        <v>702.7025</v>
      </c>
      <c r="G853">
        <f>(C853+$S$56)*$S$58</f>
        <v>187.38733333333334</v>
      </c>
      <c r="H853">
        <f>(B853+$S$59)*$S$61</f>
        <v>354.4898979289941</v>
      </c>
      <c r="I853">
        <f>(C853+$S$60)*$S$61</f>
        <v>71.85110650887574</v>
      </c>
    </row>
    <row r="854">
      <c r="B854">
        <f>IF(5&lt;=$S$18,MIN($S$8+$S$21+4.5*$S$19,$S$3),NA())</f>
        <v>213.75</v>
      </c>
      <c r="C854">
        <f>$S$12</f>
        <v>84.0</v>
      </c>
      <c r="D854">
        <f>(B854+$S$52)*$S$54</f>
        <v>255.63042253521124</v>
      </c>
      <c r="E854">
        <f>(C854+$S$53)*$S$54</f>
        <v>157.0830422535211</v>
      </c>
      <c r="F854">
        <f>(B854+$S$55)*$S$58</f>
        <v>702.7025</v>
      </c>
      <c r="G854">
        <f>(C854+$S$56)*$S$58</f>
        <v>420.90077948717953</v>
      </c>
      <c r="H854">
        <f>(B854+$S$59)*$S$61</f>
        <v>354.4898979289941</v>
      </c>
      <c r="I854">
        <f>(C854+$S$60)*$S$61</f>
        <v>190.6253846153846</v>
      </c>
    </row>
    <row r="856">
      <c r="B856">
        <f>IF(6&lt;=$S$18,MIN($S$8+$S$21+5.5*$S$19,$S$3),NA())</f>
        <v>221.25</v>
      </c>
      <c r="C856">
        <f>$S$7</f>
        <v>3.0</v>
      </c>
      <c r="D856">
        <f>(B856+$S$52)*$S$54</f>
        <v>263.03999999999996</v>
      </c>
      <c r="E856">
        <f>(C856+$S$53)*$S$54</f>
        <v>77.05960563380282</v>
      </c>
      <c r="F856">
        <f>(B856+$S$55)*$S$58</f>
        <v>724.3241153846154</v>
      </c>
      <c r="G856">
        <f>(C856+$S$56)*$S$58</f>
        <v>187.38733333333334</v>
      </c>
      <c r="H856">
        <f>(B856+$S$59)*$S$61</f>
        <v>365.48751627218934</v>
      </c>
      <c r="I856">
        <f>(C856+$S$60)*$S$61</f>
        <v>71.85110650887574</v>
      </c>
    </row>
    <row r="857">
      <c r="B857">
        <f>IF(6&lt;=$S$18,MIN($S$8+$S$21+5.5*$S$19,$S$3),NA())</f>
        <v>221.25</v>
      </c>
      <c r="C857">
        <f>$S$12</f>
        <v>84.0</v>
      </c>
      <c r="D857">
        <f>(B857+$S$52)*$S$54</f>
        <v>263.03999999999996</v>
      </c>
      <c r="E857">
        <f>(C857+$S$53)*$S$54</f>
        <v>157.0830422535211</v>
      </c>
      <c r="F857">
        <f>(B857+$S$55)*$S$58</f>
        <v>724.3241153846154</v>
      </c>
      <c r="G857">
        <f>(C857+$S$56)*$S$58</f>
        <v>420.90077948717953</v>
      </c>
      <c r="H857">
        <f>(B857+$S$59)*$S$61</f>
        <v>365.48751627218934</v>
      </c>
      <c r="I857">
        <f>(C857+$S$60)*$S$61</f>
        <v>190.6253846153846</v>
      </c>
    </row>
    <row r="859">
      <c r="B859">
        <f>IF(7&lt;=$S$18,MIN($S$8+$S$21+6.5*$S$19,$S$3),NA())</f>
        <v>228.75</v>
      </c>
      <c r="C859">
        <f>$S$7</f>
        <v>3.0</v>
      </c>
      <c r="D859">
        <f>(B859+$S$52)*$S$54</f>
        <v>270.4495774647887</v>
      </c>
      <c r="E859">
        <f>(C859+$S$53)*$S$54</f>
        <v>77.05960563380282</v>
      </c>
      <c r="F859">
        <f>(B859+$S$55)*$S$58</f>
        <v>745.9457307692309</v>
      </c>
      <c r="G859">
        <f>(C859+$S$56)*$S$58</f>
        <v>187.38733333333334</v>
      </c>
      <c r="H859">
        <f>(B859+$S$59)*$S$61</f>
        <v>376.4851346153846</v>
      </c>
      <c r="I859">
        <f>(C859+$S$60)*$S$61</f>
        <v>71.85110650887574</v>
      </c>
    </row>
    <row r="860">
      <c r="B860">
        <f>IF(7&lt;=$S$18,MIN($S$8+$S$21+6.5*$S$19,$S$3),NA())</f>
        <v>228.75</v>
      </c>
      <c r="C860">
        <f>$S$12</f>
        <v>84.0</v>
      </c>
      <c r="D860">
        <f>(B860+$S$52)*$S$54</f>
        <v>270.4495774647887</v>
      </c>
      <c r="E860">
        <f>(C860+$S$53)*$S$54</f>
        <v>157.0830422535211</v>
      </c>
      <c r="F860">
        <f>(B860+$S$55)*$S$58</f>
        <v>745.9457307692309</v>
      </c>
      <c r="G860">
        <f>(C860+$S$56)*$S$58</f>
        <v>420.90077948717953</v>
      </c>
      <c r="H860">
        <f>(B860+$S$59)*$S$61</f>
        <v>376.4851346153846</v>
      </c>
      <c r="I860">
        <f>(C860+$S$60)*$S$61</f>
        <v>190.6253846153846</v>
      </c>
    </row>
    <row r="862">
      <c r="B862">
        <f>IF(8&lt;=$S$18,MIN($S$8+$S$21+7.5*$S$19,$S$3),NA())</f>
        <v>236.25</v>
      </c>
      <c r="C862">
        <f>$S$7</f>
        <v>3.0</v>
      </c>
      <c r="D862">
        <f>(B862+$S$52)*$S$54</f>
        <v>277.85915492957747</v>
      </c>
      <c r="E862">
        <f>(C862+$S$53)*$S$54</f>
        <v>77.05960563380282</v>
      </c>
      <c r="F862">
        <f>(B862+$S$55)*$S$58</f>
        <v>767.5673461538462</v>
      </c>
      <c r="G862">
        <f>(C862+$S$56)*$S$58</f>
        <v>187.38733333333334</v>
      </c>
      <c r="H862">
        <f>(B862+$S$59)*$S$61</f>
        <v>387.48275295857985</v>
      </c>
      <c r="I862">
        <f>(C862+$S$60)*$S$61</f>
        <v>71.85110650887574</v>
      </c>
    </row>
    <row r="863">
      <c r="B863">
        <f>IF(8&lt;=$S$18,MIN($S$8+$S$21+7.5*$S$19,$S$3),NA())</f>
        <v>236.25</v>
      </c>
      <c r="C863">
        <f>$S$12</f>
        <v>84.0</v>
      </c>
      <c r="D863">
        <f>(B863+$S$52)*$S$54</f>
        <v>277.85915492957747</v>
      </c>
      <c r="E863">
        <f>(C863+$S$53)*$S$54</f>
        <v>157.0830422535211</v>
      </c>
      <c r="F863">
        <f>(B863+$S$55)*$S$58</f>
        <v>767.5673461538462</v>
      </c>
      <c r="G863">
        <f>(C863+$S$56)*$S$58</f>
        <v>420.90077948717953</v>
      </c>
      <c r="H863">
        <f>(B863+$S$59)*$S$61</f>
        <v>387.48275295857985</v>
      </c>
      <c r="I863">
        <f>(C863+$S$60)*$S$61</f>
        <v>190.6253846153846</v>
      </c>
    </row>
    <row r="865">
      <c r="B865">
        <f>IF(9&lt;=$S$18,MIN($S$8+$S$21+8.5*$S$19,$S$3),NA())</f>
        <v>243.75</v>
      </c>
      <c r="C865">
        <f>$S$7</f>
        <v>3.0</v>
      </c>
      <c r="D865">
        <f>(B865+$S$52)*$S$54</f>
        <v>285.26873239436617</v>
      </c>
      <c r="E865">
        <f>(C865+$S$53)*$S$54</f>
        <v>77.05960563380282</v>
      </c>
      <c r="F865">
        <f>(B865+$S$55)*$S$58</f>
        <v>789.1889615384616</v>
      </c>
      <c r="G865">
        <f>(C865+$S$56)*$S$58</f>
        <v>187.38733333333334</v>
      </c>
      <c r="H865">
        <f>(B865+$S$59)*$S$61</f>
        <v>398.48037130177516</v>
      </c>
      <c r="I865">
        <f>(C865+$S$60)*$S$61</f>
        <v>71.85110650887574</v>
      </c>
    </row>
    <row r="866">
      <c r="B866">
        <f>IF(9&lt;=$S$18,MIN($S$8+$S$21+8.5*$S$19,$S$3),NA())</f>
        <v>243.75</v>
      </c>
      <c r="C866">
        <f>$S$12</f>
        <v>84.0</v>
      </c>
      <c r="D866">
        <f>(B866+$S$52)*$S$54</f>
        <v>285.26873239436617</v>
      </c>
      <c r="E866">
        <f>(C866+$S$53)*$S$54</f>
        <v>157.0830422535211</v>
      </c>
      <c r="F866">
        <f>(B866+$S$55)*$S$58</f>
        <v>789.1889615384616</v>
      </c>
      <c r="G866">
        <f>(C866+$S$56)*$S$58</f>
        <v>420.90077948717953</v>
      </c>
      <c r="H866">
        <f>(B866+$S$59)*$S$61</f>
        <v>398.48037130177516</v>
      </c>
      <c r="I866">
        <f>(C866+$S$60)*$S$61</f>
        <v>190.6253846153846</v>
      </c>
    </row>
    <row r="868">
      <c r="B868">
        <f>IF(10&lt;=$S$18,MIN($S$8+$S$21+9.5*$S$19,$S$3),NA())</f>
        <v>251.25</v>
      </c>
      <c r="C868">
        <f>$S$7</f>
        <v>3.0</v>
      </c>
      <c r="D868">
        <f>(B868+$S$52)*$S$54</f>
        <v>292.6783098591549</v>
      </c>
      <c r="E868">
        <f>(C868+$S$53)*$S$54</f>
        <v>77.05960563380282</v>
      </c>
      <c r="F868">
        <f>(B868+$S$55)*$S$58</f>
        <v>810.810576923077</v>
      </c>
      <c r="G868">
        <f>(C868+$S$56)*$S$58</f>
        <v>187.38733333333334</v>
      </c>
      <c r="H868">
        <f>(B868+$S$59)*$S$61</f>
        <v>409.4779896449704</v>
      </c>
      <c r="I868">
        <f>(C868+$S$60)*$S$61</f>
        <v>71.85110650887574</v>
      </c>
    </row>
    <row r="869">
      <c r="B869">
        <f>IF(10&lt;=$S$18,MIN($S$8+$S$21+9.5*$S$19,$S$3),NA())</f>
        <v>251.25</v>
      </c>
      <c r="C869">
        <f>$S$12</f>
        <v>84.0</v>
      </c>
      <c r="D869">
        <f>(B869+$S$52)*$S$54</f>
        <v>292.6783098591549</v>
      </c>
      <c r="E869">
        <f>(C869+$S$53)*$S$54</f>
        <v>157.0830422535211</v>
      </c>
      <c r="F869">
        <f>(B869+$S$55)*$S$58</f>
        <v>810.810576923077</v>
      </c>
      <c r="G869">
        <f>(C869+$S$56)*$S$58</f>
        <v>420.90077948717953</v>
      </c>
      <c r="H869">
        <f>(B869+$S$59)*$S$61</f>
        <v>409.4779896449704</v>
      </c>
      <c r="I869">
        <f>(C869+$S$60)*$S$61</f>
        <v>190.6253846153846</v>
      </c>
    </row>
    <row r="871">
      <c r="B871">
        <f>IF(11&lt;=$S$18,MIN($S$8+$S$21+10.5*$S$19,$S$3),NA())</f>
        <v>258.75</v>
      </c>
      <c r="C871">
        <f>$S$7</f>
        <v>3.0</v>
      </c>
      <c r="D871">
        <f>(B871+$S$52)*$S$54</f>
        <v>300.0878873239436</v>
      </c>
      <c r="E871">
        <f>(C871+$S$53)*$S$54</f>
        <v>77.05960563380282</v>
      </c>
      <c r="F871">
        <f>(B871+$S$55)*$S$58</f>
        <v>832.4321923076924</v>
      </c>
      <c r="G871">
        <f>(C871+$S$56)*$S$58</f>
        <v>187.38733333333334</v>
      </c>
      <c r="H871">
        <f>(B871+$S$59)*$S$61</f>
        <v>420.4756079881657</v>
      </c>
      <c r="I871">
        <f>(C871+$S$60)*$S$61</f>
        <v>71.85110650887574</v>
      </c>
    </row>
    <row r="872">
      <c r="B872">
        <f>IF(11&lt;=$S$18,MIN($S$8+$S$21+10.5*$S$19,$S$3),NA())</f>
        <v>258.75</v>
      </c>
      <c r="C872">
        <f>$S$12</f>
        <v>84.0</v>
      </c>
      <c r="D872">
        <f>(B872+$S$52)*$S$54</f>
        <v>300.0878873239436</v>
      </c>
      <c r="E872">
        <f>(C872+$S$53)*$S$54</f>
        <v>157.0830422535211</v>
      </c>
      <c r="F872">
        <f>(B872+$S$55)*$S$58</f>
        <v>832.4321923076924</v>
      </c>
      <c r="G872">
        <f>(C872+$S$56)*$S$58</f>
        <v>420.90077948717953</v>
      </c>
      <c r="H872">
        <f>(B872+$S$59)*$S$61</f>
        <v>420.4756079881657</v>
      </c>
      <c r="I872">
        <f>(C872+$S$60)*$S$61</f>
        <v>190.6253846153846</v>
      </c>
    </row>
    <row r="874">
      <c r="B874">
        <f>IF(12&lt;=$S$18,MIN($S$8+$S$21+11.5*$S$19,$S$3),NA())</f>
        <v>266.25</v>
      </c>
      <c r="C874">
        <f>$S$7</f>
        <v>3.0</v>
      </c>
      <c r="D874">
        <f>(B874+$S$52)*$S$54</f>
        <v>307.4974647887324</v>
      </c>
      <c r="E874">
        <f>(C874+$S$53)*$S$54</f>
        <v>77.05960563380282</v>
      </c>
      <c r="F874">
        <f>(B874+$S$55)*$S$58</f>
        <v>854.0538076923077</v>
      </c>
      <c r="G874">
        <f>(C874+$S$56)*$S$58</f>
        <v>187.38733333333334</v>
      </c>
      <c r="H874">
        <f>(B874+$S$59)*$S$61</f>
        <v>431.47322633136093</v>
      </c>
      <c r="I874">
        <f>(C874+$S$60)*$S$61</f>
        <v>71.85110650887574</v>
      </c>
    </row>
    <row r="875">
      <c r="B875">
        <f>IF(12&lt;=$S$18,MIN($S$8+$S$21+11.5*$S$19,$S$3),NA())</f>
        <v>266.25</v>
      </c>
      <c r="C875">
        <f>$S$12</f>
        <v>84.0</v>
      </c>
      <c r="D875">
        <f>(B875+$S$52)*$S$54</f>
        <v>307.4974647887324</v>
      </c>
      <c r="E875">
        <f>(C875+$S$53)*$S$54</f>
        <v>157.0830422535211</v>
      </c>
      <c r="F875">
        <f>(B875+$S$55)*$S$58</f>
        <v>854.0538076923077</v>
      </c>
      <c r="G875">
        <f>(C875+$S$56)*$S$58</f>
        <v>420.90077948717953</v>
      </c>
      <c r="H875">
        <f>(B875+$S$59)*$S$61</f>
        <v>431.47322633136093</v>
      </c>
      <c r="I875">
        <f>(C875+$S$60)*$S$61</f>
        <v>190.6253846153846</v>
      </c>
    </row>
    <row r="877">
      <c r="B877">
        <f>IF(13&lt;=$S$18,MIN($S$8+$S$21+12.5*$S$19,$S$3),NA())</f>
        <v>273.75</v>
      </c>
      <c r="C877">
        <f>$S$7</f>
        <v>3.0</v>
      </c>
      <c r="D877">
        <f>(B877+$S$52)*$S$54</f>
        <v>314.9070422535211</v>
      </c>
      <c r="E877">
        <f>(C877+$S$53)*$S$54</f>
        <v>77.05960563380282</v>
      </c>
      <c r="F877">
        <f>(B877+$S$55)*$S$58</f>
        <v>875.6754230769232</v>
      </c>
      <c r="G877">
        <f>(C877+$S$56)*$S$58</f>
        <v>187.38733333333334</v>
      </c>
      <c r="H877">
        <f>(B877+$S$59)*$S$61</f>
        <v>442.4708446745562</v>
      </c>
      <c r="I877">
        <f>(C877+$S$60)*$S$61</f>
        <v>71.85110650887574</v>
      </c>
    </row>
    <row r="878">
      <c r="B878">
        <f>IF(13&lt;=$S$18,MIN($S$8+$S$21+12.5*$S$19,$S$3),NA())</f>
        <v>273.75</v>
      </c>
      <c r="C878">
        <f>$S$12</f>
        <v>84.0</v>
      </c>
      <c r="D878">
        <f>(B878+$S$52)*$S$54</f>
        <v>314.9070422535211</v>
      </c>
      <c r="E878">
        <f>(C878+$S$53)*$S$54</f>
        <v>157.0830422535211</v>
      </c>
      <c r="F878">
        <f>(B878+$S$55)*$S$58</f>
        <v>875.6754230769232</v>
      </c>
      <c r="G878">
        <f>(C878+$S$56)*$S$58</f>
        <v>420.90077948717953</v>
      </c>
      <c r="H878">
        <f>(B878+$S$59)*$S$61</f>
        <v>442.4708446745562</v>
      </c>
      <c r="I878">
        <f>(C878+$S$60)*$S$61</f>
        <v>190.6253846153846</v>
      </c>
    </row>
    <row r="880">
      <c r="B880">
        <f>IF(14&lt;=$S$18,MIN($S$8+$S$21+13.5*$S$19,$S$3),NA())</f>
        <v>281.25</v>
      </c>
      <c r="C880">
        <f>$S$7</f>
        <v>3.0</v>
      </c>
      <c r="D880">
        <f>(B880+$S$52)*$S$54</f>
        <v>322.3166197183098</v>
      </c>
      <c r="E880">
        <f>(C880+$S$53)*$S$54</f>
        <v>77.05960563380282</v>
      </c>
      <c r="F880">
        <f>(B880+$S$55)*$S$58</f>
        <v>897.2970384615385</v>
      </c>
      <c r="G880">
        <f>(C880+$S$56)*$S$58</f>
        <v>187.38733333333334</v>
      </c>
      <c r="H880">
        <f>(B880+$S$59)*$S$61</f>
        <v>453.4684630177515</v>
      </c>
      <c r="I880">
        <f>(C880+$S$60)*$S$61</f>
        <v>71.85110650887574</v>
      </c>
    </row>
    <row r="881">
      <c r="B881">
        <f>IF(14&lt;=$S$18,MIN($S$8+$S$21+13.5*$S$19,$S$3),NA())</f>
        <v>281.25</v>
      </c>
      <c r="C881">
        <f>$S$12</f>
        <v>84.0</v>
      </c>
      <c r="D881">
        <f>(B881+$S$52)*$S$54</f>
        <v>322.3166197183098</v>
      </c>
      <c r="E881">
        <f>(C881+$S$53)*$S$54</f>
        <v>157.0830422535211</v>
      </c>
      <c r="F881">
        <f>(B881+$S$55)*$S$58</f>
        <v>897.2970384615385</v>
      </c>
      <c r="G881">
        <f>(C881+$S$56)*$S$58</f>
        <v>420.90077948717953</v>
      </c>
      <c r="H881">
        <f>(B881+$S$59)*$S$61</f>
        <v>453.4684630177515</v>
      </c>
      <c r="I881">
        <f>(C881+$S$60)*$S$61</f>
        <v>190.6253846153846</v>
      </c>
    </row>
    <row r="883">
      <c r="B883">
        <f>IF(15&lt;=$S$18,MIN($S$8+$S$21+14.5*$S$19,$S$3),NA())</f>
        <v>288.75</v>
      </c>
      <c r="C883">
        <f>$S$7</f>
        <v>3.0</v>
      </c>
      <c r="D883">
        <f>(B883+$S$52)*$S$54</f>
        <v>329.7261971830986</v>
      </c>
      <c r="E883">
        <f>(C883+$S$53)*$S$54</f>
        <v>77.05960563380282</v>
      </c>
      <c r="F883">
        <f>(B883+$S$55)*$S$58</f>
        <v>918.9186538461539</v>
      </c>
      <c r="G883">
        <f>(C883+$S$56)*$S$58</f>
        <v>187.38733333333334</v>
      </c>
      <c r="H883">
        <f>(B883+$S$59)*$S$61</f>
        <v>464.46608136094676</v>
      </c>
      <c r="I883">
        <f>(C883+$S$60)*$S$61</f>
        <v>71.85110650887574</v>
      </c>
    </row>
    <row r="884">
      <c r="B884">
        <f>IF(15&lt;=$S$18,MIN($S$8+$S$21+14.5*$S$19,$S$3),NA())</f>
        <v>288.75</v>
      </c>
      <c r="C884">
        <f>$S$12</f>
        <v>84.0</v>
      </c>
      <c r="D884">
        <f>(B884+$S$52)*$S$54</f>
        <v>329.7261971830986</v>
      </c>
      <c r="E884">
        <f>(C884+$S$53)*$S$54</f>
        <v>157.0830422535211</v>
      </c>
      <c r="F884">
        <f>(B884+$S$55)*$S$58</f>
        <v>918.9186538461539</v>
      </c>
      <c r="G884">
        <f>(C884+$S$56)*$S$58</f>
        <v>420.90077948717953</v>
      </c>
      <c r="H884">
        <f>(B884+$S$59)*$S$61</f>
        <v>464.46608136094676</v>
      </c>
      <c r="I884">
        <f>(C884+$S$60)*$S$61</f>
        <v>190.6253846153846</v>
      </c>
    </row>
    <row r="886">
      <c r="B886">
        <f>IF(16&lt;=$S$18,MIN($S$8+$S$21+15.5*$S$19,$S$3),NA())</f>
        <v>296.25</v>
      </c>
      <c r="C886">
        <f>$S$7</f>
        <v>3.0</v>
      </c>
      <c r="D886">
        <f>(B886+$S$52)*$S$54</f>
        <v>337.1357746478873</v>
      </c>
      <c r="E886">
        <f>(C886+$S$53)*$S$54</f>
        <v>77.05960563380282</v>
      </c>
      <c r="F886">
        <f>(B886+$S$55)*$S$58</f>
        <v>940.5402692307692</v>
      </c>
      <c r="G886">
        <f>(C886+$S$56)*$S$58</f>
        <v>187.38733333333334</v>
      </c>
      <c r="H886">
        <f>(B886+$S$59)*$S$61</f>
        <v>475.463699704142</v>
      </c>
      <c r="I886">
        <f>(C886+$S$60)*$S$61</f>
        <v>71.85110650887574</v>
      </c>
    </row>
    <row r="887">
      <c r="B887">
        <f>IF(16&lt;=$S$18,MIN($S$8+$S$21+15.5*$S$19,$S$3),NA())</f>
        <v>296.25</v>
      </c>
      <c r="C887">
        <f>$S$12</f>
        <v>84.0</v>
      </c>
      <c r="D887">
        <f>(B887+$S$52)*$S$54</f>
        <v>337.1357746478873</v>
      </c>
      <c r="E887">
        <f>(C887+$S$53)*$S$54</f>
        <v>157.0830422535211</v>
      </c>
      <c r="F887">
        <f>(B887+$S$55)*$S$58</f>
        <v>940.5402692307692</v>
      </c>
      <c r="G887">
        <f>(C887+$S$56)*$S$58</f>
        <v>420.90077948717953</v>
      </c>
      <c r="H887">
        <f>(B887+$S$59)*$S$61</f>
        <v>475.463699704142</v>
      </c>
      <c r="I887">
        <f>(C887+$S$60)*$S$61</f>
        <v>190.6253846153846</v>
      </c>
    </row>
    <row r="889">
      <c r="B889">
        <f>IF(17&lt;=$S$18,MIN($S$8+$S$21+16.5*$S$19,$S$3),NA())</f>
        <v>303.75</v>
      </c>
      <c r="C889">
        <f>$S$7</f>
        <v>3.0</v>
      </c>
      <c r="D889">
        <f>(B889+$S$52)*$S$54</f>
        <v>344.545352112676</v>
      </c>
      <c r="E889">
        <f>(C889+$S$53)*$S$54</f>
        <v>77.05960563380282</v>
      </c>
      <c r="F889">
        <f>(B889+$S$55)*$S$58</f>
        <v>962.1618846153847</v>
      </c>
      <c r="G889">
        <f>(C889+$S$56)*$S$58</f>
        <v>187.38733333333334</v>
      </c>
      <c r="H889">
        <f>(B889+$S$59)*$S$61</f>
        <v>486.4613180473373</v>
      </c>
      <c r="I889">
        <f>(C889+$S$60)*$S$61</f>
        <v>71.85110650887574</v>
      </c>
    </row>
    <row r="890">
      <c r="B890">
        <f>IF(17&lt;=$S$18,MIN($S$8+$S$21+16.5*$S$19,$S$3),NA())</f>
        <v>303.75</v>
      </c>
      <c r="C890">
        <f>$S$12</f>
        <v>84.0</v>
      </c>
      <c r="D890">
        <f>(B890+$S$52)*$S$54</f>
        <v>344.545352112676</v>
      </c>
      <c r="E890">
        <f>(C890+$S$53)*$S$54</f>
        <v>157.0830422535211</v>
      </c>
      <c r="F890">
        <f>(B890+$S$55)*$S$58</f>
        <v>962.1618846153847</v>
      </c>
      <c r="G890">
        <f>(C890+$S$56)*$S$58</f>
        <v>420.90077948717953</v>
      </c>
      <c r="H890">
        <f>(B890+$S$59)*$S$61</f>
        <v>486.4613180473373</v>
      </c>
      <c r="I890">
        <f>(C890+$S$60)*$S$61</f>
        <v>190.6253846153846</v>
      </c>
    </row>
    <row r="892">
      <c r="B892">
        <f>IF(18&lt;=$S$18,MIN($S$8+$S$21+17.5*$S$19,$S$3),NA())</f>
        <v>311.25</v>
      </c>
      <c r="C892">
        <f>$S$7</f>
        <v>3.0</v>
      </c>
      <c r="D892">
        <f>(B892+$S$52)*$S$54</f>
        <v>351.9549295774648</v>
      </c>
      <c r="E892">
        <f>(C892+$S$53)*$S$54</f>
        <v>77.05960563380282</v>
      </c>
      <c r="F892">
        <f>(B892+$S$55)*$S$58</f>
        <v>983.7835</v>
      </c>
      <c r="G892">
        <f>(C892+$S$56)*$S$58</f>
        <v>187.38733333333334</v>
      </c>
      <c r="H892">
        <f>(B892+$S$59)*$S$61</f>
        <v>497.45893639053253</v>
      </c>
      <c r="I892">
        <f>(C892+$S$60)*$S$61</f>
        <v>71.85110650887574</v>
      </c>
    </row>
    <row r="893">
      <c r="B893">
        <f>IF(18&lt;=$S$18,MIN($S$8+$S$21+17.5*$S$19,$S$3),NA())</f>
        <v>311.25</v>
      </c>
      <c r="C893">
        <f>$S$12</f>
        <v>84.0</v>
      </c>
      <c r="D893">
        <f>(B893+$S$52)*$S$54</f>
        <v>351.9549295774648</v>
      </c>
      <c r="E893">
        <f>(C893+$S$53)*$S$54</f>
        <v>157.0830422535211</v>
      </c>
      <c r="F893">
        <f>(B893+$S$55)*$S$58</f>
        <v>983.7835</v>
      </c>
      <c r="G893">
        <f>(C893+$S$56)*$S$58</f>
        <v>420.90077948717953</v>
      </c>
      <c r="H893">
        <f>(B893+$S$59)*$S$61</f>
        <v>497.45893639053253</v>
      </c>
      <c r="I893">
        <f>(C893+$S$60)*$S$61</f>
        <v>190.6253846153846</v>
      </c>
    </row>
    <row r="895">
      <c r="B895">
        <f>IF(19&lt;=$S$18,MIN($S$8+$S$21+18.5*$S$19,$S$3),NA())</f>
        <v>318.75</v>
      </c>
      <c r="C895">
        <f>$S$7</f>
        <v>3.0</v>
      </c>
      <c r="D895">
        <f>(B895+$S$52)*$S$54</f>
        <v>359.3645070422535</v>
      </c>
      <c r="E895">
        <f>(C895+$S$53)*$S$54</f>
        <v>77.05960563380282</v>
      </c>
      <c r="F895">
        <f>(B895+$S$55)*$S$58</f>
        <v>1005.4051153846154</v>
      </c>
      <c r="G895">
        <f>(C895+$S$56)*$S$58</f>
        <v>187.38733333333334</v>
      </c>
      <c r="H895">
        <f>(B895+$S$59)*$S$61</f>
        <v>508.4565547337278</v>
      </c>
      <c r="I895">
        <f>(C895+$S$60)*$S$61</f>
        <v>71.85110650887574</v>
      </c>
    </row>
    <row r="896">
      <c r="B896">
        <f>IF(19&lt;=$S$18,MIN($S$8+$S$21+18.5*$S$19,$S$3),NA())</f>
        <v>318.75</v>
      </c>
      <c r="C896">
        <f>$S$12</f>
        <v>84.0</v>
      </c>
      <c r="D896">
        <f>(B896+$S$52)*$S$54</f>
        <v>359.3645070422535</v>
      </c>
      <c r="E896">
        <f>(C896+$S$53)*$S$54</f>
        <v>157.0830422535211</v>
      </c>
      <c r="F896">
        <f>(B896+$S$55)*$S$58</f>
        <v>1005.4051153846154</v>
      </c>
      <c r="G896">
        <f>(C896+$S$56)*$S$58</f>
        <v>420.90077948717953</v>
      </c>
      <c r="H896">
        <f>(B896+$S$59)*$S$61</f>
        <v>508.4565547337278</v>
      </c>
      <c r="I896">
        <f>(C896+$S$60)*$S$61</f>
        <v>190.6253846153846</v>
      </c>
    </row>
    <row r="898">
      <c r="B898">
        <f>IF(20&lt;=$S$18,MIN($S$8+$S$21+19.5*$S$19,$S$3),NA())</f>
        <v>326.25</v>
      </c>
      <c r="C898">
        <f>$S$7</f>
        <v>3.0</v>
      </c>
      <c r="D898">
        <f>(B898+$S$52)*$S$54</f>
        <v>366.77408450704223</v>
      </c>
      <c r="E898">
        <f>(C898+$S$53)*$S$54</f>
        <v>77.05960563380282</v>
      </c>
      <c r="F898">
        <f>(B898+$S$55)*$S$58</f>
        <v>1027.0267307692309</v>
      </c>
      <c r="G898">
        <f>(C898+$S$56)*$S$58</f>
        <v>187.38733333333334</v>
      </c>
      <c r="H898">
        <f>(B898+$S$59)*$S$61</f>
        <v>519.4541730769231</v>
      </c>
      <c r="I898">
        <f>(C898+$S$60)*$S$61</f>
        <v>71.85110650887574</v>
      </c>
    </row>
    <row r="899">
      <c r="B899">
        <f>IF(20&lt;=$S$18,MIN($S$8+$S$21+19.5*$S$19,$S$3),NA())</f>
        <v>326.25</v>
      </c>
      <c r="C899">
        <f>$S$12</f>
        <v>84.0</v>
      </c>
      <c r="D899">
        <f>(B899+$S$52)*$S$54</f>
        <v>366.77408450704223</v>
      </c>
      <c r="E899">
        <f>(C899+$S$53)*$S$54</f>
        <v>157.0830422535211</v>
      </c>
      <c r="F899">
        <f>(B899+$S$55)*$S$58</f>
        <v>1027.0267307692309</v>
      </c>
      <c r="G899">
        <f>(C899+$S$56)*$S$58</f>
        <v>420.90077948717953</v>
      </c>
      <c r="H899">
        <f>(B899+$S$59)*$S$61</f>
        <v>519.4541730769231</v>
      </c>
      <c r="I899">
        <f>(C899+$S$60)*$S$61</f>
        <v>190.6253846153846</v>
      </c>
    </row>
    <row r="901">
      <c r="B901">
        <f>IF(21&lt;=$S$18,MIN($S$8+$S$21+20.5*$S$19,$S$3),NA())</f>
        <v>333.75</v>
      </c>
      <c r="C901">
        <f>$S$7</f>
        <v>3.0</v>
      </c>
      <c r="D901">
        <f>(B901+$S$52)*$S$54</f>
        <v>374.183661971831</v>
      </c>
      <c r="E901">
        <f>(C901+$S$53)*$S$54</f>
        <v>77.05960563380282</v>
      </c>
      <c r="F901">
        <f>(B901+$S$55)*$S$58</f>
        <v>1048.6483461538462</v>
      </c>
      <c r="G901">
        <f>(C901+$S$56)*$S$58</f>
        <v>187.38733333333334</v>
      </c>
      <c r="H901">
        <f>(B901+$S$59)*$S$61</f>
        <v>530.4517914201183</v>
      </c>
      <c r="I901">
        <f>(C901+$S$60)*$S$61</f>
        <v>71.85110650887574</v>
      </c>
    </row>
    <row r="902">
      <c r="B902">
        <f>IF(21&lt;=$S$18,MIN($S$8+$S$21+20.5*$S$19,$S$3),NA())</f>
        <v>333.75</v>
      </c>
      <c r="C902">
        <f>$S$12</f>
        <v>84.0</v>
      </c>
      <c r="D902">
        <f>(B902+$S$52)*$S$54</f>
        <v>374.183661971831</v>
      </c>
      <c r="E902">
        <f>(C902+$S$53)*$S$54</f>
        <v>157.0830422535211</v>
      </c>
      <c r="F902">
        <f>(B902+$S$55)*$S$58</f>
        <v>1048.6483461538462</v>
      </c>
      <c r="G902">
        <f>(C902+$S$56)*$S$58</f>
        <v>420.90077948717953</v>
      </c>
      <c r="H902">
        <f>(B902+$S$59)*$S$61</f>
        <v>530.4517914201183</v>
      </c>
      <c r="I902">
        <f>(C902+$S$60)*$S$61</f>
        <v>190.6253846153846</v>
      </c>
    </row>
    <row r="904">
      <c r="B904">
        <f>IF(22&lt;=$S$18,MIN($S$8+$S$21+21.5*$S$19,$S$3),NA())</f>
        <v>341.25</v>
      </c>
      <c r="C904">
        <f>$S$7</f>
        <v>3.0</v>
      </c>
      <c r="D904">
        <f>(B904+$S$52)*$S$54</f>
        <v>381.5932394366197</v>
      </c>
      <c r="E904">
        <f>(C904+$S$53)*$S$54</f>
        <v>77.05960563380282</v>
      </c>
      <c r="F904">
        <f>(B904+$S$55)*$S$58</f>
        <v>1070.2699615384615</v>
      </c>
      <c r="G904">
        <f>(C904+$S$56)*$S$58</f>
        <v>187.38733333333334</v>
      </c>
      <c r="H904">
        <f>(B904+$S$59)*$S$61</f>
        <v>541.4494097633136</v>
      </c>
      <c r="I904">
        <f>(C904+$S$60)*$S$61</f>
        <v>71.85110650887574</v>
      </c>
    </row>
    <row r="905">
      <c r="B905">
        <f>IF(22&lt;=$S$18,MIN($S$8+$S$21+21.5*$S$19,$S$3),NA())</f>
        <v>341.25</v>
      </c>
      <c r="C905">
        <f>$S$12</f>
        <v>84.0</v>
      </c>
      <c r="D905">
        <f>(B905+$S$52)*$S$54</f>
        <v>381.5932394366197</v>
      </c>
      <c r="E905">
        <f>(C905+$S$53)*$S$54</f>
        <v>157.0830422535211</v>
      </c>
      <c r="F905">
        <f>(B905+$S$55)*$S$58</f>
        <v>1070.2699615384615</v>
      </c>
      <c r="G905">
        <f>(C905+$S$56)*$S$58</f>
        <v>420.90077948717953</v>
      </c>
      <c r="H905">
        <f>(B905+$S$59)*$S$61</f>
        <v>541.4494097633136</v>
      </c>
      <c r="I905">
        <f>(C905+$S$60)*$S$61</f>
        <v>190.6253846153846</v>
      </c>
    </row>
    <row r="907">
      <c r="B907">
        <f>IF(23&lt;=$S$18,MIN($S$8+$S$21+22.5*$S$19,$S$3),NA())</f>
        <v>348.75</v>
      </c>
      <c r="C907">
        <f>$S$7</f>
        <v>3.0</v>
      </c>
      <c r="D907">
        <f>(B907+$S$52)*$S$54</f>
        <v>389.00281690140844</v>
      </c>
      <c r="E907">
        <f>(C907+$S$53)*$S$54</f>
        <v>77.05960563380282</v>
      </c>
      <c r="F907">
        <f>(B907+$S$55)*$S$58</f>
        <v>1091.891576923077</v>
      </c>
      <c r="G907">
        <f>(C907+$S$56)*$S$58</f>
        <v>187.38733333333334</v>
      </c>
      <c r="H907">
        <f>(B907+$S$59)*$S$61</f>
        <v>552.4470281065089</v>
      </c>
      <c r="I907">
        <f>(C907+$S$60)*$S$61</f>
        <v>71.85110650887574</v>
      </c>
    </row>
    <row r="908">
      <c r="B908">
        <f>IF(23&lt;=$S$18,MIN($S$8+$S$21+22.5*$S$19,$S$3),NA())</f>
        <v>348.75</v>
      </c>
      <c r="C908">
        <f>$S$12</f>
        <v>84.0</v>
      </c>
      <c r="D908">
        <f>(B908+$S$52)*$S$54</f>
        <v>389.00281690140844</v>
      </c>
      <c r="E908">
        <f>(C908+$S$53)*$S$54</f>
        <v>157.0830422535211</v>
      </c>
      <c r="F908">
        <f>(B908+$S$55)*$S$58</f>
        <v>1091.891576923077</v>
      </c>
      <c r="G908">
        <f>(C908+$S$56)*$S$58</f>
        <v>420.90077948717953</v>
      </c>
      <c r="H908">
        <f>(B908+$S$59)*$S$61</f>
        <v>552.4470281065089</v>
      </c>
      <c r="I908">
        <f>(C908+$S$60)*$S$61</f>
        <v>190.6253846153846</v>
      </c>
    </row>
    <row r="910">
      <c r="B910">
        <f>IF(24&lt;=$S$18,MIN($S$8+$S$21+23.5*$S$19,$S$3),NA())</f>
        <v>356.25</v>
      </c>
      <c r="C910">
        <f>$S$7</f>
        <v>3.0</v>
      </c>
      <c r="D910">
        <f>(B910+$S$52)*$S$54</f>
        <v>396.41239436619713</v>
      </c>
      <c r="E910">
        <f>(C910+$S$53)*$S$54</f>
        <v>77.05960563380282</v>
      </c>
      <c r="F910">
        <f>(B910+$S$55)*$S$58</f>
        <v>1113.5131923076924</v>
      </c>
      <c r="G910">
        <f>(C910+$S$56)*$S$58</f>
        <v>187.38733333333334</v>
      </c>
      <c r="H910">
        <f>(B910+$S$59)*$S$61</f>
        <v>563.4446464497041</v>
      </c>
      <c r="I910">
        <f>(C910+$S$60)*$S$61</f>
        <v>71.85110650887574</v>
      </c>
    </row>
    <row r="911">
      <c r="B911">
        <f>IF(24&lt;=$S$18,MIN($S$8+$S$21+23.5*$S$19,$S$3),NA())</f>
        <v>356.25</v>
      </c>
      <c r="C911">
        <f>$S$12</f>
        <v>84.0</v>
      </c>
      <c r="D911">
        <f>(B911+$S$52)*$S$54</f>
        <v>396.41239436619713</v>
      </c>
      <c r="E911">
        <f>(C911+$S$53)*$S$54</f>
        <v>157.0830422535211</v>
      </c>
      <c r="F911">
        <f>(B911+$S$55)*$S$58</f>
        <v>1113.5131923076924</v>
      </c>
      <c r="G911">
        <f>(C911+$S$56)*$S$58</f>
        <v>420.90077948717953</v>
      </c>
      <c r="H911">
        <f>(B911+$S$59)*$S$61</f>
        <v>563.4446464497041</v>
      </c>
      <c r="I911">
        <f>(C911+$S$60)*$S$61</f>
        <v>190.6253846153846</v>
      </c>
    </row>
    <row r="913">
      <c r="B913">
        <f>IF(25&lt;=$S$18,MIN($S$8+$S$21+24.5*$S$19,$S$3),NA())</f>
        <v>363.75</v>
      </c>
      <c r="C913">
        <f>$S$7</f>
        <v>3.0</v>
      </c>
      <c r="D913">
        <f>(B913+$S$52)*$S$54</f>
        <v>403.8219718309859</v>
      </c>
      <c r="E913">
        <f>(C913+$S$53)*$S$54</f>
        <v>77.05960563380282</v>
      </c>
      <c r="F913">
        <f>(B913+$S$55)*$S$58</f>
        <v>1135.1348076923077</v>
      </c>
      <c r="G913">
        <f>(C913+$S$56)*$S$58</f>
        <v>187.38733333333334</v>
      </c>
      <c r="H913">
        <f>(B913+$S$59)*$S$61</f>
        <v>574.4422647928994</v>
      </c>
      <c r="I913">
        <f>(C913+$S$60)*$S$61</f>
        <v>71.85110650887574</v>
      </c>
    </row>
    <row r="914">
      <c r="B914">
        <f>IF(25&lt;=$S$18,MIN($S$8+$S$21+24.5*$S$19,$S$3),NA())</f>
        <v>363.75</v>
      </c>
      <c r="C914">
        <f>$S$12</f>
        <v>84.0</v>
      </c>
      <c r="D914">
        <f>(B914+$S$52)*$S$54</f>
        <v>403.8219718309859</v>
      </c>
      <c r="E914">
        <f>(C914+$S$53)*$S$54</f>
        <v>157.0830422535211</v>
      </c>
      <c r="F914">
        <f>(B914+$S$55)*$S$58</f>
        <v>1135.1348076923077</v>
      </c>
      <c r="G914">
        <f>(C914+$S$56)*$S$58</f>
        <v>420.90077948717953</v>
      </c>
      <c r="H914">
        <f>(B914+$S$59)*$S$61</f>
        <v>574.4422647928994</v>
      </c>
      <c r="I914">
        <f>(C914+$S$60)*$S$61</f>
        <v>190.6253846153846</v>
      </c>
    </row>
    <row r="916">
      <c r="B916">
        <f>IF(26&lt;=$S$18,MIN($S$8+$S$21+25.5*$S$19,$S$3),NA())</f>
        <v>371.25</v>
      </c>
      <c r="C916">
        <f>$S$7</f>
        <v>3.0</v>
      </c>
      <c r="D916">
        <f>(B916+$S$52)*$S$54</f>
        <v>411.23154929577464</v>
      </c>
      <c r="E916">
        <f>(C916+$S$53)*$S$54</f>
        <v>77.05960563380282</v>
      </c>
      <c r="F916">
        <f>(B916+$S$55)*$S$58</f>
        <v>1156.756423076923</v>
      </c>
      <c r="G916">
        <f>(C916+$S$56)*$S$58</f>
        <v>187.38733333333334</v>
      </c>
      <c r="H916">
        <f>(B916+$S$59)*$S$61</f>
        <v>585.4398831360946</v>
      </c>
      <c r="I916">
        <f>(C916+$S$60)*$S$61</f>
        <v>71.85110650887574</v>
      </c>
    </row>
    <row r="917">
      <c r="B917">
        <f>IF(26&lt;=$S$18,MIN($S$8+$S$21+25.5*$S$19,$S$3),NA())</f>
        <v>371.25</v>
      </c>
      <c r="C917">
        <f>$S$12</f>
        <v>84.0</v>
      </c>
      <c r="D917">
        <f>(B917+$S$52)*$S$54</f>
        <v>411.23154929577464</v>
      </c>
      <c r="E917">
        <f>(C917+$S$53)*$S$54</f>
        <v>157.0830422535211</v>
      </c>
      <c r="F917">
        <f>(B917+$S$55)*$S$58</f>
        <v>1156.756423076923</v>
      </c>
      <c r="G917">
        <f>(C917+$S$56)*$S$58</f>
        <v>420.90077948717953</v>
      </c>
      <c r="H917">
        <f>(B917+$S$59)*$S$61</f>
        <v>585.4398831360946</v>
      </c>
      <c r="I917">
        <f>(C917+$S$60)*$S$61</f>
        <v>190.6253846153846</v>
      </c>
    </row>
    <row r="919">
      <c r="B919">
        <f>IF(27&lt;=$S$18,MIN($S$8+$S$21+26.5*$S$19,$S$3),NA())</f>
        <v>378.75</v>
      </c>
      <c r="C919">
        <f>$S$7</f>
        <v>3.0</v>
      </c>
      <c r="D919">
        <f>(B919+$S$52)*$S$54</f>
        <v>418.64112676056334</v>
      </c>
      <c r="E919">
        <f>(C919+$S$53)*$S$54</f>
        <v>77.05960563380282</v>
      </c>
      <c r="F919">
        <f>(B919+$S$55)*$S$58</f>
        <v>1178.3780384615386</v>
      </c>
      <c r="G919">
        <f>(C919+$S$56)*$S$58</f>
        <v>187.38733333333334</v>
      </c>
      <c r="H919">
        <f>(B919+$S$59)*$S$61</f>
        <v>596.43750147929</v>
      </c>
      <c r="I919">
        <f>(C919+$S$60)*$S$61</f>
        <v>71.85110650887574</v>
      </c>
    </row>
    <row r="920">
      <c r="B920">
        <f>IF(27&lt;=$S$18,MIN($S$8+$S$21+26.5*$S$19,$S$3),NA())</f>
        <v>378.75</v>
      </c>
      <c r="C920">
        <f>$S$12</f>
        <v>84.0</v>
      </c>
      <c r="D920">
        <f>(B920+$S$52)*$S$54</f>
        <v>418.64112676056334</v>
      </c>
      <c r="E920">
        <f>(C920+$S$53)*$S$54</f>
        <v>157.0830422535211</v>
      </c>
      <c r="F920">
        <f>(B920+$S$55)*$S$58</f>
        <v>1178.3780384615386</v>
      </c>
      <c r="G920">
        <f>(C920+$S$56)*$S$58</f>
        <v>420.90077948717953</v>
      </c>
      <c r="H920">
        <f>(B920+$S$59)*$S$61</f>
        <v>596.43750147929</v>
      </c>
      <c r="I920">
        <f>(C920+$S$60)*$S$61</f>
        <v>190.6253846153846</v>
      </c>
    </row>
    <row r="922">
      <c r="B922">
        <f>IF(28&lt;=$S$18,MIN($S$8+$S$21+27.5*$S$19,$S$3),NA())</f>
        <v>386.25</v>
      </c>
      <c r="C922">
        <f>$S$7</f>
        <v>3.0</v>
      </c>
      <c r="D922">
        <f>(B922+$S$52)*$S$54</f>
        <v>426.0507042253521</v>
      </c>
      <c r="E922">
        <f>(C922+$S$53)*$S$54</f>
        <v>77.05960563380282</v>
      </c>
      <c r="F922">
        <f>(B922+$S$55)*$S$58</f>
        <v>1199.999653846154</v>
      </c>
      <c r="G922">
        <f>(C922+$S$56)*$S$58</f>
        <v>187.38733333333334</v>
      </c>
      <c r="H922">
        <f>(B922+$S$59)*$S$61</f>
        <v>607.4351198224851</v>
      </c>
      <c r="I922">
        <f>(C922+$S$60)*$S$61</f>
        <v>71.85110650887574</v>
      </c>
    </row>
    <row r="923">
      <c r="B923">
        <f>IF(28&lt;=$S$18,MIN($S$8+$S$21+27.5*$S$19,$S$3),NA())</f>
        <v>386.25</v>
      </c>
      <c r="C923">
        <f>$S$12</f>
        <v>84.0</v>
      </c>
      <c r="D923">
        <f>(B923+$S$52)*$S$54</f>
        <v>426.0507042253521</v>
      </c>
      <c r="E923">
        <f>(C923+$S$53)*$S$54</f>
        <v>157.0830422535211</v>
      </c>
      <c r="F923">
        <f>(B923+$S$55)*$S$58</f>
        <v>1199.999653846154</v>
      </c>
      <c r="G923">
        <f>(C923+$S$56)*$S$58</f>
        <v>420.90077948717953</v>
      </c>
      <c r="H923">
        <f>(B923+$S$59)*$S$61</f>
        <v>607.4351198224851</v>
      </c>
      <c r="I923">
        <f>(C923+$S$60)*$S$61</f>
        <v>190.6253846153846</v>
      </c>
    </row>
    <row r="925">
      <c r="B925">
        <f>IF(29&lt;=$S$18,MIN($S$8+$S$21+28.5*$S$19,$S$3),NA())</f>
        <v>393.75</v>
      </c>
      <c r="C925">
        <f>$S$7</f>
        <v>3.0</v>
      </c>
      <c r="D925">
        <f>(B925+$S$52)*$S$54</f>
        <v>433.4602816901408</v>
      </c>
      <c r="E925">
        <f>(C925+$S$53)*$S$54</f>
        <v>77.05960563380282</v>
      </c>
      <c r="F925">
        <f>(B925+$S$55)*$S$58</f>
        <v>1221.6212692307693</v>
      </c>
      <c r="G925">
        <f>(C925+$S$56)*$S$58</f>
        <v>187.38733333333334</v>
      </c>
      <c r="H925">
        <f>(B925+$S$59)*$S$61</f>
        <v>618.4327381656805</v>
      </c>
      <c r="I925">
        <f>(C925+$S$60)*$S$61</f>
        <v>71.85110650887574</v>
      </c>
    </row>
    <row r="926">
      <c r="B926">
        <f>IF(29&lt;=$S$18,MIN($S$8+$S$21+28.5*$S$19,$S$3),NA())</f>
        <v>393.75</v>
      </c>
      <c r="C926">
        <f>$S$12</f>
        <v>84.0</v>
      </c>
      <c r="D926">
        <f>(B926+$S$52)*$S$54</f>
        <v>433.4602816901408</v>
      </c>
      <c r="E926">
        <f>(C926+$S$53)*$S$54</f>
        <v>157.0830422535211</v>
      </c>
      <c r="F926">
        <f>(B926+$S$55)*$S$58</f>
        <v>1221.6212692307693</v>
      </c>
      <c r="G926">
        <f>(C926+$S$56)*$S$58</f>
        <v>420.90077948717953</v>
      </c>
      <c r="H926">
        <f>(B926+$S$59)*$S$61</f>
        <v>618.4327381656805</v>
      </c>
      <c r="I926">
        <f>(C926+$S$60)*$S$61</f>
        <v>190.6253846153846</v>
      </c>
    </row>
    <row r="928">
      <c r="B928">
        <f>IF(30&lt;=$S$18,MIN($S$8+$S$21+29.5*$S$19,$S$3),NA())</f>
        <v>401.25</v>
      </c>
      <c r="C928">
        <f>$S$7</f>
        <v>3.0</v>
      </c>
      <c r="D928">
        <f>(B928+$S$52)*$S$54</f>
        <v>440.86985915492954</v>
      </c>
      <c r="E928">
        <f>(C928+$S$53)*$S$54</f>
        <v>77.05960563380282</v>
      </c>
      <c r="F928">
        <f>(B928+$S$55)*$S$58</f>
        <v>1243.2428846153846</v>
      </c>
      <c r="G928">
        <f>(C928+$S$56)*$S$58</f>
        <v>187.38733333333334</v>
      </c>
      <c r="H928">
        <f>(B928+$S$59)*$S$61</f>
        <v>629.4303565088758</v>
      </c>
      <c r="I928">
        <f>(C928+$S$60)*$S$61</f>
        <v>71.85110650887574</v>
      </c>
    </row>
    <row r="929">
      <c r="B929">
        <f>IF(30&lt;=$S$18,MIN($S$8+$S$21+29.5*$S$19,$S$3),NA())</f>
        <v>401.25</v>
      </c>
      <c r="C929">
        <f>$S$12</f>
        <v>84.0</v>
      </c>
      <c r="D929">
        <f>(B929+$S$52)*$S$54</f>
        <v>440.86985915492954</v>
      </c>
      <c r="E929">
        <f>(C929+$S$53)*$S$54</f>
        <v>157.0830422535211</v>
      </c>
      <c r="F929">
        <f>(B929+$S$55)*$S$58</f>
        <v>1243.2428846153846</v>
      </c>
      <c r="G929">
        <f>(C929+$S$56)*$S$58</f>
        <v>420.90077948717953</v>
      </c>
      <c r="H929">
        <f>(B929+$S$59)*$S$61</f>
        <v>629.4303565088758</v>
      </c>
      <c r="I929">
        <f>(C929+$S$60)*$S$61</f>
        <v>190.6253846153846</v>
      </c>
    </row>
    <row r="931">
      <c r="B931">
        <f>IF(31&lt;=$S$18,MIN($S$8+$S$21+30.5*$S$19,$S$3),NA())</f>
        <v>407.5</v>
      </c>
      <c r="C931">
        <f>$S$7</f>
        <v>3.0</v>
      </c>
      <c r="D931">
        <f>(B931+$S$52)*$S$54</f>
        <v>447.0445070422535</v>
      </c>
      <c r="E931">
        <f>(C931+$S$53)*$S$54</f>
        <v>77.05960563380282</v>
      </c>
      <c r="F931">
        <f>(B931+$S$55)*$S$58</f>
        <v>1261.2608974358975</v>
      </c>
      <c r="G931">
        <f>(C931+$S$56)*$S$58</f>
        <v>187.38733333333334</v>
      </c>
      <c r="H931">
        <f>(B931+$S$59)*$S$61</f>
        <v>638.5950384615385</v>
      </c>
      <c r="I931">
        <f>(C931+$S$60)*$S$61</f>
        <v>71.85110650887574</v>
      </c>
    </row>
    <row r="932">
      <c r="B932">
        <f>IF(31&lt;=$S$18,MIN($S$8+$S$21+30.5*$S$19,$S$3),NA())</f>
        <v>407.5</v>
      </c>
      <c r="C932">
        <f>$S$12</f>
        <v>84.0</v>
      </c>
      <c r="D932">
        <f>(B932+$S$52)*$S$54</f>
        <v>447.0445070422535</v>
      </c>
      <c r="E932">
        <f>(C932+$S$53)*$S$54</f>
        <v>157.0830422535211</v>
      </c>
      <c r="F932">
        <f>(B932+$S$55)*$S$58</f>
        <v>1261.2608974358975</v>
      </c>
      <c r="G932">
        <f>(C932+$S$56)*$S$58</f>
        <v>420.90077948717953</v>
      </c>
      <c r="H932">
        <f>(B932+$S$59)*$S$61</f>
        <v>638.5950384615385</v>
      </c>
      <c r="I932">
        <f>(C932+$S$60)*$S$61</f>
        <v>190.6253846153846</v>
      </c>
    </row>
    <row r="934">
      <c r="B934" t="e">
        <f>IF(32&lt;=$S$18,MIN($S$8+$S$21+31.5*$S$19,$S$3),NA())</f>
        <v>#N/A</v>
      </c>
      <c r="C934">
        <f>$S$7</f>
        <v>3.0</v>
      </c>
      <c r="D934" t="e">
        <f>(B934+$S$52)*$S$54</f>
        <v>#N/A</v>
      </c>
      <c r="E934">
        <f>(C934+$S$53)*$S$54</f>
        <v>77.05960563380282</v>
      </c>
      <c r="F934" t="e">
        <f>(B934+$S$55)*$S$58</f>
        <v>#N/A</v>
      </c>
      <c r="G934">
        <f>(C934+$S$56)*$S$58</f>
        <v>187.38733333333334</v>
      </c>
      <c r="H934" t="e">
        <f>(B934+$S$59)*$S$61</f>
        <v>#N/A</v>
      </c>
      <c r="I934">
        <f>(C934+$S$60)*$S$61</f>
        <v>71.85110650887574</v>
      </c>
    </row>
    <row r="935">
      <c r="B935" t="e">
        <f>IF(32&lt;=$S$18,MIN($S$8+$S$21+31.5*$S$19,$S$3),NA())</f>
        <v>#N/A</v>
      </c>
      <c r="C935">
        <f>$S$12</f>
        <v>84.0</v>
      </c>
      <c r="D935" t="e">
        <f>(B935+$S$52)*$S$54</f>
        <v>#N/A</v>
      </c>
      <c r="E935">
        <f>(C935+$S$53)*$S$54</f>
        <v>157.0830422535211</v>
      </c>
      <c r="F935" t="e">
        <f>(B935+$S$55)*$S$58</f>
        <v>#N/A</v>
      </c>
      <c r="G935">
        <f>(C935+$S$56)*$S$58</f>
        <v>420.90077948717953</v>
      </c>
      <c r="H935" t="e">
        <f>(B935+$S$59)*$S$61</f>
        <v>#N/A</v>
      </c>
      <c r="I935">
        <f>(C935+$S$60)*$S$61</f>
        <v>190.6253846153846</v>
      </c>
    </row>
    <row r="937">
      <c r="B937" t="e">
        <f>IF(33&lt;=$S$18,MIN($S$8+$S$21+32.5*$S$19,$S$3),NA())</f>
        <v>#N/A</v>
      </c>
      <c r="C937">
        <f>$S$7</f>
        <v>3.0</v>
      </c>
      <c r="D937" t="e">
        <f>(B937+$S$52)*$S$54</f>
        <v>#N/A</v>
      </c>
      <c r="E937">
        <f>(C937+$S$53)*$S$54</f>
        <v>77.05960563380282</v>
      </c>
      <c r="F937" t="e">
        <f>(B937+$S$55)*$S$58</f>
        <v>#N/A</v>
      </c>
      <c r="G937">
        <f>(C937+$S$56)*$S$58</f>
        <v>187.38733333333334</v>
      </c>
      <c r="H937" t="e">
        <f>(B937+$S$59)*$S$61</f>
        <v>#N/A</v>
      </c>
      <c r="I937">
        <f>(C937+$S$60)*$S$61</f>
        <v>71.85110650887574</v>
      </c>
    </row>
    <row r="938">
      <c r="B938" t="e">
        <f>IF(33&lt;=$S$18,MIN($S$8+$S$21+32.5*$S$19,$S$3),NA())</f>
        <v>#N/A</v>
      </c>
      <c r="C938">
        <f>$S$12</f>
        <v>84.0</v>
      </c>
      <c r="D938" t="e">
        <f>(B938+$S$52)*$S$54</f>
        <v>#N/A</v>
      </c>
      <c r="E938">
        <f>(C938+$S$53)*$S$54</f>
        <v>157.0830422535211</v>
      </c>
      <c r="F938" t="e">
        <f>(B938+$S$55)*$S$58</f>
        <v>#N/A</v>
      </c>
      <c r="G938">
        <f>(C938+$S$56)*$S$58</f>
        <v>420.90077948717953</v>
      </c>
      <c r="H938" t="e">
        <f>(B938+$S$59)*$S$61</f>
        <v>#N/A</v>
      </c>
      <c r="I938">
        <f>(C938+$S$60)*$S$61</f>
        <v>190.6253846153846</v>
      </c>
    </row>
    <row r="940">
      <c r="B940" t="e">
        <f>IF(34&lt;=$S$18,MIN($S$8+$S$21+33.5*$S$19,$S$3),NA())</f>
        <v>#N/A</v>
      </c>
      <c r="C940">
        <f>$S$7</f>
        <v>3.0</v>
      </c>
      <c r="D940" t="e">
        <f>(B940+$S$52)*$S$54</f>
        <v>#N/A</v>
      </c>
      <c r="E940">
        <f>(C940+$S$53)*$S$54</f>
        <v>77.05960563380282</v>
      </c>
      <c r="F940" t="e">
        <f>(B940+$S$55)*$S$58</f>
        <v>#N/A</v>
      </c>
      <c r="G940">
        <f>(C940+$S$56)*$S$58</f>
        <v>187.38733333333334</v>
      </c>
      <c r="H940" t="e">
        <f>(B940+$S$59)*$S$61</f>
        <v>#N/A</v>
      </c>
      <c r="I940">
        <f>(C940+$S$60)*$S$61</f>
        <v>71.85110650887574</v>
      </c>
    </row>
    <row r="941">
      <c r="B941" t="e">
        <f>IF(34&lt;=$S$18,MIN($S$8+$S$21+33.5*$S$19,$S$3),NA())</f>
        <v>#N/A</v>
      </c>
      <c r="C941">
        <f>$S$12</f>
        <v>84.0</v>
      </c>
      <c r="D941" t="e">
        <f>(B941+$S$52)*$S$54</f>
        <v>#N/A</v>
      </c>
      <c r="E941">
        <f>(C941+$S$53)*$S$54</f>
        <v>157.0830422535211</v>
      </c>
      <c r="F941" t="e">
        <f>(B941+$S$55)*$S$58</f>
        <v>#N/A</v>
      </c>
      <c r="G941">
        <f>(C941+$S$56)*$S$58</f>
        <v>420.90077948717953</v>
      </c>
      <c r="H941" t="e">
        <f>(B941+$S$59)*$S$61</f>
        <v>#N/A</v>
      </c>
      <c r="I941">
        <f>(C941+$S$60)*$S$61</f>
        <v>190.6253846153846</v>
      </c>
    </row>
    <row r="943">
      <c r="B943" t="e">
        <f>IF(35&lt;=$S$18,MIN($S$8+$S$21+34.5*$S$19,$S$3),NA())</f>
        <v>#N/A</v>
      </c>
      <c r="C943">
        <f>$S$7</f>
        <v>3.0</v>
      </c>
      <c r="D943" t="e">
        <f>(B943+$S$52)*$S$54</f>
        <v>#N/A</v>
      </c>
      <c r="E943">
        <f>(C943+$S$53)*$S$54</f>
        <v>77.05960563380282</v>
      </c>
      <c r="F943" t="e">
        <f>(B943+$S$55)*$S$58</f>
        <v>#N/A</v>
      </c>
      <c r="G943">
        <f>(C943+$S$56)*$S$58</f>
        <v>187.38733333333334</v>
      </c>
      <c r="H943" t="e">
        <f>(B943+$S$59)*$S$61</f>
        <v>#N/A</v>
      </c>
      <c r="I943">
        <f>(C943+$S$60)*$S$61</f>
        <v>71.85110650887574</v>
      </c>
    </row>
    <row r="944">
      <c r="B944" t="e">
        <f>IF(35&lt;=$S$18,MIN($S$8+$S$21+34.5*$S$19,$S$3),NA())</f>
        <v>#N/A</v>
      </c>
      <c r="C944">
        <f>$S$12</f>
        <v>84.0</v>
      </c>
      <c r="D944" t="e">
        <f>(B944+$S$52)*$S$54</f>
        <v>#N/A</v>
      </c>
      <c r="E944">
        <f>(C944+$S$53)*$S$54</f>
        <v>157.0830422535211</v>
      </c>
      <c r="F944" t="e">
        <f>(B944+$S$55)*$S$58</f>
        <v>#N/A</v>
      </c>
      <c r="G944">
        <f>(C944+$S$56)*$S$58</f>
        <v>420.90077948717953</v>
      </c>
      <c r="H944" t="e">
        <f>(B944+$S$59)*$S$61</f>
        <v>#N/A</v>
      </c>
      <c r="I944">
        <f>(C944+$S$60)*$S$61</f>
        <v>190.6253846153846</v>
      </c>
    </row>
    <row r="946">
      <c r="B946" t="e">
        <f>IF(36&lt;=$S$18,MIN($S$8+$S$21+35.5*$S$19,$S$3),NA())</f>
        <v>#N/A</v>
      </c>
      <c r="C946">
        <f>$S$7</f>
        <v>3.0</v>
      </c>
      <c r="D946" t="e">
        <f>(B946+$S$52)*$S$54</f>
        <v>#N/A</v>
      </c>
      <c r="E946">
        <f>(C946+$S$53)*$S$54</f>
        <v>77.05960563380282</v>
      </c>
      <c r="F946" t="e">
        <f>(B946+$S$55)*$S$58</f>
        <v>#N/A</v>
      </c>
      <c r="G946">
        <f>(C946+$S$56)*$S$58</f>
        <v>187.38733333333334</v>
      </c>
      <c r="H946" t="e">
        <f>(B946+$S$59)*$S$61</f>
        <v>#N/A</v>
      </c>
      <c r="I946">
        <f>(C946+$S$60)*$S$61</f>
        <v>71.85110650887574</v>
      </c>
    </row>
    <row r="947">
      <c r="B947" t="e">
        <f>IF(36&lt;=$S$18,MIN($S$8+$S$21+35.5*$S$19,$S$3),NA())</f>
        <v>#N/A</v>
      </c>
      <c r="C947">
        <f>$S$12</f>
        <v>84.0</v>
      </c>
      <c r="D947" t="e">
        <f>(B947+$S$52)*$S$54</f>
        <v>#N/A</v>
      </c>
      <c r="E947">
        <f>(C947+$S$53)*$S$54</f>
        <v>157.0830422535211</v>
      </c>
      <c r="F947" t="e">
        <f>(B947+$S$55)*$S$58</f>
        <v>#N/A</v>
      </c>
      <c r="G947">
        <f>(C947+$S$56)*$S$58</f>
        <v>420.90077948717953</v>
      </c>
      <c r="H947" t="e">
        <f>(B947+$S$59)*$S$61</f>
        <v>#N/A</v>
      </c>
      <c r="I947">
        <f>(C947+$S$60)*$S$61</f>
        <v>190.6253846153846</v>
      </c>
    </row>
    <row r="949">
      <c r="B949" t="e">
        <f>IF(37&lt;=$S$18,MIN($S$8+$S$21+36.5*$S$19,$S$3),NA())</f>
        <v>#N/A</v>
      </c>
      <c r="C949">
        <f>$S$7</f>
        <v>3.0</v>
      </c>
      <c r="D949" t="e">
        <f>(B949+$S$52)*$S$54</f>
        <v>#N/A</v>
      </c>
      <c r="E949">
        <f>(C949+$S$53)*$S$54</f>
        <v>77.05960563380282</v>
      </c>
      <c r="F949" t="e">
        <f>(B949+$S$55)*$S$58</f>
        <v>#N/A</v>
      </c>
      <c r="G949">
        <f>(C949+$S$56)*$S$58</f>
        <v>187.38733333333334</v>
      </c>
      <c r="H949" t="e">
        <f>(B949+$S$59)*$S$61</f>
        <v>#N/A</v>
      </c>
      <c r="I949">
        <f>(C949+$S$60)*$S$61</f>
        <v>71.85110650887574</v>
      </c>
    </row>
    <row r="950">
      <c r="B950" t="e">
        <f>IF(37&lt;=$S$18,MIN($S$8+$S$21+36.5*$S$19,$S$3),NA())</f>
        <v>#N/A</v>
      </c>
      <c r="C950">
        <f>$S$12</f>
        <v>84.0</v>
      </c>
      <c r="D950" t="e">
        <f>(B950+$S$52)*$S$54</f>
        <v>#N/A</v>
      </c>
      <c r="E950">
        <f>(C950+$S$53)*$S$54</f>
        <v>157.0830422535211</v>
      </c>
      <c r="F950" t="e">
        <f>(B950+$S$55)*$S$58</f>
        <v>#N/A</v>
      </c>
      <c r="G950">
        <f>(C950+$S$56)*$S$58</f>
        <v>420.90077948717953</v>
      </c>
      <c r="H950" t="e">
        <f>(B950+$S$59)*$S$61</f>
        <v>#N/A</v>
      </c>
      <c r="I950">
        <f>(C950+$S$60)*$S$61</f>
        <v>190.6253846153846</v>
      </c>
    </row>
    <row r="952">
      <c r="B952" t="e">
        <f>IF(38&lt;=$S$18,MIN($S$8+$S$21+37.5*$S$19,$S$3),NA())</f>
        <v>#N/A</v>
      </c>
      <c r="C952">
        <f>$S$7</f>
        <v>3.0</v>
      </c>
      <c r="D952" t="e">
        <f>(B952+$S$52)*$S$54</f>
        <v>#N/A</v>
      </c>
      <c r="E952">
        <f>(C952+$S$53)*$S$54</f>
        <v>77.05960563380282</v>
      </c>
      <c r="F952" t="e">
        <f>(B952+$S$55)*$S$58</f>
        <v>#N/A</v>
      </c>
      <c r="G952">
        <f>(C952+$S$56)*$S$58</f>
        <v>187.38733333333334</v>
      </c>
      <c r="H952" t="e">
        <f>(B952+$S$59)*$S$61</f>
        <v>#N/A</v>
      </c>
      <c r="I952">
        <f>(C952+$S$60)*$S$61</f>
        <v>71.85110650887574</v>
      </c>
    </row>
    <row r="953">
      <c r="B953" t="e">
        <f>IF(38&lt;=$S$18,MIN($S$8+$S$21+37.5*$S$19,$S$3),NA())</f>
        <v>#N/A</v>
      </c>
      <c r="C953">
        <f>$S$12</f>
        <v>84.0</v>
      </c>
      <c r="D953" t="e">
        <f>(B953+$S$52)*$S$54</f>
        <v>#N/A</v>
      </c>
      <c r="E953">
        <f>(C953+$S$53)*$S$54</f>
        <v>157.0830422535211</v>
      </c>
      <c r="F953" t="e">
        <f>(B953+$S$55)*$S$58</f>
        <v>#N/A</v>
      </c>
      <c r="G953">
        <f>(C953+$S$56)*$S$58</f>
        <v>420.90077948717953</v>
      </c>
      <c r="H953" t="e">
        <f>(B953+$S$59)*$S$61</f>
        <v>#N/A</v>
      </c>
      <c r="I953">
        <f>(C953+$S$60)*$S$61</f>
        <v>190.6253846153846</v>
      </c>
    </row>
    <row r="955">
      <c r="B955" t="e">
        <f>IF(39&lt;=$S$18,MIN($S$8+$S$21+38.5*$S$19,$S$3),NA())</f>
        <v>#N/A</v>
      </c>
      <c r="C955">
        <f>$S$7</f>
        <v>3.0</v>
      </c>
      <c r="D955" t="e">
        <f>(B955+$S$52)*$S$54</f>
        <v>#N/A</v>
      </c>
      <c r="E955">
        <f>(C955+$S$53)*$S$54</f>
        <v>77.05960563380282</v>
      </c>
      <c r="F955" t="e">
        <f>(B955+$S$55)*$S$58</f>
        <v>#N/A</v>
      </c>
      <c r="G955">
        <f>(C955+$S$56)*$S$58</f>
        <v>187.38733333333334</v>
      </c>
      <c r="H955" t="e">
        <f>(B955+$S$59)*$S$61</f>
        <v>#N/A</v>
      </c>
      <c r="I955">
        <f>(C955+$S$60)*$S$61</f>
        <v>71.85110650887574</v>
      </c>
    </row>
    <row r="956">
      <c r="B956" t="e">
        <f>IF(39&lt;=$S$18,MIN($S$8+$S$21+38.5*$S$19,$S$3),NA())</f>
        <v>#N/A</v>
      </c>
      <c r="C956">
        <f>$S$12</f>
        <v>84.0</v>
      </c>
      <c r="D956" t="e">
        <f>(B956+$S$52)*$S$54</f>
        <v>#N/A</v>
      </c>
      <c r="E956">
        <f>(C956+$S$53)*$S$54</f>
        <v>157.0830422535211</v>
      </c>
      <c r="F956" t="e">
        <f>(B956+$S$55)*$S$58</f>
        <v>#N/A</v>
      </c>
      <c r="G956">
        <f>(C956+$S$56)*$S$58</f>
        <v>420.90077948717953</v>
      </c>
      <c r="H956" t="e">
        <f>(B956+$S$59)*$S$61</f>
        <v>#N/A</v>
      </c>
      <c r="I956">
        <f>(C956+$S$60)*$S$61</f>
        <v>190.6253846153846</v>
      </c>
    </row>
    <row r="958">
      <c r="B958" t="e">
        <f>IF(40&lt;=$S$18,MIN($S$8+$S$21+39.5*$S$19,$S$3),NA())</f>
        <v>#N/A</v>
      </c>
      <c r="C958">
        <f>$S$7</f>
        <v>3.0</v>
      </c>
      <c r="D958" t="e">
        <f>(B958+$S$52)*$S$54</f>
        <v>#N/A</v>
      </c>
      <c r="E958">
        <f>(C958+$S$53)*$S$54</f>
        <v>77.05960563380282</v>
      </c>
      <c r="F958" t="e">
        <f>(B958+$S$55)*$S$58</f>
        <v>#N/A</v>
      </c>
      <c r="G958">
        <f>(C958+$S$56)*$S$58</f>
        <v>187.38733333333334</v>
      </c>
      <c r="H958" t="e">
        <f>(B958+$S$59)*$S$61</f>
        <v>#N/A</v>
      </c>
      <c r="I958">
        <f>(C958+$S$60)*$S$61</f>
        <v>71.85110650887574</v>
      </c>
    </row>
    <row r="959">
      <c r="B959" t="e">
        <f>IF(40&lt;=$S$18,MIN($S$8+$S$21+39.5*$S$19,$S$3),NA())</f>
        <v>#N/A</v>
      </c>
      <c r="C959">
        <f>$S$12</f>
        <v>84.0</v>
      </c>
      <c r="D959" t="e">
        <f>(B959+$S$52)*$S$54</f>
        <v>#N/A</v>
      </c>
      <c r="E959">
        <f>(C959+$S$53)*$S$54</f>
        <v>157.0830422535211</v>
      </c>
      <c r="F959" t="e">
        <f>(B959+$S$55)*$S$58</f>
        <v>#N/A</v>
      </c>
      <c r="G959">
        <f>(C959+$S$56)*$S$58</f>
        <v>420.90077948717953</v>
      </c>
      <c r="H959" t="e">
        <f>(B959+$S$59)*$S$61</f>
        <v>#N/A</v>
      </c>
      <c r="I959">
        <f>(C959+$S$60)*$S$61</f>
        <v>190.6253846153846</v>
      </c>
    </row>
    <row r="961">
      <c r="B961" t="e">
        <f>IF(41&lt;=$S$18,MIN($S$8+$S$21+40.5*$S$19,$S$3),NA())</f>
        <v>#N/A</v>
      </c>
      <c r="C961">
        <f>$S$7</f>
        <v>3.0</v>
      </c>
      <c r="D961" t="e">
        <f>(B961+$S$52)*$S$54</f>
        <v>#N/A</v>
      </c>
      <c r="E961">
        <f>(C961+$S$53)*$S$54</f>
        <v>77.05960563380282</v>
      </c>
      <c r="F961" t="e">
        <f>(B961+$S$55)*$S$58</f>
        <v>#N/A</v>
      </c>
      <c r="G961">
        <f>(C961+$S$56)*$S$58</f>
        <v>187.38733333333334</v>
      </c>
      <c r="H961" t="e">
        <f>(B961+$S$59)*$S$61</f>
        <v>#N/A</v>
      </c>
      <c r="I961">
        <f>(C961+$S$60)*$S$61</f>
        <v>71.85110650887574</v>
      </c>
    </row>
    <row r="962">
      <c r="B962" t="e">
        <f>IF(41&lt;=$S$18,MIN($S$8+$S$21+40.5*$S$19,$S$3),NA())</f>
        <v>#N/A</v>
      </c>
      <c r="C962">
        <f>$S$12</f>
        <v>84.0</v>
      </c>
      <c r="D962" t="e">
        <f>(B962+$S$52)*$S$54</f>
        <v>#N/A</v>
      </c>
      <c r="E962">
        <f>(C962+$S$53)*$S$54</f>
        <v>157.0830422535211</v>
      </c>
      <c r="F962" t="e">
        <f>(B962+$S$55)*$S$58</f>
        <v>#N/A</v>
      </c>
      <c r="G962">
        <f>(C962+$S$56)*$S$58</f>
        <v>420.90077948717953</v>
      </c>
      <c r="H962" t="e">
        <f>(B962+$S$59)*$S$61</f>
        <v>#N/A</v>
      </c>
      <c r="I962">
        <f>(C962+$S$60)*$S$61</f>
        <v>190.6253846153846</v>
      </c>
    </row>
    <row r="964">
      <c r="B964" t="e">
        <f>IF(42&lt;=$S$18,MIN($S$8+$S$21+41.5*$S$19,$S$3),NA())</f>
        <v>#N/A</v>
      </c>
      <c r="C964">
        <f>$S$7</f>
        <v>3.0</v>
      </c>
      <c r="D964" t="e">
        <f>(B964+$S$52)*$S$54</f>
        <v>#N/A</v>
      </c>
      <c r="E964">
        <f>(C964+$S$53)*$S$54</f>
        <v>77.05960563380282</v>
      </c>
      <c r="F964" t="e">
        <f>(B964+$S$55)*$S$58</f>
        <v>#N/A</v>
      </c>
      <c r="G964">
        <f>(C964+$S$56)*$S$58</f>
        <v>187.38733333333334</v>
      </c>
      <c r="H964" t="e">
        <f>(B964+$S$59)*$S$61</f>
        <v>#N/A</v>
      </c>
      <c r="I964">
        <f>(C964+$S$60)*$S$61</f>
        <v>71.85110650887574</v>
      </c>
    </row>
    <row r="965">
      <c r="B965" t="e">
        <f>IF(42&lt;=$S$18,MIN($S$8+$S$21+41.5*$S$19,$S$3),NA())</f>
        <v>#N/A</v>
      </c>
      <c r="C965">
        <f>$S$12</f>
        <v>84.0</v>
      </c>
      <c r="D965" t="e">
        <f>(B965+$S$52)*$S$54</f>
        <v>#N/A</v>
      </c>
      <c r="E965">
        <f>(C965+$S$53)*$S$54</f>
        <v>157.0830422535211</v>
      </c>
      <c r="F965" t="e">
        <f>(B965+$S$55)*$S$58</f>
        <v>#N/A</v>
      </c>
      <c r="G965">
        <f>(C965+$S$56)*$S$58</f>
        <v>420.90077948717953</v>
      </c>
      <c r="H965" t="e">
        <f>(B965+$S$59)*$S$61</f>
        <v>#N/A</v>
      </c>
      <c r="I965">
        <f>(C965+$S$60)*$S$61</f>
        <v>190.6253846153846</v>
      </c>
    </row>
    <row r="967">
      <c r="B967" t="e">
        <f>IF(43&lt;=$S$18,MIN($S$8+$S$21+42.5*$S$19,$S$3),NA())</f>
        <v>#N/A</v>
      </c>
      <c r="C967">
        <f>$S$7</f>
        <v>3.0</v>
      </c>
      <c r="D967" t="e">
        <f>(B967+$S$52)*$S$54</f>
        <v>#N/A</v>
      </c>
      <c r="E967">
        <f>(C967+$S$53)*$S$54</f>
        <v>77.05960563380282</v>
      </c>
      <c r="F967" t="e">
        <f>(B967+$S$55)*$S$58</f>
        <v>#N/A</v>
      </c>
      <c r="G967">
        <f>(C967+$S$56)*$S$58</f>
        <v>187.38733333333334</v>
      </c>
      <c r="H967" t="e">
        <f>(B967+$S$59)*$S$61</f>
        <v>#N/A</v>
      </c>
      <c r="I967">
        <f>(C967+$S$60)*$S$61</f>
        <v>71.85110650887574</v>
      </c>
    </row>
    <row r="968">
      <c r="B968" t="e">
        <f>IF(43&lt;=$S$18,MIN($S$8+$S$21+42.5*$S$19,$S$3),NA())</f>
        <v>#N/A</v>
      </c>
      <c r="C968">
        <f>$S$12</f>
        <v>84.0</v>
      </c>
      <c r="D968" t="e">
        <f>(B968+$S$52)*$S$54</f>
        <v>#N/A</v>
      </c>
      <c r="E968">
        <f>(C968+$S$53)*$S$54</f>
        <v>157.0830422535211</v>
      </c>
      <c r="F968" t="e">
        <f>(B968+$S$55)*$S$58</f>
        <v>#N/A</v>
      </c>
      <c r="G968">
        <f>(C968+$S$56)*$S$58</f>
        <v>420.90077948717953</v>
      </c>
      <c r="H968" t="e">
        <f>(B968+$S$59)*$S$61</f>
        <v>#N/A</v>
      </c>
      <c r="I968">
        <f>(C968+$S$60)*$S$61</f>
        <v>190.6253846153846</v>
      </c>
    </row>
    <row r="970">
      <c r="B970" t="e">
        <f>IF(44&lt;=$S$18,MIN($S$8+$S$21+43.5*$S$19,$S$3),NA())</f>
        <v>#N/A</v>
      </c>
      <c r="C970">
        <f>$S$7</f>
        <v>3.0</v>
      </c>
      <c r="D970" t="e">
        <f>(B970+$S$52)*$S$54</f>
        <v>#N/A</v>
      </c>
      <c r="E970">
        <f>(C970+$S$53)*$S$54</f>
        <v>77.05960563380282</v>
      </c>
      <c r="F970" t="e">
        <f>(B970+$S$55)*$S$58</f>
        <v>#N/A</v>
      </c>
      <c r="G970">
        <f>(C970+$S$56)*$S$58</f>
        <v>187.38733333333334</v>
      </c>
      <c r="H970" t="e">
        <f>(B970+$S$59)*$S$61</f>
        <v>#N/A</v>
      </c>
      <c r="I970">
        <f>(C970+$S$60)*$S$61</f>
        <v>71.85110650887574</v>
      </c>
    </row>
    <row r="971">
      <c r="B971" t="e">
        <f>IF(44&lt;=$S$18,MIN($S$8+$S$21+43.5*$S$19,$S$3),NA())</f>
        <v>#N/A</v>
      </c>
      <c r="C971">
        <f>$S$12</f>
        <v>84.0</v>
      </c>
      <c r="D971" t="e">
        <f>(B971+$S$52)*$S$54</f>
        <v>#N/A</v>
      </c>
      <c r="E971">
        <f>(C971+$S$53)*$S$54</f>
        <v>157.0830422535211</v>
      </c>
      <c r="F971" t="e">
        <f>(B971+$S$55)*$S$58</f>
        <v>#N/A</v>
      </c>
      <c r="G971">
        <f>(C971+$S$56)*$S$58</f>
        <v>420.90077948717953</v>
      </c>
      <c r="H971" t="e">
        <f>(B971+$S$59)*$S$61</f>
        <v>#N/A</v>
      </c>
      <c r="I971">
        <f>(C971+$S$60)*$S$61</f>
        <v>190.6253846153846</v>
      </c>
    </row>
    <row r="973">
      <c r="B973" t="e">
        <f>IF(45&lt;=$S$18,MIN($S$8+$S$21+44.5*$S$19,$S$3),NA())</f>
        <v>#N/A</v>
      </c>
      <c r="C973">
        <f>$S$7</f>
        <v>3.0</v>
      </c>
      <c r="D973" t="e">
        <f>(B973+$S$52)*$S$54</f>
        <v>#N/A</v>
      </c>
      <c r="E973">
        <f>(C973+$S$53)*$S$54</f>
        <v>77.05960563380282</v>
      </c>
      <c r="F973" t="e">
        <f>(B973+$S$55)*$S$58</f>
        <v>#N/A</v>
      </c>
      <c r="G973">
        <f>(C973+$S$56)*$S$58</f>
        <v>187.38733333333334</v>
      </c>
      <c r="H973" t="e">
        <f>(B973+$S$59)*$S$61</f>
        <v>#N/A</v>
      </c>
      <c r="I973">
        <f>(C973+$S$60)*$S$61</f>
        <v>71.85110650887574</v>
      </c>
    </row>
    <row r="974">
      <c r="B974" t="e">
        <f>IF(45&lt;=$S$18,MIN($S$8+$S$21+44.5*$S$19,$S$3),NA())</f>
        <v>#N/A</v>
      </c>
      <c r="C974">
        <f>$S$12</f>
        <v>84.0</v>
      </c>
      <c r="D974" t="e">
        <f>(B974+$S$52)*$S$54</f>
        <v>#N/A</v>
      </c>
      <c r="E974">
        <f>(C974+$S$53)*$S$54</f>
        <v>157.0830422535211</v>
      </c>
      <c r="F974" t="e">
        <f>(B974+$S$55)*$S$58</f>
        <v>#N/A</v>
      </c>
      <c r="G974">
        <f>(C974+$S$56)*$S$58</f>
        <v>420.90077948717953</v>
      </c>
      <c r="H974" t="e">
        <f>(B974+$S$59)*$S$61</f>
        <v>#N/A</v>
      </c>
      <c r="I974">
        <f>(C974+$S$60)*$S$61</f>
        <v>190.6253846153846</v>
      </c>
    </row>
    <row r="976">
      <c r="B976" t="e">
        <f>IF(46&lt;=$S$18,MIN($S$8+$S$21+45.5*$S$19,$S$3),NA())</f>
        <v>#N/A</v>
      </c>
      <c r="C976">
        <f>$S$7</f>
        <v>3.0</v>
      </c>
      <c r="D976" t="e">
        <f>(B976+$S$52)*$S$54</f>
        <v>#N/A</v>
      </c>
      <c r="E976">
        <f>(C976+$S$53)*$S$54</f>
        <v>77.05960563380282</v>
      </c>
      <c r="F976" t="e">
        <f>(B976+$S$55)*$S$58</f>
        <v>#N/A</v>
      </c>
      <c r="G976">
        <f>(C976+$S$56)*$S$58</f>
        <v>187.38733333333334</v>
      </c>
      <c r="H976" t="e">
        <f>(B976+$S$59)*$S$61</f>
        <v>#N/A</v>
      </c>
      <c r="I976">
        <f>(C976+$S$60)*$S$61</f>
        <v>71.85110650887574</v>
      </c>
    </row>
    <row r="977">
      <c r="B977" t="e">
        <f>IF(46&lt;=$S$18,MIN($S$8+$S$21+45.5*$S$19,$S$3),NA())</f>
        <v>#N/A</v>
      </c>
      <c r="C977">
        <f>$S$12</f>
        <v>84.0</v>
      </c>
      <c r="D977" t="e">
        <f>(B977+$S$52)*$S$54</f>
        <v>#N/A</v>
      </c>
      <c r="E977">
        <f>(C977+$S$53)*$S$54</f>
        <v>157.0830422535211</v>
      </c>
      <c r="F977" t="e">
        <f>(B977+$S$55)*$S$58</f>
        <v>#N/A</v>
      </c>
      <c r="G977">
        <f>(C977+$S$56)*$S$58</f>
        <v>420.90077948717953</v>
      </c>
      <c r="H977" t="e">
        <f>(B977+$S$59)*$S$61</f>
        <v>#N/A</v>
      </c>
      <c r="I977">
        <f>(C977+$S$60)*$S$61</f>
        <v>190.6253846153846</v>
      </c>
    </row>
    <row r="979">
      <c r="B979" t="e">
        <f>IF(47&lt;=$S$18,MIN($S$8+$S$21+46.5*$S$19,$S$3),NA())</f>
        <v>#N/A</v>
      </c>
      <c r="C979">
        <f>$S$7</f>
        <v>3.0</v>
      </c>
      <c r="D979" t="e">
        <f>(B979+$S$52)*$S$54</f>
        <v>#N/A</v>
      </c>
      <c r="E979">
        <f>(C979+$S$53)*$S$54</f>
        <v>77.05960563380282</v>
      </c>
      <c r="F979" t="e">
        <f>(B979+$S$55)*$S$58</f>
        <v>#N/A</v>
      </c>
      <c r="G979">
        <f>(C979+$S$56)*$S$58</f>
        <v>187.38733333333334</v>
      </c>
      <c r="H979" t="e">
        <f>(B979+$S$59)*$S$61</f>
        <v>#N/A</v>
      </c>
      <c r="I979">
        <f>(C979+$S$60)*$S$61</f>
        <v>71.85110650887574</v>
      </c>
    </row>
    <row r="980">
      <c r="B980" t="e">
        <f>IF(47&lt;=$S$18,MIN($S$8+$S$21+46.5*$S$19,$S$3),NA())</f>
        <v>#N/A</v>
      </c>
      <c r="C980">
        <f>$S$12</f>
        <v>84.0</v>
      </c>
      <c r="D980" t="e">
        <f>(B980+$S$52)*$S$54</f>
        <v>#N/A</v>
      </c>
      <c r="E980">
        <f>(C980+$S$53)*$S$54</f>
        <v>157.0830422535211</v>
      </c>
      <c r="F980" t="e">
        <f>(B980+$S$55)*$S$58</f>
        <v>#N/A</v>
      </c>
      <c r="G980">
        <f>(C980+$S$56)*$S$58</f>
        <v>420.90077948717953</v>
      </c>
      <c r="H980" t="e">
        <f>(B980+$S$59)*$S$61</f>
        <v>#N/A</v>
      </c>
      <c r="I980">
        <f>(C980+$S$60)*$S$61</f>
        <v>190.6253846153846</v>
      </c>
    </row>
    <row r="982">
      <c r="B982" t="e">
        <f>IF(48&lt;=$S$18,MIN($S$8+$S$21+47.5*$S$19,$S$3),NA())</f>
        <v>#N/A</v>
      </c>
      <c r="C982">
        <f>$S$7</f>
        <v>3.0</v>
      </c>
      <c r="D982" t="e">
        <f>(B982+$S$52)*$S$54</f>
        <v>#N/A</v>
      </c>
      <c r="E982">
        <f>(C982+$S$53)*$S$54</f>
        <v>77.05960563380282</v>
      </c>
      <c r="F982" t="e">
        <f>(B982+$S$55)*$S$58</f>
        <v>#N/A</v>
      </c>
      <c r="G982">
        <f>(C982+$S$56)*$S$58</f>
        <v>187.38733333333334</v>
      </c>
      <c r="H982" t="e">
        <f>(B982+$S$59)*$S$61</f>
        <v>#N/A</v>
      </c>
      <c r="I982">
        <f>(C982+$S$60)*$S$61</f>
        <v>71.85110650887574</v>
      </c>
    </row>
    <row r="983">
      <c r="B983" t="e">
        <f>IF(48&lt;=$S$18,MIN($S$8+$S$21+47.5*$S$19,$S$3),NA())</f>
        <v>#N/A</v>
      </c>
      <c r="C983">
        <f>$S$12</f>
        <v>84.0</v>
      </c>
      <c r="D983" t="e">
        <f>(B983+$S$52)*$S$54</f>
        <v>#N/A</v>
      </c>
      <c r="E983">
        <f>(C983+$S$53)*$S$54</f>
        <v>157.0830422535211</v>
      </c>
      <c r="F983" t="e">
        <f>(B983+$S$55)*$S$58</f>
        <v>#N/A</v>
      </c>
      <c r="G983">
        <f>(C983+$S$56)*$S$58</f>
        <v>420.90077948717953</v>
      </c>
      <c r="H983" t="e">
        <f>(B983+$S$59)*$S$61</f>
        <v>#N/A</v>
      </c>
      <c r="I983">
        <f>(C983+$S$60)*$S$61</f>
        <v>190.6253846153846</v>
      </c>
    </row>
    <row r="985">
      <c r="B985" t="e">
        <f>IF(49&lt;=$S$18,MIN($S$8+$S$21+48.5*$S$19,$S$3),NA())</f>
        <v>#N/A</v>
      </c>
      <c r="C985">
        <f>$S$7</f>
        <v>3.0</v>
      </c>
      <c r="D985" t="e">
        <f>(B985+$S$52)*$S$54</f>
        <v>#N/A</v>
      </c>
      <c r="E985">
        <f>(C985+$S$53)*$S$54</f>
        <v>77.05960563380282</v>
      </c>
      <c r="F985" t="e">
        <f>(B985+$S$55)*$S$58</f>
        <v>#N/A</v>
      </c>
      <c r="G985">
        <f>(C985+$S$56)*$S$58</f>
        <v>187.38733333333334</v>
      </c>
      <c r="H985" t="e">
        <f>(B985+$S$59)*$S$61</f>
        <v>#N/A</v>
      </c>
      <c r="I985">
        <f>(C985+$S$60)*$S$61</f>
        <v>71.85110650887574</v>
      </c>
    </row>
    <row r="986">
      <c r="B986" t="e">
        <f>IF(49&lt;=$S$18,MIN($S$8+$S$21+48.5*$S$19,$S$3),NA())</f>
        <v>#N/A</v>
      </c>
      <c r="C986">
        <f>$S$12</f>
        <v>84.0</v>
      </c>
      <c r="D986" t="e">
        <f>(B986+$S$52)*$S$54</f>
        <v>#N/A</v>
      </c>
      <c r="E986">
        <f>(C986+$S$53)*$S$54</f>
        <v>157.0830422535211</v>
      </c>
      <c r="F986" t="e">
        <f>(B986+$S$55)*$S$58</f>
        <v>#N/A</v>
      </c>
      <c r="G986">
        <f>(C986+$S$56)*$S$58</f>
        <v>420.90077948717953</v>
      </c>
      <c r="H986" t="e">
        <f>(B986+$S$59)*$S$61</f>
        <v>#N/A</v>
      </c>
      <c r="I986">
        <f>(C986+$S$60)*$S$61</f>
        <v>190.6253846153846</v>
      </c>
    </row>
    <row r="988">
      <c r="B988" t="e">
        <f>IF(50&lt;=$S$18,MIN($S$8+$S$21+49.5*$S$19,$S$3),NA())</f>
        <v>#N/A</v>
      </c>
      <c r="C988">
        <f>$S$7</f>
        <v>3.0</v>
      </c>
      <c r="D988" t="e">
        <f>(B988+$S$52)*$S$54</f>
        <v>#N/A</v>
      </c>
      <c r="E988">
        <f>(C988+$S$53)*$S$54</f>
        <v>77.05960563380282</v>
      </c>
      <c r="F988" t="e">
        <f>(B988+$S$55)*$S$58</f>
        <v>#N/A</v>
      </c>
      <c r="G988">
        <f>(C988+$S$56)*$S$58</f>
        <v>187.38733333333334</v>
      </c>
      <c r="H988" t="e">
        <f>(B988+$S$59)*$S$61</f>
        <v>#N/A</v>
      </c>
      <c r="I988">
        <f>(C988+$S$60)*$S$61</f>
        <v>71.85110650887574</v>
      </c>
    </row>
    <row r="989">
      <c r="B989" t="e">
        <f>IF(50&lt;=$S$18,MIN($S$8+$S$21+49.5*$S$19,$S$3),NA())</f>
        <v>#N/A</v>
      </c>
      <c r="C989">
        <f>$S$12</f>
        <v>84.0</v>
      </c>
      <c r="D989" t="e">
        <f>(B989+$S$52)*$S$54</f>
        <v>#N/A</v>
      </c>
      <c r="E989">
        <f>(C989+$S$53)*$S$54</f>
        <v>157.0830422535211</v>
      </c>
      <c r="F989" t="e">
        <f>(B989+$S$55)*$S$58</f>
        <v>#N/A</v>
      </c>
      <c r="G989">
        <f>(C989+$S$56)*$S$58</f>
        <v>420.90077948717953</v>
      </c>
      <c r="H989" t="e">
        <f>(B989+$S$59)*$S$61</f>
        <v>#N/A</v>
      </c>
      <c r="I989">
        <f>(C989+$S$60)*$S$61</f>
        <v>190.6253846153846</v>
      </c>
    </row>
    <row r="991">
      <c r="B991" t="e">
        <f>IF(51&lt;=$S$18,MIN($S$8+$S$21+50.5*$S$19,$S$3),NA())</f>
        <v>#N/A</v>
      </c>
      <c r="C991">
        <f>$S$7</f>
        <v>3.0</v>
      </c>
      <c r="D991" t="e">
        <f>(B991+$S$52)*$S$54</f>
        <v>#N/A</v>
      </c>
      <c r="E991">
        <f>(C991+$S$53)*$S$54</f>
        <v>77.05960563380282</v>
      </c>
      <c r="F991" t="e">
        <f>(B991+$S$55)*$S$58</f>
        <v>#N/A</v>
      </c>
      <c r="G991">
        <f>(C991+$S$56)*$S$58</f>
        <v>187.38733333333334</v>
      </c>
      <c r="H991" t="e">
        <f>(B991+$S$59)*$S$61</f>
        <v>#N/A</v>
      </c>
      <c r="I991">
        <f>(C991+$S$60)*$S$61</f>
        <v>71.85110650887574</v>
      </c>
    </row>
    <row r="992">
      <c r="B992" t="e">
        <f>IF(51&lt;=$S$18,MIN($S$8+$S$21+50.5*$S$19,$S$3),NA())</f>
        <v>#N/A</v>
      </c>
      <c r="C992">
        <f>$S$12</f>
        <v>84.0</v>
      </c>
      <c r="D992" t="e">
        <f>(B992+$S$52)*$S$54</f>
        <v>#N/A</v>
      </c>
      <c r="E992">
        <f>(C992+$S$53)*$S$54</f>
        <v>157.0830422535211</v>
      </c>
      <c r="F992" t="e">
        <f>(B992+$S$55)*$S$58</f>
        <v>#N/A</v>
      </c>
      <c r="G992">
        <f>(C992+$S$56)*$S$58</f>
        <v>420.90077948717953</v>
      </c>
      <c r="H992" t="e">
        <f>(B992+$S$59)*$S$61</f>
        <v>#N/A</v>
      </c>
      <c r="I992">
        <f>(C992+$S$60)*$S$61</f>
        <v>190.6253846153846</v>
      </c>
    </row>
    <row r="994">
      <c r="B994" t="e">
        <f>IF(52&lt;=$S$18,MIN($S$8+$S$21+51.5*$S$19,$S$3),NA())</f>
        <v>#N/A</v>
      </c>
      <c r="C994">
        <f>$S$7</f>
        <v>3.0</v>
      </c>
      <c r="D994" t="e">
        <f>(B994+$S$52)*$S$54</f>
        <v>#N/A</v>
      </c>
      <c r="E994">
        <f>(C994+$S$53)*$S$54</f>
        <v>77.05960563380282</v>
      </c>
      <c r="F994" t="e">
        <f>(B994+$S$55)*$S$58</f>
        <v>#N/A</v>
      </c>
      <c r="G994">
        <f>(C994+$S$56)*$S$58</f>
        <v>187.38733333333334</v>
      </c>
      <c r="H994" t="e">
        <f>(B994+$S$59)*$S$61</f>
        <v>#N/A</v>
      </c>
      <c r="I994">
        <f>(C994+$S$60)*$S$61</f>
        <v>71.85110650887574</v>
      </c>
    </row>
    <row r="995">
      <c r="B995" t="e">
        <f>IF(52&lt;=$S$18,MIN($S$8+$S$21+51.5*$S$19,$S$3),NA())</f>
        <v>#N/A</v>
      </c>
      <c r="C995">
        <f>$S$12</f>
        <v>84.0</v>
      </c>
      <c r="D995" t="e">
        <f>(B995+$S$52)*$S$54</f>
        <v>#N/A</v>
      </c>
      <c r="E995">
        <f>(C995+$S$53)*$S$54</f>
        <v>157.0830422535211</v>
      </c>
      <c r="F995" t="e">
        <f>(B995+$S$55)*$S$58</f>
        <v>#N/A</v>
      </c>
      <c r="G995">
        <f>(C995+$S$56)*$S$58</f>
        <v>420.90077948717953</v>
      </c>
      <c r="H995" t="e">
        <f>(B995+$S$59)*$S$61</f>
        <v>#N/A</v>
      </c>
      <c r="I995">
        <f>(C995+$S$60)*$S$61</f>
        <v>190.6253846153846</v>
      </c>
    </row>
    <row r="997">
      <c r="B997" t="e">
        <f>IF(53&lt;=$S$18,MIN($S$8+$S$21+52.5*$S$19,$S$3),NA())</f>
        <v>#N/A</v>
      </c>
      <c r="C997">
        <f>$S$7</f>
        <v>3.0</v>
      </c>
      <c r="D997" t="e">
        <f>(B997+$S$52)*$S$54</f>
        <v>#N/A</v>
      </c>
      <c r="E997">
        <f>(C997+$S$53)*$S$54</f>
        <v>77.05960563380282</v>
      </c>
      <c r="F997" t="e">
        <f>(B997+$S$55)*$S$58</f>
        <v>#N/A</v>
      </c>
      <c r="G997">
        <f>(C997+$S$56)*$S$58</f>
        <v>187.38733333333334</v>
      </c>
      <c r="H997" t="e">
        <f>(B997+$S$59)*$S$61</f>
        <v>#N/A</v>
      </c>
      <c r="I997">
        <f>(C997+$S$60)*$S$61</f>
        <v>71.85110650887574</v>
      </c>
    </row>
    <row r="998">
      <c r="B998" t="e">
        <f>IF(53&lt;=$S$18,MIN($S$8+$S$21+52.5*$S$19,$S$3),NA())</f>
        <v>#N/A</v>
      </c>
      <c r="C998">
        <f>$S$12</f>
        <v>84.0</v>
      </c>
      <c r="D998" t="e">
        <f>(B998+$S$52)*$S$54</f>
        <v>#N/A</v>
      </c>
      <c r="E998">
        <f>(C998+$S$53)*$S$54</f>
        <v>157.0830422535211</v>
      </c>
      <c r="F998" t="e">
        <f>(B998+$S$55)*$S$58</f>
        <v>#N/A</v>
      </c>
      <c r="G998">
        <f>(C998+$S$56)*$S$58</f>
        <v>420.90077948717953</v>
      </c>
      <c r="H998" t="e">
        <f>(B998+$S$59)*$S$61</f>
        <v>#N/A</v>
      </c>
      <c r="I998">
        <f>(C998+$S$60)*$S$61</f>
        <v>190.6253846153846</v>
      </c>
    </row>
    <row r="1000">
      <c r="B1000" t="e">
        <f>IF(54&lt;=$S$18,MIN($S$8+$S$21+53.5*$S$19,$S$3),NA())</f>
        <v>#N/A</v>
      </c>
      <c r="C1000">
        <f>$S$7</f>
        <v>3.0</v>
      </c>
      <c r="D1000" t="e">
        <f>(B1000+$S$52)*$S$54</f>
        <v>#N/A</v>
      </c>
      <c r="E1000">
        <f>(C1000+$S$53)*$S$54</f>
        <v>77.05960563380282</v>
      </c>
      <c r="F1000" t="e">
        <f>(B1000+$S$55)*$S$58</f>
        <v>#N/A</v>
      </c>
      <c r="G1000">
        <f>(C1000+$S$56)*$S$58</f>
        <v>187.38733333333334</v>
      </c>
      <c r="H1000" t="e">
        <f>(B1000+$S$59)*$S$61</f>
        <v>#N/A</v>
      </c>
      <c r="I1000">
        <f>(C1000+$S$60)*$S$61</f>
        <v>71.85110650887574</v>
      </c>
    </row>
    <row r="1001">
      <c r="B1001" t="e">
        <f>IF(54&lt;=$S$18,MIN($S$8+$S$21+53.5*$S$19,$S$3),NA())</f>
        <v>#N/A</v>
      </c>
      <c r="C1001">
        <f>$S$12</f>
        <v>84.0</v>
      </c>
      <c r="D1001" t="e">
        <f>(B1001+$S$52)*$S$54</f>
        <v>#N/A</v>
      </c>
      <c r="E1001">
        <f>(C1001+$S$53)*$S$54</f>
        <v>157.0830422535211</v>
      </c>
      <c r="F1001" t="e">
        <f>(B1001+$S$55)*$S$58</f>
        <v>#N/A</v>
      </c>
      <c r="G1001">
        <f>(C1001+$S$56)*$S$58</f>
        <v>420.90077948717953</v>
      </c>
      <c r="H1001" t="e">
        <f>(B1001+$S$59)*$S$61</f>
        <v>#N/A</v>
      </c>
      <c r="I1001">
        <f>(C1001+$S$60)*$S$61</f>
        <v>190.6253846153846</v>
      </c>
    </row>
    <row r="1003">
      <c r="B1003" t="e">
        <f>IF(55&lt;=$S$18,MIN($S$8+$S$21+54.5*$S$19,$S$3),NA())</f>
        <v>#N/A</v>
      </c>
      <c r="C1003">
        <f>$S$7</f>
        <v>3.0</v>
      </c>
      <c r="D1003" t="e">
        <f>(B1003+$S$52)*$S$54</f>
        <v>#N/A</v>
      </c>
      <c r="E1003">
        <f>(C1003+$S$53)*$S$54</f>
        <v>77.05960563380282</v>
      </c>
      <c r="F1003" t="e">
        <f>(B1003+$S$55)*$S$58</f>
        <v>#N/A</v>
      </c>
      <c r="G1003">
        <f>(C1003+$S$56)*$S$58</f>
        <v>187.38733333333334</v>
      </c>
      <c r="H1003" t="e">
        <f>(B1003+$S$59)*$S$61</f>
        <v>#N/A</v>
      </c>
      <c r="I1003">
        <f>(C1003+$S$60)*$S$61</f>
        <v>71.85110650887574</v>
      </c>
    </row>
    <row r="1004">
      <c r="B1004" t="e">
        <f>IF(55&lt;=$S$18,MIN($S$8+$S$21+54.5*$S$19,$S$3),NA())</f>
        <v>#N/A</v>
      </c>
      <c r="C1004">
        <f>$S$12</f>
        <v>84.0</v>
      </c>
      <c r="D1004" t="e">
        <f>(B1004+$S$52)*$S$54</f>
        <v>#N/A</v>
      </c>
      <c r="E1004">
        <f>(C1004+$S$53)*$S$54</f>
        <v>157.0830422535211</v>
      </c>
      <c r="F1004" t="e">
        <f>(B1004+$S$55)*$S$58</f>
        <v>#N/A</v>
      </c>
      <c r="G1004">
        <f>(C1004+$S$56)*$S$58</f>
        <v>420.90077948717953</v>
      </c>
      <c r="H1004" t="e">
        <f>(B1004+$S$59)*$S$61</f>
        <v>#N/A</v>
      </c>
      <c r="I1004">
        <f>(C1004+$S$60)*$S$61</f>
        <v>190.6253846153846</v>
      </c>
    </row>
    <row r="1006">
      <c r="B1006" t="e">
        <f>IF(56&lt;=$S$18,MIN($S$8+$S$21+55.5*$S$19,$S$3),NA())</f>
        <v>#N/A</v>
      </c>
      <c r="C1006">
        <f>$S$7</f>
        <v>3.0</v>
      </c>
      <c r="D1006" t="e">
        <f>(B1006+$S$52)*$S$54</f>
        <v>#N/A</v>
      </c>
      <c r="E1006">
        <f>(C1006+$S$53)*$S$54</f>
        <v>77.05960563380282</v>
      </c>
      <c r="F1006" t="e">
        <f>(B1006+$S$55)*$S$58</f>
        <v>#N/A</v>
      </c>
      <c r="G1006">
        <f>(C1006+$S$56)*$S$58</f>
        <v>187.38733333333334</v>
      </c>
      <c r="H1006" t="e">
        <f>(B1006+$S$59)*$S$61</f>
        <v>#N/A</v>
      </c>
      <c r="I1006">
        <f>(C1006+$S$60)*$S$61</f>
        <v>71.85110650887574</v>
      </c>
    </row>
    <row r="1007">
      <c r="B1007" t="e">
        <f>IF(56&lt;=$S$18,MIN($S$8+$S$21+55.5*$S$19,$S$3),NA())</f>
        <v>#N/A</v>
      </c>
      <c r="C1007">
        <f>$S$12</f>
        <v>84.0</v>
      </c>
      <c r="D1007" t="e">
        <f>(B1007+$S$52)*$S$54</f>
        <v>#N/A</v>
      </c>
      <c r="E1007">
        <f>(C1007+$S$53)*$S$54</f>
        <v>157.0830422535211</v>
      </c>
      <c r="F1007" t="e">
        <f>(B1007+$S$55)*$S$58</f>
        <v>#N/A</v>
      </c>
      <c r="G1007">
        <f>(C1007+$S$56)*$S$58</f>
        <v>420.90077948717953</v>
      </c>
      <c r="H1007" t="e">
        <f>(B1007+$S$59)*$S$61</f>
        <v>#N/A</v>
      </c>
      <c r="I1007">
        <f>(C1007+$S$60)*$S$61</f>
        <v>190.6253846153846</v>
      </c>
    </row>
    <row r="1009">
      <c r="B1009" t="e">
        <f>IF(57&lt;=$S$18,MIN($S$8+$S$21+56.5*$S$19,$S$3),NA())</f>
        <v>#N/A</v>
      </c>
      <c r="C1009">
        <f>$S$7</f>
        <v>3.0</v>
      </c>
      <c r="D1009" t="e">
        <f>(B1009+$S$52)*$S$54</f>
        <v>#N/A</v>
      </c>
      <c r="E1009">
        <f>(C1009+$S$53)*$S$54</f>
        <v>77.05960563380282</v>
      </c>
      <c r="F1009" t="e">
        <f>(B1009+$S$55)*$S$58</f>
        <v>#N/A</v>
      </c>
      <c r="G1009">
        <f>(C1009+$S$56)*$S$58</f>
        <v>187.38733333333334</v>
      </c>
      <c r="H1009" t="e">
        <f>(B1009+$S$59)*$S$61</f>
        <v>#N/A</v>
      </c>
      <c r="I1009">
        <f>(C1009+$S$60)*$S$61</f>
        <v>71.85110650887574</v>
      </c>
    </row>
    <row r="1010">
      <c r="B1010" t="e">
        <f>IF(57&lt;=$S$18,MIN($S$8+$S$21+56.5*$S$19,$S$3),NA())</f>
        <v>#N/A</v>
      </c>
      <c r="C1010">
        <f>$S$12</f>
        <v>84.0</v>
      </c>
      <c r="D1010" t="e">
        <f>(B1010+$S$52)*$S$54</f>
        <v>#N/A</v>
      </c>
      <c r="E1010">
        <f>(C1010+$S$53)*$S$54</f>
        <v>157.0830422535211</v>
      </c>
      <c r="F1010" t="e">
        <f>(B1010+$S$55)*$S$58</f>
        <v>#N/A</v>
      </c>
      <c r="G1010">
        <f>(C1010+$S$56)*$S$58</f>
        <v>420.90077948717953</v>
      </c>
      <c r="H1010" t="e">
        <f>(B1010+$S$59)*$S$61</f>
        <v>#N/A</v>
      </c>
      <c r="I1010">
        <f>(C1010+$S$60)*$S$61</f>
        <v>190.6253846153846</v>
      </c>
    </row>
    <row r="1012">
      <c r="B1012" t="e">
        <f>IF(58&lt;=$S$18,MIN($S$8+$S$21+57.5*$S$19,$S$3),NA())</f>
        <v>#N/A</v>
      </c>
      <c r="C1012">
        <f>$S$7</f>
        <v>3.0</v>
      </c>
      <c r="D1012" t="e">
        <f>(B1012+$S$52)*$S$54</f>
        <v>#N/A</v>
      </c>
      <c r="E1012">
        <f>(C1012+$S$53)*$S$54</f>
        <v>77.05960563380282</v>
      </c>
      <c r="F1012" t="e">
        <f>(B1012+$S$55)*$S$58</f>
        <v>#N/A</v>
      </c>
      <c r="G1012">
        <f>(C1012+$S$56)*$S$58</f>
        <v>187.38733333333334</v>
      </c>
      <c r="H1012" t="e">
        <f>(B1012+$S$59)*$S$61</f>
        <v>#N/A</v>
      </c>
      <c r="I1012">
        <f>(C1012+$S$60)*$S$61</f>
        <v>71.85110650887574</v>
      </c>
    </row>
    <row r="1013">
      <c r="B1013" t="e">
        <f>IF(58&lt;=$S$18,MIN($S$8+$S$21+57.5*$S$19,$S$3),NA())</f>
        <v>#N/A</v>
      </c>
      <c r="C1013">
        <f>$S$12</f>
        <v>84.0</v>
      </c>
      <c r="D1013" t="e">
        <f>(B1013+$S$52)*$S$54</f>
        <v>#N/A</v>
      </c>
      <c r="E1013">
        <f>(C1013+$S$53)*$S$54</f>
        <v>157.0830422535211</v>
      </c>
      <c r="F1013" t="e">
        <f>(B1013+$S$55)*$S$58</f>
        <v>#N/A</v>
      </c>
      <c r="G1013">
        <f>(C1013+$S$56)*$S$58</f>
        <v>420.90077948717953</v>
      </c>
      <c r="H1013" t="e">
        <f>(B1013+$S$59)*$S$61</f>
        <v>#N/A</v>
      </c>
      <c r="I1013">
        <f>(C1013+$S$60)*$S$61</f>
        <v>190.6253846153846</v>
      </c>
    </row>
    <row r="1015">
      <c r="B1015" t="e">
        <f>IF(59&lt;=$S$18,MIN($S$8+$S$21+58.5*$S$19,$S$3),NA())</f>
        <v>#N/A</v>
      </c>
      <c r="C1015">
        <f>$S$7</f>
        <v>3.0</v>
      </c>
      <c r="D1015" t="e">
        <f>(B1015+$S$52)*$S$54</f>
        <v>#N/A</v>
      </c>
      <c r="E1015">
        <f>(C1015+$S$53)*$S$54</f>
        <v>77.05960563380282</v>
      </c>
      <c r="F1015" t="e">
        <f>(B1015+$S$55)*$S$58</f>
        <v>#N/A</v>
      </c>
      <c r="G1015">
        <f>(C1015+$S$56)*$S$58</f>
        <v>187.38733333333334</v>
      </c>
      <c r="H1015" t="e">
        <f>(B1015+$S$59)*$S$61</f>
        <v>#N/A</v>
      </c>
      <c r="I1015">
        <f>(C1015+$S$60)*$S$61</f>
        <v>71.85110650887574</v>
      </c>
    </row>
    <row r="1016">
      <c r="B1016" t="e">
        <f>IF(59&lt;=$S$18,MIN($S$8+$S$21+58.5*$S$19,$S$3),NA())</f>
        <v>#N/A</v>
      </c>
      <c r="C1016">
        <f>$S$12</f>
        <v>84.0</v>
      </c>
      <c r="D1016" t="e">
        <f>(B1016+$S$52)*$S$54</f>
        <v>#N/A</v>
      </c>
      <c r="E1016">
        <f>(C1016+$S$53)*$S$54</f>
        <v>157.0830422535211</v>
      </c>
      <c r="F1016" t="e">
        <f>(B1016+$S$55)*$S$58</f>
        <v>#N/A</v>
      </c>
      <c r="G1016">
        <f>(C1016+$S$56)*$S$58</f>
        <v>420.90077948717953</v>
      </c>
      <c r="H1016" t="e">
        <f>(B1016+$S$59)*$S$61</f>
        <v>#N/A</v>
      </c>
      <c r="I1016">
        <f>(C1016+$S$60)*$S$61</f>
        <v>190.6253846153846</v>
      </c>
    </row>
    <row r="1018">
      <c r="B1018" t="e">
        <f>IF(60&lt;=$S$18,MIN($S$8+$S$21+59.5*$S$19,$S$3),NA())</f>
        <v>#N/A</v>
      </c>
      <c r="C1018">
        <f>$S$7</f>
        <v>3.0</v>
      </c>
      <c r="D1018" t="e">
        <f>(B1018+$S$52)*$S$54</f>
        <v>#N/A</v>
      </c>
      <c r="E1018">
        <f>(C1018+$S$53)*$S$54</f>
        <v>77.05960563380282</v>
      </c>
      <c r="F1018" t="e">
        <f>(B1018+$S$55)*$S$58</f>
        <v>#N/A</v>
      </c>
      <c r="G1018">
        <f>(C1018+$S$56)*$S$58</f>
        <v>187.38733333333334</v>
      </c>
      <c r="H1018" t="e">
        <f>(B1018+$S$59)*$S$61</f>
        <v>#N/A</v>
      </c>
      <c r="I1018">
        <f>(C1018+$S$60)*$S$61</f>
        <v>71.85110650887574</v>
      </c>
    </row>
    <row r="1019">
      <c r="B1019" t="e">
        <f>IF(60&lt;=$S$18,MIN($S$8+$S$21+59.5*$S$19,$S$3),NA())</f>
        <v>#N/A</v>
      </c>
      <c r="C1019">
        <f>$S$12</f>
        <v>84.0</v>
      </c>
      <c r="D1019" t="e">
        <f>(B1019+$S$52)*$S$54</f>
        <v>#N/A</v>
      </c>
      <c r="E1019">
        <f>(C1019+$S$53)*$S$54</f>
        <v>157.0830422535211</v>
      </c>
      <c r="F1019" t="e">
        <f>(B1019+$S$55)*$S$58</f>
        <v>#N/A</v>
      </c>
      <c r="G1019">
        <f>(C1019+$S$56)*$S$58</f>
        <v>420.90077948717953</v>
      </c>
      <c r="H1019" t="e">
        <f>(B1019+$S$59)*$S$61</f>
        <v>#N/A</v>
      </c>
      <c r="I1019">
        <f>(C1019+$S$60)*$S$61</f>
        <v>190.6253846153846</v>
      </c>
    </row>
    <row r="1021">
      <c r="B1021">
        <f>$S$2-(IF(1&lt;=$S$18,MIN($S$8+$S$21+0.5*$S$19,$S$3),NA()))</f>
        <v>631.25</v>
      </c>
      <c r="C1021">
        <f>$S$7</f>
        <v>3.0</v>
      </c>
      <c r="D1021">
        <f>(B1021+$S$52)*$S$54</f>
        <v>668.0969014084507</v>
      </c>
      <c r="E1021">
        <f>(C1021+$S$53)*$S$54</f>
        <v>77.05960563380282</v>
      </c>
      <c r="F1021">
        <f>(B1021+$S$55)*$S$58</f>
        <v>1906.3057564102564</v>
      </c>
      <c r="G1021">
        <f>(C1021+$S$56)*$S$58</f>
        <v>187.38733333333334</v>
      </c>
      <c r="H1021">
        <f>(B1021+$S$59)*$S$61</f>
        <v>966.6906523668639</v>
      </c>
      <c r="I1021">
        <f>(C1021+$S$60)*$S$61</f>
        <v>71.85110650887574</v>
      </c>
    </row>
    <row r="1022">
      <c r="B1022">
        <f>$S$2-(IF(1&lt;=$S$18,MIN($S$8+$S$21+0.5*$S$19,$S$3),NA()))</f>
        <v>631.25</v>
      </c>
      <c r="C1022">
        <f>$S$12</f>
        <v>84.0</v>
      </c>
      <c r="D1022">
        <f>(B1022+$S$52)*$S$54</f>
        <v>668.0969014084507</v>
      </c>
      <c r="E1022">
        <f>(C1022+$S$53)*$S$54</f>
        <v>157.0830422535211</v>
      </c>
      <c r="F1022">
        <f>(B1022+$S$55)*$S$58</f>
        <v>1906.3057564102564</v>
      </c>
      <c r="G1022">
        <f>(C1022+$S$56)*$S$58</f>
        <v>420.90077948717953</v>
      </c>
      <c r="H1022">
        <f>(B1022+$S$59)*$S$61</f>
        <v>966.6906523668639</v>
      </c>
      <c r="I1022">
        <f>(C1022+$S$60)*$S$61</f>
        <v>190.6253846153846</v>
      </c>
    </row>
    <row r="1024">
      <c r="B1024">
        <f>$S$2-(IF(2&lt;=$S$18,MIN($S$8+$S$21+1.5*$S$19,$S$3),NA()))</f>
        <v>623.75</v>
      </c>
      <c r="C1024">
        <f>$S$7</f>
        <v>3.0</v>
      </c>
      <c r="D1024">
        <f>(B1024+$S$52)*$S$54</f>
        <v>660.6873239436619</v>
      </c>
      <c r="E1024">
        <f>(C1024+$S$53)*$S$54</f>
        <v>77.05960563380282</v>
      </c>
      <c r="F1024">
        <f>(B1024+$S$55)*$S$58</f>
        <v>1884.684141025641</v>
      </c>
      <c r="G1024">
        <f>(C1024+$S$56)*$S$58</f>
        <v>187.38733333333334</v>
      </c>
      <c r="H1024">
        <f>(B1024+$S$59)*$S$61</f>
        <v>955.6930340236686</v>
      </c>
      <c r="I1024">
        <f>(C1024+$S$60)*$S$61</f>
        <v>71.85110650887574</v>
      </c>
    </row>
    <row r="1025">
      <c r="B1025">
        <f>$S$2-(IF(2&lt;=$S$18,MIN($S$8+$S$21+1.5*$S$19,$S$3),NA()))</f>
        <v>623.75</v>
      </c>
      <c r="C1025">
        <f>$S$12</f>
        <v>84.0</v>
      </c>
      <c r="D1025">
        <f>(B1025+$S$52)*$S$54</f>
        <v>660.6873239436619</v>
      </c>
      <c r="E1025">
        <f>(C1025+$S$53)*$S$54</f>
        <v>157.0830422535211</v>
      </c>
      <c r="F1025">
        <f>(B1025+$S$55)*$S$58</f>
        <v>1884.684141025641</v>
      </c>
      <c r="G1025">
        <f>(C1025+$S$56)*$S$58</f>
        <v>420.90077948717953</v>
      </c>
      <c r="H1025">
        <f>(B1025+$S$59)*$S$61</f>
        <v>955.6930340236686</v>
      </c>
      <c r="I1025">
        <f>(C1025+$S$60)*$S$61</f>
        <v>190.6253846153846</v>
      </c>
    </row>
    <row r="1027">
      <c r="B1027">
        <f>$S$2-(IF(3&lt;=$S$18,MIN($S$8+$S$21+2.5*$S$19,$S$3),NA()))</f>
        <v>616.25</v>
      </c>
      <c r="C1027">
        <f>$S$7</f>
        <v>3.0</v>
      </c>
      <c r="D1027">
        <f>(B1027+$S$52)*$S$54</f>
        <v>653.2777464788732</v>
      </c>
      <c r="E1027">
        <f>(C1027+$S$53)*$S$54</f>
        <v>77.05960563380282</v>
      </c>
      <c r="F1027">
        <f>(B1027+$S$55)*$S$58</f>
        <v>1863.0625256410258</v>
      </c>
      <c r="G1027">
        <f>(C1027+$S$56)*$S$58</f>
        <v>187.38733333333334</v>
      </c>
      <c r="H1027">
        <f>(B1027+$S$59)*$S$61</f>
        <v>944.6954156804734</v>
      </c>
      <c r="I1027">
        <f>(C1027+$S$60)*$S$61</f>
        <v>71.85110650887574</v>
      </c>
    </row>
    <row r="1028">
      <c r="B1028">
        <f>$S$2-(IF(3&lt;=$S$18,MIN($S$8+$S$21+2.5*$S$19,$S$3),NA()))</f>
        <v>616.25</v>
      </c>
      <c r="C1028">
        <f>$S$12</f>
        <v>84.0</v>
      </c>
      <c r="D1028">
        <f>(B1028+$S$52)*$S$54</f>
        <v>653.2777464788732</v>
      </c>
      <c r="E1028">
        <f>(C1028+$S$53)*$S$54</f>
        <v>157.0830422535211</v>
      </c>
      <c r="F1028">
        <f>(B1028+$S$55)*$S$58</f>
        <v>1863.0625256410258</v>
      </c>
      <c r="G1028">
        <f>(C1028+$S$56)*$S$58</f>
        <v>420.90077948717953</v>
      </c>
      <c r="H1028">
        <f>(B1028+$S$59)*$S$61</f>
        <v>944.6954156804734</v>
      </c>
      <c r="I1028">
        <f>(C1028+$S$60)*$S$61</f>
        <v>190.6253846153846</v>
      </c>
    </row>
    <row r="1030">
      <c r="B1030">
        <f>$S$2-(IF(4&lt;=$S$18,MIN($S$8+$S$21+3.5*$S$19,$S$3),NA()))</f>
        <v>608.75</v>
      </c>
      <c r="C1030">
        <f>$S$7</f>
        <v>3.0</v>
      </c>
      <c r="D1030">
        <f>(B1030+$S$52)*$S$54</f>
        <v>645.8681690140845</v>
      </c>
      <c r="E1030">
        <f>(C1030+$S$53)*$S$54</f>
        <v>77.05960563380282</v>
      </c>
      <c r="F1030">
        <f>(B1030+$S$55)*$S$58</f>
        <v>1841.4409102564105</v>
      </c>
      <c r="G1030">
        <f>(C1030+$S$56)*$S$58</f>
        <v>187.38733333333334</v>
      </c>
      <c r="H1030">
        <f>(B1030+$S$59)*$S$61</f>
        <v>933.6977973372781</v>
      </c>
      <c r="I1030">
        <f>(C1030+$S$60)*$S$61</f>
        <v>71.85110650887574</v>
      </c>
    </row>
    <row r="1031">
      <c r="B1031">
        <f>$S$2-(IF(4&lt;=$S$18,MIN($S$8+$S$21+3.5*$S$19,$S$3),NA()))</f>
        <v>608.75</v>
      </c>
      <c r="C1031">
        <f>$S$12</f>
        <v>84.0</v>
      </c>
      <c r="D1031">
        <f>(B1031+$S$52)*$S$54</f>
        <v>645.8681690140845</v>
      </c>
      <c r="E1031">
        <f>(C1031+$S$53)*$S$54</f>
        <v>157.0830422535211</v>
      </c>
      <c r="F1031">
        <f>(B1031+$S$55)*$S$58</f>
        <v>1841.4409102564105</v>
      </c>
      <c r="G1031">
        <f>(C1031+$S$56)*$S$58</f>
        <v>420.90077948717953</v>
      </c>
      <c r="H1031">
        <f>(B1031+$S$59)*$S$61</f>
        <v>933.6977973372781</v>
      </c>
      <c r="I1031">
        <f>(C1031+$S$60)*$S$61</f>
        <v>190.6253846153846</v>
      </c>
    </row>
    <row r="1033">
      <c r="B1033">
        <f>$S$2-(IF(5&lt;=$S$18,MIN($S$8+$S$21+4.5*$S$19,$S$3),NA()))</f>
        <v>601.25</v>
      </c>
      <c r="C1033">
        <f>$S$7</f>
        <v>3.0</v>
      </c>
      <c r="D1033">
        <f>(B1033+$S$52)*$S$54</f>
        <v>638.4585915492958</v>
      </c>
      <c r="E1033">
        <f>(C1033+$S$53)*$S$54</f>
        <v>77.05960563380282</v>
      </c>
      <c r="F1033">
        <f>(B1033+$S$55)*$S$58</f>
        <v>1819.819294871795</v>
      </c>
      <c r="G1033">
        <f>(C1033+$S$56)*$S$58</f>
        <v>187.38733333333334</v>
      </c>
      <c r="H1033">
        <f>(B1033+$S$59)*$S$61</f>
        <v>922.7001789940829</v>
      </c>
      <c r="I1033">
        <f>(C1033+$S$60)*$S$61</f>
        <v>71.85110650887574</v>
      </c>
    </row>
    <row r="1034">
      <c r="B1034">
        <f>$S$2-(IF(5&lt;=$S$18,MIN($S$8+$S$21+4.5*$S$19,$S$3),NA()))</f>
        <v>601.25</v>
      </c>
      <c r="C1034">
        <f>$S$12</f>
        <v>84.0</v>
      </c>
      <c r="D1034">
        <f>(B1034+$S$52)*$S$54</f>
        <v>638.4585915492958</v>
      </c>
      <c r="E1034">
        <f>(C1034+$S$53)*$S$54</f>
        <v>157.0830422535211</v>
      </c>
      <c r="F1034">
        <f>(B1034+$S$55)*$S$58</f>
        <v>1819.819294871795</v>
      </c>
      <c r="G1034">
        <f>(C1034+$S$56)*$S$58</f>
        <v>420.90077948717953</v>
      </c>
      <c r="H1034">
        <f>(B1034+$S$59)*$S$61</f>
        <v>922.7001789940829</v>
      </c>
      <c r="I1034">
        <f>(C1034+$S$60)*$S$61</f>
        <v>190.6253846153846</v>
      </c>
    </row>
    <row r="1036">
      <c r="B1036">
        <f>$S$2-(IF(6&lt;=$S$18,MIN($S$8+$S$21+5.5*$S$19,$S$3),NA()))</f>
        <v>593.75</v>
      </c>
      <c r="C1036">
        <f>$S$7</f>
        <v>3.0</v>
      </c>
      <c r="D1036">
        <f>(B1036+$S$52)*$S$54</f>
        <v>631.049014084507</v>
      </c>
      <c r="E1036">
        <f>(C1036+$S$53)*$S$54</f>
        <v>77.05960563380282</v>
      </c>
      <c r="F1036">
        <f>(B1036+$S$55)*$S$58</f>
        <v>1798.1976794871796</v>
      </c>
      <c r="G1036">
        <f>(C1036+$S$56)*$S$58</f>
        <v>187.38733333333334</v>
      </c>
      <c r="H1036">
        <f>(B1036+$S$59)*$S$61</f>
        <v>911.7025606508876</v>
      </c>
      <c r="I1036">
        <f>(C1036+$S$60)*$S$61</f>
        <v>71.85110650887574</v>
      </c>
    </row>
    <row r="1037">
      <c r="B1037">
        <f>$S$2-(IF(6&lt;=$S$18,MIN($S$8+$S$21+5.5*$S$19,$S$3),NA()))</f>
        <v>593.75</v>
      </c>
      <c r="C1037">
        <f>$S$12</f>
        <v>84.0</v>
      </c>
      <c r="D1037">
        <f>(B1037+$S$52)*$S$54</f>
        <v>631.049014084507</v>
      </c>
      <c r="E1037">
        <f>(C1037+$S$53)*$S$54</f>
        <v>157.0830422535211</v>
      </c>
      <c r="F1037">
        <f>(B1037+$S$55)*$S$58</f>
        <v>1798.1976794871796</v>
      </c>
      <c r="G1037">
        <f>(C1037+$S$56)*$S$58</f>
        <v>420.90077948717953</v>
      </c>
      <c r="H1037">
        <f>(B1037+$S$59)*$S$61</f>
        <v>911.7025606508876</v>
      </c>
      <c r="I1037">
        <f>(C1037+$S$60)*$S$61</f>
        <v>190.6253846153846</v>
      </c>
    </row>
    <row r="1039">
      <c r="B1039">
        <f>$S$2-(IF(7&lt;=$S$18,MIN($S$8+$S$21+6.5*$S$19,$S$3),NA()))</f>
        <v>586.25</v>
      </c>
      <c r="C1039">
        <f>$S$7</f>
        <v>3.0</v>
      </c>
      <c r="D1039">
        <f>(B1039+$S$52)*$S$54</f>
        <v>623.6394366197183</v>
      </c>
      <c r="E1039">
        <f>(C1039+$S$53)*$S$54</f>
        <v>77.05960563380282</v>
      </c>
      <c r="F1039">
        <f>(B1039+$S$55)*$S$58</f>
        <v>1776.5760641025643</v>
      </c>
      <c r="G1039">
        <f>(C1039+$S$56)*$S$58</f>
        <v>187.38733333333334</v>
      </c>
      <c r="H1039">
        <f>(B1039+$S$59)*$S$61</f>
        <v>900.7049423076922</v>
      </c>
      <c r="I1039">
        <f>(C1039+$S$60)*$S$61</f>
        <v>71.85110650887574</v>
      </c>
    </row>
    <row r="1040">
      <c r="B1040">
        <f>$S$2-(IF(7&lt;=$S$18,MIN($S$8+$S$21+6.5*$S$19,$S$3),NA()))</f>
        <v>586.25</v>
      </c>
      <c r="C1040">
        <f>$S$12</f>
        <v>84.0</v>
      </c>
      <c r="D1040">
        <f>(B1040+$S$52)*$S$54</f>
        <v>623.6394366197183</v>
      </c>
      <c r="E1040">
        <f>(C1040+$S$53)*$S$54</f>
        <v>157.0830422535211</v>
      </c>
      <c r="F1040">
        <f>(B1040+$S$55)*$S$58</f>
        <v>1776.5760641025643</v>
      </c>
      <c r="G1040">
        <f>(C1040+$S$56)*$S$58</f>
        <v>420.90077948717953</v>
      </c>
      <c r="H1040">
        <f>(B1040+$S$59)*$S$61</f>
        <v>900.7049423076922</v>
      </c>
      <c r="I1040">
        <f>(C1040+$S$60)*$S$61</f>
        <v>190.6253846153846</v>
      </c>
    </row>
    <row r="1042">
      <c r="B1042">
        <f>$S$2-(IF(8&lt;=$S$18,MIN($S$8+$S$21+7.5*$S$19,$S$3),NA()))</f>
        <v>578.75</v>
      </c>
      <c r="C1042">
        <f>$S$7</f>
        <v>3.0</v>
      </c>
      <c r="D1042">
        <f>(B1042+$S$52)*$S$54</f>
        <v>616.2298591549295</v>
      </c>
      <c r="E1042">
        <f>(C1042+$S$53)*$S$54</f>
        <v>77.05960563380282</v>
      </c>
      <c r="F1042">
        <f>(B1042+$S$55)*$S$58</f>
        <v>1754.9544487179487</v>
      </c>
      <c r="G1042">
        <f>(C1042+$S$56)*$S$58</f>
        <v>187.38733333333334</v>
      </c>
      <c r="H1042">
        <f>(B1042+$S$59)*$S$61</f>
        <v>889.707323964497</v>
      </c>
      <c r="I1042">
        <f>(C1042+$S$60)*$S$61</f>
        <v>71.85110650887574</v>
      </c>
    </row>
    <row r="1043">
      <c r="B1043">
        <f>$S$2-(IF(8&lt;=$S$18,MIN($S$8+$S$21+7.5*$S$19,$S$3),NA()))</f>
        <v>578.75</v>
      </c>
      <c r="C1043">
        <f>$S$12</f>
        <v>84.0</v>
      </c>
      <c r="D1043">
        <f>(B1043+$S$52)*$S$54</f>
        <v>616.2298591549295</v>
      </c>
      <c r="E1043">
        <f>(C1043+$S$53)*$S$54</f>
        <v>157.0830422535211</v>
      </c>
      <c r="F1043">
        <f>(B1043+$S$55)*$S$58</f>
        <v>1754.9544487179487</v>
      </c>
      <c r="G1043">
        <f>(C1043+$S$56)*$S$58</f>
        <v>420.90077948717953</v>
      </c>
      <c r="H1043">
        <f>(B1043+$S$59)*$S$61</f>
        <v>889.707323964497</v>
      </c>
      <c r="I1043">
        <f>(C1043+$S$60)*$S$61</f>
        <v>190.6253846153846</v>
      </c>
    </row>
    <row r="1045">
      <c r="B1045">
        <f>$S$2-(IF(9&lt;=$S$18,MIN($S$8+$S$21+8.5*$S$19,$S$3),NA()))</f>
        <v>571.25</v>
      </c>
      <c r="C1045">
        <f>$S$7</f>
        <v>3.0</v>
      </c>
      <c r="D1045">
        <f>(B1045+$S$52)*$S$54</f>
        <v>608.8202816901409</v>
      </c>
      <c r="E1045">
        <f>(C1045+$S$53)*$S$54</f>
        <v>77.05960563380282</v>
      </c>
      <c r="F1045">
        <f>(B1045+$S$55)*$S$58</f>
        <v>1733.3328333333334</v>
      </c>
      <c r="G1045">
        <f>(C1045+$S$56)*$S$58</f>
        <v>187.38733333333334</v>
      </c>
      <c r="H1045">
        <f>(B1045+$S$59)*$S$61</f>
        <v>878.7097056213017</v>
      </c>
      <c r="I1045">
        <f>(C1045+$S$60)*$S$61</f>
        <v>71.85110650887574</v>
      </c>
    </row>
    <row r="1046">
      <c r="B1046">
        <f>$S$2-(IF(9&lt;=$S$18,MIN($S$8+$S$21+8.5*$S$19,$S$3),NA()))</f>
        <v>571.25</v>
      </c>
      <c r="C1046">
        <f>$S$12</f>
        <v>84.0</v>
      </c>
      <c r="D1046">
        <f>(B1046+$S$52)*$S$54</f>
        <v>608.8202816901409</v>
      </c>
      <c r="E1046">
        <f>(C1046+$S$53)*$S$54</f>
        <v>157.0830422535211</v>
      </c>
      <c r="F1046">
        <f>(B1046+$S$55)*$S$58</f>
        <v>1733.3328333333334</v>
      </c>
      <c r="G1046">
        <f>(C1046+$S$56)*$S$58</f>
        <v>420.90077948717953</v>
      </c>
      <c r="H1046">
        <f>(B1046+$S$59)*$S$61</f>
        <v>878.7097056213017</v>
      </c>
      <c r="I1046">
        <f>(C1046+$S$60)*$S$61</f>
        <v>190.6253846153846</v>
      </c>
    </row>
    <row r="1048">
      <c r="B1048">
        <f>$S$2-(IF(10&lt;=$S$18,MIN($S$8+$S$21+9.5*$S$19,$S$3),NA()))</f>
        <v>563.75</v>
      </c>
      <c r="C1048">
        <f>$S$7</f>
        <v>3.0</v>
      </c>
      <c r="D1048">
        <f>(B1048+$S$52)*$S$54</f>
        <v>601.4107042253521</v>
      </c>
      <c r="E1048">
        <f>(C1048+$S$53)*$S$54</f>
        <v>77.05960563380282</v>
      </c>
      <c r="F1048">
        <f>(B1048+$S$55)*$S$58</f>
        <v>1711.711217948718</v>
      </c>
      <c r="G1048">
        <f>(C1048+$S$56)*$S$58</f>
        <v>187.38733333333334</v>
      </c>
      <c r="H1048">
        <f>(B1048+$S$59)*$S$61</f>
        <v>867.7120872781065</v>
      </c>
      <c r="I1048">
        <f>(C1048+$S$60)*$S$61</f>
        <v>71.85110650887574</v>
      </c>
    </row>
    <row r="1049">
      <c r="B1049">
        <f>$S$2-(IF(10&lt;=$S$18,MIN($S$8+$S$21+9.5*$S$19,$S$3),NA()))</f>
        <v>563.75</v>
      </c>
      <c r="C1049">
        <f>$S$12</f>
        <v>84.0</v>
      </c>
      <c r="D1049">
        <f>(B1049+$S$52)*$S$54</f>
        <v>601.4107042253521</v>
      </c>
      <c r="E1049">
        <f>(C1049+$S$53)*$S$54</f>
        <v>157.0830422535211</v>
      </c>
      <c r="F1049">
        <f>(B1049+$S$55)*$S$58</f>
        <v>1711.711217948718</v>
      </c>
      <c r="G1049">
        <f>(C1049+$S$56)*$S$58</f>
        <v>420.90077948717953</v>
      </c>
      <c r="H1049">
        <f>(B1049+$S$59)*$S$61</f>
        <v>867.7120872781065</v>
      </c>
      <c r="I1049">
        <f>(C1049+$S$60)*$S$61</f>
        <v>190.6253846153846</v>
      </c>
    </row>
    <row r="1051">
      <c r="B1051">
        <f>$S$2-(IF(11&lt;=$S$18,MIN($S$8+$S$21+10.5*$S$19,$S$3),NA()))</f>
        <v>556.25</v>
      </c>
      <c r="C1051">
        <f>$S$7</f>
        <v>3.0</v>
      </c>
      <c r="D1051">
        <f>(B1051+$S$52)*$S$54</f>
        <v>594.0011267605634</v>
      </c>
      <c r="E1051">
        <f>(C1051+$S$53)*$S$54</f>
        <v>77.05960563380282</v>
      </c>
      <c r="F1051">
        <f>(B1051+$S$55)*$S$58</f>
        <v>1690.0896025641027</v>
      </c>
      <c r="G1051">
        <f>(C1051+$S$56)*$S$58</f>
        <v>187.38733333333334</v>
      </c>
      <c r="H1051">
        <f>(B1051+$S$59)*$S$61</f>
        <v>856.7144689349112</v>
      </c>
      <c r="I1051">
        <f>(C1051+$S$60)*$S$61</f>
        <v>71.85110650887574</v>
      </c>
    </row>
    <row r="1052">
      <c r="B1052">
        <f>$S$2-(IF(11&lt;=$S$18,MIN($S$8+$S$21+10.5*$S$19,$S$3),NA()))</f>
        <v>556.25</v>
      </c>
      <c r="C1052">
        <f>$S$12</f>
        <v>84.0</v>
      </c>
      <c r="D1052">
        <f>(B1052+$S$52)*$S$54</f>
        <v>594.0011267605634</v>
      </c>
      <c r="E1052">
        <f>(C1052+$S$53)*$S$54</f>
        <v>157.0830422535211</v>
      </c>
      <c r="F1052">
        <f>(B1052+$S$55)*$S$58</f>
        <v>1690.0896025641027</v>
      </c>
      <c r="G1052">
        <f>(C1052+$S$56)*$S$58</f>
        <v>420.90077948717953</v>
      </c>
      <c r="H1052">
        <f>(B1052+$S$59)*$S$61</f>
        <v>856.7144689349112</v>
      </c>
      <c r="I1052">
        <f>(C1052+$S$60)*$S$61</f>
        <v>190.6253846153846</v>
      </c>
    </row>
    <row r="1054">
      <c r="B1054">
        <f>$S$2-(IF(12&lt;=$S$18,MIN($S$8+$S$21+11.5*$S$19,$S$3),NA()))</f>
        <v>548.75</v>
      </c>
      <c r="C1054">
        <f>$S$7</f>
        <v>3.0</v>
      </c>
      <c r="D1054">
        <f>(B1054+$S$52)*$S$54</f>
        <v>586.5915492957746</v>
      </c>
      <c r="E1054">
        <f>(C1054+$S$53)*$S$54</f>
        <v>77.05960563380282</v>
      </c>
      <c r="F1054">
        <f>(B1054+$S$55)*$S$58</f>
        <v>1668.4679871794872</v>
      </c>
      <c r="G1054">
        <f>(C1054+$S$56)*$S$58</f>
        <v>187.38733333333334</v>
      </c>
      <c r="H1054">
        <f>(B1054+$S$59)*$S$61</f>
        <v>845.716850591716</v>
      </c>
      <c r="I1054">
        <f>(C1054+$S$60)*$S$61</f>
        <v>71.85110650887574</v>
      </c>
    </row>
    <row r="1055">
      <c r="B1055">
        <f>$S$2-(IF(12&lt;=$S$18,MIN($S$8+$S$21+11.5*$S$19,$S$3),NA()))</f>
        <v>548.75</v>
      </c>
      <c r="C1055">
        <f>$S$12</f>
        <v>84.0</v>
      </c>
      <c r="D1055">
        <f>(B1055+$S$52)*$S$54</f>
        <v>586.5915492957746</v>
      </c>
      <c r="E1055">
        <f>(C1055+$S$53)*$S$54</f>
        <v>157.0830422535211</v>
      </c>
      <c r="F1055">
        <f>(B1055+$S$55)*$S$58</f>
        <v>1668.4679871794872</v>
      </c>
      <c r="G1055">
        <f>(C1055+$S$56)*$S$58</f>
        <v>420.90077948717953</v>
      </c>
      <c r="H1055">
        <f>(B1055+$S$59)*$S$61</f>
        <v>845.716850591716</v>
      </c>
      <c r="I1055">
        <f>(C1055+$S$60)*$S$61</f>
        <v>190.6253846153846</v>
      </c>
    </row>
    <row r="1057">
      <c r="B1057">
        <f>$S$2-(IF(13&lt;=$S$18,MIN($S$8+$S$21+12.5*$S$19,$S$3),NA()))</f>
        <v>541.25</v>
      </c>
      <c r="C1057">
        <f>$S$7</f>
        <v>3.0</v>
      </c>
      <c r="D1057">
        <f>(B1057+$S$52)*$S$54</f>
        <v>579.1819718309858</v>
      </c>
      <c r="E1057">
        <f>(C1057+$S$53)*$S$54</f>
        <v>77.05960563380282</v>
      </c>
      <c r="F1057">
        <f>(B1057+$S$55)*$S$58</f>
        <v>1646.8463717948719</v>
      </c>
      <c r="G1057">
        <f>(C1057+$S$56)*$S$58</f>
        <v>187.38733333333334</v>
      </c>
      <c r="H1057">
        <f>(B1057+$S$59)*$S$61</f>
        <v>834.7192322485207</v>
      </c>
      <c r="I1057">
        <f>(C1057+$S$60)*$S$61</f>
        <v>71.85110650887574</v>
      </c>
    </row>
    <row r="1058">
      <c r="B1058">
        <f>$S$2-(IF(13&lt;=$S$18,MIN($S$8+$S$21+12.5*$S$19,$S$3),NA()))</f>
        <v>541.25</v>
      </c>
      <c r="C1058">
        <f>$S$12</f>
        <v>84.0</v>
      </c>
      <c r="D1058">
        <f>(B1058+$S$52)*$S$54</f>
        <v>579.1819718309858</v>
      </c>
      <c r="E1058">
        <f>(C1058+$S$53)*$S$54</f>
        <v>157.0830422535211</v>
      </c>
      <c r="F1058">
        <f>(B1058+$S$55)*$S$58</f>
        <v>1646.8463717948719</v>
      </c>
      <c r="G1058">
        <f>(C1058+$S$56)*$S$58</f>
        <v>420.90077948717953</v>
      </c>
      <c r="H1058">
        <f>(B1058+$S$59)*$S$61</f>
        <v>834.7192322485207</v>
      </c>
      <c r="I1058">
        <f>(C1058+$S$60)*$S$61</f>
        <v>190.6253846153846</v>
      </c>
    </row>
    <row r="1060">
      <c r="B1060">
        <f>$S$2-(IF(14&lt;=$S$18,MIN($S$8+$S$21+13.5*$S$19,$S$3),NA()))</f>
        <v>533.75</v>
      </c>
      <c r="C1060">
        <f>$S$7</f>
        <v>3.0</v>
      </c>
      <c r="D1060">
        <f>(B1060+$S$52)*$S$54</f>
        <v>571.7723943661971</v>
      </c>
      <c r="E1060">
        <f>(C1060+$S$53)*$S$54</f>
        <v>77.05960563380282</v>
      </c>
      <c r="F1060">
        <f>(B1060+$S$55)*$S$58</f>
        <v>1625.2247564102565</v>
      </c>
      <c r="G1060">
        <f>(C1060+$S$56)*$S$58</f>
        <v>187.38733333333334</v>
      </c>
      <c r="H1060">
        <f>(B1060+$S$59)*$S$61</f>
        <v>823.7216139053254</v>
      </c>
      <c r="I1060">
        <f>(C1060+$S$60)*$S$61</f>
        <v>71.85110650887574</v>
      </c>
    </row>
    <row r="1061">
      <c r="B1061">
        <f>$S$2-(IF(14&lt;=$S$18,MIN($S$8+$S$21+13.5*$S$19,$S$3),NA()))</f>
        <v>533.75</v>
      </c>
      <c r="C1061">
        <f>$S$12</f>
        <v>84.0</v>
      </c>
      <c r="D1061">
        <f>(B1061+$S$52)*$S$54</f>
        <v>571.7723943661971</v>
      </c>
      <c r="E1061">
        <f>(C1061+$S$53)*$S$54</f>
        <v>157.0830422535211</v>
      </c>
      <c r="F1061">
        <f>(B1061+$S$55)*$S$58</f>
        <v>1625.2247564102565</v>
      </c>
      <c r="G1061">
        <f>(C1061+$S$56)*$S$58</f>
        <v>420.90077948717953</v>
      </c>
      <c r="H1061">
        <f>(B1061+$S$59)*$S$61</f>
        <v>823.7216139053254</v>
      </c>
      <c r="I1061">
        <f>(C1061+$S$60)*$S$61</f>
        <v>190.6253846153846</v>
      </c>
    </row>
    <row r="1063">
      <c r="B1063">
        <f>$S$2-(IF(15&lt;=$S$18,MIN($S$8+$S$21+14.5*$S$19,$S$3),NA()))</f>
        <v>526.25</v>
      </c>
      <c r="C1063">
        <f>$S$7</f>
        <v>3.0</v>
      </c>
      <c r="D1063">
        <f>(B1063+$S$52)*$S$54</f>
        <v>564.3628169014085</v>
      </c>
      <c r="E1063">
        <f>(C1063+$S$53)*$S$54</f>
        <v>77.05960563380282</v>
      </c>
      <c r="F1063">
        <f>(B1063+$S$55)*$S$58</f>
        <v>1603.6031410256412</v>
      </c>
      <c r="G1063">
        <f>(C1063+$S$56)*$S$58</f>
        <v>187.38733333333334</v>
      </c>
      <c r="H1063">
        <f>(B1063+$S$59)*$S$61</f>
        <v>812.7239955621302</v>
      </c>
      <c r="I1063">
        <f>(C1063+$S$60)*$S$61</f>
        <v>71.85110650887574</v>
      </c>
    </row>
    <row r="1064">
      <c r="B1064">
        <f>$S$2-(IF(15&lt;=$S$18,MIN($S$8+$S$21+14.5*$S$19,$S$3),NA()))</f>
        <v>526.25</v>
      </c>
      <c r="C1064">
        <f>$S$12</f>
        <v>84.0</v>
      </c>
      <c r="D1064">
        <f>(B1064+$S$52)*$S$54</f>
        <v>564.3628169014085</v>
      </c>
      <c r="E1064">
        <f>(C1064+$S$53)*$S$54</f>
        <v>157.0830422535211</v>
      </c>
      <c r="F1064">
        <f>(B1064+$S$55)*$S$58</f>
        <v>1603.6031410256412</v>
      </c>
      <c r="G1064">
        <f>(C1064+$S$56)*$S$58</f>
        <v>420.90077948717953</v>
      </c>
      <c r="H1064">
        <f>(B1064+$S$59)*$S$61</f>
        <v>812.7239955621302</v>
      </c>
      <c r="I1064">
        <f>(C1064+$S$60)*$S$61</f>
        <v>190.6253846153846</v>
      </c>
    </row>
    <row r="1066">
      <c r="B1066">
        <f>$S$2-(IF(16&lt;=$S$18,MIN($S$8+$S$21+15.5*$S$19,$S$3),NA()))</f>
        <v>518.75</v>
      </c>
      <c r="C1066">
        <f>$S$7</f>
        <v>3.0</v>
      </c>
      <c r="D1066">
        <f>(B1066+$S$52)*$S$54</f>
        <v>556.9532394366197</v>
      </c>
      <c r="E1066">
        <f>(C1066+$S$53)*$S$54</f>
        <v>77.05960563380282</v>
      </c>
      <c r="F1066">
        <f>(B1066+$S$55)*$S$58</f>
        <v>1581.9815256410257</v>
      </c>
      <c r="G1066">
        <f>(C1066+$S$56)*$S$58</f>
        <v>187.38733333333334</v>
      </c>
      <c r="H1066">
        <f>(B1066+$S$59)*$S$61</f>
        <v>801.7263772189349</v>
      </c>
      <c r="I1066">
        <f>(C1066+$S$60)*$S$61</f>
        <v>71.85110650887574</v>
      </c>
    </row>
    <row r="1067">
      <c r="B1067">
        <f>$S$2-(IF(16&lt;=$S$18,MIN($S$8+$S$21+15.5*$S$19,$S$3),NA()))</f>
        <v>518.75</v>
      </c>
      <c r="C1067">
        <f>$S$12</f>
        <v>84.0</v>
      </c>
      <c r="D1067">
        <f>(B1067+$S$52)*$S$54</f>
        <v>556.9532394366197</v>
      </c>
      <c r="E1067">
        <f>(C1067+$S$53)*$S$54</f>
        <v>157.0830422535211</v>
      </c>
      <c r="F1067">
        <f>(B1067+$S$55)*$S$58</f>
        <v>1581.9815256410257</v>
      </c>
      <c r="G1067">
        <f>(C1067+$S$56)*$S$58</f>
        <v>420.90077948717953</v>
      </c>
      <c r="H1067">
        <f>(B1067+$S$59)*$S$61</f>
        <v>801.7263772189349</v>
      </c>
      <c r="I1067">
        <f>(C1067+$S$60)*$S$61</f>
        <v>190.6253846153846</v>
      </c>
    </row>
    <row r="1069">
      <c r="B1069">
        <f>$S$2-(IF(17&lt;=$S$18,MIN($S$8+$S$21+16.5*$S$19,$S$3),NA()))</f>
        <v>511.25</v>
      </c>
      <c r="C1069">
        <f>$S$7</f>
        <v>3.0</v>
      </c>
      <c r="D1069">
        <f>(B1069+$S$52)*$S$54</f>
        <v>549.5436619718309</v>
      </c>
      <c r="E1069">
        <f>(C1069+$S$53)*$S$54</f>
        <v>77.05960563380282</v>
      </c>
      <c r="F1069">
        <f>(B1069+$S$55)*$S$58</f>
        <v>1560.3599102564103</v>
      </c>
      <c r="G1069">
        <f>(C1069+$S$56)*$S$58</f>
        <v>187.38733333333334</v>
      </c>
      <c r="H1069">
        <f>(B1069+$S$59)*$S$61</f>
        <v>790.7287588757397</v>
      </c>
      <c r="I1069">
        <f>(C1069+$S$60)*$S$61</f>
        <v>71.85110650887574</v>
      </c>
    </row>
    <row r="1070">
      <c r="B1070">
        <f>$S$2-(IF(17&lt;=$S$18,MIN($S$8+$S$21+16.5*$S$19,$S$3),NA()))</f>
        <v>511.25</v>
      </c>
      <c r="C1070">
        <f>$S$12</f>
        <v>84.0</v>
      </c>
      <c r="D1070">
        <f>(B1070+$S$52)*$S$54</f>
        <v>549.5436619718309</v>
      </c>
      <c r="E1070">
        <f>(C1070+$S$53)*$S$54</f>
        <v>157.0830422535211</v>
      </c>
      <c r="F1070">
        <f>(B1070+$S$55)*$S$58</f>
        <v>1560.3599102564103</v>
      </c>
      <c r="G1070">
        <f>(C1070+$S$56)*$S$58</f>
        <v>420.90077948717953</v>
      </c>
      <c r="H1070">
        <f>(B1070+$S$59)*$S$61</f>
        <v>790.7287588757397</v>
      </c>
      <c r="I1070">
        <f>(C1070+$S$60)*$S$61</f>
        <v>190.6253846153846</v>
      </c>
    </row>
    <row r="1072">
      <c r="B1072">
        <f>$S$2-(IF(18&lt;=$S$18,MIN($S$8+$S$21+17.5*$S$19,$S$3),NA()))</f>
        <v>503.75</v>
      </c>
      <c r="C1072">
        <f>$S$7</f>
        <v>3.0</v>
      </c>
      <c r="D1072">
        <f>(B1072+$S$52)*$S$54</f>
        <v>542.1340845070422</v>
      </c>
      <c r="E1072">
        <f>(C1072+$S$53)*$S$54</f>
        <v>77.05960563380282</v>
      </c>
      <c r="F1072">
        <f>(B1072+$S$55)*$S$58</f>
        <v>1538.738294871795</v>
      </c>
      <c r="G1072">
        <f>(C1072+$S$56)*$S$58</f>
        <v>187.38733333333334</v>
      </c>
      <c r="H1072">
        <f>(B1072+$S$59)*$S$61</f>
        <v>779.7311405325444</v>
      </c>
      <c r="I1072">
        <f>(C1072+$S$60)*$S$61</f>
        <v>71.85110650887574</v>
      </c>
    </row>
    <row r="1073">
      <c r="B1073">
        <f>$S$2-(IF(18&lt;=$S$18,MIN($S$8+$S$21+17.5*$S$19,$S$3),NA()))</f>
        <v>503.75</v>
      </c>
      <c r="C1073">
        <f>$S$12</f>
        <v>84.0</v>
      </c>
      <c r="D1073">
        <f>(B1073+$S$52)*$S$54</f>
        <v>542.1340845070422</v>
      </c>
      <c r="E1073">
        <f>(C1073+$S$53)*$S$54</f>
        <v>157.0830422535211</v>
      </c>
      <c r="F1073">
        <f>(B1073+$S$55)*$S$58</f>
        <v>1538.738294871795</v>
      </c>
      <c r="G1073">
        <f>(C1073+$S$56)*$S$58</f>
        <v>420.90077948717953</v>
      </c>
      <c r="H1073">
        <f>(B1073+$S$59)*$S$61</f>
        <v>779.7311405325444</v>
      </c>
      <c r="I1073">
        <f>(C1073+$S$60)*$S$61</f>
        <v>190.6253846153846</v>
      </c>
    </row>
    <row r="1075">
      <c r="B1075">
        <f>$S$2-(IF(19&lt;=$S$18,MIN($S$8+$S$21+18.5*$S$19,$S$3),NA()))</f>
        <v>496.25</v>
      </c>
      <c r="C1075">
        <f>$S$7</f>
        <v>3.0</v>
      </c>
      <c r="D1075">
        <f>(B1075+$S$52)*$S$54</f>
        <v>534.7245070422534</v>
      </c>
      <c r="E1075">
        <f>(C1075+$S$53)*$S$54</f>
        <v>77.05960563380282</v>
      </c>
      <c r="F1075">
        <f>(B1075+$S$55)*$S$58</f>
        <v>1517.1166794871797</v>
      </c>
      <c r="G1075">
        <f>(C1075+$S$56)*$S$58</f>
        <v>187.38733333333334</v>
      </c>
      <c r="H1075">
        <f>(B1075+$S$59)*$S$61</f>
        <v>768.7335221893491</v>
      </c>
      <c r="I1075">
        <f>(C1075+$S$60)*$S$61</f>
        <v>71.85110650887574</v>
      </c>
    </row>
    <row r="1076">
      <c r="B1076">
        <f>$S$2-(IF(19&lt;=$S$18,MIN($S$8+$S$21+18.5*$S$19,$S$3),NA()))</f>
        <v>496.25</v>
      </c>
      <c r="C1076">
        <f>$S$12</f>
        <v>84.0</v>
      </c>
      <c r="D1076">
        <f>(B1076+$S$52)*$S$54</f>
        <v>534.7245070422534</v>
      </c>
      <c r="E1076">
        <f>(C1076+$S$53)*$S$54</f>
        <v>157.0830422535211</v>
      </c>
      <c r="F1076">
        <f>(B1076+$S$55)*$S$58</f>
        <v>1517.1166794871797</v>
      </c>
      <c r="G1076">
        <f>(C1076+$S$56)*$S$58</f>
        <v>420.90077948717953</v>
      </c>
      <c r="H1076">
        <f>(B1076+$S$59)*$S$61</f>
        <v>768.7335221893491</v>
      </c>
      <c r="I1076">
        <f>(C1076+$S$60)*$S$61</f>
        <v>190.6253846153846</v>
      </c>
    </row>
    <row r="1078">
      <c r="B1078">
        <f>$S$2-(IF(20&lt;=$S$18,MIN($S$8+$S$21+19.5*$S$19,$S$3),NA()))</f>
        <v>488.75</v>
      </c>
      <c r="C1078">
        <f>$S$7</f>
        <v>3.0</v>
      </c>
      <c r="D1078">
        <f>(B1078+$S$52)*$S$54</f>
        <v>527.3149295774648</v>
      </c>
      <c r="E1078">
        <f>(C1078+$S$53)*$S$54</f>
        <v>77.05960563380282</v>
      </c>
      <c r="F1078">
        <f>(B1078+$S$55)*$S$58</f>
        <v>1495.4950641025641</v>
      </c>
      <c r="G1078">
        <f>(C1078+$S$56)*$S$58</f>
        <v>187.38733333333334</v>
      </c>
      <c r="H1078">
        <f>(B1078+$S$59)*$S$61</f>
        <v>757.7359038461539</v>
      </c>
      <c r="I1078">
        <f>(C1078+$S$60)*$S$61</f>
        <v>71.85110650887574</v>
      </c>
    </row>
    <row r="1079">
      <c r="B1079">
        <f>$S$2-(IF(20&lt;=$S$18,MIN($S$8+$S$21+19.5*$S$19,$S$3),NA()))</f>
        <v>488.75</v>
      </c>
      <c r="C1079">
        <f>$S$12</f>
        <v>84.0</v>
      </c>
      <c r="D1079">
        <f>(B1079+$S$52)*$S$54</f>
        <v>527.3149295774648</v>
      </c>
      <c r="E1079">
        <f>(C1079+$S$53)*$S$54</f>
        <v>157.0830422535211</v>
      </c>
      <c r="F1079">
        <f>(B1079+$S$55)*$S$58</f>
        <v>1495.4950641025641</v>
      </c>
      <c r="G1079">
        <f>(C1079+$S$56)*$S$58</f>
        <v>420.90077948717953</v>
      </c>
      <c r="H1079">
        <f>(B1079+$S$59)*$S$61</f>
        <v>757.7359038461539</v>
      </c>
      <c r="I1079">
        <f>(C1079+$S$60)*$S$61</f>
        <v>190.6253846153846</v>
      </c>
    </row>
    <row r="1081">
      <c r="B1081">
        <f>$S$2-(IF(21&lt;=$S$18,MIN($S$8+$S$21+20.5*$S$19,$S$3),NA()))</f>
        <v>481.25</v>
      </c>
      <c r="C1081">
        <f>$S$7</f>
        <v>3.0</v>
      </c>
      <c r="D1081">
        <f>(B1081+$S$52)*$S$54</f>
        <v>519.905352112676</v>
      </c>
      <c r="E1081">
        <f>(C1081+$S$53)*$S$54</f>
        <v>77.05960563380282</v>
      </c>
      <c r="F1081">
        <f>(B1081+$S$55)*$S$58</f>
        <v>1473.8734487179488</v>
      </c>
      <c r="G1081">
        <f>(C1081+$S$56)*$S$58</f>
        <v>187.38733333333334</v>
      </c>
      <c r="H1081">
        <f>(B1081+$S$59)*$S$61</f>
        <v>746.7382855029585</v>
      </c>
      <c r="I1081">
        <f>(C1081+$S$60)*$S$61</f>
        <v>71.85110650887574</v>
      </c>
    </row>
    <row r="1082">
      <c r="B1082">
        <f>$S$2-(IF(21&lt;=$S$18,MIN($S$8+$S$21+20.5*$S$19,$S$3),NA()))</f>
        <v>481.25</v>
      </c>
      <c r="C1082">
        <f>$S$12</f>
        <v>84.0</v>
      </c>
      <c r="D1082">
        <f>(B1082+$S$52)*$S$54</f>
        <v>519.905352112676</v>
      </c>
      <c r="E1082">
        <f>(C1082+$S$53)*$S$54</f>
        <v>157.0830422535211</v>
      </c>
      <c r="F1082">
        <f>(B1082+$S$55)*$S$58</f>
        <v>1473.8734487179488</v>
      </c>
      <c r="G1082">
        <f>(C1082+$S$56)*$S$58</f>
        <v>420.90077948717953</v>
      </c>
      <c r="H1082">
        <f>(B1082+$S$59)*$S$61</f>
        <v>746.7382855029585</v>
      </c>
      <c r="I1082">
        <f>(C1082+$S$60)*$S$61</f>
        <v>190.6253846153846</v>
      </c>
    </row>
    <row r="1084">
      <c r="B1084">
        <f>$S$2-(IF(22&lt;=$S$18,MIN($S$8+$S$21+21.5*$S$19,$S$3),NA()))</f>
        <v>473.75</v>
      </c>
      <c r="C1084">
        <f>$S$7</f>
        <v>3.0</v>
      </c>
      <c r="D1084">
        <f>(B1084+$S$52)*$S$54</f>
        <v>512.4957746478873</v>
      </c>
      <c r="E1084">
        <f>(C1084+$S$53)*$S$54</f>
        <v>77.05960563380282</v>
      </c>
      <c r="F1084">
        <f>(B1084+$S$55)*$S$58</f>
        <v>1452.2518333333335</v>
      </c>
      <c r="G1084">
        <f>(C1084+$S$56)*$S$58</f>
        <v>187.38733333333334</v>
      </c>
      <c r="H1084">
        <f>(B1084+$S$59)*$S$61</f>
        <v>735.7406671597633</v>
      </c>
      <c r="I1084">
        <f>(C1084+$S$60)*$S$61</f>
        <v>71.85110650887574</v>
      </c>
    </row>
    <row r="1085">
      <c r="B1085">
        <f>$S$2-(IF(22&lt;=$S$18,MIN($S$8+$S$21+21.5*$S$19,$S$3),NA()))</f>
        <v>473.75</v>
      </c>
      <c r="C1085">
        <f>$S$12</f>
        <v>84.0</v>
      </c>
      <c r="D1085">
        <f>(B1085+$S$52)*$S$54</f>
        <v>512.4957746478873</v>
      </c>
      <c r="E1085">
        <f>(C1085+$S$53)*$S$54</f>
        <v>157.0830422535211</v>
      </c>
      <c r="F1085">
        <f>(B1085+$S$55)*$S$58</f>
        <v>1452.2518333333335</v>
      </c>
      <c r="G1085">
        <f>(C1085+$S$56)*$S$58</f>
        <v>420.90077948717953</v>
      </c>
      <c r="H1085">
        <f>(B1085+$S$59)*$S$61</f>
        <v>735.7406671597633</v>
      </c>
      <c r="I1085">
        <f>(C1085+$S$60)*$S$61</f>
        <v>190.6253846153846</v>
      </c>
    </row>
    <row r="1087">
      <c r="B1087">
        <f>$S$2-(IF(23&lt;=$S$18,MIN($S$8+$S$21+22.5*$S$19,$S$3),NA()))</f>
        <v>466.25</v>
      </c>
      <c r="C1087">
        <f>$S$7</f>
        <v>3.0</v>
      </c>
      <c r="D1087">
        <f>(B1087+$S$52)*$S$54</f>
        <v>505.08619718309853</v>
      </c>
      <c r="E1087">
        <f>(C1087+$S$53)*$S$54</f>
        <v>77.05960563380282</v>
      </c>
      <c r="F1087">
        <f>(B1087+$S$55)*$S$58</f>
        <v>1430.630217948718</v>
      </c>
      <c r="G1087">
        <f>(C1087+$S$56)*$S$58</f>
        <v>187.38733333333334</v>
      </c>
      <c r="H1087">
        <f>(B1087+$S$59)*$S$61</f>
        <v>724.743048816568</v>
      </c>
      <c r="I1087">
        <f>(C1087+$S$60)*$S$61</f>
        <v>71.85110650887574</v>
      </c>
    </row>
    <row r="1088">
      <c r="B1088">
        <f>$S$2-(IF(23&lt;=$S$18,MIN($S$8+$S$21+22.5*$S$19,$S$3),NA()))</f>
        <v>466.25</v>
      </c>
      <c r="C1088">
        <f>$S$12</f>
        <v>84.0</v>
      </c>
      <c r="D1088">
        <f>(B1088+$S$52)*$S$54</f>
        <v>505.08619718309853</v>
      </c>
      <c r="E1088">
        <f>(C1088+$S$53)*$S$54</f>
        <v>157.0830422535211</v>
      </c>
      <c r="F1088">
        <f>(B1088+$S$55)*$S$58</f>
        <v>1430.630217948718</v>
      </c>
      <c r="G1088">
        <f>(C1088+$S$56)*$S$58</f>
        <v>420.90077948717953</v>
      </c>
      <c r="H1088">
        <f>(B1088+$S$59)*$S$61</f>
        <v>724.743048816568</v>
      </c>
      <c r="I1088">
        <f>(C1088+$S$60)*$S$61</f>
        <v>190.6253846153846</v>
      </c>
    </row>
    <row r="1090">
      <c r="B1090">
        <f>$S$2-(IF(24&lt;=$S$18,MIN($S$8+$S$21+23.5*$S$19,$S$3),NA()))</f>
        <v>458.75</v>
      </c>
      <c r="C1090">
        <f>$S$7</f>
        <v>3.0</v>
      </c>
      <c r="D1090">
        <f>(B1090+$S$52)*$S$54</f>
        <v>497.67661971830984</v>
      </c>
      <c r="E1090">
        <f>(C1090+$S$53)*$S$54</f>
        <v>77.05960563380282</v>
      </c>
      <c r="F1090">
        <f>(B1090+$S$55)*$S$58</f>
        <v>1409.0086025641026</v>
      </c>
      <c r="G1090">
        <f>(C1090+$S$56)*$S$58</f>
        <v>187.38733333333334</v>
      </c>
      <c r="H1090">
        <f>(B1090+$S$59)*$S$61</f>
        <v>713.7454304733727</v>
      </c>
      <c r="I1090">
        <f>(C1090+$S$60)*$S$61</f>
        <v>71.85110650887574</v>
      </c>
    </row>
    <row r="1091">
      <c r="B1091">
        <f>$S$2-(IF(24&lt;=$S$18,MIN($S$8+$S$21+23.5*$S$19,$S$3),NA()))</f>
        <v>458.75</v>
      </c>
      <c r="C1091">
        <f>$S$12</f>
        <v>84.0</v>
      </c>
      <c r="D1091">
        <f>(B1091+$S$52)*$S$54</f>
        <v>497.67661971830984</v>
      </c>
      <c r="E1091">
        <f>(C1091+$S$53)*$S$54</f>
        <v>157.0830422535211</v>
      </c>
      <c r="F1091">
        <f>(B1091+$S$55)*$S$58</f>
        <v>1409.0086025641026</v>
      </c>
      <c r="G1091">
        <f>(C1091+$S$56)*$S$58</f>
        <v>420.90077948717953</v>
      </c>
      <c r="H1091">
        <f>(B1091+$S$59)*$S$61</f>
        <v>713.7454304733727</v>
      </c>
      <c r="I1091">
        <f>(C1091+$S$60)*$S$61</f>
        <v>190.6253846153846</v>
      </c>
    </row>
    <row r="1093">
      <c r="B1093">
        <f>$S$2-(IF(25&lt;=$S$18,MIN($S$8+$S$21+24.5*$S$19,$S$3),NA()))</f>
        <v>451.25</v>
      </c>
      <c r="C1093">
        <f>$S$7</f>
        <v>3.0</v>
      </c>
      <c r="D1093">
        <f>(B1093+$S$52)*$S$54</f>
        <v>490.2670422535211</v>
      </c>
      <c r="E1093">
        <f>(C1093+$S$53)*$S$54</f>
        <v>77.05960563380282</v>
      </c>
      <c r="F1093">
        <f>(B1093+$S$55)*$S$58</f>
        <v>1387.3869871794873</v>
      </c>
      <c r="G1093">
        <f>(C1093+$S$56)*$S$58</f>
        <v>187.38733333333334</v>
      </c>
      <c r="H1093">
        <f>(B1093+$S$59)*$S$61</f>
        <v>702.7478121301775</v>
      </c>
      <c r="I1093">
        <f>(C1093+$S$60)*$S$61</f>
        <v>71.85110650887574</v>
      </c>
    </row>
    <row r="1094">
      <c r="B1094">
        <f>$S$2-(IF(25&lt;=$S$18,MIN($S$8+$S$21+24.5*$S$19,$S$3),NA()))</f>
        <v>451.25</v>
      </c>
      <c r="C1094">
        <f>$S$12</f>
        <v>84.0</v>
      </c>
      <c r="D1094">
        <f>(B1094+$S$52)*$S$54</f>
        <v>490.2670422535211</v>
      </c>
      <c r="E1094">
        <f>(C1094+$S$53)*$S$54</f>
        <v>157.0830422535211</v>
      </c>
      <c r="F1094">
        <f>(B1094+$S$55)*$S$58</f>
        <v>1387.3869871794873</v>
      </c>
      <c r="G1094">
        <f>(C1094+$S$56)*$S$58</f>
        <v>420.90077948717953</v>
      </c>
      <c r="H1094">
        <f>(B1094+$S$59)*$S$61</f>
        <v>702.7478121301775</v>
      </c>
      <c r="I1094">
        <f>(C1094+$S$60)*$S$61</f>
        <v>190.6253846153846</v>
      </c>
    </row>
    <row r="1096">
      <c r="B1096">
        <f>$S$2-(IF(26&lt;=$S$18,MIN($S$8+$S$21+25.5*$S$19,$S$3),NA()))</f>
        <v>443.75</v>
      </c>
      <c r="C1096">
        <f>$S$7</f>
        <v>3.0</v>
      </c>
      <c r="D1096">
        <f>(B1096+$S$52)*$S$54</f>
        <v>482.8574647887324</v>
      </c>
      <c r="E1096">
        <f>(C1096+$S$53)*$S$54</f>
        <v>77.05960563380282</v>
      </c>
      <c r="F1096">
        <f>(B1096+$S$55)*$S$58</f>
        <v>1365.765371794872</v>
      </c>
      <c r="G1096">
        <f>(C1096+$S$56)*$S$58</f>
        <v>187.38733333333334</v>
      </c>
      <c r="H1096">
        <f>(B1096+$S$59)*$S$61</f>
        <v>691.7501937869822</v>
      </c>
      <c r="I1096">
        <f>(C1096+$S$60)*$S$61</f>
        <v>71.85110650887574</v>
      </c>
    </row>
    <row r="1097">
      <c r="B1097">
        <f>$S$2-(IF(26&lt;=$S$18,MIN($S$8+$S$21+25.5*$S$19,$S$3),NA()))</f>
        <v>443.75</v>
      </c>
      <c r="C1097">
        <f>$S$12</f>
        <v>84.0</v>
      </c>
      <c r="D1097">
        <f>(B1097+$S$52)*$S$54</f>
        <v>482.8574647887324</v>
      </c>
      <c r="E1097">
        <f>(C1097+$S$53)*$S$54</f>
        <v>157.0830422535211</v>
      </c>
      <c r="F1097">
        <f>(B1097+$S$55)*$S$58</f>
        <v>1365.765371794872</v>
      </c>
      <c r="G1097">
        <f>(C1097+$S$56)*$S$58</f>
        <v>420.90077948717953</v>
      </c>
      <c r="H1097">
        <f>(B1097+$S$59)*$S$61</f>
        <v>691.7501937869822</v>
      </c>
      <c r="I1097">
        <f>(C1097+$S$60)*$S$61</f>
        <v>190.6253846153846</v>
      </c>
    </row>
    <row r="1099">
      <c r="B1099">
        <f>$S$2-(IF(27&lt;=$S$18,MIN($S$8+$S$21+26.5*$S$19,$S$3),NA()))</f>
        <v>436.25</v>
      </c>
      <c r="C1099">
        <f>$S$7</f>
        <v>3.0</v>
      </c>
      <c r="D1099">
        <f>(B1099+$S$52)*$S$54</f>
        <v>475.44788732394363</v>
      </c>
      <c r="E1099">
        <f>(C1099+$S$53)*$S$54</f>
        <v>77.05960563380282</v>
      </c>
      <c r="F1099">
        <f>(B1099+$S$55)*$S$58</f>
        <v>1344.1437564102564</v>
      </c>
      <c r="G1099">
        <f>(C1099+$S$56)*$S$58</f>
        <v>187.38733333333334</v>
      </c>
      <c r="H1099">
        <f>(B1099+$S$59)*$S$61</f>
        <v>680.752575443787</v>
      </c>
      <c r="I1099">
        <f>(C1099+$S$60)*$S$61</f>
        <v>71.85110650887574</v>
      </c>
    </row>
    <row r="1100">
      <c r="B1100">
        <f>$S$2-(IF(27&lt;=$S$18,MIN($S$8+$S$21+26.5*$S$19,$S$3),NA()))</f>
        <v>436.25</v>
      </c>
      <c r="C1100">
        <f>$S$12</f>
        <v>84.0</v>
      </c>
      <c r="D1100">
        <f>(B1100+$S$52)*$S$54</f>
        <v>475.44788732394363</v>
      </c>
      <c r="E1100">
        <f>(C1100+$S$53)*$S$54</f>
        <v>157.0830422535211</v>
      </c>
      <c r="F1100">
        <f>(B1100+$S$55)*$S$58</f>
        <v>1344.1437564102564</v>
      </c>
      <c r="G1100">
        <f>(C1100+$S$56)*$S$58</f>
        <v>420.90077948717953</v>
      </c>
      <c r="H1100">
        <f>(B1100+$S$59)*$S$61</f>
        <v>680.752575443787</v>
      </c>
      <c r="I1100">
        <f>(C1100+$S$60)*$S$61</f>
        <v>190.6253846153846</v>
      </c>
    </row>
    <row r="1102">
      <c r="B1102">
        <f>$S$2-(IF(28&lt;=$S$18,MIN($S$8+$S$21+27.5*$S$19,$S$3),NA()))</f>
        <v>428.75</v>
      </c>
      <c r="C1102">
        <f>$S$7</f>
        <v>3.0</v>
      </c>
      <c r="D1102">
        <f>(B1102+$S$52)*$S$54</f>
        <v>468.0383098591549</v>
      </c>
      <c r="E1102">
        <f>(C1102+$S$53)*$S$54</f>
        <v>77.05960563380282</v>
      </c>
      <c r="F1102">
        <f>(B1102+$S$55)*$S$58</f>
        <v>1322.522141025641</v>
      </c>
      <c r="G1102">
        <f>(C1102+$S$56)*$S$58</f>
        <v>187.38733333333334</v>
      </c>
      <c r="H1102">
        <f>(B1102+$S$59)*$S$61</f>
        <v>669.7549571005917</v>
      </c>
      <c r="I1102">
        <f>(C1102+$S$60)*$S$61</f>
        <v>71.85110650887574</v>
      </c>
    </row>
    <row r="1103">
      <c r="B1103">
        <f>$S$2-(IF(28&lt;=$S$18,MIN($S$8+$S$21+27.5*$S$19,$S$3),NA()))</f>
        <v>428.75</v>
      </c>
      <c r="C1103">
        <f>$S$12</f>
        <v>84.0</v>
      </c>
      <c r="D1103">
        <f>(B1103+$S$52)*$S$54</f>
        <v>468.0383098591549</v>
      </c>
      <c r="E1103">
        <f>(C1103+$S$53)*$S$54</f>
        <v>157.0830422535211</v>
      </c>
      <c r="F1103">
        <f>(B1103+$S$55)*$S$58</f>
        <v>1322.522141025641</v>
      </c>
      <c r="G1103">
        <f>(C1103+$S$56)*$S$58</f>
        <v>420.90077948717953</v>
      </c>
      <c r="H1103">
        <f>(B1103+$S$59)*$S$61</f>
        <v>669.7549571005917</v>
      </c>
      <c r="I1103">
        <f>(C1103+$S$60)*$S$61</f>
        <v>190.6253846153846</v>
      </c>
    </row>
    <row r="1105">
      <c r="B1105">
        <f>$S$2-(IF(29&lt;=$S$18,MIN($S$8+$S$21+28.5*$S$19,$S$3),NA()))</f>
        <v>421.25</v>
      </c>
      <c r="C1105">
        <f>$S$7</f>
        <v>3.0</v>
      </c>
      <c r="D1105">
        <f>(B1105+$S$52)*$S$54</f>
        <v>460.6287323943662</v>
      </c>
      <c r="E1105">
        <f>(C1105+$S$53)*$S$54</f>
        <v>77.05960563380282</v>
      </c>
      <c r="F1105">
        <f>(B1105+$S$55)*$S$58</f>
        <v>1300.9005256410258</v>
      </c>
      <c r="G1105">
        <f>(C1105+$S$56)*$S$58</f>
        <v>187.38733333333334</v>
      </c>
      <c r="H1105">
        <f>(B1105+$S$59)*$S$61</f>
        <v>658.7573387573965</v>
      </c>
      <c r="I1105">
        <f>(C1105+$S$60)*$S$61</f>
        <v>71.85110650887574</v>
      </c>
    </row>
    <row r="1106">
      <c r="B1106">
        <f>$S$2-(IF(29&lt;=$S$18,MIN($S$8+$S$21+28.5*$S$19,$S$3),NA()))</f>
        <v>421.25</v>
      </c>
      <c r="C1106">
        <f>$S$12</f>
        <v>84.0</v>
      </c>
      <c r="D1106">
        <f>(B1106+$S$52)*$S$54</f>
        <v>460.6287323943662</v>
      </c>
      <c r="E1106">
        <f>(C1106+$S$53)*$S$54</f>
        <v>157.0830422535211</v>
      </c>
      <c r="F1106">
        <f>(B1106+$S$55)*$S$58</f>
        <v>1300.9005256410258</v>
      </c>
      <c r="G1106">
        <f>(C1106+$S$56)*$S$58</f>
        <v>420.90077948717953</v>
      </c>
      <c r="H1106">
        <f>(B1106+$S$59)*$S$61</f>
        <v>658.7573387573965</v>
      </c>
      <c r="I1106">
        <f>(C1106+$S$60)*$S$61</f>
        <v>190.6253846153846</v>
      </c>
    </row>
    <row r="1108">
      <c r="B1108">
        <f>$S$2-(IF(30&lt;=$S$18,MIN($S$8+$S$21+29.5*$S$19,$S$3),NA()))</f>
        <v>413.75</v>
      </c>
      <c r="C1108">
        <f>$S$7</f>
        <v>3.0</v>
      </c>
      <c r="D1108">
        <f>(B1108+$S$52)*$S$54</f>
        <v>453.2191549295774</v>
      </c>
      <c r="E1108">
        <f>(C1108+$S$53)*$S$54</f>
        <v>77.05960563380282</v>
      </c>
      <c r="F1108">
        <f>(B1108+$S$55)*$S$58</f>
        <v>1279.2789102564104</v>
      </c>
      <c r="G1108">
        <f>(C1108+$S$56)*$S$58</f>
        <v>187.38733333333334</v>
      </c>
      <c r="H1108">
        <f>(B1108+$S$59)*$S$61</f>
        <v>647.7597204142012</v>
      </c>
      <c r="I1108">
        <f>(C1108+$S$60)*$S$61</f>
        <v>71.85110650887574</v>
      </c>
    </row>
    <row r="1109">
      <c r="B1109">
        <f>$S$2-(IF(30&lt;=$S$18,MIN($S$8+$S$21+29.5*$S$19,$S$3),NA()))</f>
        <v>413.75</v>
      </c>
      <c r="C1109">
        <f>$S$12</f>
        <v>84.0</v>
      </c>
      <c r="D1109">
        <f>(B1109+$S$52)*$S$54</f>
        <v>453.2191549295774</v>
      </c>
      <c r="E1109">
        <f>(C1109+$S$53)*$S$54</f>
        <v>157.0830422535211</v>
      </c>
      <c r="F1109">
        <f>(B1109+$S$55)*$S$58</f>
        <v>1279.2789102564104</v>
      </c>
      <c r="G1109">
        <f>(C1109+$S$56)*$S$58</f>
        <v>420.90077948717953</v>
      </c>
      <c r="H1109">
        <f>(B1109+$S$59)*$S$61</f>
        <v>647.7597204142012</v>
      </c>
      <c r="I1109">
        <f>(C1109+$S$60)*$S$61</f>
        <v>190.6253846153846</v>
      </c>
    </row>
    <row r="1111">
      <c r="B1111">
        <f>$S$2-(IF(31&lt;=$S$18,MIN($S$8+$S$21+30.5*$S$19,$S$3),NA()))</f>
        <v>407.5</v>
      </c>
      <c r="C1111">
        <f>$S$7</f>
        <v>3.0</v>
      </c>
      <c r="D1111">
        <f>(B1111+$S$52)*$S$54</f>
        <v>447.0445070422535</v>
      </c>
      <c r="E1111">
        <f>(C1111+$S$53)*$S$54</f>
        <v>77.05960563380282</v>
      </c>
      <c r="F1111">
        <f>(B1111+$S$55)*$S$58</f>
        <v>1261.2608974358975</v>
      </c>
      <c r="G1111">
        <f>(C1111+$S$56)*$S$58</f>
        <v>187.38733333333334</v>
      </c>
      <c r="H1111">
        <f>(B1111+$S$59)*$S$61</f>
        <v>638.5950384615385</v>
      </c>
      <c r="I1111">
        <f>(C1111+$S$60)*$S$61</f>
        <v>71.85110650887574</v>
      </c>
    </row>
    <row r="1112">
      <c r="B1112">
        <f>$S$2-(IF(31&lt;=$S$18,MIN($S$8+$S$21+30.5*$S$19,$S$3),NA()))</f>
        <v>407.5</v>
      </c>
      <c r="C1112">
        <f>$S$12</f>
        <v>84.0</v>
      </c>
      <c r="D1112">
        <f>(B1112+$S$52)*$S$54</f>
        <v>447.0445070422535</v>
      </c>
      <c r="E1112">
        <f>(C1112+$S$53)*$S$54</f>
        <v>157.0830422535211</v>
      </c>
      <c r="F1112">
        <f>(B1112+$S$55)*$S$58</f>
        <v>1261.2608974358975</v>
      </c>
      <c r="G1112">
        <f>(C1112+$S$56)*$S$58</f>
        <v>420.90077948717953</v>
      </c>
      <c r="H1112">
        <f>(B1112+$S$59)*$S$61</f>
        <v>638.5950384615385</v>
      </c>
      <c r="I1112">
        <f>(C1112+$S$60)*$S$61</f>
        <v>190.6253846153846</v>
      </c>
    </row>
    <row r="1114">
      <c r="B1114" t="e">
        <f>$S$2-(IF(32&lt;=$S$18,MIN($S$8+$S$21+31.5*$S$19,$S$3),NA()))</f>
        <v>#N/A</v>
      </c>
      <c r="C1114">
        <f>$S$7</f>
        <v>3.0</v>
      </c>
      <c r="D1114" t="e">
        <f>(B1114+$S$52)*$S$54</f>
        <v>#N/A</v>
      </c>
      <c r="E1114">
        <f>(C1114+$S$53)*$S$54</f>
        <v>77.05960563380282</v>
      </c>
      <c r="F1114" t="e">
        <f>(B1114+$S$55)*$S$58</f>
        <v>#N/A</v>
      </c>
      <c r="G1114">
        <f>(C1114+$S$56)*$S$58</f>
        <v>187.38733333333334</v>
      </c>
      <c r="H1114" t="e">
        <f>(B1114+$S$59)*$S$61</f>
        <v>#N/A</v>
      </c>
      <c r="I1114">
        <f>(C1114+$S$60)*$S$61</f>
        <v>71.85110650887574</v>
      </c>
    </row>
    <row r="1115">
      <c r="B1115" t="e">
        <f>$S$2-(IF(32&lt;=$S$18,MIN($S$8+$S$21+31.5*$S$19,$S$3),NA()))</f>
        <v>#N/A</v>
      </c>
      <c r="C1115">
        <f>$S$12</f>
        <v>84.0</v>
      </c>
      <c r="D1115" t="e">
        <f>(B1115+$S$52)*$S$54</f>
        <v>#N/A</v>
      </c>
      <c r="E1115">
        <f>(C1115+$S$53)*$S$54</f>
        <v>157.0830422535211</v>
      </c>
      <c r="F1115" t="e">
        <f>(B1115+$S$55)*$S$58</f>
        <v>#N/A</v>
      </c>
      <c r="G1115">
        <f>(C1115+$S$56)*$S$58</f>
        <v>420.90077948717953</v>
      </c>
      <c r="H1115" t="e">
        <f>(B1115+$S$59)*$S$61</f>
        <v>#N/A</v>
      </c>
      <c r="I1115">
        <f>(C1115+$S$60)*$S$61</f>
        <v>190.6253846153846</v>
      </c>
    </row>
    <row r="1117">
      <c r="B1117" t="e">
        <f>$S$2-(IF(33&lt;=$S$18,MIN($S$8+$S$21+32.5*$S$19,$S$3),NA()))</f>
        <v>#N/A</v>
      </c>
      <c r="C1117">
        <f>$S$7</f>
        <v>3.0</v>
      </c>
      <c r="D1117" t="e">
        <f>(B1117+$S$52)*$S$54</f>
        <v>#N/A</v>
      </c>
      <c r="E1117">
        <f>(C1117+$S$53)*$S$54</f>
        <v>77.05960563380282</v>
      </c>
      <c r="F1117" t="e">
        <f>(B1117+$S$55)*$S$58</f>
        <v>#N/A</v>
      </c>
      <c r="G1117">
        <f>(C1117+$S$56)*$S$58</f>
        <v>187.38733333333334</v>
      </c>
      <c r="H1117" t="e">
        <f>(B1117+$S$59)*$S$61</f>
        <v>#N/A</v>
      </c>
      <c r="I1117">
        <f>(C1117+$S$60)*$S$61</f>
        <v>71.85110650887574</v>
      </c>
    </row>
    <row r="1118">
      <c r="B1118" t="e">
        <f>$S$2-(IF(33&lt;=$S$18,MIN($S$8+$S$21+32.5*$S$19,$S$3),NA()))</f>
        <v>#N/A</v>
      </c>
      <c r="C1118">
        <f>$S$12</f>
        <v>84.0</v>
      </c>
      <c r="D1118" t="e">
        <f>(B1118+$S$52)*$S$54</f>
        <v>#N/A</v>
      </c>
      <c r="E1118">
        <f>(C1118+$S$53)*$S$54</f>
        <v>157.0830422535211</v>
      </c>
      <c r="F1118" t="e">
        <f>(B1118+$S$55)*$S$58</f>
        <v>#N/A</v>
      </c>
      <c r="G1118">
        <f>(C1118+$S$56)*$S$58</f>
        <v>420.90077948717953</v>
      </c>
      <c r="H1118" t="e">
        <f>(B1118+$S$59)*$S$61</f>
        <v>#N/A</v>
      </c>
      <c r="I1118">
        <f>(C1118+$S$60)*$S$61</f>
        <v>190.6253846153846</v>
      </c>
    </row>
    <row r="1120">
      <c r="B1120" t="e">
        <f>$S$2-(IF(34&lt;=$S$18,MIN($S$8+$S$21+33.5*$S$19,$S$3),NA()))</f>
        <v>#N/A</v>
      </c>
      <c r="C1120">
        <f>$S$7</f>
        <v>3.0</v>
      </c>
      <c r="D1120" t="e">
        <f>(B1120+$S$52)*$S$54</f>
        <v>#N/A</v>
      </c>
      <c r="E1120">
        <f>(C1120+$S$53)*$S$54</f>
        <v>77.05960563380282</v>
      </c>
      <c r="F1120" t="e">
        <f>(B1120+$S$55)*$S$58</f>
        <v>#N/A</v>
      </c>
      <c r="G1120">
        <f>(C1120+$S$56)*$S$58</f>
        <v>187.38733333333334</v>
      </c>
      <c r="H1120" t="e">
        <f>(B1120+$S$59)*$S$61</f>
        <v>#N/A</v>
      </c>
      <c r="I1120">
        <f>(C1120+$S$60)*$S$61</f>
        <v>71.85110650887574</v>
      </c>
    </row>
    <row r="1121">
      <c r="B1121" t="e">
        <f>$S$2-(IF(34&lt;=$S$18,MIN($S$8+$S$21+33.5*$S$19,$S$3),NA()))</f>
        <v>#N/A</v>
      </c>
      <c r="C1121">
        <f>$S$12</f>
        <v>84.0</v>
      </c>
      <c r="D1121" t="e">
        <f>(B1121+$S$52)*$S$54</f>
        <v>#N/A</v>
      </c>
      <c r="E1121">
        <f>(C1121+$S$53)*$S$54</f>
        <v>157.0830422535211</v>
      </c>
      <c r="F1121" t="e">
        <f>(B1121+$S$55)*$S$58</f>
        <v>#N/A</v>
      </c>
      <c r="G1121">
        <f>(C1121+$S$56)*$S$58</f>
        <v>420.90077948717953</v>
      </c>
      <c r="H1121" t="e">
        <f>(B1121+$S$59)*$S$61</f>
        <v>#N/A</v>
      </c>
      <c r="I1121">
        <f>(C1121+$S$60)*$S$61</f>
        <v>190.6253846153846</v>
      </c>
    </row>
    <row r="1123">
      <c r="B1123" t="e">
        <f>$S$2-(IF(35&lt;=$S$18,MIN($S$8+$S$21+34.5*$S$19,$S$3),NA()))</f>
        <v>#N/A</v>
      </c>
      <c r="C1123">
        <f>$S$7</f>
        <v>3.0</v>
      </c>
      <c r="D1123" t="e">
        <f>(B1123+$S$52)*$S$54</f>
        <v>#N/A</v>
      </c>
      <c r="E1123">
        <f>(C1123+$S$53)*$S$54</f>
        <v>77.05960563380282</v>
      </c>
      <c r="F1123" t="e">
        <f>(B1123+$S$55)*$S$58</f>
        <v>#N/A</v>
      </c>
      <c r="G1123">
        <f>(C1123+$S$56)*$S$58</f>
        <v>187.38733333333334</v>
      </c>
      <c r="H1123" t="e">
        <f>(B1123+$S$59)*$S$61</f>
        <v>#N/A</v>
      </c>
      <c r="I1123">
        <f>(C1123+$S$60)*$S$61</f>
        <v>71.85110650887574</v>
      </c>
    </row>
    <row r="1124">
      <c r="B1124" t="e">
        <f>$S$2-(IF(35&lt;=$S$18,MIN($S$8+$S$21+34.5*$S$19,$S$3),NA()))</f>
        <v>#N/A</v>
      </c>
      <c r="C1124">
        <f>$S$12</f>
        <v>84.0</v>
      </c>
      <c r="D1124" t="e">
        <f>(B1124+$S$52)*$S$54</f>
        <v>#N/A</v>
      </c>
      <c r="E1124">
        <f>(C1124+$S$53)*$S$54</f>
        <v>157.0830422535211</v>
      </c>
      <c r="F1124" t="e">
        <f>(B1124+$S$55)*$S$58</f>
        <v>#N/A</v>
      </c>
      <c r="G1124">
        <f>(C1124+$S$56)*$S$58</f>
        <v>420.90077948717953</v>
      </c>
      <c r="H1124" t="e">
        <f>(B1124+$S$59)*$S$61</f>
        <v>#N/A</v>
      </c>
      <c r="I1124">
        <f>(C1124+$S$60)*$S$61</f>
        <v>190.6253846153846</v>
      </c>
    </row>
    <row r="1126">
      <c r="B1126" t="e">
        <f>$S$2-(IF(36&lt;=$S$18,MIN($S$8+$S$21+35.5*$S$19,$S$3),NA()))</f>
        <v>#N/A</v>
      </c>
      <c r="C1126">
        <f>$S$7</f>
        <v>3.0</v>
      </c>
      <c r="D1126" t="e">
        <f>(B1126+$S$52)*$S$54</f>
        <v>#N/A</v>
      </c>
      <c r="E1126">
        <f>(C1126+$S$53)*$S$54</f>
        <v>77.05960563380282</v>
      </c>
      <c r="F1126" t="e">
        <f>(B1126+$S$55)*$S$58</f>
        <v>#N/A</v>
      </c>
      <c r="G1126">
        <f>(C1126+$S$56)*$S$58</f>
        <v>187.38733333333334</v>
      </c>
      <c r="H1126" t="e">
        <f>(B1126+$S$59)*$S$61</f>
        <v>#N/A</v>
      </c>
      <c r="I1126">
        <f>(C1126+$S$60)*$S$61</f>
        <v>71.85110650887574</v>
      </c>
    </row>
    <row r="1127">
      <c r="B1127" t="e">
        <f>$S$2-(IF(36&lt;=$S$18,MIN($S$8+$S$21+35.5*$S$19,$S$3),NA()))</f>
        <v>#N/A</v>
      </c>
      <c r="C1127">
        <f>$S$12</f>
        <v>84.0</v>
      </c>
      <c r="D1127" t="e">
        <f>(B1127+$S$52)*$S$54</f>
        <v>#N/A</v>
      </c>
      <c r="E1127">
        <f>(C1127+$S$53)*$S$54</f>
        <v>157.0830422535211</v>
      </c>
      <c r="F1127" t="e">
        <f>(B1127+$S$55)*$S$58</f>
        <v>#N/A</v>
      </c>
      <c r="G1127">
        <f>(C1127+$S$56)*$S$58</f>
        <v>420.90077948717953</v>
      </c>
      <c r="H1127" t="e">
        <f>(B1127+$S$59)*$S$61</f>
        <v>#N/A</v>
      </c>
      <c r="I1127">
        <f>(C1127+$S$60)*$S$61</f>
        <v>190.6253846153846</v>
      </c>
    </row>
    <row r="1129">
      <c r="B1129" t="e">
        <f>$S$2-(IF(37&lt;=$S$18,MIN($S$8+$S$21+36.5*$S$19,$S$3),NA()))</f>
        <v>#N/A</v>
      </c>
      <c r="C1129">
        <f>$S$7</f>
        <v>3.0</v>
      </c>
      <c r="D1129" t="e">
        <f>(B1129+$S$52)*$S$54</f>
        <v>#N/A</v>
      </c>
      <c r="E1129">
        <f>(C1129+$S$53)*$S$54</f>
        <v>77.05960563380282</v>
      </c>
      <c r="F1129" t="e">
        <f>(B1129+$S$55)*$S$58</f>
        <v>#N/A</v>
      </c>
      <c r="G1129">
        <f>(C1129+$S$56)*$S$58</f>
        <v>187.38733333333334</v>
      </c>
      <c r="H1129" t="e">
        <f>(B1129+$S$59)*$S$61</f>
        <v>#N/A</v>
      </c>
      <c r="I1129">
        <f>(C1129+$S$60)*$S$61</f>
        <v>71.85110650887574</v>
      </c>
    </row>
    <row r="1130">
      <c r="B1130" t="e">
        <f>$S$2-(IF(37&lt;=$S$18,MIN($S$8+$S$21+36.5*$S$19,$S$3),NA()))</f>
        <v>#N/A</v>
      </c>
      <c r="C1130">
        <f>$S$12</f>
        <v>84.0</v>
      </c>
      <c r="D1130" t="e">
        <f>(B1130+$S$52)*$S$54</f>
        <v>#N/A</v>
      </c>
      <c r="E1130">
        <f>(C1130+$S$53)*$S$54</f>
        <v>157.0830422535211</v>
      </c>
      <c r="F1130" t="e">
        <f>(B1130+$S$55)*$S$58</f>
        <v>#N/A</v>
      </c>
      <c r="G1130">
        <f>(C1130+$S$56)*$S$58</f>
        <v>420.90077948717953</v>
      </c>
      <c r="H1130" t="e">
        <f>(B1130+$S$59)*$S$61</f>
        <v>#N/A</v>
      </c>
      <c r="I1130">
        <f>(C1130+$S$60)*$S$61</f>
        <v>190.6253846153846</v>
      </c>
    </row>
    <row r="1132">
      <c r="B1132" t="e">
        <f>$S$2-(IF(38&lt;=$S$18,MIN($S$8+$S$21+37.5*$S$19,$S$3),NA()))</f>
        <v>#N/A</v>
      </c>
      <c r="C1132">
        <f>$S$7</f>
        <v>3.0</v>
      </c>
      <c r="D1132" t="e">
        <f>(B1132+$S$52)*$S$54</f>
        <v>#N/A</v>
      </c>
      <c r="E1132">
        <f>(C1132+$S$53)*$S$54</f>
        <v>77.05960563380282</v>
      </c>
      <c r="F1132" t="e">
        <f>(B1132+$S$55)*$S$58</f>
        <v>#N/A</v>
      </c>
      <c r="G1132">
        <f>(C1132+$S$56)*$S$58</f>
        <v>187.38733333333334</v>
      </c>
      <c r="H1132" t="e">
        <f>(B1132+$S$59)*$S$61</f>
        <v>#N/A</v>
      </c>
      <c r="I1132">
        <f>(C1132+$S$60)*$S$61</f>
        <v>71.85110650887574</v>
      </c>
    </row>
    <row r="1133">
      <c r="B1133" t="e">
        <f>$S$2-(IF(38&lt;=$S$18,MIN($S$8+$S$21+37.5*$S$19,$S$3),NA()))</f>
        <v>#N/A</v>
      </c>
      <c r="C1133">
        <f>$S$12</f>
        <v>84.0</v>
      </c>
      <c r="D1133" t="e">
        <f>(B1133+$S$52)*$S$54</f>
        <v>#N/A</v>
      </c>
      <c r="E1133">
        <f>(C1133+$S$53)*$S$54</f>
        <v>157.0830422535211</v>
      </c>
      <c r="F1133" t="e">
        <f>(B1133+$S$55)*$S$58</f>
        <v>#N/A</v>
      </c>
      <c r="G1133">
        <f>(C1133+$S$56)*$S$58</f>
        <v>420.90077948717953</v>
      </c>
      <c r="H1133" t="e">
        <f>(B1133+$S$59)*$S$61</f>
        <v>#N/A</v>
      </c>
      <c r="I1133">
        <f>(C1133+$S$60)*$S$61</f>
        <v>190.6253846153846</v>
      </c>
    </row>
    <row r="1135">
      <c r="B1135" t="e">
        <f>$S$2-(IF(39&lt;=$S$18,MIN($S$8+$S$21+38.5*$S$19,$S$3),NA()))</f>
        <v>#N/A</v>
      </c>
      <c r="C1135">
        <f>$S$7</f>
        <v>3.0</v>
      </c>
      <c r="D1135" t="e">
        <f>(B1135+$S$52)*$S$54</f>
        <v>#N/A</v>
      </c>
      <c r="E1135">
        <f>(C1135+$S$53)*$S$54</f>
        <v>77.05960563380282</v>
      </c>
      <c r="F1135" t="e">
        <f>(B1135+$S$55)*$S$58</f>
        <v>#N/A</v>
      </c>
      <c r="G1135">
        <f>(C1135+$S$56)*$S$58</f>
        <v>187.38733333333334</v>
      </c>
      <c r="H1135" t="e">
        <f>(B1135+$S$59)*$S$61</f>
        <v>#N/A</v>
      </c>
      <c r="I1135">
        <f>(C1135+$S$60)*$S$61</f>
        <v>71.85110650887574</v>
      </c>
    </row>
    <row r="1136">
      <c r="B1136" t="e">
        <f>$S$2-(IF(39&lt;=$S$18,MIN($S$8+$S$21+38.5*$S$19,$S$3),NA()))</f>
        <v>#N/A</v>
      </c>
      <c r="C1136">
        <f>$S$12</f>
        <v>84.0</v>
      </c>
      <c r="D1136" t="e">
        <f>(B1136+$S$52)*$S$54</f>
        <v>#N/A</v>
      </c>
      <c r="E1136">
        <f>(C1136+$S$53)*$S$54</f>
        <v>157.0830422535211</v>
      </c>
      <c r="F1136" t="e">
        <f>(B1136+$S$55)*$S$58</f>
        <v>#N/A</v>
      </c>
      <c r="G1136">
        <f>(C1136+$S$56)*$S$58</f>
        <v>420.90077948717953</v>
      </c>
      <c r="H1136" t="e">
        <f>(B1136+$S$59)*$S$61</f>
        <v>#N/A</v>
      </c>
      <c r="I1136">
        <f>(C1136+$S$60)*$S$61</f>
        <v>190.6253846153846</v>
      </c>
    </row>
    <row r="1138">
      <c r="B1138" t="e">
        <f>$S$2-(IF(40&lt;=$S$18,MIN($S$8+$S$21+39.5*$S$19,$S$3),NA()))</f>
        <v>#N/A</v>
      </c>
      <c r="C1138">
        <f>$S$7</f>
        <v>3.0</v>
      </c>
      <c r="D1138" t="e">
        <f>(B1138+$S$52)*$S$54</f>
        <v>#N/A</v>
      </c>
      <c r="E1138">
        <f>(C1138+$S$53)*$S$54</f>
        <v>77.05960563380282</v>
      </c>
      <c r="F1138" t="e">
        <f>(B1138+$S$55)*$S$58</f>
        <v>#N/A</v>
      </c>
      <c r="G1138">
        <f>(C1138+$S$56)*$S$58</f>
        <v>187.38733333333334</v>
      </c>
      <c r="H1138" t="e">
        <f>(B1138+$S$59)*$S$61</f>
        <v>#N/A</v>
      </c>
      <c r="I1138">
        <f>(C1138+$S$60)*$S$61</f>
        <v>71.85110650887574</v>
      </c>
    </row>
    <row r="1139">
      <c r="B1139" t="e">
        <f>$S$2-(IF(40&lt;=$S$18,MIN($S$8+$S$21+39.5*$S$19,$S$3),NA()))</f>
        <v>#N/A</v>
      </c>
      <c r="C1139">
        <f>$S$12</f>
        <v>84.0</v>
      </c>
      <c r="D1139" t="e">
        <f>(B1139+$S$52)*$S$54</f>
        <v>#N/A</v>
      </c>
      <c r="E1139">
        <f>(C1139+$S$53)*$S$54</f>
        <v>157.0830422535211</v>
      </c>
      <c r="F1139" t="e">
        <f>(B1139+$S$55)*$S$58</f>
        <v>#N/A</v>
      </c>
      <c r="G1139">
        <f>(C1139+$S$56)*$S$58</f>
        <v>420.90077948717953</v>
      </c>
      <c r="H1139" t="e">
        <f>(B1139+$S$59)*$S$61</f>
        <v>#N/A</v>
      </c>
      <c r="I1139">
        <f>(C1139+$S$60)*$S$61</f>
        <v>190.6253846153846</v>
      </c>
    </row>
    <row r="1141">
      <c r="B1141" t="e">
        <f>$S$2-(IF(41&lt;=$S$18,MIN($S$8+$S$21+40.5*$S$19,$S$3),NA()))</f>
        <v>#N/A</v>
      </c>
      <c r="C1141">
        <f>$S$7</f>
        <v>3.0</v>
      </c>
      <c r="D1141" t="e">
        <f>(B1141+$S$52)*$S$54</f>
        <v>#N/A</v>
      </c>
      <c r="E1141">
        <f>(C1141+$S$53)*$S$54</f>
        <v>77.05960563380282</v>
      </c>
      <c r="F1141" t="e">
        <f>(B1141+$S$55)*$S$58</f>
        <v>#N/A</v>
      </c>
      <c r="G1141">
        <f>(C1141+$S$56)*$S$58</f>
        <v>187.38733333333334</v>
      </c>
      <c r="H1141" t="e">
        <f>(B1141+$S$59)*$S$61</f>
        <v>#N/A</v>
      </c>
      <c r="I1141">
        <f>(C1141+$S$60)*$S$61</f>
        <v>71.85110650887574</v>
      </c>
    </row>
    <row r="1142">
      <c r="B1142" t="e">
        <f>$S$2-(IF(41&lt;=$S$18,MIN($S$8+$S$21+40.5*$S$19,$S$3),NA()))</f>
        <v>#N/A</v>
      </c>
      <c r="C1142">
        <f>$S$12</f>
        <v>84.0</v>
      </c>
      <c r="D1142" t="e">
        <f>(B1142+$S$52)*$S$54</f>
        <v>#N/A</v>
      </c>
      <c r="E1142">
        <f>(C1142+$S$53)*$S$54</f>
        <v>157.0830422535211</v>
      </c>
      <c r="F1142" t="e">
        <f>(B1142+$S$55)*$S$58</f>
        <v>#N/A</v>
      </c>
      <c r="G1142">
        <f>(C1142+$S$56)*$S$58</f>
        <v>420.90077948717953</v>
      </c>
      <c r="H1142" t="e">
        <f>(B1142+$S$59)*$S$61</f>
        <v>#N/A</v>
      </c>
      <c r="I1142">
        <f>(C1142+$S$60)*$S$61</f>
        <v>190.6253846153846</v>
      </c>
    </row>
    <row r="1144">
      <c r="B1144" t="e">
        <f>$S$2-(IF(42&lt;=$S$18,MIN($S$8+$S$21+41.5*$S$19,$S$3),NA()))</f>
        <v>#N/A</v>
      </c>
      <c r="C1144">
        <f>$S$7</f>
        <v>3.0</v>
      </c>
      <c r="D1144" t="e">
        <f>(B1144+$S$52)*$S$54</f>
        <v>#N/A</v>
      </c>
      <c r="E1144">
        <f>(C1144+$S$53)*$S$54</f>
        <v>77.05960563380282</v>
      </c>
      <c r="F1144" t="e">
        <f>(B1144+$S$55)*$S$58</f>
        <v>#N/A</v>
      </c>
      <c r="G1144">
        <f>(C1144+$S$56)*$S$58</f>
        <v>187.38733333333334</v>
      </c>
      <c r="H1144" t="e">
        <f>(B1144+$S$59)*$S$61</f>
        <v>#N/A</v>
      </c>
      <c r="I1144">
        <f>(C1144+$S$60)*$S$61</f>
        <v>71.85110650887574</v>
      </c>
    </row>
    <row r="1145">
      <c r="B1145" t="e">
        <f>$S$2-(IF(42&lt;=$S$18,MIN($S$8+$S$21+41.5*$S$19,$S$3),NA()))</f>
        <v>#N/A</v>
      </c>
      <c r="C1145">
        <f>$S$12</f>
        <v>84.0</v>
      </c>
      <c r="D1145" t="e">
        <f>(B1145+$S$52)*$S$54</f>
        <v>#N/A</v>
      </c>
      <c r="E1145">
        <f>(C1145+$S$53)*$S$54</f>
        <v>157.0830422535211</v>
      </c>
      <c r="F1145" t="e">
        <f>(B1145+$S$55)*$S$58</f>
        <v>#N/A</v>
      </c>
      <c r="G1145">
        <f>(C1145+$S$56)*$S$58</f>
        <v>420.90077948717953</v>
      </c>
      <c r="H1145" t="e">
        <f>(B1145+$S$59)*$S$61</f>
        <v>#N/A</v>
      </c>
      <c r="I1145">
        <f>(C1145+$S$60)*$S$61</f>
        <v>190.6253846153846</v>
      </c>
    </row>
    <row r="1147">
      <c r="B1147" t="e">
        <f>$S$2-(IF(43&lt;=$S$18,MIN($S$8+$S$21+42.5*$S$19,$S$3),NA()))</f>
        <v>#N/A</v>
      </c>
      <c r="C1147">
        <f>$S$7</f>
        <v>3.0</v>
      </c>
      <c r="D1147" t="e">
        <f>(B1147+$S$52)*$S$54</f>
        <v>#N/A</v>
      </c>
      <c r="E1147">
        <f>(C1147+$S$53)*$S$54</f>
        <v>77.05960563380282</v>
      </c>
      <c r="F1147" t="e">
        <f>(B1147+$S$55)*$S$58</f>
        <v>#N/A</v>
      </c>
      <c r="G1147">
        <f>(C1147+$S$56)*$S$58</f>
        <v>187.38733333333334</v>
      </c>
      <c r="H1147" t="e">
        <f>(B1147+$S$59)*$S$61</f>
        <v>#N/A</v>
      </c>
      <c r="I1147">
        <f>(C1147+$S$60)*$S$61</f>
        <v>71.85110650887574</v>
      </c>
    </row>
    <row r="1148">
      <c r="B1148" t="e">
        <f>$S$2-(IF(43&lt;=$S$18,MIN($S$8+$S$21+42.5*$S$19,$S$3),NA()))</f>
        <v>#N/A</v>
      </c>
      <c r="C1148">
        <f>$S$12</f>
        <v>84.0</v>
      </c>
      <c r="D1148" t="e">
        <f>(B1148+$S$52)*$S$54</f>
        <v>#N/A</v>
      </c>
      <c r="E1148">
        <f>(C1148+$S$53)*$S$54</f>
        <v>157.0830422535211</v>
      </c>
      <c r="F1148" t="e">
        <f>(B1148+$S$55)*$S$58</f>
        <v>#N/A</v>
      </c>
      <c r="G1148">
        <f>(C1148+$S$56)*$S$58</f>
        <v>420.90077948717953</v>
      </c>
      <c r="H1148" t="e">
        <f>(B1148+$S$59)*$S$61</f>
        <v>#N/A</v>
      </c>
      <c r="I1148">
        <f>(C1148+$S$60)*$S$61</f>
        <v>190.6253846153846</v>
      </c>
    </row>
    <row r="1150">
      <c r="B1150" t="e">
        <f>$S$2-(IF(44&lt;=$S$18,MIN($S$8+$S$21+43.5*$S$19,$S$3),NA()))</f>
        <v>#N/A</v>
      </c>
      <c r="C1150">
        <f>$S$7</f>
        <v>3.0</v>
      </c>
      <c r="D1150" t="e">
        <f>(B1150+$S$52)*$S$54</f>
        <v>#N/A</v>
      </c>
      <c r="E1150">
        <f>(C1150+$S$53)*$S$54</f>
        <v>77.05960563380282</v>
      </c>
      <c r="F1150" t="e">
        <f>(B1150+$S$55)*$S$58</f>
        <v>#N/A</v>
      </c>
      <c r="G1150">
        <f>(C1150+$S$56)*$S$58</f>
        <v>187.38733333333334</v>
      </c>
      <c r="H1150" t="e">
        <f>(B1150+$S$59)*$S$61</f>
        <v>#N/A</v>
      </c>
      <c r="I1150">
        <f>(C1150+$S$60)*$S$61</f>
        <v>71.85110650887574</v>
      </c>
    </row>
    <row r="1151">
      <c r="B1151" t="e">
        <f>$S$2-(IF(44&lt;=$S$18,MIN($S$8+$S$21+43.5*$S$19,$S$3),NA()))</f>
        <v>#N/A</v>
      </c>
      <c r="C1151">
        <f>$S$12</f>
        <v>84.0</v>
      </c>
      <c r="D1151" t="e">
        <f>(B1151+$S$52)*$S$54</f>
        <v>#N/A</v>
      </c>
      <c r="E1151">
        <f>(C1151+$S$53)*$S$54</f>
        <v>157.0830422535211</v>
      </c>
      <c r="F1151" t="e">
        <f>(B1151+$S$55)*$S$58</f>
        <v>#N/A</v>
      </c>
      <c r="G1151">
        <f>(C1151+$S$56)*$S$58</f>
        <v>420.90077948717953</v>
      </c>
      <c r="H1151" t="e">
        <f>(B1151+$S$59)*$S$61</f>
        <v>#N/A</v>
      </c>
      <c r="I1151">
        <f>(C1151+$S$60)*$S$61</f>
        <v>190.6253846153846</v>
      </c>
    </row>
    <row r="1153">
      <c r="B1153" t="e">
        <f>$S$2-(IF(45&lt;=$S$18,MIN($S$8+$S$21+44.5*$S$19,$S$3),NA()))</f>
        <v>#N/A</v>
      </c>
      <c r="C1153">
        <f>$S$7</f>
        <v>3.0</v>
      </c>
      <c r="D1153" t="e">
        <f>(B1153+$S$52)*$S$54</f>
        <v>#N/A</v>
      </c>
      <c r="E1153">
        <f>(C1153+$S$53)*$S$54</f>
        <v>77.05960563380282</v>
      </c>
      <c r="F1153" t="e">
        <f>(B1153+$S$55)*$S$58</f>
        <v>#N/A</v>
      </c>
      <c r="G1153">
        <f>(C1153+$S$56)*$S$58</f>
        <v>187.38733333333334</v>
      </c>
      <c r="H1153" t="e">
        <f>(B1153+$S$59)*$S$61</f>
        <v>#N/A</v>
      </c>
      <c r="I1153">
        <f>(C1153+$S$60)*$S$61</f>
        <v>71.85110650887574</v>
      </c>
    </row>
    <row r="1154">
      <c r="B1154" t="e">
        <f>$S$2-(IF(45&lt;=$S$18,MIN($S$8+$S$21+44.5*$S$19,$S$3),NA()))</f>
        <v>#N/A</v>
      </c>
      <c r="C1154">
        <f>$S$12</f>
        <v>84.0</v>
      </c>
      <c r="D1154" t="e">
        <f>(B1154+$S$52)*$S$54</f>
        <v>#N/A</v>
      </c>
      <c r="E1154">
        <f>(C1154+$S$53)*$S$54</f>
        <v>157.0830422535211</v>
      </c>
      <c r="F1154" t="e">
        <f>(B1154+$S$55)*$S$58</f>
        <v>#N/A</v>
      </c>
      <c r="G1154">
        <f>(C1154+$S$56)*$S$58</f>
        <v>420.90077948717953</v>
      </c>
      <c r="H1154" t="e">
        <f>(B1154+$S$59)*$S$61</f>
        <v>#N/A</v>
      </c>
      <c r="I1154">
        <f>(C1154+$S$60)*$S$61</f>
        <v>190.6253846153846</v>
      </c>
    </row>
    <row r="1156">
      <c r="B1156" t="e">
        <f>$S$2-(IF(46&lt;=$S$18,MIN($S$8+$S$21+45.5*$S$19,$S$3),NA()))</f>
        <v>#N/A</v>
      </c>
      <c r="C1156">
        <f>$S$7</f>
        <v>3.0</v>
      </c>
      <c r="D1156" t="e">
        <f>(B1156+$S$52)*$S$54</f>
        <v>#N/A</v>
      </c>
      <c r="E1156">
        <f>(C1156+$S$53)*$S$54</f>
        <v>77.05960563380282</v>
      </c>
      <c r="F1156" t="e">
        <f>(B1156+$S$55)*$S$58</f>
        <v>#N/A</v>
      </c>
      <c r="G1156">
        <f>(C1156+$S$56)*$S$58</f>
        <v>187.38733333333334</v>
      </c>
      <c r="H1156" t="e">
        <f>(B1156+$S$59)*$S$61</f>
        <v>#N/A</v>
      </c>
      <c r="I1156">
        <f>(C1156+$S$60)*$S$61</f>
        <v>71.85110650887574</v>
      </c>
    </row>
    <row r="1157">
      <c r="B1157" t="e">
        <f>$S$2-(IF(46&lt;=$S$18,MIN($S$8+$S$21+45.5*$S$19,$S$3),NA()))</f>
        <v>#N/A</v>
      </c>
      <c r="C1157">
        <f>$S$12</f>
        <v>84.0</v>
      </c>
      <c r="D1157" t="e">
        <f>(B1157+$S$52)*$S$54</f>
        <v>#N/A</v>
      </c>
      <c r="E1157">
        <f>(C1157+$S$53)*$S$54</f>
        <v>157.0830422535211</v>
      </c>
      <c r="F1157" t="e">
        <f>(B1157+$S$55)*$S$58</f>
        <v>#N/A</v>
      </c>
      <c r="G1157">
        <f>(C1157+$S$56)*$S$58</f>
        <v>420.90077948717953</v>
      </c>
      <c r="H1157" t="e">
        <f>(B1157+$S$59)*$S$61</f>
        <v>#N/A</v>
      </c>
      <c r="I1157">
        <f>(C1157+$S$60)*$S$61</f>
        <v>190.6253846153846</v>
      </c>
    </row>
    <row r="1159">
      <c r="B1159" t="e">
        <f>$S$2-(IF(47&lt;=$S$18,MIN($S$8+$S$21+46.5*$S$19,$S$3),NA()))</f>
        <v>#N/A</v>
      </c>
      <c r="C1159">
        <f>$S$7</f>
        <v>3.0</v>
      </c>
      <c r="D1159" t="e">
        <f>(B1159+$S$52)*$S$54</f>
        <v>#N/A</v>
      </c>
      <c r="E1159">
        <f>(C1159+$S$53)*$S$54</f>
        <v>77.05960563380282</v>
      </c>
      <c r="F1159" t="e">
        <f>(B1159+$S$55)*$S$58</f>
        <v>#N/A</v>
      </c>
      <c r="G1159">
        <f>(C1159+$S$56)*$S$58</f>
        <v>187.38733333333334</v>
      </c>
      <c r="H1159" t="e">
        <f>(B1159+$S$59)*$S$61</f>
        <v>#N/A</v>
      </c>
      <c r="I1159">
        <f>(C1159+$S$60)*$S$61</f>
        <v>71.85110650887574</v>
      </c>
    </row>
    <row r="1160">
      <c r="B1160" t="e">
        <f>$S$2-(IF(47&lt;=$S$18,MIN($S$8+$S$21+46.5*$S$19,$S$3),NA()))</f>
        <v>#N/A</v>
      </c>
      <c r="C1160">
        <f>$S$12</f>
        <v>84.0</v>
      </c>
      <c r="D1160" t="e">
        <f>(B1160+$S$52)*$S$54</f>
        <v>#N/A</v>
      </c>
      <c r="E1160">
        <f>(C1160+$S$53)*$S$54</f>
        <v>157.0830422535211</v>
      </c>
      <c r="F1160" t="e">
        <f>(B1160+$S$55)*$S$58</f>
        <v>#N/A</v>
      </c>
      <c r="G1160">
        <f>(C1160+$S$56)*$S$58</f>
        <v>420.90077948717953</v>
      </c>
      <c r="H1160" t="e">
        <f>(B1160+$S$59)*$S$61</f>
        <v>#N/A</v>
      </c>
      <c r="I1160">
        <f>(C1160+$S$60)*$S$61</f>
        <v>190.6253846153846</v>
      </c>
    </row>
    <row r="1162">
      <c r="B1162" t="e">
        <f>$S$2-(IF(48&lt;=$S$18,MIN($S$8+$S$21+47.5*$S$19,$S$3),NA()))</f>
        <v>#N/A</v>
      </c>
      <c r="C1162">
        <f>$S$7</f>
        <v>3.0</v>
      </c>
      <c r="D1162" t="e">
        <f>(B1162+$S$52)*$S$54</f>
        <v>#N/A</v>
      </c>
      <c r="E1162">
        <f>(C1162+$S$53)*$S$54</f>
        <v>77.05960563380282</v>
      </c>
      <c r="F1162" t="e">
        <f>(B1162+$S$55)*$S$58</f>
        <v>#N/A</v>
      </c>
      <c r="G1162">
        <f>(C1162+$S$56)*$S$58</f>
        <v>187.38733333333334</v>
      </c>
      <c r="H1162" t="e">
        <f>(B1162+$S$59)*$S$61</f>
        <v>#N/A</v>
      </c>
      <c r="I1162">
        <f>(C1162+$S$60)*$S$61</f>
        <v>71.85110650887574</v>
      </c>
    </row>
    <row r="1163">
      <c r="B1163" t="e">
        <f>$S$2-(IF(48&lt;=$S$18,MIN($S$8+$S$21+47.5*$S$19,$S$3),NA()))</f>
        <v>#N/A</v>
      </c>
      <c r="C1163">
        <f>$S$12</f>
        <v>84.0</v>
      </c>
      <c r="D1163" t="e">
        <f>(B1163+$S$52)*$S$54</f>
        <v>#N/A</v>
      </c>
      <c r="E1163">
        <f>(C1163+$S$53)*$S$54</f>
        <v>157.0830422535211</v>
      </c>
      <c r="F1163" t="e">
        <f>(B1163+$S$55)*$S$58</f>
        <v>#N/A</v>
      </c>
      <c r="G1163">
        <f>(C1163+$S$56)*$S$58</f>
        <v>420.90077948717953</v>
      </c>
      <c r="H1163" t="e">
        <f>(B1163+$S$59)*$S$61</f>
        <v>#N/A</v>
      </c>
      <c r="I1163">
        <f>(C1163+$S$60)*$S$61</f>
        <v>190.6253846153846</v>
      </c>
    </row>
    <row r="1165">
      <c r="B1165" t="e">
        <f>$S$2-(IF(49&lt;=$S$18,MIN($S$8+$S$21+48.5*$S$19,$S$3),NA()))</f>
        <v>#N/A</v>
      </c>
      <c r="C1165">
        <f>$S$7</f>
        <v>3.0</v>
      </c>
      <c r="D1165" t="e">
        <f>(B1165+$S$52)*$S$54</f>
        <v>#N/A</v>
      </c>
      <c r="E1165">
        <f>(C1165+$S$53)*$S$54</f>
        <v>77.05960563380282</v>
      </c>
      <c r="F1165" t="e">
        <f>(B1165+$S$55)*$S$58</f>
        <v>#N/A</v>
      </c>
      <c r="G1165">
        <f>(C1165+$S$56)*$S$58</f>
        <v>187.38733333333334</v>
      </c>
      <c r="H1165" t="e">
        <f>(B1165+$S$59)*$S$61</f>
        <v>#N/A</v>
      </c>
      <c r="I1165">
        <f>(C1165+$S$60)*$S$61</f>
        <v>71.85110650887574</v>
      </c>
    </row>
    <row r="1166">
      <c r="B1166" t="e">
        <f>$S$2-(IF(49&lt;=$S$18,MIN($S$8+$S$21+48.5*$S$19,$S$3),NA()))</f>
        <v>#N/A</v>
      </c>
      <c r="C1166">
        <f>$S$12</f>
        <v>84.0</v>
      </c>
      <c r="D1166" t="e">
        <f>(B1166+$S$52)*$S$54</f>
        <v>#N/A</v>
      </c>
      <c r="E1166">
        <f>(C1166+$S$53)*$S$54</f>
        <v>157.0830422535211</v>
      </c>
      <c r="F1166" t="e">
        <f>(B1166+$S$55)*$S$58</f>
        <v>#N/A</v>
      </c>
      <c r="G1166">
        <f>(C1166+$S$56)*$S$58</f>
        <v>420.90077948717953</v>
      </c>
      <c r="H1166" t="e">
        <f>(B1166+$S$59)*$S$61</f>
        <v>#N/A</v>
      </c>
      <c r="I1166">
        <f>(C1166+$S$60)*$S$61</f>
        <v>190.6253846153846</v>
      </c>
    </row>
    <row r="1168">
      <c r="B1168" t="e">
        <f>$S$2-(IF(50&lt;=$S$18,MIN($S$8+$S$21+49.5*$S$19,$S$3),NA()))</f>
        <v>#N/A</v>
      </c>
      <c r="C1168">
        <f>$S$7</f>
        <v>3.0</v>
      </c>
      <c r="D1168" t="e">
        <f>(B1168+$S$52)*$S$54</f>
        <v>#N/A</v>
      </c>
      <c r="E1168">
        <f>(C1168+$S$53)*$S$54</f>
        <v>77.05960563380282</v>
      </c>
      <c r="F1168" t="e">
        <f>(B1168+$S$55)*$S$58</f>
        <v>#N/A</v>
      </c>
      <c r="G1168">
        <f>(C1168+$S$56)*$S$58</f>
        <v>187.38733333333334</v>
      </c>
      <c r="H1168" t="e">
        <f>(B1168+$S$59)*$S$61</f>
        <v>#N/A</v>
      </c>
      <c r="I1168">
        <f>(C1168+$S$60)*$S$61</f>
        <v>71.85110650887574</v>
      </c>
    </row>
    <row r="1169">
      <c r="B1169" t="e">
        <f>$S$2-(IF(50&lt;=$S$18,MIN($S$8+$S$21+49.5*$S$19,$S$3),NA()))</f>
        <v>#N/A</v>
      </c>
      <c r="C1169">
        <f>$S$12</f>
        <v>84.0</v>
      </c>
      <c r="D1169" t="e">
        <f>(B1169+$S$52)*$S$54</f>
        <v>#N/A</v>
      </c>
      <c r="E1169">
        <f>(C1169+$S$53)*$S$54</f>
        <v>157.0830422535211</v>
      </c>
      <c r="F1169" t="e">
        <f>(B1169+$S$55)*$S$58</f>
        <v>#N/A</v>
      </c>
      <c r="G1169">
        <f>(C1169+$S$56)*$S$58</f>
        <v>420.90077948717953</v>
      </c>
      <c r="H1169" t="e">
        <f>(B1169+$S$59)*$S$61</f>
        <v>#N/A</v>
      </c>
      <c r="I1169">
        <f>(C1169+$S$60)*$S$61</f>
        <v>190.6253846153846</v>
      </c>
    </row>
    <row r="1171">
      <c r="B1171" t="e">
        <f>$S$2-(IF(51&lt;=$S$18,MIN($S$8+$S$21+50.5*$S$19,$S$3),NA()))</f>
        <v>#N/A</v>
      </c>
      <c r="C1171">
        <f>$S$7</f>
        <v>3.0</v>
      </c>
      <c r="D1171" t="e">
        <f>(B1171+$S$52)*$S$54</f>
        <v>#N/A</v>
      </c>
      <c r="E1171">
        <f>(C1171+$S$53)*$S$54</f>
        <v>77.05960563380282</v>
      </c>
      <c r="F1171" t="e">
        <f>(B1171+$S$55)*$S$58</f>
        <v>#N/A</v>
      </c>
      <c r="G1171">
        <f>(C1171+$S$56)*$S$58</f>
        <v>187.38733333333334</v>
      </c>
      <c r="H1171" t="e">
        <f>(B1171+$S$59)*$S$61</f>
        <v>#N/A</v>
      </c>
      <c r="I1171">
        <f>(C1171+$S$60)*$S$61</f>
        <v>71.85110650887574</v>
      </c>
    </row>
    <row r="1172">
      <c r="B1172" t="e">
        <f>$S$2-(IF(51&lt;=$S$18,MIN($S$8+$S$21+50.5*$S$19,$S$3),NA()))</f>
        <v>#N/A</v>
      </c>
      <c r="C1172">
        <f>$S$12</f>
        <v>84.0</v>
      </c>
      <c r="D1172" t="e">
        <f>(B1172+$S$52)*$S$54</f>
        <v>#N/A</v>
      </c>
      <c r="E1172">
        <f>(C1172+$S$53)*$S$54</f>
        <v>157.0830422535211</v>
      </c>
      <c r="F1172" t="e">
        <f>(B1172+$S$55)*$S$58</f>
        <v>#N/A</v>
      </c>
      <c r="G1172">
        <f>(C1172+$S$56)*$S$58</f>
        <v>420.90077948717953</v>
      </c>
      <c r="H1172" t="e">
        <f>(B1172+$S$59)*$S$61</f>
        <v>#N/A</v>
      </c>
      <c r="I1172">
        <f>(C1172+$S$60)*$S$61</f>
        <v>190.6253846153846</v>
      </c>
    </row>
    <row r="1174">
      <c r="B1174" t="e">
        <f>$S$2-(IF(52&lt;=$S$18,MIN($S$8+$S$21+51.5*$S$19,$S$3),NA()))</f>
        <v>#N/A</v>
      </c>
      <c r="C1174">
        <f>$S$7</f>
        <v>3.0</v>
      </c>
      <c r="D1174" t="e">
        <f>(B1174+$S$52)*$S$54</f>
        <v>#N/A</v>
      </c>
      <c r="E1174">
        <f>(C1174+$S$53)*$S$54</f>
        <v>77.05960563380282</v>
      </c>
      <c r="F1174" t="e">
        <f>(B1174+$S$55)*$S$58</f>
        <v>#N/A</v>
      </c>
      <c r="G1174">
        <f>(C1174+$S$56)*$S$58</f>
        <v>187.38733333333334</v>
      </c>
      <c r="H1174" t="e">
        <f>(B1174+$S$59)*$S$61</f>
        <v>#N/A</v>
      </c>
      <c r="I1174">
        <f>(C1174+$S$60)*$S$61</f>
        <v>71.85110650887574</v>
      </c>
    </row>
    <row r="1175">
      <c r="B1175" t="e">
        <f>$S$2-(IF(52&lt;=$S$18,MIN($S$8+$S$21+51.5*$S$19,$S$3),NA()))</f>
        <v>#N/A</v>
      </c>
      <c r="C1175">
        <f>$S$12</f>
        <v>84.0</v>
      </c>
      <c r="D1175" t="e">
        <f>(B1175+$S$52)*$S$54</f>
        <v>#N/A</v>
      </c>
      <c r="E1175">
        <f>(C1175+$S$53)*$S$54</f>
        <v>157.0830422535211</v>
      </c>
      <c r="F1175" t="e">
        <f>(B1175+$S$55)*$S$58</f>
        <v>#N/A</v>
      </c>
      <c r="G1175">
        <f>(C1175+$S$56)*$S$58</f>
        <v>420.90077948717953</v>
      </c>
      <c r="H1175" t="e">
        <f>(B1175+$S$59)*$S$61</f>
        <v>#N/A</v>
      </c>
      <c r="I1175">
        <f>(C1175+$S$60)*$S$61</f>
        <v>190.6253846153846</v>
      </c>
    </row>
    <row r="1177">
      <c r="B1177" t="e">
        <f>$S$2-(IF(53&lt;=$S$18,MIN($S$8+$S$21+52.5*$S$19,$S$3),NA()))</f>
        <v>#N/A</v>
      </c>
      <c r="C1177">
        <f>$S$7</f>
        <v>3.0</v>
      </c>
      <c r="D1177" t="e">
        <f>(B1177+$S$52)*$S$54</f>
        <v>#N/A</v>
      </c>
      <c r="E1177">
        <f>(C1177+$S$53)*$S$54</f>
        <v>77.05960563380282</v>
      </c>
      <c r="F1177" t="e">
        <f>(B1177+$S$55)*$S$58</f>
        <v>#N/A</v>
      </c>
      <c r="G1177">
        <f>(C1177+$S$56)*$S$58</f>
        <v>187.38733333333334</v>
      </c>
      <c r="H1177" t="e">
        <f>(B1177+$S$59)*$S$61</f>
        <v>#N/A</v>
      </c>
      <c r="I1177">
        <f>(C1177+$S$60)*$S$61</f>
        <v>71.85110650887574</v>
      </c>
    </row>
    <row r="1178">
      <c r="B1178" t="e">
        <f>$S$2-(IF(53&lt;=$S$18,MIN($S$8+$S$21+52.5*$S$19,$S$3),NA()))</f>
        <v>#N/A</v>
      </c>
      <c r="C1178">
        <f>$S$12</f>
        <v>84.0</v>
      </c>
      <c r="D1178" t="e">
        <f>(B1178+$S$52)*$S$54</f>
        <v>#N/A</v>
      </c>
      <c r="E1178">
        <f>(C1178+$S$53)*$S$54</f>
        <v>157.0830422535211</v>
      </c>
      <c r="F1178" t="e">
        <f>(B1178+$S$55)*$S$58</f>
        <v>#N/A</v>
      </c>
      <c r="G1178">
        <f>(C1178+$S$56)*$S$58</f>
        <v>420.90077948717953</v>
      </c>
      <c r="H1178" t="e">
        <f>(B1178+$S$59)*$S$61</f>
        <v>#N/A</v>
      </c>
      <c r="I1178">
        <f>(C1178+$S$60)*$S$61</f>
        <v>190.6253846153846</v>
      </c>
    </row>
    <row r="1180">
      <c r="B1180" t="e">
        <f>$S$2-(IF(54&lt;=$S$18,MIN($S$8+$S$21+53.5*$S$19,$S$3),NA()))</f>
        <v>#N/A</v>
      </c>
      <c r="C1180">
        <f>$S$7</f>
        <v>3.0</v>
      </c>
      <c r="D1180" t="e">
        <f>(B1180+$S$52)*$S$54</f>
        <v>#N/A</v>
      </c>
      <c r="E1180">
        <f>(C1180+$S$53)*$S$54</f>
        <v>77.05960563380282</v>
      </c>
      <c r="F1180" t="e">
        <f>(B1180+$S$55)*$S$58</f>
        <v>#N/A</v>
      </c>
      <c r="G1180">
        <f>(C1180+$S$56)*$S$58</f>
        <v>187.38733333333334</v>
      </c>
      <c r="H1180" t="e">
        <f>(B1180+$S$59)*$S$61</f>
        <v>#N/A</v>
      </c>
      <c r="I1180">
        <f>(C1180+$S$60)*$S$61</f>
        <v>71.85110650887574</v>
      </c>
    </row>
    <row r="1181">
      <c r="B1181" t="e">
        <f>$S$2-(IF(54&lt;=$S$18,MIN($S$8+$S$21+53.5*$S$19,$S$3),NA()))</f>
        <v>#N/A</v>
      </c>
      <c r="C1181">
        <f>$S$12</f>
        <v>84.0</v>
      </c>
      <c r="D1181" t="e">
        <f>(B1181+$S$52)*$S$54</f>
        <v>#N/A</v>
      </c>
      <c r="E1181">
        <f>(C1181+$S$53)*$S$54</f>
        <v>157.0830422535211</v>
      </c>
      <c r="F1181" t="e">
        <f>(B1181+$S$55)*$S$58</f>
        <v>#N/A</v>
      </c>
      <c r="G1181">
        <f>(C1181+$S$56)*$S$58</f>
        <v>420.90077948717953</v>
      </c>
      <c r="H1181" t="e">
        <f>(B1181+$S$59)*$S$61</f>
        <v>#N/A</v>
      </c>
      <c r="I1181">
        <f>(C1181+$S$60)*$S$61</f>
        <v>190.6253846153846</v>
      </c>
    </row>
    <row r="1183">
      <c r="B1183" t="e">
        <f>$S$2-(IF(55&lt;=$S$18,MIN($S$8+$S$21+54.5*$S$19,$S$3),NA()))</f>
        <v>#N/A</v>
      </c>
      <c r="C1183">
        <f>$S$7</f>
        <v>3.0</v>
      </c>
      <c r="D1183" t="e">
        <f>(B1183+$S$52)*$S$54</f>
        <v>#N/A</v>
      </c>
      <c r="E1183">
        <f>(C1183+$S$53)*$S$54</f>
        <v>77.05960563380282</v>
      </c>
      <c r="F1183" t="e">
        <f>(B1183+$S$55)*$S$58</f>
        <v>#N/A</v>
      </c>
      <c r="G1183">
        <f>(C1183+$S$56)*$S$58</f>
        <v>187.38733333333334</v>
      </c>
      <c r="H1183" t="e">
        <f>(B1183+$S$59)*$S$61</f>
        <v>#N/A</v>
      </c>
      <c r="I1183">
        <f>(C1183+$S$60)*$S$61</f>
        <v>71.85110650887574</v>
      </c>
    </row>
    <row r="1184">
      <c r="B1184" t="e">
        <f>$S$2-(IF(55&lt;=$S$18,MIN($S$8+$S$21+54.5*$S$19,$S$3),NA()))</f>
        <v>#N/A</v>
      </c>
      <c r="C1184">
        <f>$S$12</f>
        <v>84.0</v>
      </c>
      <c r="D1184" t="e">
        <f>(B1184+$S$52)*$S$54</f>
        <v>#N/A</v>
      </c>
      <c r="E1184">
        <f>(C1184+$S$53)*$S$54</f>
        <v>157.0830422535211</v>
      </c>
      <c r="F1184" t="e">
        <f>(B1184+$S$55)*$S$58</f>
        <v>#N/A</v>
      </c>
      <c r="G1184">
        <f>(C1184+$S$56)*$S$58</f>
        <v>420.90077948717953</v>
      </c>
      <c r="H1184" t="e">
        <f>(B1184+$S$59)*$S$61</f>
        <v>#N/A</v>
      </c>
      <c r="I1184">
        <f>(C1184+$S$60)*$S$61</f>
        <v>190.6253846153846</v>
      </c>
    </row>
    <row r="1186">
      <c r="B1186" t="e">
        <f>$S$2-(IF(56&lt;=$S$18,MIN($S$8+$S$21+55.5*$S$19,$S$3),NA()))</f>
        <v>#N/A</v>
      </c>
      <c r="C1186">
        <f>$S$7</f>
        <v>3.0</v>
      </c>
      <c r="D1186" t="e">
        <f>(B1186+$S$52)*$S$54</f>
        <v>#N/A</v>
      </c>
      <c r="E1186">
        <f>(C1186+$S$53)*$S$54</f>
        <v>77.05960563380282</v>
      </c>
      <c r="F1186" t="e">
        <f>(B1186+$S$55)*$S$58</f>
        <v>#N/A</v>
      </c>
      <c r="G1186">
        <f>(C1186+$S$56)*$S$58</f>
        <v>187.38733333333334</v>
      </c>
      <c r="H1186" t="e">
        <f>(B1186+$S$59)*$S$61</f>
        <v>#N/A</v>
      </c>
      <c r="I1186">
        <f>(C1186+$S$60)*$S$61</f>
        <v>71.85110650887574</v>
      </c>
    </row>
    <row r="1187">
      <c r="B1187" t="e">
        <f>$S$2-(IF(56&lt;=$S$18,MIN($S$8+$S$21+55.5*$S$19,$S$3),NA()))</f>
        <v>#N/A</v>
      </c>
      <c r="C1187">
        <f>$S$12</f>
        <v>84.0</v>
      </c>
      <c r="D1187" t="e">
        <f>(B1187+$S$52)*$S$54</f>
        <v>#N/A</v>
      </c>
      <c r="E1187">
        <f>(C1187+$S$53)*$S$54</f>
        <v>157.0830422535211</v>
      </c>
      <c r="F1187" t="e">
        <f>(B1187+$S$55)*$S$58</f>
        <v>#N/A</v>
      </c>
      <c r="G1187">
        <f>(C1187+$S$56)*$S$58</f>
        <v>420.90077948717953</v>
      </c>
      <c r="H1187" t="e">
        <f>(B1187+$S$59)*$S$61</f>
        <v>#N/A</v>
      </c>
      <c r="I1187">
        <f>(C1187+$S$60)*$S$61</f>
        <v>190.6253846153846</v>
      </c>
    </row>
    <row r="1189">
      <c r="B1189" t="e">
        <f>$S$2-(IF(57&lt;=$S$18,MIN($S$8+$S$21+56.5*$S$19,$S$3),NA()))</f>
        <v>#N/A</v>
      </c>
      <c r="C1189">
        <f>$S$7</f>
        <v>3.0</v>
      </c>
      <c r="D1189" t="e">
        <f>(B1189+$S$52)*$S$54</f>
        <v>#N/A</v>
      </c>
      <c r="E1189">
        <f>(C1189+$S$53)*$S$54</f>
        <v>77.05960563380282</v>
      </c>
      <c r="F1189" t="e">
        <f>(B1189+$S$55)*$S$58</f>
        <v>#N/A</v>
      </c>
      <c r="G1189">
        <f>(C1189+$S$56)*$S$58</f>
        <v>187.38733333333334</v>
      </c>
      <c r="H1189" t="e">
        <f>(B1189+$S$59)*$S$61</f>
        <v>#N/A</v>
      </c>
      <c r="I1189">
        <f>(C1189+$S$60)*$S$61</f>
        <v>71.85110650887574</v>
      </c>
    </row>
    <row r="1190">
      <c r="B1190" t="e">
        <f>$S$2-(IF(57&lt;=$S$18,MIN($S$8+$S$21+56.5*$S$19,$S$3),NA()))</f>
        <v>#N/A</v>
      </c>
      <c r="C1190">
        <f>$S$12</f>
        <v>84.0</v>
      </c>
      <c r="D1190" t="e">
        <f>(B1190+$S$52)*$S$54</f>
        <v>#N/A</v>
      </c>
      <c r="E1190">
        <f>(C1190+$S$53)*$S$54</f>
        <v>157.0830422535211</v>
      </c>
      <c r="F1190" t="e">
        <f>(B1190+$S$55)*$S$58</f>
        <v>#N/A</v>
      </c>
      <c r="G1190">
        <f>(C1190+$S$56)*$S$58</f>
        <v>420.90077948717953</v>
      </c>
      <c r="H1190" t="e">
        <f>(B1190+$S$59)*$S$61</f>
        <v>#N/A</v>
      </c>
      <c r="I1190">
        <f>(C1190+$S$60)*$S$61</f>
        <v>190.6253846153846</v>
      </c>
    </row>
    <row r="1192">
      <c r="B1192" t="e">
        <f>$S$2-(IF(58&lt;=$S$18,MIN($S$8+$S$21+57.5*$S$19,$S$3),NA()))</f>
        <v>#N/A</v>
      </c>
      <c r="C1192">
        <f>$S$7</f>
        <v>3.0</v>
      </c>
      <c r="D1192" t="e">
        <f>(B1192+$S$52)*$S$54</f>
        <v>#N/A</v>
      </c>
      <c r="E1192">
        <f>(C1192+$S$53)*$S$54</f>
        <v>77.05960563380282</v>
      </c>
      <c r="F1192" t="e">
        <f>(B1192+$S$55)*$S$58</f>
        <v>#N/A</v>
      </c>
      <c r="G1192">
        <f>(C1192+$S$56)*$S$58</f>
        <v>187.38733333333334</v>
      </c>
      <c r="H1192" t="e">
        <f>(B1192+$S$59)*$S$61</f>
        <v>#N/A</v>
      </c>
      <c r="I1192">
        <f>(C1192+$S$60)*$S$61</f>
        <v>71.85110650887574</v>
      </c>
    </row>
    <row r="1193">
      <c r="B1193" t="e">
        <f>$S$2-(IF(58&lt;=$S$18,MIN($S$8+$S$21+57.5*$S$19,$S$3),NA()))</f>
        <v>#N/A</v>
      </c>
      <c r="C1193">
        <f>$S$12</f>
        <v>84.0</v>
      </c>
      <c r="D1193" t="e">
        <f>(B1193+$S$52)*$S$54</f>
        <v>#N/A</v>
      </c>
      <c r="E1193">
        <f>(C1193+$S$53)*$S$54</f>
        <v>157.0830422535211</v>
      </c>
      <c r="F1193" t="e">
        <f>(B1193+$S$55)*$S$58</f>
        <v>#N/A</v>
      </c>
      <c r="G1193">
        <f>(C1193+$S$56)*$S$58</f>
        <v>420.90077948717953</v>
      </c>
      <c r="H1193" t="e">
        <f>(B1193+$S$59)*$S$61</f>
        <v>#N/A</v>
      </c>
      <c r="I1193">
        <f>(C1193+$S$60)*$S$61</f>
        <v>190.6253846153846</v>
      </c>
    </row>
    <row r="1195">
      <c r="B1195" t="e">
        <f>$S$2-(IF(59&lt;=$S$18,MIN($S$8+$S$21+58.5*$S$19,$S$3),NA()))</f>
        <v>#N/A</v>
      </c>
      <c r="C1195">
        <f>$S$7</f>
        <v>3.0</v>
      </c>
      <c r="D1195" t="e">
        <f>(B1195+$S$52)*$S$54</f>
        <v>#N/A</v>
      </c>
      <c r="E1195">
        <f>(C1195+$S$53)*$S$54</f>
        <v>77.05960563380282</v>
      </c>
      <c r="F1195" t="e">
        <f>(B1195+$S$55)*$S$58</f>
        <v>#N/A</v>
      </c>
      <c r="G1195">
        <f>(C1195+$S$56)*$S$58</f>
        <v>187.38733333333334</v>
      </c>
      <c r="H1195" t="e">
        <f>(B1195+$S$59)*$S$61</f>
        <v>#N/A</v>
      </c>
      <c r="I1195">
        <f>(C1195+$S$60)*$S$61</f>
        <v>71.85110650887574</v>
      </c>
    </row>
    <row r="1196">
      <c r="B1196" t="e">
        <f>$S$2-(IF(59&lt;=$S$18,MIN($S$8+$S$21+58.5*$S$19,$S$3),NA()))</f>
        <v>#N/A</v>
      </c>
      <c r="C1196">
        <f>$S$12</f>
        <v>84.0</v>
      </c>
      <c r="D1196" t="e">
        <f>(B1196+$S$52)*$S$54</f>
        <v>#N/A</v>
      </c>
      <c r="E1196">
        <f>(C1196+$S$53)*$S$54</f>
        <v>157.0830422535211</v>
      </c>
      <c r="F1196" t="e">
        <f>(B1196+$S$55)*$S$58</f>
        <v>#N/A</v>
      </c>
      <c r="G1196">
        <f>(C1196+$S$56)*$S$58</f>
        <v>420.90077948717953</v>
      </c>
      <c r="H1196" t="e">
        <f>(B1196+$S$59)*$S$61</f>
        <v>#N/A</v>
      </c>
      <c r="I1196">
        <f>(C1196+$S$60)*$S$61</f>
        <v>190.6253846153846</v>
      </c>
    </row>
    <row r="1198">
      <c r="B1198" t="e">
        <f>$S$2-(IF(60&lt;=$S$18,MIN($S$8+$S$21+59.5*$S$19,$S$3),NA()))</f>
        <v>#N/A</v>
      </c>
      <c r="C1198">
        <f>$S$7</f>
        <v>3.0</v>
      </c>
      <c r="D1198" t="e">
        <f>(B1198+$S$52)*$S$54</f>
        <v>#N/A</v>
      </c>
      <c r="E1198">
        <f>(C1198+$S$53)*$S$54</f>
        <v>77.05960563380282</v>
      </c>
      <c r="F1198" t="e">
        <f>(B1198+$S$55)*$S$58</f>
        <v>#N/A</v>
      </c>
      <c r="G1198">
        <f>(C1198+$S$56)*$S$58</f>
        <v>187.38733333333334</v>
      </c>
      <c r="H1198" t="e">
        <f>(B1198+$S$59)*$S$61</f>
        <v>#N/A</v>
      </c>
      <c r="I1198">
        <f>(C1198+$S$60)*$S$61</f>
        <v>71.85110650887574</v>
      </c>
    </row>
    <row r="1199">
      <c r="B1199" t="e">
        <f>$S$2-(IF(60&lt;=$S$18,MIN($S$8+$S$21+59.5*$S$19,$S$3),NA()))</f>
        <v>#N/A</v>
      </c>
      <c r="C1199">
        <f>$S$12</f>
        <v>84.0</v>
      </c>
      <c r="D1199" t="e">
        <f>(B1199+$S$52)*$S$54</f>
        <v>#N/A</v>
      </c>
      <c r="E1199">
        <f>(C1199+$S$53)*$S$54</f>
        <v>157.0830422535211</v>
      </c>
      <c r="F1199" t="e">
        <f>(B1199+$S$55)*$S$58</f>
        <v>#N/A</v>
      </c>
      <c r="G1199">
        <f>(C1199+$S$56)*$S$58</f>
        <v>420.90077948717953</v>
      </c>
      <c r="H1199" t="e">
        <f>(B1199+$S$59)*$S$61</f>
        <v>#N/A</v>
      </c>
      <c r="I1199">
        <f>(C1199+$S$60)*$S$61</f>
        <v>190.6253846153846</v>
      </c>
    </row>
    <row r="1202">
      <c r="A1202" t="inlineStr">
        <is>
          <t>Grampos (tirante)</t>
        </is>
      </c>
      <c r="B1202">
        <f>$S$7</f>
        <v>3.0</v>
      </c>
      <c r="C1202">
        <f>IF($S$22=1,$S$7+1.5,NA())</f>
        <v>4.5</v>
      </c>
      <c r="D1202">
        <f>(B1202+$S$52)*$S$54</f>
        <v>47.42129577464789</v>
      </c>
      <c r="E1202">
        <f>(C1202+$S$53)*$S$54</f>
        <v>78.54152112676056</v>
      </c>
      <c r="F1202">
        <f>(B1202+$S$55)*$S$58</f>
        <v>95.1351076923077</v>
      </c>
      <c r="G1202">
        <f>(C1202+$S$56)*$S$58</f>
        <v>191.7116564102564</v>
      </c>
      <c r="H1202">
        <f>(B1202+$S$59)*$S$61</f>
        <v>45.4568224852071</v>
      </c>
      <c r="I1202">
        <f>(C1202+$S$60)*$S$61</f>
        <v>74.05063017751479</v>
      </c>
    </row>
    <row r="1203">
      <c r="B1203">
        <f>$S$7+$S$29</f>
        <v>65.5</v>
      </c>
      <c r="C1203">
        <f>IF($S$22=1,$S$7+1.5,NA())</f>
        <v>4.5</v>
      </c>
      <c r="D1203">
        <f>(B1203+$S$52)*$S$54</f>
        <v>109.16777464788731</v>
      </c>
      <c r="E1203">
        <f>(C1203+$S$53)*$S$54</f>
        <v>78.54152112676056</v>
      </c>
      <c r="F1203">
        <f>(B1203+$S$55)*$S$58</f>
        <v>275.3152358974359</v>
      </c>
      <c r="G1203">
        <f>(C1203+$S$56)*$S$58</f>
        <v>191.7116564102564</v>
      </c>
      <c r="H1203">
        <f>(B1203+$S$59)*$S$61</f>
        <v>137.10364201183432</v>
      </c>
      <c r="I1203">
        <f>(C1203+$S$60)*$S$61</f>
        <v>74.05063017751479</v>
      </c>
    </row>
    <row r="1205">
      <c r="B1205">
        <f>$S$2-($S$7)</f>
        <v>812.0</v>
      </c>
      <c r="C1205">
        <f>IF($S$22=1,$S$7+1.5,NA())</f>
        <v>4.5</v>
      </c>
      <c r="D1205">
        <f>(B1205+$S$52)*$S$54</f>
        <v>846.6677183098591</v>
      </c>
      <c r="E1205">
        <f>(C1205+$S$53)*$S$54</f>
        <v>78.54152112676056</v>
      </c>
      <c r="F1205">
        <f>(B1205+$S$55)*$S$58</f>
        <v>2427.386687179487</v>
      </c>
      <c r="G1205">
        <f>(C1205+$S$56)*$S$58</f>
        <v>191.7116564102564</v>
      </c>
      <c r="H1205">
        <f>(B1205+$S$59)*$S$61</f>
        <v>1231.7332544378698</v>
      </c>
      <c r="I1205">
        <f>(C1205+$S$60)*$S$61</f>
        <v>74.05063017751479</v>
      </c>
    </row>
    <row r="1206">
      <c r="B1206">
        <f>$S$2-($S$7+$S$29)</f>
        <v>749.5</v>
      </c>
      <c r="C1206">
        <f>IF($S$22=1,$S$7+1.5,NA())</f>
        <v>4.5</v>
      </c>
      <c r="D1206">
        <f>(B1206+$S$52)*$S$54</f>
        <v>784.9212394366197</v>
      </c>
      <c r="E1206">
        <f>(C1206+$S$53)*$S$54</f>
        <v>78.54152112676056</v>
      </c>
      <c r="F1206">
        <f>(B1206+$S$55)*$S$58</f>
        <v>2247.2065589743593</v>
      </c>
      <c r="G1206">
        <f>(C1206+$S$56)*$S$58</f>
        <v>191.7116564102564</v>
      </c>
      <c r="H1206">
        <f>(B1206+$S$59)*$S$61</f>
        <v>1140.0864349112426</v>
      </c>
      <c r="I1206">
        <f>(C1206+$S$60)*$S$61</f>
        <v>74.05063017751479</v>
      </c>
    </row>
    <row r="1209">
      <c r="A1209" t="inlineStr">
        <is>
          <t>Grampos de ancoragem</t>
        </is>
      </c>
      <c r="B1209">
        <f>IF($S$9=1,$S$10,0)+$S$7</f>
        <v>3.0</v>
      </c>
      <c r="C1209" t="e">
        <f>IF($S$24=1,$S$7+2.5,NA())</f>
        <v>#N/A</v>
      </c>
      <c r="D1209">
        <f>(B1209+$S$52)*$S$54</f>
        <v>47.42129577464789</v>
      </c>
      <c r="E1209" t="e">
        <f>(C1209+$S$53)*$S$54</f>
        <v>#N/A</v>
      </c>
      <c r="F1209">
        <f>(B1209+$S$55)*$S$58</f>
        <v>95.1351076923077</v>
      </c>
      <c r="G1209" t="e">
        <f>(C1209+$S$56)*$S$58</f>
        <v>#N/A</v>
      </c>
      <c r="H1209">
        <f>(B1209+$S$59)*$S$61</f>
        <v>45.4568224852071</v>
      </c>
      <c r="I1209" t="e">
        <f>(C1209+$S$60)*$S$61</f>
        <v>#N/A</v>
      </c>
    </row>
    <row r="1210">
      <c r="B1210">
        <f>IF($S$9=1,$S$10,0)+$S$7+$S$25</f>
        <v>58.0</v>
      </c>
      <c r="C1210" t="e">
        <f>IF($S$24=1,$S$7+2.5,NA())</f>
        <v>#N/A</v>
      </c>
      <c r="D1210">
        <f>(B1210+$S$52)*$S$54</f>
        <v>101.75819718309859</v>
      </c>
      <c r="E1210" t="e">
        <f>(C1210+$S$53)*$S$54</f>
        <v>#N/A</v>
      </c>
      <c r="F1210">
        <f>(B1210+$S$55)*$S$58</f>
        <v>253.69362051282053</v>
      </c>
      <c r="G1210" t="e">
        <f>(C1210+$S$56)*$S$58</f>
        <v>#N/A</v>
      </c>
      <c r="H1210">
        <f>(B1210+$S$59)*$S$61</f>
        <v>126.10602366863905</v>
      </c>
      <c r="I1210" t="e">
        <f>(C1210+$S$60)*$S$61</f>
        <v>#N/A</v>
      </c>
    </row>
    <row r="1212">
      <c r="B1212">
        <f>$S$2-(IF($S$9=1,$S$10,0)+$S$7)</f>
        <v>812.0</v>
      </c>
      <c r="C1212" t="e">
        <f>IF($S$24=1,$S$7+2.5,NA())</f>
        <v>#N/A</v>
      </c>
      <c r="D1212">
        <f>(B1212+$S$52)*$S$54</f>
        <v>846.6677183098591</v>
      </c>
      <c r="E1212" t="e">
        <f>(C1212+$S$53)*$S$54</f>
        <v>#N/A</v>
      </c>
      <c r="F1212">
        <f>(B1212+$S$55)*$S$58</f>
        <v>2427.386687179487</v>
      </c>
      <c r="G1212" t="e">
        <f>(C1212+$S$56)*$S$58</f>
        <v>#N/A</v>
      </c>
      <c r="H1212">
        <f>(B1212+$S$59)*$S$61</f>
        <v>1231.7332544378698</v>
      </c>
      <c r="I1212" t="e">
        <f>(C1212+$S$60)*$S$61</f>
        <v>#N/A</v>
      </c>
    </row>
    <row r="1213">
      <c r="B1213">
        <f>$S$2-(IF($S$9=1,$S$10,0)+$S$7+$S$25)</f>
        <v>757.0</v>
      </c>
      <c r="C1213" t="e">
        <f>IF($S$24=1,$S$7+2.5,NA())</f>
        <v>#N/A</v>
      </c>
      <c r="D1213">
        <f>(B1213+$S$52)*$S$54</f>
        <v>792.3308169014084</v>
      </c>
      <c r="E1213" t="e">
        <f>(C1213+$S$53)*$S$54</f>
        <v>#N/A</v>
      </c>
      <c r="F1213">
        <f>(B1213+$S$55)*$S$58</f>
        <v>2268.8281743589746</v>
      </c>
      <c r="G1213" t="e">
        <f>(C1213+$S$56)*$S$58</f>
        <v>#N/A</v>
      </c>
      <c r="H1213">
        <f>(B1213+$S$59)*$S$61</f>
        <v>1151.0840532544378</v>
      </c>
      <c r="I1213" t="e">
        <f>(C1213+$S$60)*$S$61</f>
        <v>#N/A</v>
      </c>
    </row>
    <row r="1216">
      <c r="A1216" t="inlineStr">
        <is>
          <t>Costura do apoio</t>
        </is>
      </c>
      <c r="B1216">
        <f>$S$7</f>
        <v>3.0</v>
      </c>
      <c r="C1216">
        <f>IF(AND($S$22=1,1&lt;=$S$30),$S$7+6+1*$S$31,NA())</f>
        <v>21.0</v>
      </c>
      <c r="D1216">
        <f>(B1216+$S$52)*$S$54</f>
        <v>47.42129577464789</v>
      </c>
      <c r="E1216">
        <f>(C1216+$S$53)*$S$54</f>
        <v>94.84259154929578</v>
      </c>
      <c r="F1216">
        <f>(B1216+$S$55)*$S$58</f>
        <v>95.1351076923077</v>
      </c>
      <c r="G1216">
        <f>(C1216+$S$56)*$S$58</f>
        <v>239.27921025641027</v>
      </c>
      <c r="H1216">
        <f>(B1216+$S$59)*$S$61</f>
        <v>45.4568224852071</v>
      </c>
      <c r="I1216">
        <f>(C1216+$S$60)*$S$61</f>
        <v>98.24539053254438</v>
      </c>
    </row>
    <row r="1217">
      <c r="B1217">
        <f>$S$7+$S$32</f>
        <v>34.25</v>
      </c>
      <c r="C1217">
        <f>IF(AND($S$22=1,1&lt;=$S$30),$S$7+6+1*$S$31,NA())</f>
        <v>21.0</v>
      </c>
      <c r="D1217">
        <f>(B1217+$S$52)*$S$54</f>
        <v>78.2945352112676</v>
      </c>
      <c r="E1217">
        <f>(C1217+$S$53)*$S$54</f>
        <v>94.84259154929578</v>
      </c>
      <c r="F1217">
        <f>(B1217+$S$55)*$S$58</f>
        <v>185.2251717948718</v>
      </c>
      <c r="G1217">
        <f>(C1217+$S$56)*$S$58</f>
        <v>239.27921025641027</v>
      </c>
      <c r="H1217">
        <f>(B1217+$S$59)*$S$61</f>
        <v>91.2802322485207</v>
      </c>
      <c r="I1217">
        <f>(C1217+$S$60)*$S$61</f>
        <v>98.24539053254438</v>
      </c>
    </row>
    <row r="1219">
      <c r="B1219">
        <f>$S$7</f>
        <v>3.0</v>
      </c>
      <c r="C1219">
        <f>IF(AND($S$22=1,2&lt;=$S$30),$S$7+6+2*$S$31,NA())</f>
        <v>33.0</v>
      </c>
      <c r="D1219">
        <f>(B1219+$S$52)*$S$54</f>
        <v>47.42129577464789</v>
      </c>
      <c r="E1219">
        <f>(C1219+$S$53)*$S$54</f>
        <v>106.69791549295773</v>
      </c>
      <c r="F1219">
        <f>(B1219+$S$55)*$S$58</f>
        <v>95.1351076923077</v>
      </c>
      <c r="G1219">
        <f>(C1219+$S$56)*$S$58</f>
        <v>273.87379487179487</v>
      </c>
      <c r="H1219">
        <f>(B1219+$S$59)*$S$61</f>
        <v>45.4568224852071</v>
      </c>
      <c r="I1219">
        <f>(C1219+$S$60)*$S$61</f>
        <v>115.8415798816568</v>
      </c>
    </row>
    <row r="1220">
      <c r="B1220">
        <f>$S$7+$S$32</f>
        <v>34.25</v>
      </c>
      <c r="C1220">
        <f>IF(AND($S$22=1,2&lt;=$S$30),$S$7+6+2*$S$31,NA())</f>
        <v>33.0</v>
      </c>
      <c r="D1220">
        <f>(B1220+$S$52)*$S$54</f>
        <v>78.2945352112676</v>
      </c>
      <c r="E1220">
        <f>(C1220+$S$53)*$S$54</f>
        <v>106.69791549295773</v>
      </c>
      <c r="F1220">
        <f>(B1220+$S$55)*$S$58</f>
        <v>185.2251717948718</v>
      </c>
      <c r="G1220">
        <f>(C1220+$S$56)*$S$58</f>
        <v>273.87379487179487</v>
      </c>
      <c r="H1220">
        <f>(B1220+$S$59)*$S$61</f>
        <v>91.2802322485207</v>
      </c>
      <c r="I1220">
        <f>(C1220+$S$60)*$S$61</f>
        <v>115.8415798816568</v>
      </c>
    </row>
    <row r="1222">
      <c r="B1222">
        <f>$S$7</f>
        <v>3.0</v>
      </c>
      <c r="C1222">
        <f>IF(AND($S$22=1,3&lt;=$S$30),$S$7+6+3*$S$31,NA())</f>
        <v>45.0</v>
      </c>
      <c r="D1222">
        <f>(B1222+$S$52)*$S$54</f>
        <v>47.42129577464789</v>
      </c>
      <c r="E1222">
        <f>(C1222+$S$53)*$S$54</f>
        <v>118.5532394366197</v>
      </c>
      <c r="F1222">
        <f>(B1222+$S$55)*$S$58</f>
        <v>95.1351076923077</v>
      </c>
      <c r="G1222">
        <f>(C1222+$S$56)*$S$58</f>
        <v>308.4683794871795</v>
      </c>
      <c r="H1222">
        <f>(B1222+$S$59)*$S$61</f>
        <v>45.4568224852071</v>
      </c>
      <c r="I1222">
        <f>(C1222+$S$60)*$S$61</f>
        <v>133.43776923076922</v>
      </c>
    </row>
    <row r="1223">
      <c r="B1223">
        <f>$S$7+$S$32</f>
        <v>34.25</v>
      </c>
      <c r="C1223">
        <f>IF(AND($S$22=1,3&lt;=$S$30),$S$7+6+3*$S$31,NA())</f>
        <v>45.0</v>
      </c>
      <c r="D1223">
        <f>(B1223+$S$52)*$S$54</f>
        <v>78.2945352112676</v>
      </c>
      <c r="E1223">
        <f>(C1223+$S$53)*$S$54</f>
        <v>118.5532394366197</v>
      </c>
      <c r="F1223">
        <f>(B1223+$S$55)*$S$58</f>
        <v>185.2251717948718</v>
      </c>
      <c r="G1223">
        <f>(C1223+$S$56)*$S$58</f>
        <v>308.4683794871795</v>
      </c>
      <c r="H1223">
        <f>(B1223+$S$59)*$S$61</f>
        <v>91.2802322485207</v>
      </c>
      <c r="I1223">
        <f>(C1223+$S$60)*$S$61</f>
        <v>133.43776923076922</v>
      </c>
    </row>
    <row r="1225">
      <c r="B1225">
        <f>$S$7</f>
        <v>3.0</v>
      </c>
      <c r="C1225" t="e">
        <f>IF(AND($S$22=1,4&lt;=$S$30),$S$7+6+4*$S$31,NA())</f>
        <v>#N/A</v>
      </c>
      <c r="D1225">
        <f>(B1225+$S$52)*$S$54</f>
        <v>47.42129577464789</v>
      </c>
      <c r="E1225" t="e">
        <f>(C1225+$S$53)*$S$54</f>
        <v>#N/A</v>
      </c>
      <c r="F1225">
        <f>(B1225+$S$55)*$S$58</f>
        <v>95.1351076923077</v>
      </c>
      <c r="G1225" t="e">
        <f>(C1225+$S$56)*$S$58</f>
        <v>#N/A</v>
      </c>
      <c r="H1225">
        <f>(B1225+$S$59)*$S$61</f>
        <v>45.4568224852071</v>
      </c>
      <c r="I1225" t="e">
        <f>(C1225+$S$60)*$S$61</f>
        <v>#N/A</v>
      </c>
    </row>
    <row r="1226">
      <c r="B1226">
        <f>$S$7+$S$32</f>
        <v>34.25</v>
      </c>
      <c r="C1226" t="e">
        <f>IF(AND($S$22=1,4&lt;=$S$30),$S$7+6+4*$S$31,NA())</f>
        <v>#N/A</v>
      </c>
      <c r="D1226">
        <f>(B1226+$S$52)*$S$54</f>
        <v>78.2945352112676</v>
      </c>
      <c r="E1226" t="e">
        <f>(C1226+$S$53)*$S$54</f>
        <v>#N/A</v>
      </c>
      <c r="F1226">
        <f>(B1226+$S$55)*$S$58</f>
        <v>185.2251717948718</v>
      </c>
      <c r="G1226" t="e">
        <f>(C1226+$S$56)*$S$58</f>
        <v>#N/A</v>
      </c>
      <c r="H1226">
        <f>(B1226+$S$59)*$S$61</f>
        <v>91.2802322485207</v>
      </c>
      <c r="I1226" t="e">
        <f>(C1226+$S$60)*$S$61</f>
        <v>#N/A</v>
      </c>
    </row>
    <row r="1228">
      <c r="B1228">
        <f>$S$7</f>
        <v>3.0</v>
      </c>
      <c r="C1228" t="e">
        <f>IF(AND($S$22=1,5&lt;=$S$30),$S$7+6+5*$S$31,NA())</f>
        <v>#N/A</v>
      </c>
      <c r="D1228">
        <f>(B1228+$S$52)*$S$54</f>
        <v>47.42129577464789</v>
      </c>
      <c r="E1228" t="e">
        <f>(C1228+$S$53)*$S$54</f>
        <v>#N/A</v>
      </c>
      <c r="F1228">
        <f>(B1228+$S$55)*$S$58</f>
        <v>95.1351076923077</v>
      </c>
      <c r="G1228" t="e">
        <f>(C1228+$S$56)*$S$58</f>
        <v>#N/A</v>
      </c>
      <c r="H1228">
        <f>(B1228+$S$59)*$S$61</f>
        <v>45.4568224852071</v>
      </c>
      <c r="I1228" t="e">
        <f>(C1228+$S$60)*$S$61</f>
        <v>#N/A</v>
      </c>
    </row>
    <row r="1229">
      <c r="B1229">
        <f>$S$7+$S$32</f>
        <v>34.25</v>
      </c>
      <c r="C1229" t="e">
        <f>IF(AND($S$22=1,5&lt;=$S$30),$S$7+6+5*$S$31,NA())</f>
        <v>#N/A</v>
      </c>
      <c r="D1229">
        <f>(B1229+$S$52)*$S$54</f>
        <v>78.2945352112676</v>
      </c>
      <c r="E1229" t="e">
        <f>(C1229+$S$53)*$S$54</f>
        <v>#N/A</v>
      </c>
      <c r="F1229">
        <f>(B1229+$S$55)*$S$58</f>
        <v>185.2251717948718</v>
      </c>
      <c r="G1229" t="e">
        <f>(C1229+$S$56)*$S$58</f>
        <v>#N/A</v>
      </c>
      <c r="H1229">
        <f>(B1229+$S$59)*$S$61</f>
        <v>91.2802322485207</v>
      </c>
      <c r="I1229" t="e">
        <f>(C1229+$S$60)*$S$61</f>
        <v>#N/A</v>
      </c>
    </row>
    <row r="1231">
      <c r="B1231">
        <f>$S$7</f>
        <v>3.0</v>
      </c>
      <c r="C1231" t="e">
        <f>IF(AND($S$22=1,6&lt;=$S$30),$S$7+6+6*$S$31,NA())</f>
        <v>#N/A</v>
      </c>
      <c r="D1231">
        <f>(B1231+$S$52)*$S$54</f>
        <v>47.42129577464789</v>
      </c>
      <c r="E1231" t="e">
        <f>(C1231+$S$53)*$S$54</f>
        <v>#N/A</v>
      </c>
      <c r="F1231">
        <f>(B1231+$S$55)*$S$58</f>
        <v>95.1351076923077</v>
      </c>
      <c r="G1231" t="e">
        <f>(C1231+$S$56)*$S$58</f>
        <v>#N/A</v>
      </c>
      <c r="H1231">
        <f>(B1231+$S$59)*$S$61</f>
        <v>45.4568224852071</v>
      </c>
      <c r="I1231" t="e">
        <f>(C1231+$S$60)*$S$61</f>
        <v>#N/A</v>
      </c>
    </row>
    <row r="1232">
      <c r="B1232">
        <f>$S$7+$S$32</f>
        <v>34.25</v>
      </c>
      <c r="C1232" t="e">
        <f>IF(AND($S$22=1,6&lt;=$S$30),$S$7+6+6*$S$31,NA())</f>
        <v>#N/A</v>
      </c>
      <c r="D1232">
        <f>(B1232+$S$52)*$S$54</f>
        <v>78.2945352112676</v>
      </c>
      <c r="E1232" t="e">
        <f>(C1232+$S$53)*$S$54</f>
        <v>#N/A</v>
      </c>
      <c r="F1232">
        <f>(B1232+$S$55)*$S$58</f>
        <v>185.2251717948718</v>
      </c>
      <c r="G1232" t="e">
        <f>(C1232+$S$56)*$S$58</f>
        <v>#N/A</v>
      </c>
      <c r="H1232">
        <f>(B1232+$S$59)*$S$61</f>
        <v>91.2802322485207</v>
      </c>
      <c r="I1232" t="e">
        <f>(C1232+$S$60)*$S$61</f>
        <v>#N/A</v>
      </c>
    </row>
    <row r="1234">
      <c r="B1234">
        <f>$S$2-($S$7)</f>
        <v>812.0</v>
      </c>
      <c r="C1234">
        <f>IF(AND($S$22=1,1&lt;=$S$30),$S$7+6+1*$S$31,NA())</f>
        <v>21.0</v>
      </c>
      <c r="D1234">
        <f>(B1234+$S$52)*$S$54</f>
        <v>846.6677183098591</v>
      </c>
      <c r="E1234">
        <f>(C1234+$S$53)*$S$54</f>
        <v>94.84259154929578</v>
      </c>
      <c r="F1234">
        <f>(B1234+$S$55)*$S$58</f>
        <v>2427.386687179487</v>
      </c>
      <c r="G1234">
        <f>(C1234+$S$56)*$S$58</f>
        <v>239.27921025641027</v>
      </c>
      <c r="H1234">
        <f>(B1234+$S$59)*$S$61</f>
        <v>1231.7332544378698</v>
      </c>
      <c r="I1234">
        <f>(C1234+$S$60)*$S$61</f>
        <v>98.24539053254438</v>
      </c>
    </row>
    <row r="1235">
      <c r="B1235">
        <f>$S$2-($S$7+$S$32)</f>
        <v>780.75</v>
      </c>
      <c r="C1235">
        <f>IF(AND($S$22=1,1&lt;=$S$30),$S$7+6+1*$S$31,NA())</f>
        <v>21.0</v>
      </c>
      <c r="D1235">
        <f>(B1235+$S$52)*$S$54</f>
        <v>815.7944788732394</v>
      </c>
      <c r="E1235">
        <f>(C1235+$S$53)*$S$54</f>
        <v>94.84259154929578</v>
      </c>
      <c r="F1235">
        <f>(B1235+$S$55)*$S$58</f>
        <v>2337.2966230769234</v>
      </c>
      <c r="G1235">
        <f>(C1235+$S$56)*$S$58</f>
        <v>239.27921025641027</v>
      </c>
      <c r="H1235">
        <f>(B1235+$S$59)*$S$61</f>
        <v>1185.909844674556</v>
      </c>
      <c r="I1235">
        <f>(C1235+$S$60)*$S$61</f>
        <v>98.24539053254438</v>
      </c>
    </row>
    <row r="1237">
      <c r="B1237">
        <f>$S$2-($S$7)</f>
        <v>812.0</v>
      </c>
      <c r="C1237">
        <f>IF(AND($S$22=1,2&lt;=$S$30),$S$7+6+2*$S$31,NA())</f>
        <v>33.0</v>
      </c>
      <c r="D1237">
        <f>(B1237+$S$52)*$S$54</f>
        <v>846.6677183098591</v>
      </c>
      <c r="E1237">
        <f>(C1237+$S$53)*$S$54</f>
        <v>106.69791549295773</v>
      </c>
      <c r="F1237">
        <f>(B1237+$S$55)*$S$58</f>
        <v>2427.386687179487</v>
      </c>
      <c r="G1237">
        <f>(C1237+$S$56)*$S$58</f>
        <v>273.87379487179487</v>
      </c>
      <c r="H1237">
        <f>(B1237+$S$59)*$S$61</f>
        <v>1231.7332544378698</v>
      </c>
      <c r="I1237">
        <f>(C1237+$S$60)*$S$61</f>
        <v>115.8415798816568</v>
      </c>
    </row>
    <row r="1238">
      <c r="B1238">
        <f>$S$2-($S$7+$S$32)</f>
        <v>780.75</v>
      </c>
      <c r="C1238">
        <f>IF(AND($S$22=1,2&lt;=$S$30),$S$7+6+2*$S$31,NA())</f>
        <v>33.0</v>
      </c>
      <c r="D1238">
        <f>(B1238+$S$52)*$S$54</f>
        <v>815.7944788732394</v>
      </c>
      <c r="E1238">
        <f>(C1238+$S$53)*$S$54</f>
        <v>106.69791549295773</v>
      </c>
      <c r="F1238">
        <f>(B1238+$S$55)*$S$58</f>
        <v>2337.2966230769234</v>
      </c>
      <c r="G1238">
        <f>(C1238+$S$56)*$S$58</f>
        <v>273.87379487179487</v>
      </c>
      <c r="H1238">
        <f>(B1238+$S$59)*$S$61</f>
        <v>1185.909844674556</v>
      </c>
      <c r="I1238">
        <f>(C1238+$S$60)*$S$61</f>
        <v>115.8415798816568</v>
      </c>
    </row>
    <row r="1240">
      <c r="B1240">
        <f>$S$2-($S$7)</f>
        <v>812.0</v>
      </c>
      <c r="C1240">
        <f>IF(AND($S$22=1,3&lt;=$S$30),$S$7+6+3*$S$31,NA())</f>
        <v>45.0</v>
      </c>
      <c r="D1240">
        <f>(B1240+$S$52)*$S$54</f>
        <v>846.6677183098591</v>
      </c>
      <c r="E1240">
        <f>(C1240+$S$53)*$S$54</f>
        <v>118.5532394366197</v>
      </c>
      <c r="F1240">
        <f>(B1240+$S$55)*$S$58</f>
        <v>2427.386687179487</v>
      </c>
      <c r="G1240">
        <f>(C1240+$S$56)*$S$58</f>
        <v>308.4683794871795</v>
      </c>
      <c r="H1240">
        <f>(B1240+$S$59)*$S$61</f>
        <v>1231.7332544378698</v>
      </c>
      <c r="I1240">
        <f>(C1240+$S$60)*$S$61</f>
        <v>133.43776923076922</v>
      </c>
    </row>
    <row r="1241">
      <c r="B1241">
        <f>$S$2-($S$7+$S$32)</f>
        <v>780.75</v>
      </c>
      <c r="C1241">
        <f>IF(AND($S$22=1,3&lt;=$S$30),$S$7+6+3*$S$31,NA())</f>
        <v>45.0</v>
      </c>
      <c r="D1241">
        <f>(B1241+$S$52)*$S$54</f>
        <v>815.7944788732394</v>
      </c>
      <c r="E1241">
        <f>(C1241+$S$53)*$S$54</f>
        <v>118.5532394366197</v>
      </c>
      <c r="F1241">
        <f>(B1241+$S$55)*$S$58</f>
        <v>2337.2966230769234</v>
      </c>
      <c r="G1241">
        <f>(C1241+$S$56)*$S$58</f>
        <v>308.4683794871795</v>
      </c>
      <c r="H1241">
        <f>(B1241+$S$59)*$S$61</f>
        <v>1185.909844674556</v>
      </c>
      <c r="I1241">
        <f>(C1241+$S$60)*$S$61</f>
        <v>133.43776923076922</v>
      </c>
    </row>
    <row r="1243">
      <c r="B1243">
        <f>$S$2-($S$7)</f>
        <v>812.0</v>
      </c>
      <c r="C1243" t="e">
        <f>IF(AND($S$22=1,4&lt;=$S$30),$S$7+6+4*$S$31,NA())</f>
        <v>#N/A</v>
      </c>
      <c r="D1243">
        <f>(B1243+$S$52)*$S$54</f>
        <v>846.6677183098591</v>
      </c>
      <c r="E1243" t="e">
        <f>(C1243+$S$53)*$S$54</f>
        <v>#N/A</v>
      </c>
      <c r="F1243">
        <f>(B1243+$S$55)*$S$58</f>
        <v>2427.386687179487</v>
      </c>
      <c r="G1243" t="e">
        <f>(C1243+$S$56)*$S$58</f>
        <v>#N/A</v>
      </c>
      <c r="H1243">
        <f>(B1243+$S$59)*$S$61</f>
        <v>1231.7332544378698</v>
      </c>
      <c r="I1243" t="e">
        <f>(C1243+$S$60)*$S$61</f>
        <v>#N/A</v>
      </c>
    </row>
    <row r="1244">
      <c r="B1244">
        <f>$S$2-($S$7+$S$32)</f>
        <v>780.75</v>
      </c>
      <c r="C1244" t="e">
        <f>IF(AND($S$22=1,4&lt;=$S$30),$S$7+6+4*$S$31,NA())</f>
        <v>#N/A</v>
      </c>
      <c r="D1244">
        <f>(B1244+$S$52)*$S$54</f>
        <v>815.7944788732394</v>
      </c>
      <c r="E1244" t="e">
        <f>(C1244+$S$53)*$S$54</f>
        <v>#N/A</v>
      </c>
      <c r="F1244">
        <f>(B1244+$S$55)*$S$58</f>
        <v>2337.2966230769234</v>
      </c>
      <c r="G1244" t="e">
        <f>(C1244+$S$56)*$S$58</f>
        <v>#N/A</v>
      </c>
      <c r="H1244">
        <f>(B1244+$S$59)*$S$61</f>
        <v>1185.909844674556</v>
      </c>
      <c r="I1244" t="e">
        <f>(C1244+$S$60)*$S$61</f>
        <v>#N/A</v>
      </c>
    </row>
    <row r="1246">
      <c r="B1246">
        <f>$S$2-($S$7)</f>
        <v>812.0</v>
      </c>
      <c r="C1246" t="e">
        <f>IF(AND($S$22=1,5&lt;=$S$30),$S$7+6+5*$S$31,NA())</f>
        <v>#N/A</v>
      </c>
      <c r="D1246">
        <f>(B1246+$S$52)*$S$54</f>
        <v>846.6677183098591</v>
      </c>
      <c r="E1246" t="e">
        <f>(C1246+$S$53)*$S$54</f>
        <v>#N/A</v>
      </c>
      <c r="F1246">
        <f>(B1246+$S$55)*$S$58</f>
        <v>2427.386687179487</v>
      </c>
      <c r="G1246" t="e">
        <f>(C1246+$S$56)*$S$58</f>
        <v>#N/A</v>
      </c>
      <c r="H1246">
        <f>(B1246+$S$59)*$S$61</f>
        <v>1231.7332544378698</v>
      </c>
      <c r="I1246" t="e">
        <f>(C1246+$S$60)*$S$61</f>
        <v>#N/A</v>
      </c>
    </row>
    <row r="1247">
      <c r="B1247">
        <f>$S$2-($S$7+$S$32)</f>
        <v>780.75</v>
      </c>
      <c r="C1247" t="e">
        <f>IF(AND($S$22=1,5&lt;=$S$30),$S$7+6+5*$S$31,NA())</f>
        <v>#N/A</v>
      </c>
      <c r="D1247">
        <f>(B1247+$S$52)*$S$54</f>
        <v>815.7944788732394</v>
      </c>
      <c r="E1247" t="e">
        <f>(C1247+$S$53)*$S$54</f>
        <v>#N/A</v>
      </c>
      <c r="F1247">
        <f>(B1247+$S$55)*$S$58</f>
        <v>2337.2966230769234</v>
      </c>
      <c r="G1247" t="e">
        <f>(C1247+$S$56)*$S$58</f>
        <v>#N/A</v>
      </c>
      <c r="H1247">
        <f>(B1247+$S$59)*$S$61</f>
        <v>1185.909844674556</v>
      </c>
      <c r="I1247" t="e">
        <f>(C1247+$S$60)*$S$61</f>
        <v>#N/A</v>
      </c>
    </row>
    <row r="1249">
      <c r="B1249">
        <f>$S$2-($S$7)</f>
        <v>812.0</v>
      </c>
      <c r="C1249" t="e">
        <f>IF(AND($S$22=1,6&lt;=$S$30),$S$7+6+6*$S$31,NA())</f>
        <v>#N/A</v>
      </c>
      <c r="D1249">
        <f>(B1249+$S$52)*$S$54</f>
        <v>846.6677183098591</v>
      </c>
      <c r="E1249" t="e">
        <f>(C1249+$S$53)*$S$54</f>
        <v>#N/A</v>
      </c>
      <c r="F1249">
        <f>(B1249+$S$55)*$S$58</f>
        <v>2427.386687179487</v>
      </c>
      <c r="G1249" t="e">
        <f>(C1249+$S$56)*$S$58</f>
        <v>#N/A</v>
      </c>
      <c r="H1249">
        <f>(B1249+$S$59)*$S$61</f>
        <v>1231.7332544378698</v>
      </c>
      <c r="I1249" t="e">
        <f>(C1249+$S$60)*$S$61</f>
        <v>#N/A</v>
      </c>
    </row>
    <row r="1250">
      <c r="B1250">
        <f>$S$2-($S$7+$S$32)</f>
        <v>780.75</v>
      </c>
      <c r="C1250" t="e">
        <f>IF(AND($S$22=1,6&lt;=$S$30),$S$7+6+6*$S$31,NA())</f>
        <v>#N/A</v>
      </c>
      <c r="D1250">
        <f>(B1250+$S$52)*$S$54</f>
        <v>815.7944788732394</v>
      </c>
      <c r="E1250" t="e">
        <f>(C1250+$S$53)*$S$54</f>
        <v>#N/A</v>
      </c>
      <c r="F1250">
        <f>(B1250+$S$55)*$S$58</f>
        <v>2337.2966230769234</v>
      </c>
      <c r="G1250" t="e">
        <f>(C1250+$S$56)*$S$58</f>
        <v>#N/A</v>
      </c>
      <c r="H1250">
        <f>(B1250+$S$59)*$S$61</f>
        <v>1185.909844674556</v>
      </c>
      <c r="I1250" t="e">
        <f>(C1250+$S$60)*$S$61</f>
        <v>#N/A</v>
      </c>
    </row>
    <row r="1253">
      <c r="A1253" t="inlineStr">
        <is>
          <t>Suspensão</t>
        </is>
      </c>
      <c r="B1253">
        <f>IF(AND($S$23=1,1&lt;=$S$26),$S$27+0.5*$S$28/$S$26,NA())</f>
        <v>6.0</v>
      </c>
      <c r="C1253">
        <f>$S$7</f>
        <v>3.0</v>
      </c>
      <c r="D1253">
        <f>(B1253+$S$52)*$S$54</f>
        <v>50.385126760563374</v>
      </c>
      <c r="E1253">
        <f>(C1253+$S$53)*$S$54</f>
        <v>77.05960563380282</v>
      </c>
      <c r="F1253">
        <f>(B1253+$S$55)*$S$58</f>
        <v>103.78375384615386</v>
      </c>
      <c r="G1253">
        <f>(C1253+$S$56)*$S$58</f>
        <v>187.38733333333334</v>
      </c>
      <c r="H1253">
        <f>(B1253+$S$59)*$S$61</f>
        <v>49.855869822485204</v>
      </c>
      <c r="I1253">
        <f>(C1253+$S$60)*$S$61</f>
        <v>71.85110650887574</v>
      </c>
    </row>
    <row r="1254">
      <c r="B1254">
        <f>IF(AND($S$23=1,1&lt;=$S$26),$S$27+0.5*$S$28/$S$26,NA())</f>
        <v>6.0</v>
      </c>
      <c r="C1254">
        <f>$S$4-$S$7</f>
        <v>57.0</v>
      </c>
      <c r="D1254">
        <f>(B1254+$S$52)*$S$54</f>
        <v>50.385126760563374</v>
      </c>
      <c r="E1254">
        <f>(C1254+$S$53)*$S$54</f>
        <v>130.4085633802817</v>
      </c>
      <c r="F1254">
        <f>(B1254+$S$55)*$S$58</f>
        <v>103.78375384615386</v>
      </c>
      <c r="G1254">
        <f>(C1254+$S$56)*$S$58</f>
        <v>343.06296410256414</v>
      </c>
      <c r="H1254">
        <f>(B1254+$S$59)*$S$61</f>
        <v>49.855869822485204</v>
      </c>
      <c r="I1254">
        <f>(C1254+$S$60)*$S$61</f>
        <v>151.03395857988167</v>
      </c>
    </row>
    <row r="1256">
      <c r="B1256">
        <f>IF(AND($S$23=1,2&lt;=$S$26),$S$27+1.5*$S$28/$S$26,NA())</f>
        <v>12.0</v>
      </c>
      <c r="C1256">
        <f>$S$7</f>
        <v>3.0</v>
      </c>
      <c r="D1256">
        <f>(B1256+$S$52)*$S$54</f>
        <v>56.31278873239436</v>
      </c>
      <c r="E1256">
        <f>(C1256+$S$53)*$S$54</f>
        <v>77.05960563380282</v>
      </c>
      <c r="F1256">
        <f>(B1256+$S$55)*$S$58</f>
        <v>121.08104615384616</v>
      </c>
      <c r="G1256">
        <f>(C1256+$S$56)*$S$58</f>
        <v>187.38733333333334</v>
      </c>
      <c r="H1256">
        <f>(B1256+$S$59)*$S$61</f>
        <v>58.65396449704142</v>
      </c>
      <c r="I1256">
        <f>(C1256+$S$60)*$S$61</f>
        <v>71.85110650887574</v>
      </c>
    </row>
    <row r="1257">
      <c r="B1257">
        <f>IF(AND($S$23=1,2&lt;=$S$26),$S$27+1.5*$S$28/$S$26,NA())</f>
        <v>12.0</v>
      </c>
      <c r="C1257">
        <f>$S$4-$S$7</f>
        <v>57.0</v>
      </c>
      <c r="D1257">
        <f>(B1257+$S$52)*$S$54</f>
        <v>56.31278873239436</v>
      </c>
      <c r="E1257">
        <f>(C1257+$S$53)*$S$54</f>
        <v>130.4085633802817</v>
      </c>
      <c r="F1257">
        <f>(B1257+$S$55)*$S$58</f>
        <v>121.08104615384616</v>
      </c>
      <c r="G1257">
        <f>(C1257+$S$56)*$S$58</f>
        <v>343.06296410256414</v>
      </c>
      <c r="H1257">
        <f>(B1257+$S$59)*$S$61</f>
        <v>58.65396449704142</v>
      </c>
      <c r="I1257">
        <f>(C1257+$S$60)*$S$61</f>
        <v>151.03395857988167</v>
      </c>
    </row>
    <row r="1259">
      <c r="B1259">
        <f>IF(AND($S$23=1,3&lt;=$S$26),$S$27+2.5*$S$28/$S$26,NA())</f>
        <v>18.0</v>
      </c>
      <c r="C1259">
        <f>$S$7</f>
        <v>3.0</v>
      </c>
      <c r="D1259">
        <f>(B1259+$S$52)*$S$54</f>
        <v>62.240450704225346</v>
      </c>
      <c r="E1259">
        <f>(C1259+$S$53)*$S$54</f>
        <v>77.05960563380282</v>
      </c>
      <c r="F1259">
        <f>(B1259+$S$55)*$S$58</f>
        <v>138.37833846153848</v>
      </c>
      <c r="G1259">
        <f>(C1259+$S$56)*$S$58</f>
        <v>187.38733333333334</v>
      </c>
      <c r="H1259">
        <f>(B1259+$S$59)*$S$61</f>
        <v>67.45205917159764</v>
      </c>
      <c r="I1259">
        <f>(C1259+$S$60)*$S$61</f>
        <v>71.85110650887574</v>
      </c>
    </row>
    <row r="1260">
      <c r="B1260">
        <f>IF(AND($S$23=1,3&lt;=$S$26),$S$27+2.5*$S$28/$S$26,NA())</f>
        <v>18.0</v>
      </c>
      <c r="C1260">
        <f>$S$4-$S$7</f>
        <v>57.0</v>
      </c>
      <c r="D1260">
        <f>(B1260+$S$52)*$S$54</f>
        <v>62.240450704225346</v>
      </c>
      <c r="E1260">
        <f>(C1260+$S$53)*$S$54</f>
        <v>130.4085633802817</v>
      </c>
      <c r="F1260">
        <f>(B1260+$S$55)*$S$58</f>
        <v>138.37833846153848</v>
      </c>
      <c r="G1260">
        <f>(C1260+$S$56)*$S$58</f>
        <v>343.06296410256414</v>
      </c>
      <c r="H1260">
        <f>(B1260+$S$59)*$S$61</f>
        <v>67.45205917159764</v>
      </c>
      <c r="I1260">
        <f>(C1260+$S$60)*$S$61</f>
        <v>151.03395857988167</v>
      </c>
    </row>
    <row r="1262">
      <c r="B1262">
        <f>IF(AND($S$23=1,4&lt;=$S$26),$S$27+3.5*$S$28/$S$26,NA())</f>
        <v>24.0</v>
      </c>
      <c r="C1262">
        <f>$S$7</f>
        <v>3.0</v>
      </c>
      <c r="D1262">
        <f>(B1262+$S$52)*$S$54</f>
        <v>68.16811267605634</v>
      </c>
      <c r="E1262">
        <f>(C1262+$S$53)*$S$54</f>
        <v>77.05960563380282</v>
      </c>
      <c r="F1262">
        <f>(B1262+$S$55)*$S$58</f>
        <v>155.67563076923076</v>
      </c>
      <c r="G1262">
        <f>(C1262+$S$56)*$S$58</f>
        <v>187.38733333333334</v>
      </c>
      <c r="H1262">
        <f>(B1262+$S$59)*$S$61</f>
        <v>76.25015384615385</v>
      </c>
      <c r="I1262">
        <f>(C1262+$S$60)*$S$61</f>
        <v>71.85110650887574</v>
      </c>
    </row>
    <row r="1263">
      <c r="B1263">
        <f>IF(AND($S$23=1,4&lt;=$S$26),$S$27+3.5*$S$28/$S$26,NA())</f>
        <v>24.0</v>
      </c>
      <c r="C1263">
        <f>$S$4-$S$7</f>
        <v>57.0</v>
      </c>
      <c r="D1263">
        <f>(B1263+$S$52)*$S$54</f>
        <v>68.16811267605634</v>
      </c>
      <c r="E1263">
        <f>(C1263+$S$53)*$S$54</f>
        <v>130.4085633802817</v>
      </c>
      <c r="F1263">
        <f>(B1263+$S$55)*$S$58</f>
        <v>155.67563076923076</v>
      </c>
      <c r="G1263">
        <f>(C1263+$S$56)*$S$58</f>
        <v>343.06296410256414</v>
      </c>
      <c r="H1263">
        <f>(B1263+$S$59)*$S$61</f>
        <v>76.25015384615385</v>
      </c>
      <c r="I1263">
        <f>(C1263+$S$60)*$S$61</f>
        <v>151.03395857988167</v>
      </c>
    </row>
    <row r="1265">
      <c r="B1265">
        <f>IF(AND($S$23=1,5&lt;=$S$26),$S$27+4.5*$S$28/$S$26,NA())</f>
        <v>30.0</v>
      </c>
      <c r="C1265">
        <f>$S$7</f>
        <v>3.0</v>
      </c>
      <c r="D1265">
        <f>(B1265+$S$52)*$S$54</f>
        <v>74.09577464788732</v>
      </c>
      <c r="E1265">
        <f>(C1265+$S$53)*$S$54</f>
        <v>77.05960563380282</v>
      </c>
      <c r="F1265">
        <f>(B1265+$S$55)*$S$58</f>
        <v>172.97292307692308</v>
      </c>
      <c r="G1265">
        <f>(C1265+$S$56)*$S$58</f>
        <v>187.38733333333334</v>
      </c>
      <c r="H1265">
        <f>(B1265+$S$59)*$S$61</f>
        <v>85.04824852071006</v>
      </c>
      <c r="I1265">
        <f>(C1265+$S$60)*$S$61</f>
        <v>71.85110650887574</v>
      </c>
    </row>
    <row r="1266">
      <c r="B1266">
        <f>IF(AND($S$23=1,5&lt;=$S$26),$S$27+4.5*$S$28/$S$26,NA())</f>
        <v>30.0</v>
      </c>
      <c r="C1266">
        <f>$S$4-$S$7</f>
        <v>57.0</v>
      </c>
      <c r="D1266">
        <f>(B1266+$S$52)*$S$54</f>
        <v>74.09577464788732</v>
      </c>
      <c r="E1266">
        <f>(C1266+$S$53)*$S$54</f>
        <v>130.4085633802817</v>
      </c>
      <c r="F1266">
        <f>(B1266+$S$55)*$S$58</f>
        <v>172.97292307692308</v>
      </c>
      <c r="G1266">
        <f>(C1266+$S$56)*$S$58</f>
        <v>343.06296410256414</v>
      </c>
      <c r="H1266">
        <f>(B1266+$S$59)*$S$61</f>
        <v>85.04824852071006</v>
      </c>
      <c r="I1266">
        <f>(C1266+$S$60)*$S$61</f>
        <v>151.03395857988167</v>
      </c>
    </row>
    <row r="1268">
      <c r="B1268" t="e">
        <f>IF(AND($S$23=1,6&lt;=$S$26),$S$27+5.5*$S$28/$S$26,NA())</f>
        <v>#N/A</v>
      </c>
      <c r="C1268">
        <f>$S$7</f>
        <v>3.0</v>
      </c>
      <c r="D1268" t="e">
        <f>(B1268+$S$52)*$S$54</f>
        <v>#N/A</v>
      </c>
      <c r="E1268">
        <f>(C1268+$S$53)*$S$54</f>
        <v>77.05960563380282</v>
      </c>
      <c r="F1268" t="e">
        <f>(B1268+$S$55)*$S$58</f>
        <v>#N/A</v>
      </c>
      <c r="G1268">
        <f>(C1268+$S$56)*$S$58</f>
        <v>187.38733333333334</v>
      </c>
      <c r="H1268" t="e">
        <f>(B1268+$S$59)*$S$61</f>
        <v>#N/A</v>
      </c>
      <c r="I1268">
        <f>(C1268+$S$60)*$S$61</f>
        <v>71.85110650887574</v>
      </c>
    </row>
    <row r="1269">
      <c r="B1269" t="e">
        <f>IF(AND($S$23=1,6&lt;=$S$26),$S$27+5.5*$S$28/$S$26,NA())</f>
        <v>#N/A</v>
      </c>
      <c r="C1269">
        <f>$S$4-$S$7</f>
        <v>57.0</v>
      </c>
      <c r="D1269" t="e">
        <f>(B1269+$S$52)*$S$54</f>
        <v>#N/A</v>
      </c>
      <c r="E1269">
        <f>(C1269+$S$53)*$S$54</f>
        <v>130.4085633802817</v>
      </c>
      <c r="F1269" t="e">
        <f>(B1269+$S$55)*$S$58</f>
        <v>#N/A</v>
      </c>
      <c r="G1269">
        <f>(C1269+$S$56)*$S$58</f>
        <v>343.06296410256414</v>
      </c>
      <c r="H1269" t="e">
        <f>(B1269+$S$59)*$S$61</f>
        <v>#N/A</v>
      </c>
      <c r="I1269">
        <f>(C1269+$S$60)*$S$61</f>
        <v>151.03395857988167</v>
      </c>
    </row>
    <row r="1271">
      <c r="B1271" t="e">
        <f>IF(AND($S$23=1,7&lt;=$S$26),$S$27+6.5*$S$28/$S$26,NA())</f>
        <v>#N/A</v>
      </c>
      <c r="C1271">
        <f>$S$7</f>
        <v>3.0</v>
      </c>
      <c r="D1271" t="e">
        <f>(B1271+$S$52)*$S$54</f>
        <v>#N/A</v>
      </c>
      <c r="E1271">
        <f>(C1271+$S$53)*$S$54</f>
        <v>77.05960563380282</v>
      </c>
      <c r="F1271" t="e">
        <f>(B1271+$S$55)*$S$58</f>
        <v>#N/A</v>
      </c>
      <c r="G1271">
        <f>(C1271+$S$56)*$S$58</f>
        <v>187.38733333333334</v>
      </c>
      <c r="H1271" t="e">
        <f>(B1271+$S$59)*$S$61</f>
        <v>#N/A</v>
      </c>
      <c r="I1271">
        <f>(C1271+$S$60)*$S$61</f>
        <v>71.85110650887574</v>
      </c>
    </row>
    <row r="1272">
      <c r="B1272" t="e">
        <f>IF(AND($S$23=1,7&lt;=$S$26),$S$27+6.5*$S$28/$S$26,NA())</f>
        <v>#N/A</v>
      </c>
      <c r="C1272">
        <f>$S$4-$S$7</f>
        <v>57.0</v>
      </c>
      <c r="D1272" t="e">
        <f>(B1272+$S$52)*$S$54</f>
        <v>#N/A</v>
      </c>
      <c r="E1272">
        <f>(C1272+$S$53)*$S$54</f>
        <v>130.4085633802817</v>
      </c>
      <c r="F1272" t="e">
        <f>(B1272+$S$55)*$S$58</f>
        <v>#N/A</v>
      </c>
      <c r="G1272">
        <f>(C1272+$S$56)*$S$58</f>
        <v>343.06296410256414</v>
      </c>
      <c r="H1272" t="e">
        <f>(B1272+$S$59)*$S$61</f>
        <v>#N/A</v>
      </c>
      <c r="I1272">
        <f>(C1272+$S$60)*$S$61</f>
        <v>151.03395857988167</v>
      </c>
    </row>
    <row r="1274">
      <c r="B1274" t="e">
        <f>IF(AND($S$23=1,8&lt;=$S$26),$S$27+7.5*$S$28/$S$26,NA())</f>
        <v>#N/A</v>
      </c>
      <c r="C1274">
        <f>$S$7</f>
        <v>3.0</v>
      </c>
      <c r="D1274" t="e">
        <f>(B1274+$S$52)*$S$54</f>
        <v>#N/A</v>
      </c>
      <c r="E1274">
        <f>(C1274+$S$53)*$S$54</f>
        <v>77.05960563380282</v>
      </c>
      <c r="F1274" t="e">
        <f>(B1274+$S$55)*$S$58</f>
        <v>#N/A</v>
      </c>
      <c r="G1274">
        <f>(C1274+$S$56)*$S$58</f>
        <v>187.38733333333334</v>
      </c>
      <c r="H1274" t="e">
        <f>(B1274+$S$59)*$S$61</f>
        <v>#N/A</v>
      </c>
      <c r="I1274">
        <f>(C1274+$S$60)*$S$61</f>
        <v>71.85110650887574</v>
      </c>
    </row>
    <row r="1275">
      <c r="B1275" t="e">
        <f>IF(AND($S$23=1,8&lt;=$S$26),$S$27+7.5*$S$28/$S$26,NA())</f>
        <v>#N/A</v>
      </c>
      <c r="C1275">
        <f>$S$4-$S$7</f>
        <v>57.0</v>
      </c>
      <c r="D1275" t="e">
        <f>(B1275+$S$52)*$S$54</f>
        <v>#N/A</v>
      </c>
      <c r="E1275">
        <f>(C1275+$S$53)*$S$54</f>
        <v>130.4085633802817</v>
      </c>
      <c r="F1275" t="e">
        <f>(B1275+$S$55)*$S$58</f>
        <v>#N/A</v>
      </c>
      <c r="G1275">
        <f>(C1275+$S$56)*$S$58</f>
        <v>343.06296410256414</v>
      </c>
      <c r="H1275" t="e">
        <f>(B1275+$S$59)*$S$61</f>
        <v>#N/A</v>
      </c>
      <c r="I1275">
        <f>(C1275+$S$60)*$S$61</f>
        <v>151.03395857988167</v>
      </c>
    </row>
    <row r="1277">
      <c r="B1277" t="e">
        <f>IF(AND($S$23=1,9&lt;=$S$26),$S$27+8.5*$S$28/$S$26,NA())</f>
        <v>#N/A</v>
      </c>
      <c r="C1277">
        <f>$S$7</f>
        <v>3.0</v>
      </c>
      <c r="D1277" t="e">
        <f>(B1277+$S$52)*$S$54</f>
        <v>#N/A</v>
      </c>
      <c r="E1277">
        <f>(C1277+$S$53)*$S$54</f>
        <v>77.05960563380282</v>
      </c>
      <c r="F1277" t="e">
        <f>(B1277+$S$55)*$S$58</f>
        <v>#N/A</v>
      </c>
      <c r="G1277">
        <f>(C1277+$S$56)*$S$58</f>
        <v>187.38733333333334</v>
      </c>
      <c r="H1277" t="e">
        <f>(B1277+$S$59)*$S$61</f>
        <v>#N/A</v>
      </c>
      <c r="I1277">
        <f>(C1277+$S$60)*$S$61</f>
        <v>71.85110650887574</v>
      </c>
    </row>
    <row r="1278">
      <c r="B1278" t="e">
        <f>IF(AND($S$23=1,9&lt;=$S$26),$S$27+8.5*$S$28/$S$26,NA())</f>
        <v>#N/A</v>
      </c>
      <c r="C1278">
        <f>$S$4-$S$7</f>
        <v>57.0</v>
      </c>
      <c r="D1278" t="e">
        <f>(B1278+$S$52)*$S$54</f>
        <v>#N/A</v>
      </c>
      <c r="E1278">
        <f>(C1278+$S$53)*$S$54</f>
        <v>130.4085633802817</v>
      </c>
      <c r="F1278" t="e">
        <f>(B1278+$S$55)*$S$58</f>
        <v>#N/A</v>
      </c>
      <c r="G1278">
        <f>(C1278+$S$56)*$S$58</f>
        <v>343.06296410256414</v>
      </c>
      <c r="H1278" t="e">
        <f>(B1278+$S$59)*$S$61</f>
        <v>#N/A</v>
      </c>
      <c r="I1278">
        <f>(C1278+$S$60)*$S$61</f>
        <v>151.03395857988167</v>
      </c>
    </row>
    <row r="1280">
      <c r="B1280" t="e">
        <f>IF(AND($S$23=1,10&lt;=$S$26),$S$27+9.5*$S$28/$S$26,NA())</f>
        <v>#N/A</v>
      </c>
      <c r="C1280">
        <f>$S$7</f>
        <v>3.0</v>
      </c>
      <c r="D1280" t="e">
        <f>(B1280+$S$52)*$S$54</f>
        <v>#N/A</v>
      </c>
      <c r="E1280">
        <f>(C1280+$S$53)*$S$54</f>
        <v>77.05960563380282</v>
      </c>
      <c r="F1280" t="e">
        <f>(B1280+$S$55)*$S$58</f>
        <v>#N/A</v>
      </c>
      <c r="G1280">
        <f>(C1280+$S$56)*$S$58</f>
        <v>187.38733333333334</v>
      </c>
      <c r="H1280" t="e">
        <f>(B1280+$S$59)*$S$61</f>
        <v>#N/A</v>
      </c>
      <c r="I1280">
        <f>(C1280+$S$60)*$S$61</f>
        <v>71.85110650887574</v>
      </c>
    </row>
    <row r="1281">
      <c r="B1281" t="e">
        <f>IF(AND($S$23=1,10&lt;=$S$26),$S$27+9.5*$S$28/$S$26,NA())</f>
        <v>#N/A</v>
      </c>
      <c r="C1281">
        <f>$S$4-$S$7</f>
        <v>57.0</v>
      </c>
      <c r="D1281" t="e">
        <f>(B1281+$S$52)*$S$54</f>
        <v>#N/A</v>
      </c>
      <c r="E1281">
        <f>(C1281+$S$53)*$S$54</f>
        <v>130.4085633802817</v>
      </c>
      <c r="F1281" t="e">
        <f>(B1281+$S$55)*$S$58</f>
        <v>#N/A</v>
      </c>
      <c r="G1281">
        <f>(C1281+$S$56)*$S$58</f>
        <v>343.06296410256414</v>
      </c>
      <c r="H1281" t="e">
        <f>(B1281+$S$59)*$S$61</f>
        <v>#N/A</v>
      </c>
      <c r="I1281">
        <f>(C1281+$S$60)*$S$61</f>
        <v>151.03395857988167</v>
      </c>
    </row>
    <row r="1283">
      <c r="B1283" t="e">
        <f>IF(AND($S$23=1,11&lt;=$S$26),$S$27+10.5*$S$28/$S$26,NA())</f>
        <v>#N/A</v>
      </c>
      <c r="C1283">
        <f>$S$7</f>
        <v>3.0</v>
      </c>
      <c r="D1283" t="e">
        <f>(B1283+$S$52)*$S$54</f>
        <v>#N/A</v>
      </c>
      <c r="E1283">
        <f>(C1283+$S$53)*$S$54</f>
        <v>77.05960563380282</v>
      </c>
      <c r="F1283" t="e">
        <f>(B1283+$S$55)*$S$58</f>
        <v>#N/A</v>
      </c>
      <c r="G1283">
        <f>(C1283+$S$56)*$S$58</f>
        <v>187.38733333333334</v>
      </c>
      <c r="H1283" t="e">
        <f>(B1283+$S$59)*$S$61</f>
        <v>#N/A</v>
      </c>
      <c r="I1283">
        <f>(C1283+$S$60)*$S$61</f>
        <v>71.85110650887574</v>
      </c>
    </row>
    <row r="1284">
      <c r="B1284" t="e">
        <f>IF(AND($S$23=1,11&lt;=$S$26),$S$27+10.5*$S$28/$S$26,NA())</f>
        <v>#N/A</v>
      </c>
      <c r="C1284">
        <f>$S$4-$S$7</f>
        <v>57.0</v>
      </c>
      <c r="D1284" t="e">
        <f>(B1284+$S$52)*$S$54</f>
        <v>#N/A</v>
      </c>
      <c r="E1284">
        <f>(C1284+$S$53)*$S$54</f>
        <v>130.4085633802817</v>
      </c>
      <c r="F1284" t="e">
        <f>(B1284+$S$55)*$S$58</f>
        <v>#N/A</v>
      </c>
      <c r="G1284">
        <f>(C1284+$S$56)*$S$58</f>
        <v>343.06296410256414</v>
      </c>
      <c r="H1284" t="e">
        <f>(B1284+$S$59)*$S$61</f>
        <v>#N/A</v>
      </c>
      <c r="I1284">
        <f>(C1284+$S$60)*$S$61</f>
        <v>151.03395857988167</v>
      </c>
    </row>
    <row r="1286">
      <c r="B1286" t="e">
        <f>IF(AND($S$23=1,12&lt;=$S$26),$S$27+11.5*$S$28/$S$26,NA())</f>
        <v>#N/A</v>
      </c>
      <c r="C1286">
        <f>$S$7</f>
        <v>3.0</v>
      </c>
      <c r="D1286" t="e">
        <f>(B1286+$S$52)*$S$54</f>
        <v>#N/A</v>
      </c>
      <c r="E1286">
        <f>(C1286+$S$53)*$S$54</f>
        <v>77.05960563380282</v>
      </c>
      <c r="F1286" t="e">
        <f>(B1286+$S$55)*$S$58</f>
        <v>#N/A</v>
      </c>
      <c r="G1286">
        <f>(C1286+$S$56)*$S$58</f>
        <v>187.38733333333334</v>
      </c>
      <c r="H1286" t="e">
        <f>(B1286+$S$59)*$S$61</f>
        <v>#N/A</v>
      </c>
      <c r="I1286">
        <f>(C1286+$S$60)*$S$61</f>
        <v>71.85110650887574</v>
      </c>
    </row>
    <row r="1287">
      <c r="B1287" t="e">
        <f>IF(AND($S$23=1,12&lt;=$S$26),$S$27+11.5*$S$28/$S$26,NA())</f>
        <v>#N/A</v>
      </c>
      <c r="C1287">
        <f>$S$4-$S$7</f>
        <v>57.0</v>
      </c>
      <c r="D1287" t="e">
        <f>(B1287+$S$52)*$S$54</f>
        <v>#N/A</v>
      </c>
      <c r="E1287">
        <f>(C1287+$S$53)*$S$54</f>
        <v>130.4085633802817</v>
      </c>
      <c r="F1287" t="e">
        <f>(B1287+$S$55)*$S$58</f>
        <v>#N/A</v>
      </c>
      <c r="G1287">
        <f>(C1287+$S$56)*$S$58</f>
        <v>343.06296410256414</v>
      </c>
      <c r="H1287" t="e">
        <f>(B1287+$S$59)*$S$61</f>
        <v>#N/A</v>
      </c>
      <c r="I1287">
        <f>(C1287+$S$60)*$S$61</f>
        <v>151.03395857988167</v>
      </c>
    </row>
    <row r="1289">
      <c r="B1289" t="e">
        <f>IF(AND($S$23=1,13&lt;=$S$26),$S$27+12.5*$S$28/$S$26,NA())</f>
        <v>#N/A</v>
      </c>
      <c r="C1289">
        <f>$S$7</f>
        <v>3.0</v>
      </c>
      <c r="D1289" t="e">
        <f>(B1289+$S$52)*$S$54</f>
        <v>#N/A</v>
      </c>
      <c r="E1289">
        <f>(C1289+$S$53)*$S$54</f>
        <v>77.05960563380282</v>
      </c>
      <c r="F1289" t="e">
        <f>(B1289+$S$55)*$S$58</f>
        <v>#N/A</v>
      </c>
      <c r="G1289">
        <f>(C1289+$S$56)*$S$58</f>
        <v>187.38733333333334</v>
      </c>
      <c r="H1289" t="e">
        <f>(B1289+$S$59)*$S$61</f>
        <v>#N/A</v>
      </c>
      <c r="I1289">
        <f>(C1289+$S$60)*$S$61</f>
        <v>71.85110650887574</v>
      </c>
    </row>
    <row r="1290">
      <c r="B1290" t="e">
        <f>IF(AND($S$23=1,13&lt;=$S$26),$S$27+12.5*$S$28/$S$26,NA())</f>
        <v>#N/A</v>
      </c>
      <c r="C1290">
        <f>$S$4-$S$7</f>
        <v>57.0</v>
      </c>
      <c r="D1290" t="e">
        <f>(B1290+$S$52)*$S$54</f>
        <v>#N/A</v>
      </c>
      <c r="E1290">
        <f>(C1290+$S$53)*$S$54</f>
        <v>130.4085633802817</v>
      </c>
      <c r="F1290" t="e">
        <f>(B1290+$S$55)*$S$58</f>
        <v>#N/A</v>
      </c>
      <c r="G1290">
        <f>(C1290+$S$56)*$S$58</f>
        <v>343.06296410256414</v>
      </c>
      <c r="H1290" t="e">
        <f>(B1290+$S$59)*$S$61</f>
        <v>#N/A</v>
      </c>
      <c r="I1290">
        <f>(C1290+$S$60)*$S$61</f>
        <v>151.03395857988167</v>
      </c>
    </row>
    <row r="1292">
      <c r="B1292" t="e">
        <f>IF(AND($S$23=1,14&lt;=$S$26),$S$27+13.5*$S$28/$S$26,NA())</f>
        <v>#N/A</v>
      </c>
      <c r="C1292">
        <f>$S$7</f>
        <v>3.0</v>
      </c>
      <c r="D1292" t="e">
        <f>(B1292+$S$52)*$S$54</f>
        <v>#N/A</v>
      </c>
      <c r="E1292">
        <f>(C1292+$S$53)*$S$54</f>
        <v>77.05960563380282</v>
      </c>
      <c r="F1292" t="e">
        <f>(B1292+$S$55)*$S$58</f>
        <v>#N/A</v>
      </c>
      <c r="G1292">
        <f>(C1292+$S$56)*$S$58</f>
        <v>187.38733333333334</v>
      </c>
      <c r="H1292" t="e">
        <f>(B1292+$S$59)*$S$61</f>
        <v>#N/A</v>
      </c>
      <c r="I1292">
        <f>(C1292+$S$60)*$S$61</f>
        <v>71.85110650887574</v>
      </c>
    </row>
    <row r="1293">
      <c r="B1293" t="e">
        <f>IF(AND($S$23=1,14&lt;=$S$26),$S$27+13.5*$S$28/$S$26,NA())</f>
        <v>#N/A</v>
      </c>
      <c r="C1293">
        <f>$S$4-$S$7</f>
        <v>57.0</v>
      </c>
      <c r="D1293" t="e">
        <f>(B1293+$S$52)*$S$54</f>
        <v>#N/A</v>
      </c>
      <c r="E1293">
        <f>(C1293+$S$53)*$S$54</f>
        <v>130.4085633802817</v>
      </c>
      <c r="F1293" t="e">
        <f>(B1293+$S$55)*$S$58</f>
        <v>#N/A</v>
      </c>
      <c r="G1293">
        <f>(C1293+$S$56)*$S$58</f>
        <v>343.06296410256414</v>
      </c>
      <c r="H1293" t="e">
        <f>(B1293+$S$59)*$S$61</f>
        <v>#N/A</v>
      </c>
      <c r="I1293">
        <f>(C1293+$S$60)*$S$61</f>
        <v>151.03395857988167</v>
      </c>
    </row>
    <row r="1295">
      <c r="B1295" t="e">
        <f>IF(AND($S$23=1,15&lt;=$S$26),$S$27+14.5*$S$28/$S$26,NA())</f>
        <v>#N/A</v>
      </c>
      <c r="C1295">
        <f>$S$7</f>
        <v>3.0</v>
      </c>
      <c r="D1295" t="e">
        <f>(B1295+$S$52)*$S$54</f>
        <v>#N/A</v>
      </c>
      <c r="E1295">
        <f>(C1295+$S$53)*$S$54</f>
        <v>77.05960563380282</v>
      </c>
      <c r="F1295" t="e">
        <f>(B1295+$S$55)*$S$58</f>
        <v>#N/A</v>
      </c>
      <c r="G1295">
        <f>(C1295+$S$56)*$S$58</f>
        <v>187.38733333333334</v>
      </c>
      <c r="H1295" t="e">
        <f>(B1295+$S$59)*$S$61</f>
        <v>#N/A</v>
      </c>
      <c r="I1295">
        <f>(C1295+$S$60)*$S$61</f>
        <v>71.85110650887574</v>
      </c>
    </row>
    <row r="1296">
      <c r="B1296" t="e">
        <f>IF(AND($S$23=1,15&lt;=$S$26),$S$27+14.5*$S$28/$S$26,NA())</f>
        <v>#N/A</v>
      </c>
      <c r="C1296">
        <f>$S$4-$S$7</f>
        <v>57.0</v>
      </c>
      <c r="D1296" t="e">
        <f>(B1296+$S$52)*$S$54</f>
        <v>#N/A</v>
      </c>
      <c r="E1296">
        <f>(C1296+$S$53)*$S$54</f>
        <v>130.4085633802817</v>
      </c>
      <c r="F1296" t="e">
        <f>(B1296+$S$55)*$S$58</f>
        <v>#N/A</v>
      </c>
      <c r="G1296">
        <f>(C1296+$S$56)*$S$58</f>
        <v>343.06296410256414</v>
      </c>
      <c r="H1296" t="e">
        <f>(B1296+$S$59)*$S$61</f>
        <v>#N/A</v>
      </c>
      <c r="I1296">
        <f>(C1296+$S$60)*$S$61</f>
        <v>151.03395857988167</v>
      </c>
    </row>
    <row r="1298">
      <c r="B1298" t="e">
        <f>IF(AND($S$23=1,16&lt;=$S$26),$S$27+15.5*$S$28/$S$26,NA())</f>
        <v>#N/A</v>
      </c>
      <c r="C1298">
        <f>$S$7</f>
        <v>3.0</v>
      </c>
      <c r="D1298" t="e">
        <f>(B1298+$S$52)*$S$54</f>
        <v>#N/A</v>
      </c>
      <c r="E1298">
        <f>(C1298+$S$53)*$S$54</f>
        <v>77.05960563380282</v>
      </c>
      <c r="F1298" t="e">
        <f>(B1298+$S$55)*$S$58</f>
        <v>#N/A</v>
      </c>
      <c r="G1298">
        <f>(C1298+$S$56)*$S$58</f>
        <v>187.38733333333334</v>
      </c>
      <c r="H1298" t="e">
        <f>(B1298+$S$59)*$S$61</f>
        <v>#N/A</v>
      </c>
      <c r="I1298">
        <f>(C1298+$S$60)*$S$61</f>
        <v>71.85110650887574</v>
      </c>
    </row>
    <row r="1299">
      <c r="B1299" t="e">
        <f>IF(AND($S$23=1,16&lt;=$S$26),$S$27+15.5*$S$28/$S$26,NA())</f>
        <v>#N/A</v>
      </c>
      <c r="C1299">
        <f>$S$4-$S$7</f>
        <v>57.0</v>
      </c>
      <c r="D1299" t="e">
        <f>(B1299+$S$52)*$S$54</f>
        <v>#N/A</v>
      </c>
      <c r="E1299">
        <f>(C1299+$S$53)*$S$54</f>
        <v>130.4085633802817</v>
      </c>
      <c r="F1299" t="e">
        <f>(B1299+$S$55)*$S$58</f>
        <v>#N/A</v>
      </c>
      <c r="G1299">
        <f>(C1299+$S$56)*$S$58</f>
        <v>343.06296410256414</v>
      </c>
      <c r="H1299" t="e">
        <f>(B1299+$S$59)*$S$61</f>
        <v>#N/A</v>
      </c>
      <c r="I1299">
        <f>(C1299+$S$60)*$S$61</f>
        <v>151.03395857988167</v>
      </c>
    </row>
    <row r="1301">
      <c r="B1301">
        <f>$S$2-(IF(AND($S$23=1,1&lt;=$S$26),$S$27+0.5*$S$28/$S$26,NA()))</f>
        <v>809.0</v>
      </c>
      <c r="C1301">
        <f>$S$7</f>
        <v>3.0</v>
      </c>
      <c r="D1301">
        <f>(B1301+$S$52)*$S$54</f>
        <v>843.7038873239436</v>
      </c>
      <c r="E1301">
        <f>(C1301+$S$53)*$S$54</f>
        <v>77.05960563380282</v>
      </c>
      <c r="F1301">
        <f>(B1301+$S$55)*$S$58</f>
        <v>2418.738041025641</v>
      </c>
      <c r="G1301">
        <f>(C1301+$S$56)*$S$58</f>
        <v>187.38733333333334</v>
      </c>
      <c r="H1301">
        <f>(B1301+$S$59)*$S$61</f>
        <v>1227.3342071005918</v>
      </c>
      <c r="I1301">
        <f>(C1301+$S$60)*$S$61</f>
        <v>71.85110650887574</v>
      </c>
    </row>
    <row r="1302">
      <c r="B1302">
        <f>$S$2-(IF(AND($S$23=1,1&lt;=$S$26),$S$27+0.5*$S$28/$S$26,NA()))</f>
        <v>809.0</v>
      </c>
      <c r="C1302">
        <f>$S$4-$S$7</f>
        <v>57.0</v>
      </c>
      <c r="D1302">
        <f>(B1302+$S$52)*$S$54</f>
        <v>843.7038873239436</v>
      </c>
      <c r="E1302">
        <f>(C1302+$S$53)*$S$54</f>
        <v>130.4085633802817</v>
      </c>
      <c r="F1302">
        <f>(B1302+$S$55)*$S$58</f>
        <v>2418.738041025641</v>
      </c>
      <c r="G1302">
        <f>(C1302+$S$56)*$S$58</f>
        <v>343.06296410256414</v>
      </c>
      <c r="H1302">
        <f>(B1302+$S$59)*$S$61</f>
        <v>1227.3342071005918</v>
      </c>
      <c r="I1302">
        <f>(C1302+$S$60)*$S$61</f>
        <v>151.03395857988167</v>
      </c>
    </row>
    <row r="1304">
      <c r="B1304">
        <f>$S$2-(IF(AND($S$23=1,2&lt;=$S$26),$S$27+1.5*$S$28/$S$26,NA()))</f>
        <v>803.0</v>
      </c>
      <c r="C1304">
        <f>$S$7</f>
        <v>3.0</v>
      </c>
      <c r="D1304">
        <f>(B1304+$S$52)*$S$54</f>
        <v>837.7762253521126</v>
      </c>
      <c r="E1304">
        <f>(C1304+$S$53)*$S$54</f>
        <v>77.05960563380282</v>
      </c>
      <c r="F1304">
        <f>(B1304+$S$55)*$S$58</f>
        <v>2401.4407487179487</v>
      </c>
      <c r="G1304">
        <f>(C1304+$S$56)*$S$58</f>
        <v>187.38733333333334</v>
      </c>
      <c r="H1304">
        <f>(B1304+$S$59)*$S$61</f>
        <v>1218.5361124260355</v>
      </c>
      <c r="I1304">
        <f>(C1304+$S$60)*$S$61</f>
        <v>71.85110650887574</v>
      </c>
    </row>
    <row r="1305">
      <c r="B1305">
        <f>$S$2-(IF(AND($S$23=1,2&lt;=$S$26),$S$27+1.5*$S$28/$S$26,NA()))</f>
        <v>803.0</v>
      </c>
      <c r="C1305">
        <f>$S$4-$S$7</f>
        <v>57.0</v>
      </c>
      <c r="D1305">
        <f>(B1305+$S$52)*$S$54</f>
        <v>837.7762253521126</v>
      </c>
      <c r="E1305">
        <f>(C1305+$S$53)*$S$54</f>
        <v>130.4085633802817</v>
      </c>
      <c r="F1305">
        <f>(B1305+$S$55)*$S$58</f>
        <v>2401.4407487179487</v>
      </c>
      <c r="G1305">
        <f>(C1305+$S$56)*$S$58</f>
        <v>343.06296410256414</v>
      </c>
      <c r="H1305">
        <f>(B1305+$S$59)*$S$61</f>
        <v>1218.5361124260355</v>
      </c>
      <c r="I1305">
        <f>(C1305+$S$60)*$S$61</f>
        <v>151.03395857988167</v>
      </c>
    </row>
    <row r="1307">
      <c r="B1307">
        <f>$S$2-(IF(AND($S$23=1,3&lt;=$S$26),$S$27+2.5*$S$28/$S$26,NA()))</f>
        <v>797.0</v>
      </c>
      <c r="C1307">
        <f>$S$7</f>
        <v>3.0</v>
      </c>
      <c r="D1307">
        <f>(B1307+$S$52)*$S$54</f>
        <v>831.8485633802817</v>
      </c>
      <c r="E1307">
        <f>(C1307+$S$53)*$S$54</f>
        <v>77.05960563380282</v>
      </c>
      <c r="F1307">
        <f>(B1307+$S$55)*$S$58</f>
        <v>2384.1434564102565</v>
      </c>
      <c r="G1307">
        <f>(C1307+$S$56)*$S$58</f>
        <v>187.38733333333334</v>
      </c>
      <c r="H1307">
        <f>(B1307+$S$59)*$S$61</f>
        <v>1209.7380177514792</v>
      </c>
      <c r="I1307">
        <f>(C1307+$S$60)*$S$61</f>
        <v>71.85110650887574</v>
      </c>
    </row>
    <row r="1308">
      <c r="B1308">
        <f>$S$2-(IF(AND($S$23=1,3&lt;=$S$26),$S$27+2.5*$S$28/$S$26,NA()))</f>
        <v>797.0</v>
      </c>
      <c r="C1308">
        <f>$S$4-$S$7</f>
        <v>57.0</v>
      </c>
      <c r="D1308">
        <f>(B1308+$S$52)*$S$54</f>
        <v>831.8485633802817</v>
      </c>
      <c r="E1308">
        <f>(C1308+$S$53)*$S$54</f>
        <v>130.4085633802817</v>
      </c>
      <c r="F1308">
        <f>(B1308+$S$55)*$S$58</f>
        <v>2384.1434564102565</v>
      </c>
      <c r="G1308">
        <f>(C1308+$S$56)*$S$58</f>
        <v>343.06296410256414</v>
      </c>
      <c r="H1308">
        <f>(B1308+$S$59)*$S$61</f>
        <v>1209.7380177514792</v>
      </c>
      <c r="I1308">
        <f>(C1308+$S$60)*$S$61</f>
        <v>151.03395857988167</v>
      </c>
    </row>
    <row r="1310">
      <c r="B1310">
        <f>$S$2-(IF(AND($S$23=1,4&lt;=$S$26),$S$27+3.5*$S$28/$S$26,NA()))</f>
        <v>791.0</v>
      </c>
      <c r="C1310">
        <f>$S$7</f>
        <v>3.0</v>
      </c>
      <c r="D1310">
        <f>(B1310+$S$52)*$S$54</f>
        <v>825.9209014084506</v>
      </c>
      <c r="E1310">
        <f>(C1310+$S$53)*$S$54</f>
        <v>77.05960563380282</v>
      </c>
      <c r="F1310">
        <f>(B1310+$S$55)*$S$58</f>
        <v>2366.846164102564</v>
      </c>
      <c r="G1310">
        <f>(C1310+$S$56)*$S$58</f>
        <v>187.38733333333334</v>
      </c>
      <c r="H1310">
        <f>(B1310+$S$59)*$S$61</f>
        <v>1200.9399230769232</v>
      </c>
      <c r="I1310">
        <f>(C1310+$S$60)*$S$61</f>
        <v>71.85110650887574</v>
      </c>
    </row>
    <row r="1311">
      <c r="B1311">
        <f>$S$2-(IF(AND($S$23=1,4&lt;=$S$26),$S$27+3.5*$S$28/$S$26,NA()))</f>
        <v>791.0</v>
      </c>
      <c r="C1311">
        <f>$S$4-$S$7</f>
        <v>57.0</v>
      </c>
      <c r="D1311">
        <f>(B1311+$S$52)*$S$54</f>
        <v>825.9209014084506</v>
      </c>
      <c r="E1311">
        <f>(C1311+$S$53)*$S$54</f>
        <v>130.4085633802817</v>
      </c>
      <c r="F1311">
        <f>(B1311+$S$55)*$S$58</f>
        <v>2366.846164102564</v>
      </c>
      <c r="G1311">
        <f>(C1311+$S$56)*$S$58</f>
        <v>343.06296410256414</v>
      </c>
      <c r="H1311">
        <f>(B1311+$S$59)*$S$61</f>
        <v>1200.9399230769232</v>
      </c>
      <c r="I1311">
        <f>(C1311+$S$60)*$S$61</f>
        <v>151.03395857988167</v>
      </c>
    </row>
    <row r="1313">
      <c r="B1313">
        <f>$S$2-(IF(AND($S$23=1,5&lt;=$S$26),$S$27+4.5*$S$28/$S$26,NA()))</f>
        <v>785.0</v>
      </c>
      <c r="C1313">
        <f>$S$7</f>
        <v>3.0</v>
      </c>
      <c r="D1313">
        <f>(B1313+$S$52)*$S$54</f>
        <v>819.9932394366197</v>
      </c>
      <c r="E1313">
        <f>(C1313+$S$53)*$S$54</f>
        <v>77.05960563380282</v>
      </c>
      <c r="F1313">
        <f>(B1313+$S$55)*$S$58</f>
        <v>2349.548871794872</v>
      </c>
      <c r="G1313">
        <f>(C1313+$S$56)*$S$58</f>
        <v>187.38733333333334</v>
      </c>
      <c r="H1313">
        <f>(B1313+$S$59)*$S$61</f>
        <v>1192.1418284023669</v>
      </c>
      <c r="I1313">
        <f>(C1313+$S$60)*$S$61</f>
        <v>71.85110650887574</v>
      </c>
    </row>
    <row r="1314">
      <c r="B1314">
        <f>$S$2-(IF(AND($S$23=1,5&lt;=$S$26),$S$27+4.5*$S$28/$S$26,NA()))</f>
        <v>785.0</v>
      </c>
      <c r="C1314">
        <f>$S$4-$S$7</f>
        <v>57.0</v>
      </c>
      <c r="D1314">
        <f>(B1314+$S$52)*$S$54</f>
        <v>819.9932394366197</v>
      </c>
      <c r="E1314">
        <f>(C1314+$S$53)*$S$54</f>
        <v>130.4085633802817</v>
      </c>
      <c r="F1314">
        <f>(B1314+$S$55)*$S$58</f>
        <v>2349.548871794872</v>
      </c>
      <c r="G1314">
        <f>(C1314+$S$56)*$S$58</f>
        <v>343.06296410256414</v>
      </c>
      <c r="H1314">
        <f>(B1314+$S$59)*$S$61</f>
        <v>1192.1418284023669</v>
      </c>
      <c r="I1314">
        <f>(C1314+$S$60)*$S$61</f>
        <v>151.03395857988167</v>
      </c>
    </row>
    <row r="1316">
      <c r="B1316" t="e">
        <f>$S$2-(IF(AND($S$23=1,6&lt;=$S$26),$S$27+5.5*$S$28/$S$26,NA()))</f>
        <v>#N/A</v>
      </c>
      <c r="C1316">
        <f>$S$7</f>
        <v>3.0</v>
      </c>
      <c r="D1316" t="e">
        <f>(B1316+$S$52)*$S$54</f>
        <v>#N/A</v>
      </c>
      <c r="E1316">
        <f>(C1316+$S$53)*$S$54</f>
        <v>77.05960563380282</v>
      </c>
      <c r="F1316" t="e">
        <f>(B1316+$S$55)*$S$58</f>
        <v>#N/A</v>
      </c>
      <c r="G1316">
        <f>(C1316+$S$56)*$S$58</f>
        <v>187.38733333333334</v>
      </c>
      <c r="H1316" t="e">
        <f>(B1316+$S$59)*$S$61</f>
        <v>#N/A</v>
      </c>
      <c r="I1316">
        <f>(C1316+$S$60)*$S$61</f>
        <v>71.85110650887574</v>
      </c>
    </row>
    <row r="1317">
      <c r="B1317" t="e">
        <f>$S$2-(IF(AND($S$23=1,6&lt;=$S$26),$S$27+5.5*$S$28/$S$26,NA()))</f>
        <v>#N/A</v>
      </c>
      <c r="C1317">
        <f>$S$4-$S$7</f>
        <v>57.0</v>
      </c>
      <c r="D1317" t="e">
        <f>(B1317+$S$52)*$S$54</f>
        <v>#N/A</v>
      </c>
      <c r="E1317">
        <f>(C1317+$S$53)*$S$54</f>
        <v>130.4085633802817</v>
      </c>
      <c r="F1317" t="e">
        <f>(B1317+$S$55)*$S$58</f>
        <v>#N/A</v>
      </c>
      <c r="G1317">
        <f>(C1317+$S$56)*$S$58</f>
        <v>343.06296410256414</v>
      </c>
      <c r="H1317" t="e">
        <f>(B1317+$S$59)*$S$61</f>
        <v>#N/A</v>
      </c>
      <c r="I1317">
        <f>(C1317+$S$60)*$S$61</f>
        <v>151.03395857988167</v>
      </c>
    </row>
    <row r="1319">
      <c r="B1319" t="e">
        <f>$S$2-(IF(AND($S$23=1,7&lt;=$S$26),$S$27+6.5*$S$28/$S$26,NA()))</f>
        <v>#N/A</v>
      </c>
      <c r="C1319">
        <f>$S$7</f>
        <v>3.0</v>
      </c>
      <c r="D1319" t="e">
        <f>(B1319+$S$52)*$S$54</f>
        <v>#N/A</v>
      </c>
      <c r="E1319">
        <f>(C1319+$S$53)*$S$54</f>
        <v>77.05960563380282</v>
      </c>
      <c r="F1319" t="e">
        <f>(B1319+$S$55)*$S$58</f>
        <v>#N/A</v>
      </c>
      <c r="G1319">
        <f>(C1319+$S$56)*$S$58</f>
        <v>187.38733333333334</v>
      </c>
      <c r="H1319" t="e">
        <f>(B1319+$S$59)*$S$61</f>
        <v>#N/A</v>
      </c>
      <c r="I1319">
        <f>(C1319+$S$60)*$S$61</f>
        <v>71.85110650887574</v>
      </c>
    </row>
    <row r="1320">
      <c r="B1320" t="e">
        <f>$S$2-(IF(AND($S$23=1,7&lt;=$S$26),$S$27+6.5*$S$28/$S$26,NA()))</f>
        <v>#N/A</v>
      </c>
      <c r="C1320">
        <f>$S$4-$S$7</f>
        <v>57.0</v>
      </c>
      <c r="D1320" t="e">
        <f>(B1320+$S$52)*$S$54</f>
        <v>#N/A</v>
      </c>
      <c r="E1320">
        <f>(C1320+$S$53)*$S$54</f>
        <v>130.4085633802817</v>
      </c>
      <c r="F1320" t="e">
        <f>(B1320+$S$55)*$S$58</f>
        <v>#N/A</v>
      </c>
      <c r="G1320">
        <f>(C1320+$S$56)*$S$58</f>
        <v>343.06296410256414</v>
      </c>
      <c r="H1320" t="e">
        <f>(B1320+$S$59)*$S$61</f>
        <v>#N/A</v>
      </c>
      <c r="I1320">
        <f>(C1320+$S$60)*$S$61</f>
        <v>151.03395857988167</v>
      </c>
    </row>
    <row r="1322">
      <c r="B1322" t="e">
        <f>$S$2-(IF(AND($S$23=1,8&lt;=$S$26),$S$27+7.5*$S$28/$S$26,NA()))</f>
        <v>#N/A</v>
      </c>
      <c r="C1322">
        <f>$S$7</f>
        <v>3.0</v>
      </c>
      <c r="D1322" t="e">
        <f>(B1322+$S$52)*$S$54</f>
        <v>#N/A</v>
      </c>
      <c r="E1322">
        <f>(C1322+$S$53)*$S$54</f>
        <v>77.05960563380282</v>
      </c>
      <c r="F1322" t="e">
        <f>(B1322+$S$55)*$S$58</f>
        <v>#N/A</v>
      </c>
      <c r="G1322">
        <f>(C1322+$S$56)*$S$58</f>
        <v>187.38733333333334</v>
      </c>
      <c r="H1322" t="e">
        <f>(B1322+$S$59)*$S$61</f>
        <v>#N/A</v>
      </c>
      <c r="I1322">
        <f>(C1322+$S$60)*$S$61</f>
        <v>71.85110650887574</v>
      </c>
    </row>
    <row r="1323">
      <c r="B1323" t="e">
        <f>$S$2-(IF(AND($S$23=1,8&lt;=$S$26),$S$27+7.5*$S$28/$S$26,NA()))</f>
        <v>#N/A</v>
      </c>
      <c r="C1323">
        <f>$S$4-$S$7</f>
        <v>57.0</v>
      </c>
      <c r="D1323" t="e">
        <f>(B1323+$S$52)*$S$54</f>
        <v>#N/A</v>
      </c>
      <c r="E1323">
        <f>(C1323+$S$53)*$S$54</f>
        <v>130.4085633802817</v>
      </c>
      <c r="F1323" t="e">
        <f>(B1323+$S$55)*$S$58</f>
        <v>#N/A</v>
      </c>
      <c r="G1323">
        <f>(C1323+$S$56)*$S$58</f>
        <v>343.06296410256414</v>
      </c>
      <c r="H1323" t="e">
        <f>(B1323+$S$59)*$S$61</f>
        <v>#N/A</v>
      </c>
      <c r="I1323">
        <f>(C1323+$S$60)*$S$61</f>
        <v>151.03395857988167</v>
      </c>
    </row>
    <row r="1325">
      <c r="B1325" t="e">
        <f>$S$2-(IF(AND($S$23=1,9&lt;=$S$26),$S$27+8.5*$S$28/$S$26,NA()))</f>
        <v>#N/A</v>
      </c>
      <c r="C1325">
        <f>$S$7</f>
        <v>3.0</v>
      </c>
      <c r="D1325" t="e">
        <f>(B1325+$S$52)*$S$54</f>
        <v>#N/A</v>
      </c>
      <c r="E1325">
        <f>(C1325+$S$53)*$S$54</f>
        <v>77.05960563380282</v>
      </c>
      <c r="F1325" t="e">
        <f>(B1325+$S$55)*$S$58</f>
        <v>#N/A</v>
      </c>
      <c r="G1325">
        <f>(C1325+$S$56)*$S$58</f>
        <v>187.38733333333334</v>
      </c>
      <c r="H1325" t="e">
        <f>(B1325+$S$59)*$S$61</f>
        <v>#N/A</v>
      </c>
      <c r="I1325">
        <f>(C1325+$S$60)*$S$61</f>
        <v>71.85110650887574</v>
      </c>
    </row>
    <row r="1326">
      <c r="B1326" t="e">
        <f>$S$2-(IF(AND($S$23=1,9&lt;=$S$26),$S$27+8.5*$S$28/$S$26,NA()))</f>
        <v>#N/A</v>
      </c>
      <c r="C1326">
        <f>$S$4-$S$7</f>
        <v>57.0</v>
      </c>
      <c r="D1326" t="e">
        <f>(B1326+$S$52)*$S$54</f>
        <v>#N/A</v>
      </c>
      <c r="E1326">
        <f>(C1326+$S$53)*$S$54</f>
        <v>130.4085633802817</v>
      </c>
      <c r="F1326" t="e">
        <f>(B1326+$S$55)*$S$58</f>
        <v>#N/A</v>
      </c>
      <c r="G1326">
        <f>(C1326+$S$56)*$S$58</f>
        <v>343.06296410256414</v>
      </c>
      <c r="H1326" t="e">
        <f>(B1326+$S$59)*$S$61</f>
        <v>#N/A</v>
      </c>
      <c r="I1326">
        <f>(C1326+$S$60)*$S$61</f>
        <v>151.03395857988167</v>
      </c>
    </row>
    <row r="1328">
      <c r="B1328" t="e">
        <f>$S$2-(IF(AND($S$23=1,10&lt;=$S$26),$S$27+9.5*$S$28/$S$26,NA()))</f>
        <v>#N/A</v>
      </c>
      <c r="C1328">
        <f>$S$7</f>
        <v>3.0</v>
      </c>
      <c r="D1328" t="e">
        <f>(B1328+$S$52)*$S$54</f>
        <v>#N/A</v>
      </c>
      <c r="E1328">
        <f>(C1328+$S$53)*$S$54</f>
        <v>77.05960563380282</v>
      </c>
      <c r="F1328" t="e">
        <f>(B1328+$S$55)*$S$58</f>
        <v>#N/A</v>
      </c>
      <c r="G1328">
        <f>(C1328+$S$56)*$S$58</f>
        <v>187.38733333333334</v>
      </c>
      <c r="H1328" t="e">
        <f>(B1328+$S$59)*$S$61</f>
        <v>#N/A</v>
      </c>
      <c r="I1328">
        <f>(C1328+$S$60)*$S$61</f>
        <v>71.85110650887574</v>
      </c>
    </row>
    <row r="1329">
      <c r="B1329" t="e">
        <f>$S$2-(IF(AND($S$23=1,10&lt;=$S$26),$S$27+9.5*$S$28/$S$26,NA()))</f>
        <v>#N/A</v>
      </c>
      <c r="C1329">
        <f>$S$4-$S$7</f>
        <v>57.0</v>
      </c>
      <c r="D1329" t="e">
        <f>(B1329+$S$52)*$S$54</f>
        <v>#N/A</v>
      </c>
      <c r="E1329">
        <f>(C1329+$S$53)*$S$54</f>
        <v>130.4085633802817</v>
      </c>
      <c r="F1329" t="e">
        <f>(B1329+$S$55)*$S$58</f>
        <v>#N/A</v>
      </c>
      <c r="G1329">
        <f>(C1329+$S$56)*$S$58</f>
        <v>343.06296410256414</v>
      </c>
      <c r="H1329" t="e">
        <f>(B1329+$S$59)*$S$61</f>
        <v>#N/A</v>
      </c>
      <c r="I1329">
        <f>(C1329+$S$60)*$S$61</f>
        <v>151.03395857988167</v>
      </c>
    </row>
    <row r="1331">
      <c r="B1331" t="e">
        <f>$S$2-(IF(AND($S$23=1,11&lt;=$S$26),$S$27+10.5*$S$28/$S$26,NA()))</f>
        <v>#N/A</v>
      </c>
      <c r="C1331">
        <f>$S$7</f>
        <v>3.0</v>
      </c>
      <c r="D1331" t="e">
        <f>(B1331+$S$52)*$S$54</f>
        <v>#N/A</v>
      </c>
      <c r="E1331">
        <f>(C1331+$S$53)*$S$54</f>
        <v>77.05960563380282</v>
      </c>
      <c r="F1331" t="e">
        <f>(B1331+$S$55)*$S$58</f>
        <v>#N/A</v>
      </c>
      <c r="G1331">
        <f>(C1331+$S$56)*$S$58</f>
        <v>187.38733333333334</v>
      </c>
      <c r="H1331" t="e">
        <f>(B1331+$S$59)*$S$61</f>
        <v>#N/A</v>
      </c>
      <c r="I1331">
        <f>(C1331+$S$60)*$S$61</f>
        <v>71.85110650887574</v>
      </c>
    </row>
    <row r="1332">
      <c r="B1332" t="e">
        <f>$S$2-(IF(AND($S$23=1,11&lt;=$S$26),$S$27+10.5*$S$28/$S$26,NA()))</f>
        <v>#N/A</v>
      </c>
      <c r="C1332">
        <f>$S$4-$S$7</f>
        <v>57.0</v>
      </c>
      <c r="D1332" t="e">
        <f>(B1332+$S$52)*$S$54</f>
        <v>#N/A</v>
      </c>
      <c r="E1332">
        <f>(C1332+$S$53)*$S$54</f>
        <v>130.4085633802817</v>
      </c>
      <c r="F1332" t="e">
        <f>(B1332+$S$55)*$S$58</f>
        <v>#N/A</v>
      </c>
      <c r="G1332">
        <f>(C1332+$S$56)*$S$58</f>
        <v>343.06296410256414</v>
      </c>
      <c r="H1332" t="e">
        <f>(B1332+$S$59)*$S$61</f>
        <v>#N/A</v>
      </c>
      <c r="I1332">
        <f>(C1332+$S$60)*$S$61</f>
        <v>151.03395857988167</v>
      </c>
    </row>
    <row r="1334">
      <c r="B1334" t="e">
        <f>$S$2-(IF(AND($S$23=1,12&lt;=$S$26),$S$27+11.5*$S$28/$S$26,NA()))</f>
        <v>#N/A</v>
      </c>
      <c r="C1334">
        <f>$S$7</f>
        <v>3.0</v>
      </c>
      <c r="D1334" t="e">
        <f>(B1334+$S$52)*$S$54</f>
        <v>#N/A</v>
      </c>
      <c r="E1334">
        <f>(C1334+$S$53)*$S$54</f>
        <v>77.05960563380282</v>
      </c>
      <c r="F1334" t="e">
        <f>(B1334+$S$55)*$S$58</f>
        <v>#N/A</v>
      </c>
      <c r="G1334">
        <f>(C1334+$S$56)*$S$58</f>
        <v>187.38733333333334</v>
      </c>
      <c r="H1334" t="e">
        <f>(B1334+$S$59)*$S$61</f>
        <v>#N/A</v>
      </c>
      <c r="I1334">
        <f>(C1334+$S$60)*$S$61</f>
        <v>71.85110650887574</v>
      </c>
    </row>
    <row r="1335">
      <c r="B1335" t="e">
        <f>$S$2-(IF(AND($S$23=1,12&lt;=$S$26),$S$27+11.5*$S$28/$S$26,NA()))</f>
        <v>#N/A</v>
      </c>
      <c r="C1335">
        <f>$S$4-$S$7</f>
        <v>57.0</v>
      </c>
      <c r="D1335" t="e">
        <f>(B1335+$S$52)*$S$54</f>
        <v>#N/A</v>
      </c>
      <c r="E1335">
        <f>(C1335+$S$53)*$S$54</f>
        <v>130.4085633802817</v>
      </c>
      <c r="F1335" t="e">
        <f>(B1335+$S$55)*$S$58</f>
        <v>#N/A</v>
      </c>
      <c r="G1335">
        <f>(C1335+$S$56)*$S$58</f>
        <v>343.06296410256414</v>
      </c>
      <c r="H1335" t="e">
        <f>(B1335+$S$59)*$S$61</f>
        <v>#N/A</v>
      </c>
      <c r="I1335">
        <f>(C1335+$S$60)*$S$61</f>
        <v>151.03395857988167</v>
      </c>
    </row>
    <row r="1337">
      <c r="B1337" t="e">
        <f>$S$2-(IF(AND($S$23=1,13&lt;=$S$26),$S$27+12.5*$S$28/$S$26,NA()))</f>
        <v>#N/A</v>
      </c>
      <c r="C1337">
        <f>$S$7</f>
        <v>3.0</v>
      </c>
      <c r="D1337" t="e">
        <f>(B1337+$S$52)*$S$54</f>
        <v>#N/A</v>
      </c>
      <c r="E1337">
        <f>(C1337+$S$53)*$S$54</f>
        <v>77.05960563380282</v>
      </c>
      <c r="F1337" t="e">
        <f>(B1337+$S$55)*$S$58</f>
        <v>#N/A</v>
      </c>
      <c r="G1337">
        <f>(C1337+$S$56)*$S$58</f>
        <v>187.38733333333334</v>
      </c>
      <c r="H1337" t="e">
        <f>(B1337+$S$59)*$S$61</f>
        <v>#N/A</v>
      </c>
      <c r="I1337">
        <f>(C1337+$S$60)*$S$61</f>
        <v>71.85110650887574</v>
      </c>
    </row>
    <row r="1338">
      <c r="B1338" t="e">
        <f>$S$2-(IF(AND($S$23=1,13&lt;=$S$26),$S$27+12.5*$S$28/$S$26,NA()))</f>
        <v>#N/A</v>
      </c>
      <c r="C1338">
        <f>$S$4-$S$7</f>
        <v>57.0</v>
      </c>
      <c r="D1338" t="e">
        <f>(B1338+$S$52)*$S$54</f>
        <v>#N/A</v>
      </c>
      <c r="E1338">
        <f>(C1338+$S$53)*$S$54</f>
        <v>130.4085633802817</v>
      </c>
      <c r="F1338" t="e">
        <f>(B1338+$S$55)*$S$58</f>
        <v>#N/A</v>
      </c>
      <c r="G1338">
        <f>(C1338+$S$56)*$S$58</f>
        <v>343.06296410256414</v>
      </c>
      <c r="H1338" t="e">
        <f>(B1338+$S$59)*$S$61</f>
        <v>#N/A</v>
      </c>
      <c r="I1338">
        <f>(C1338+$S$60)*$S$61</f>
        <v>151.03395857988167</v>
      </c>
    </row>
    <row r="1340">
      <c r="B1340" t="e">
        <f>$S$2-(IF(AND($S$23=1,14&lt;=$S$26),$S$27+13.5*$S$28/$S$26,NA()))</f>
        <v>#N/A</v>
      </c>
      <c r="C1340">
        <f>$S$7</f>
        <v>3.0</v>
      </c>
      <c r="D1340" t="e">
        <f>(B1340+$S$52)*$S$54</f>
        <v>#N/A</v>
      </c>
      <c r="E1340">
        <f>(C1340+$S$53)*$S$54</f>
        <v>77.05960563380282</v>
      </c>
      <c r="F1340" t="e">
        <f>(B1340+$S$55)*$S$58</f>
        <v>#N/A</v>
      </c>
      <c r="G1340">
        <f>(C1340+$S$56)*$S$58</f>
        <v>187.38733333333334</v>
      </c>
      <c r="H1340" t="e">
        <f>(B1340+$S$59)*$S$61</f>
        <v>#N/A</v>
      </c>
      <c r="I1340">
        <f>(C1340+$S$60)*$S$61</f>
        <v>71.85110650887574</v>
      </c>
    </row>
    <row r="1341">
      <c r="B1341" t="e">
        <f>$S$2-(IF(AND($S$23=1,14&lt;=$S$26),$S$27+13.5*$S$28/$S$26,NA()))</f>
        <v>#N/A</v>
      </c>
      <c r="C1341">
        <f>$S$4-$S$7</f>
        <v>57.0</v>
      </c>
      <c r="D1341" t="e">
        <f>(B1341+$S$52)*$S$54</f>
        <v>#N/A</v>
      </c>
      <c r="E1341">
        <f>(C1341+$S$53)*$S$54</f>
        <v>130.4085633802817</v>
      </c>
      <c r="F1341" t="e">
        <f>(B1341+$S$55)*$S$58</f>
        <v>#N/A</v>
      </c>
      <c r="G1341">
        <f>(C1341+$S$56)*$S$58</f>
        <v>343.06296410256414</v>
      </c>
      <c r="H1341" t="e">
        <f>(B1341+$S$59)*$S$61</f>
        <v>#N/A</v>
      </c>
      <c r="I1341">
        <f>(C1341+$S$60)*$S$61</f>
        <v>151.03395857988167</v>
      </c>
    </row>
    <row r="1343">
      <c r="B1343" t="e">
        <f>$S$2-(IF(AND($S$23=1,15&lt;=$S$26),$S$27+14.5*$S$28/$S$26,NA()))</f>
        <v>#N/A</v>
      </c>
      <c r="C1343">
        <f>$S$7</f>
        <v>3.0</v>
      </c>
      <c r="D1343" t="e">
        <f>(B1343+$S$52)*$S$54</f>
        <v>#N/A</v>
      </c>
      <c r="E1343">
        <f>(C1343+$S$53)*$S$54</f>
        <v>77.05960563380282</v>
      </c>
      <c r="F1343" t="e">
        <f>(B1343+$S$55)*$S$58</f>
        <v>#N/A</v>
      </c>
      <c r="G1343">
        <f>(C1343+$S$56)*$S$58</f>
        <v>187.38733333333334</v>
      </c>
      <c r="H1343" t="e">
        <f>(B1343+$S$59)*$S$61</f>
        <v>#N/A</v>
      </c>
      <c r="I1343">
        <f>(C1343+$S$60)*$S$61</f>
        <v>71.85110650887574</v>
      </c>
    </row>
    <row r="1344">
      <c r="B1344" t="e">
        <f>$S$2-(IF(AND($S$23=1,15&lt;=$S$26),$S$27+14.5*$S$28/$S$26,NA()))</f>
        <v>#N/A</v>
      </c>
      <c r="C1344">
        <f>$S$4-$S$7</f>
        <v>57.0</v>
      </c>
      <c r="D1344" t="e">
        <f>(B1344+$S$52)*$S$54</f>
        <v>#N/A</v>
      </c>
      <c r="E1344">
        <f>(C1344+$S$53)*$S$54</f>
        <v>130.4085633802817</v>
      </c>
      <c r="F1344" t="e">
        <f>(B1344+$S$55)*$S$58</f>
        <v>#N/A</v>
      </c>
      <c r="G1344">
        <f>(C1344+$S$56)*$S$58</f>
        <v>343.06296410256414</v>
      </c>
      <c r="H1344" t="e">
        <f>(B1344+$S$59)*$S$61</f>
        <v>#N/A</v>
      </c>
      <c r="I1344">
        <f>(C1344+$S$60)*$S$61</f>
        <v>151.03395857988167</v>
      </c>
    </row>
    <row r="1346">
      <c r="B1346" t="e">
        <f>$S$2-(IF(AND($S$23=1,16&lt;=$S$26),$S$27+15.5*$S$28/$S$26,NA()))</f>
        <v>#N/A</v>
      </c>
      <c r="C1346">
        <f>$S$7</f>
        <v>3.0</v>
      </c>
      <c r="D1346" t="e">
        <f>(B1346+$S$52)*$S$54</f>
        <v>#N/A</v>
      </c>
      <c r="E1346">
        <f>(C1346+$S$53)*$S$54</f>
        <v>77.05960563380282</v>
      </c>
      <c r="F1346" t="e">
        <f>(B1346+$S$55)*$S$58</f>
        <v>#N/A</v>
      </c>
      <c r="G1346">
        <f>(C1346+$S$56)*$S$58</f>
        <v>187.38733333333334</v>
      </c>
      <c r="H1346" t="e">
        <f>(B1346+$S$59)*$S$61</f>
        <v>#N/A</v>
      </c>
      <c r="I1346">
        <f>(C1346+$S$60)*$S$61</f>
        <v>71.85110650887574</v>
      </c>
    </row>
    <row r="1347">
      <c r="B1347" t="e">
        <f>$S$2-(IF(AND($S$23=1,16&lt;=$S$26),$S$27+15.5*$S$28/$S$26,NA()))</f>
        <v>#N/A</v>
      </c>
      <c r="C1347">
        <f>$S$4-$S$7</f>
        <v>57.0</v>
      </c>
      <c r="D1347" t="e">
        <f>(B1347+$S$52)*$S$54</f>
        <v>#N/A</v>
      </c>
      <c r="E1347">
        <f>(C1347+$S$53)*$S$54</f>
        <v>130.4085633802817</v>
      </c>
      <c r="F1347" t="e">
        <f>(B1347+$S$55)*$S$58</f>
        <v>#N/A</v>
      </c>
      <c r="G1347">
        <f>(C1347+$S$56)*$S$58</f>
        <v>343.06296410256414</v>
      </c>
      <c r="H1347" t="e">
        <f>(B1347+$S$59)*$S$61</f>
        <v>#N/A</v>
      </c>
      <c r="I1347">
        <f>(C1347+$S$60)*$S$61</f>
        <v>151.03395857988167</v>
      </c>
    </row>
    <row r="1350">
      <c r="A1350" t="inlineStr">
        <is>
          <t>Tirante do dente</t>
        </is>
      </c>
      <c r="B1350">
        <f>$S$7</f>
        <v>3.0</v>
      </c>
      <c r="C1350" t="e">
        <f>IF($S$9=1,$S$37,NA())</f>
        <v>#N/A</v>
      </c>
      <c r="D1350">
        <f>(B1350+$S$52)*$S$54</f>
        <v>47.42129577464789</v>
      </c>
      <c r="E1350" t="e">
        <f>(C1350+$S$53)*$S$54</f>
        <v>#N/A</v>
      </c>
      <c r="F1350">
        <f>(B1350+$S$55)*$S$58</f>
        <v>95.1351076923077</v>
      </c>
      <c r="G1350" t="e">
        <f>(C1350+$S$56)*$S$58</f>
        <v>#N/A</v>
      </c>
      <c r="H1350">
        <f>(B1350+$S$59)*$S$61</f>
        <v>45.4568224852071</v>
      </c>
      <c r="I1350" t="e">
        <f>(C1350+$S$60)*$S$61</f>
        <v>#N/A</v>
      </c>
    </row>
    <row r="1351">
      <c r="B1351">
        <f>$S$38</f>
        <v>94.05</v>
      </c>
      <c r="C1351" t="e">
        <f>IF($S$9=1,$S$37,NA())</f>
        <v>#N/A</v>
      </c>
      <c r="D1351">
        <f>(B1351+$S$52)*$S$54</f>
        <v>137.3735661971831</v>
      </c>
      <c r="E1351" t="e">
        <f>(C1351+$S$53)*$S$54</f>
        <v>#N/A</v>
      </c>
      <c r="F1351">
        <f>(B1351+$S$55)*$S$58</f>
        <v>357.62151846153847</v>
      </c>
      <c r="G1351" t="e">
        <f>(C1351+$S$56)*$S$58</f>
        <v>#N/A</v>
      </c>
      <c r="H1351">
        <f>(B1351+$S$59)*$S$61</f>
        <v>178.96790917159763</v>
      </c>
      <c r="I1351" t="e">
        <f>(C1351+$S$60)*$S$61</f>
        <v>#N/A</v>
      </c>
    </row>
    <row r="1353">
      <c r="B1353">
        <f>$S$2-($S$7)</f>
        <v>812.0</v>
      </c>
      <c r="C1353" t="e">
        <f>IF($S$9=1,$S$37,NA())</f>
        <v>#N/A</v>
      </c>
      <c r="D1353">
        <f>(B1353+$S$52)*$S$54</f>
        <v>846.6677183098591</v>
      </c>
      <c r="E1353" t="e">
        <f>(C1353+$S$53)*$S$54</f>
        <v>#N/A</v>
      </c>
      <c r="F1353">
        <f>(B1353+$S$55)*$S$58</f>
        <v>2427.386687179487</v>
      </c>
      <c r="G1353" t="e">
        <f>(C1353+$S$56)*$S$58</f>
        <v>#N/A</v>
      </c>
      <c r="H1353">
        <f>(B1353+$S$59)*$S$61</f>
        <v>1231.7332544378698</v>
      </c>
      <c r="I1353" t="e">
        <f>(C1353+$S$60)*$S$61</f>
        <v>#N/A</v>
      </c>
    </row>
    <row r="1354">
      <c r="B1354">
        <f>$S$2-($S$38)</f>
        <v>720.95</v>
      </c>
      <c r="C1354" t="e">
        <f>IF($S$9=1,$S$37,NA())</f>
        <v>#N/A</v>
      </c>
      <c r="D1354">
        <f>(B1354+$S$52)*$S$54</f>
        <v>756.715447887324</v>
      </c>
      <c r="E1354" t="e">
        <f>(C1354+$S$53)*$S$54</f>
        <v>#N/A</v>
      </c>
      <c r="F1354">
        <f>(B1354+$S$55)*$S$58</f>
        <v>2164.9002764102565</v>
      </c>
      <c r="G1354" t="e">
        <f>(C1354+$S$56)*$S$58</f>
        <v>#N/A</v>
      </c>
      <c r="H1354">
        <f>(B1354+$S$59)*$S$61</f>
        <v>1098.2221677514794</v>
      </c>
      <c r="I1354" t="e">
        <f>(C1354+$S$60)*$S$61</f>
        <v>#N/A</v>
      </c>
    </row>
    <row r="1357">
      <c r="A1357" t="inlineStr">
        <is>
          <t>Tirante do dente – planta</t>
        </is>
      </c>
      <c r="B1357">
        <f>$S$38</f>
        <v>94.05</v>
      </c>
      <c r="C1357" t="e">
        <f>IF($S$9=1,-10,NA())</f>
        <v>#N/A</v>
      </c>
      <c r="D1357">
        <f>(B1357+$S$52)*$S$54</f>
        <v>137.3735661971831</v>
      </c>
      <c r="E1357" t="e">
        <f>(C1357+$S$53)*$S$54</f>
        <v>#N/A</v>
      </c>
      <c r="F1357">
        <f>(B1357+$S$55)*$S$58</f>
        <v>357.62151846153847</v>
      </c>
      <c r="G1357" t="e">
        <f>(C1357+$S$56)*$S$58</f>
        <v>#N/A</v>
      </c>
      <c r="H1357">
        <f>(B1357+$S$59)*$S$61</f>
        <v>178.96790917159763</v>
      </c>
      <c r="I1357" t="e">
        <f>(C1357+$S$60)*$S$61</f>
        <v>#N/A</v>
      </c>
    </row>
    <row r="1358">
      <c r="B1358">
        <f>$S$7+4</f>
        <v>7.0</v>
      </c>
      <c r="C1358" t="e">
        <f>IF($S$9=1,-10,NA())</f>
        <v>#N/A</v>
      </c>
      <c r="D1358">
        <f>(B1358+$S$52)*$S$54</f>
        <v>51.37307042253521</v>
      </c>
      <c r="E1358" t="e">
        <f>(C1358+$S$53)*$S$54</f>
        <v>#N/A</v>
      </c>
      <c r="F1358">
        <f>(B1358+$S$55)*$S$58</f>
        <v>106.66663589743591</v>
      </c>
      <c r="G1358" t="e">
        <f>(C1358+$S$56)*$S$58</f>
        <v>#N/A</v>
      </c>
      <c r="H1358">
        <f>(B1358+$S$59)*$S$61</f>
        <v>51.32221893491124</v>
      </c>
      <c r="I1358" t="e">
        <f>(C1358+$S$60)*$S$61</f>
        <v>#N/A</v>
      </c>
    </row>
    <row r="1359">
      <c r="B1359">
        <f>$S$7</f>
        <v>3.0</v>
      </c>
      <c r="C1359" t="e">
        <f>IF($S$9=1,(-10+-10-('Cisalhamento e Apoios'!$J$14-2*$S$7))/2,NA())</f>
        <v>#N/A</v>
      </c>
      <c r="D1359">
        <f>(B1359+$S$52)*$S$54</f>
        <v>47.42129577464789</v>
      </c>
      <c r="E1359" t="e">
        <f>(C1359+$S$53)*$S$54</f>
        <v>#N/A</v>
      </c>
      <c r="F1359">
        <f>(B1359+$S$55)*$S$58</f>
        <v>95.1351076923077</v>
      </c>
      <c r="G1359" t="e">
        <f>(C1359+$S$56)*$S$58</f>
        <v>#N/A</v>
      </c>
      <c r="H1359">
        <f>(B1359+$S$59)*$S$61</f>
        <v>45.4568224852071</v>
      </c>
      <c r="I1359" t="e">
        <f>(C1359+$S$60)*$S$61</f>
        <v>#N/A</v>
      </c>
    </row>
    <row r="1360">
      <c r="B1360">
        <f>$S$7+4</f>
        <v>7.0</v>
      </c>
      <c r="C1360" t="e">
        <f>IF($S$9=1,-10-('Cisalhamento e Apoios'!$J$14-2*$S$7),NA())</f>
        <v>#N/A</v>
      </c>
      <c r="D1360">
        <f>(B1360+$S$52)*$S$54</f>
        <v>51.37307042253521</v>
      </c>
      <c r="E1360" t="e">
        <f>(C1360+$S$53)*$S$54</f>
        <v>#N/A</v>
      </c>
      <c r="F1360">
        <f>(B1360+$S$55)*$S$58</f>
        <v>106.66663589743591</v>
      </c>
      <c r="G1360" t="e">
        <f>(C1360+$S$56)*$S$58</f>
        <v>#N/A</v>
      </c>
      <c r="H1360">
        <f>(B1360+$S$59)*$S$61</f>
        <v>51.32221893491124</v>
      </c>
      <c r="I1360" t="e">
        <f>(C1360+$S$60)*$S$61</f>
        <v>#N/A</v>
      </c>
    </row>
    <row r="1361">
      <c r="B1361">
        <f>$S$38</f>
        <v>94.05</v>
      </c>
      <c r="C1361" t="e">
        <f>IF($S$9=1,-10-('Cisalhamento e Apoios'!$J$14-2*$S$7),NA())</f>
        <v>#N/A</v>
      </c>
      <c r="D1361">
        <f>(B1361+$S$52)*$S$54</f>
        <v>137.3735661971831</v>
      </c>
      <c r="E1361" t="e">
        <f>(C1361+$S$53)*$S$54</f>
        <v>#N/A</v>
      </c>
      <c r="F1361">
        <f>(B1361+$S$55)*$S$58</f>
        <v>357.62151846153847</v>
      </c>
      <c r="G1361" t="e">
        <f>(C1361+$S$56)*$S$58</f>
        <v>#N/A</v>
      </c>
      <c r="H1361">
        <f>(B1361+$S$59)*$S$61</f>
        <v>178.96790917159763</v>
      </c>
      <c r="I1361" t="e">
        <f>(C1361+$S$60)*$S$61</f>
        <v>#N/A</v>
      </c>
    </row>
    <row r="1364">
      <c r="A1364" t="inlineStr">
        <is>
          <t>contorno em planta</t>
        </is>
      </c>
      <c r="B1364">
        <f>0</f>
        <v>0.0</v>
      </c>
      <c r="C1364" t="e">
        <f>IF($S$9=1,-10+$S$7,NA())</f>
        <v>#N/A</v>
      </c>
      <c r="D1364">
        <f>(B1364+$S$52)*$S$54</f>
        <v>44.457464788732395</v>
      </c>
      <c r="E1364" t="e">
        <f>(C1364+$S$53)*$S$54</f>
        <v>#N/A</v>
      </c>
      <c r="F1364">
        <f>(B1364+$S$55)*$S$58</f>
        <v>86.48646153846154</v>
      </c>
      <c r="G1364" t="e">
        <f>(C1364+$S$56)*$S$58</f>
        <v>#N/A</v>
      </c>
      <c r="H1364">
        <f>(B1364+$S$59)*$S$61</f>
        <v>41.05777514792899</v>
      </c>
      <c r="I1364" t="e">
        <f>(C1364+$S$60)*$S$61</f>
        <v>#N/A</v>
      </c>
    </row>
    <row r="1365">
      <c r="B1365">
        <f>$S$38+15</f>
        <v>109.05</v>
      </c>
      <c r="C1365" t="e">
        <f>IF($S$9=1,-10+$S$7,NA())</f>
        <v>#N/A</v>
      </c>
      <c r="D1365">
        <f>(B1365+$S$52)*$S$54</f>
        <v>152.19272112676057</v>
      </c>
      <c r="E1365" t="e">
        <f>(C1365+$S$53)*$S$54</f>
        <v>#N/A</v>
      </c>
      <c r="F1365">
        <f>(B1365+$S$55)*$S$58</f>
        <v>400.8647492307693</v>
      </c>
      <c r="G1365" t="e">
        <f>(C1365+$S$56)*$S$58</f>
        <v>#N/A</v>
      </c>
      <c r="H1365">
        <f>(B1365+$S$59)*$S$61</f>
        <v>200.9631458579882</v>
      </c>
      <c r="I1365" t="e">
        <f>(C1365+$S$60)*$S$61</f>
        <v>#N/A</v>
      </c>
    </row>
    <row r="1367">
      <c r="B1367">
        <f>0</f>
        <v>0.0</v>
      </c>
      <c r="C1367" t="e">
        <f>IF($S$9=1,-10-('Cisalhamento e Apoios'!$J$14-2*$S$7)-$S$7,NA())</f>
        <v>#N/A</v>
      </c>
      <c r="D1367">
        <f>(B1367+$S$52)*$S$54</f>
        <v>44.457464788732395</v>
      </c>
      <c r="E1367" t="e">
        <f>(C1367+$S$53)*$S$54</f>
        <v>#N/A</v>
      </c>
      <c r="F1367">
        <f>(B1367+$S$55)*$S$58</f>
        <v>86.48646153846154</v>
      </c>
      <c r="G1367" t="e">
        <f>(C1367+$S$56)*$S$58</f>
        <v>#N/A</v>
      </c>
      <c r="H1367">
        <f>(B1367+$S$59)*$S$61</f>
        <v>41.05777514792899</v>
      </c>
      <c r="I1367" t="e">
        <f>(C1367+$S$60)*$S$61</f>
        <v>#N/A</v>
      </c>
    </row>
    <row r="1368">
      <c r="B1368">
        <f>$S$38+15</f>
        <v>109.05</v>
      </c>
      <c r="C1368" t="e">
        <f>IF($S$9=1,-10-('Cisalhamento e Apoios'!$J$14-2*$S$7)-$S$7,NA())</f>
        <v>#N/A</v>
      </c>
      <c r="D1368">
        <f>(B1368+$S$52)*$S$54</f>
        <v>152.19272112676057</v>
      </c>
      <c r="E1368" t="e">
        <f>(C1368+$S$53)*$S$54</f>
        <v>#N/A</v>
      </c>
      <c r="F1368">
        <f>(B1368+$S$55)*$S$58</f>
        <v>400.8647492307693</v>
      </c>
      <c r="G1368" t="e">
        <f>(C1368+$S$56)*$S$58</f>
        <v>#N/A</v>
      </c>
      <c r="H1368">
        <f>(B1368+$S$59)*$S$61</f>
        <v>200.9631458579882</v>
      </c>
      <c r="I1368" t="e">
        <f>(C1368+$S$60)*$S$61</f>
        <v>#N/A</v>
      </c>
    </row>
    <row r="1370">
      <c r="B1370">
        <f>0</f>
        <v>0.0</v>
      </c>
      <c r="C1370" t="e">
        <f>IF($S$9=1,-10+$S$7,NA())</f>
        <v>#N/A</v>
      </c>
      <c r="D1370">
        <f>(B1370+$S$52)*$S$54</f>
        <v>44.457464788732395</v>
      </c>
      <c r="E1370" t="e">
        <f>(C1370+$S$53)*$S$54</f>
        <v>#N/A</v>
      </c>
      <c r="F1370">
        <f>(B1370+$S$55)*$S$58</f>
        <v>86.48646153846154</v>
      </c>
      <c r="G1370" t="e">
        <f>(C1370+$S$56)*$S$58</f>
        <v>#N/A</v>
      </c>
      <c r="H1370">
        <f>(B1370+$S$59)*$S$61</f>
        <v>41.05777514792899</v>
      </c>
      <c r="I1370" t="e">
        <f>(C1370+$S$60)*$S$61</f>
        <v>#N/A</v>
      </c>
    </row>
    <row r="1371">
      <c r="B1371">
        <f>0</f>
        <v>0.0</v>
      </c>
      <c r="C1371" t="e">
        <f>IF($S$9=1,-10-('Cisalhamento e Apoios'!$J$14-2*$S$7)-$S$7,NA())</f>
        <v>#N/A</v>
      </c>
      <c r="D1371">
        <f>(B1371+$S$52)*$S$54</f>
        <v>44.457464788732395</v>
      </c>
      <c r="E1371" t="e">
        <f>(C1371+$S$53)*$S$54</f>
        <v>#N/A</v>
      </c>
      <c r="F1371">
        <f>(B1371+$S$55)*$S$58</f>
        <v>86.48646153846154</v>
      </c>
      <c r="G1371" t="e">
        <f>(C1371+$S$56)*$S$58</f>
        <v>#N/A</v>
      </c>
      <c r="H1371">
        <f>(B1371+$S$59)*$S$61</f>
        <v>41.05777514792899</v>
      </c>
      <c r="I1371" t="e">
        <f>(C1371+$S$60)*$S$61</f>
        <v>#N/A</v>
      </c>
    </row>
    <row r="1374">
      <c r="A1374" t="inlineStr">
        <is>
          <t>Costura do dente</t>
        </is>
      </c>
      <c r="B1374">
        <f>$S$7</f>
        <v>3.0</v>
      </c>
      <c r="C1374" t="e">
        <f>IF(AND($S$9=1,1&lt;=$S$39),$S$37+1*(2*$S$40/3)/MAX($S$39,1),NA())</f>
        <v>#N/A</v>
      </c>
      <c r="D1374">
        <f>(B1374+$S$52)*$S$54</f>
        <v>47.42129577464789</v>
      </c>
      <c r="E1374" t="e">
        <f>(C1374+$S$53)*$S$54</f>
        <v>#N/A</v>
      </c>
      <c r="F1374">
        <f>(B1374+$S$55)*$S$58</f>
        <v>95.1351076923077</v>
      </c>
      <c r="G1374" t="e">
        <f>(C1374+$S$56)*$S$58</f>
        <v>#N/A</v>
      </c>
      <c r="H1374">
        <f>(B1374+$S$59)*$S$61</f>
        <v>45.4568224852071</v>
      </c>
      <c r="I1374" t="e">
        <f>(C1374+$S$60)*$S$61</f>
        <v>#N/A</v>
      </c>
    </row>
    <row r="1375">
      <c r="B1375">
        <f>$S$41</f>
        <v>25.0</v>
      </c>
      <c r="C1375" t="e">
        <f>IF(AND($S$9=1,1&lt;=$S$39),$S$37+1*(2*$S$40/3)/MAX($S$39,1),NA())</f>
        <v>#N/A</v>
      </c>
      <c r="D1375">
        <f>(B1375+$S$52)*$S$54</f>
        <v>69.15605633802816</v>
      </c>
      <c r="E1375" t="e">
        <f>(C1375+$S$53)*$S$54</f>
        <v>#N/A</v>
      </c>
      <c r="F1375">
        <f>(B1375+$S$55)*$S$58</f>
        <v>158.55851282051282</v>
      </c>
      <c r="G1375" t="e">
        <f>(C1375+$S$56)*$S$58</f>
        <v>#N/A</v>
      </c>
      <c r="H1375">
        <f>(B1375+$S$59)*$S$61</f>
        <v>77.71650295857988</v>
      </c>
      <c r="I1375" t="e">
        <f>(C1375+$S$60)*$S$61</f>
        <v>#N/A</v>
      </c>
    </row>
    <row r="1377">
      <c r="B1377">
        <f>$S$7</f>
        <v>3.0</v>
      </c>
      <c r="C1377" t="e">
        <f>IF(AND($S$9=1,2&lt;=$S$39),$S$37+2*(2*$S$40/3)/MAX($S$39,1),NA())</f>
        <v>#N/A</v>
      </c>
      <c r="D1377">
        <f>(B1377+$S$52)*$S$54</f>
        <v>47.42129577464789</v>
      </c>
      <c r="E1377" t="e">
        <f>(C1377+$S$53)*$S$54</f>
        <v>#N/A</v>
      </c>
      <c r="F1377">
        <f>(B1377+$S$55)*$S$58</f>
        <v>95.1351076923077</v>
      </c>
      <c r="G1377" t="e">
        <f>(C1377+$S$56)*$S$58</f>
        <v>#N/A</v>
      </c>
      <c r="H1377">
        <f>(B1377+$S$59)*$S$61</f>
        <v>45.4568224852071</v>
      </c>
      <c r="I1377" t="e">
        <f>(C1377+$S$60)*$S$61</f>
        <v>#N/A</v>
      </c>
    </row>
    <row r="1378">
      <c r="B1378">
        <f>$S$41</f>
        <v>25.0</v>
      </c>
      <c r="C1378" t="e">
        <f>IF(AND($S$9=1,2&lt;=$S$39),$S$37+2*(2*$S$40/3)/MAX($S$39,1),NA())</f>
        <v>#N/A</v>
      </c>
      <c r="D1378">
        <f>(B1378+$S$52)*$S$54</f>
        <v>69.15605633802816</v>
      </c>
      <c r="E1378" t="e">
        <f>(C1378+$S$53)*$S$54</f>
        <v>#N/A</v>
      </c>
      <c r="F1378">
        <f>(B1378+$S$55)*$S$58</f>
        <v>158.55851282051282</v>
      </c>
      <c r="G1378" t="e">
        <f>(C1378+$S$56)*$S$58</f>
        <v>#N/A</v>
      </c>
      <c r="H1378">
        <f>(B1378+$S$59)*$S$61</f>
        <v>77.71650295857988</v>
      </c>
      <c r="I1378" t="e">
        <f>(C1378+$S$60)*$S$61</f>
        <v>#N/A</v>
      </c>
    </row>
    <row r="1380">
      <c r="B1380">
        <f>$S$7</f>
        <v>3.0</v>
      </c>
      <c r="C1380" t="e">
        <f>IF(AND($S$9=1,3&lt;=$S$39),$S$37+3*(2*$S$40/3)/MAX($S$39,1),NA())</f>
        <v>#N/A</v>
      </c>
      <c r="D1380">
        <f>(B1380+$S$52)*$S$54</f>
        <v>47.42129577464789</v>
      </c>
      <c r="E1380" t="e">
        <f>(C1380+$S$53)*$S$54</f>
        <v>#N/A</v>
      </c>
      <c r="F1380">
        <f>(B1380+$S$55)*$S$58</f>
        <v>95.1351076923077</v>
      </c>
      <c r="G1380" t="e">
        <f>(C1380+$S$56)*$S$58</f>
        <v>#N/A</v>
      </c>
      <c r="H1380">
        <f>(B1380+$S$59)*$S$61</f>
        <v>45.4568224852071</v>
      </c>
      <c r="I1380" t="e">
        <f>(C1380+$S$60)*$S$61</f>
        <v>#N/A</v>
      </c>
    </row>
    <row r="1381">
      <c r="B1381">
        <f>$S$41</f>
        <v>25.0</v>
      </c>
      <c r="C1381" t="e">
        <f>IF(AND($S$9=1,3&lt;=$S$39),$S$37+3*(2*$S$40/3)/MAX($S$39,1),NA())</f>
        <v>#N/A</v>
      </c>
      <c r="D1381">
        <f>(B1381+$S$52)*$S$54</f>
        <v>69.15605633802816</v>
      </c>
      <c r="E1381" t="e">
        <f>(C1381+$S$53)*$S$54</f>
        <v>#N/A</v>
      </c>
      <c r="F1381">
        <f>(B1381+$S$55)*$S$58</f>
        <v>158.55851282051282</v>
      </c>
      <c r="G1381" t="e">
        <f>(C1381+$S$56)*$S$58</f>
        <v>#N/A</v>
      </c>
      <c r="H1381">
        <f>(B1381+$S$59)*$S$61</f>
        <v>77.71650295857988</v>
      </c>
      <c r="I1381" t="e">
        <f>(C1381+$S$60)*$S$61</f>
        <v>#N/A</v>
      </c>
    </row>
    <row r="1383">
      <c r="B1383">
        <f>$S$7</f>
        <v>3.0</v>
      </c>
      <c r="C1383" t="e">
        <f>IF(AND($S$9=1,4&lt;=$S$39),$S$37+4*(2*$S$40/3)/MAX($S$39,1),NA())</f>
        <v>#N/A</v>
      </c>
      <c r="D1383">
        <f>(B1383+$S$52)*$S$54</f>
        <v>47.42129577464789</v>
      </c>
      <c r="E1383" t="e">
        <f>(C1383+$S$53)*$S$54</f>
        <v>#N/A</v>
      </c>
      <c r="F1383">
        <f>(B1383+$S$55)*$S$58</f>
        <v>95.1351076923077</v>
      </c>
      <c r="G1383" t="e">
        <f>(C1383+$S$56)*$S$58</f>
        <v>#N/A</v>
      </c>
      <c r="H1383">
        <f>(B1383+$S$59)*$S$61</f>
        <v>45.4568224852071</v>
      </c>
      <c r="I1383" t="e">
        <f>(C1383+$S$60)*$S$61</f>
        <v>#N/A</v>
      </c>
    </row>
    <row r="1384">
      <c r="B1384">
        <f>$S$41</f>
        <v>25.0</v>
      </c>
      <c r="C1384" t="e">
        <f>IF(AND($S$9=1,4&lt;=$S$39),$S$37+4*(2*$S$40/3)/MAX($S$39,1),NA())</f>
        <v>#N/A</v>
      </c>
      <c r="D1384">
        <f>(B1384+$S$52)*$S$54</f>
        <v>69.15605633802816</v>
      </c>
      <c r="E1384" t="e">
        <f>(C1384+$S$53)*$S$54</f>
        <v>#N/A</v>
      </c>
      <c r="F1384">
        <f>(B1384+$S$55)*$S$58</f>
        <v>158.55851282051282</v>
      </c>
      <c r="G1384" t="e">
        <f>(C1384+$S$56)*$S$58</f>
        <v>#N/A</v>
      </c>
      <c r="H1384">
        <f>(B1384+$S$59)*$S$61</f>
        <v>77.71650295857988</v>
      </c>
      <c r="I1384" t="e">
        <f>(C1384+$S$60)*$S$61</f>
        <v>#N/A</v>
      </c>
    </row>
    <row r="1386">
      <c r="B1386">
        <f>$S$7</f>
        <v>3.0</v>
      </c>
      <c r="C1386" t="e">
        <f>IF(AND($S$9=1,5&lt;=$S$39),$S$37+5*(2*$S$40/3)/MAX($S$39,1),NA())</f>
        <v>#N/A</v>
      </c>
      <c r="D1386">
        <f>(B1386+$S$52)*$S$54</f>
        <v>47.42129577464789</v>
      </c>
      <c r="E1386" t="e">
        <f>(C1386+$S$53)*$S$54</f>
        <v>#N/A</v>
      </c>
      <c r="F1386">
        <f>(B1386+$S$55)*$S$58</f>
        <v>95.1351076923077</v>
      </c>
      <c r="G1386" t="e">
        <f>(C1386+$S$56)*$S$58</f>
        <v>#N/A</v>
      </c>
      <c r="H1386">
        <f>(B1386+$S$59)*$S$61</f>
        <v>45.4568224852071</v>
      </c>
      <c r="I1386" t="e">
        <f>(C1386+$S$60)*$S$61</f>
        <v>#N/A</v>
      </c>
    </row>
    <row r="1387">
      <c r="B1387">
        <f>$S$41</f>
        <v>25.0</v>
      </c>
      <c r="C1387" t="e">
        <f>IF(AND($S$9=1,5&lt;=$S$39),$S$37+5*(2*$S$40/3)/MAX($S$39,1),NA())</f>
        <v>#N/A</v>
      </c>
      <c r="D1387">
        <f>(B1387+$S$52)*$S$54</f>
        <v>69.15605633802816</v>
      </c>
      <c r="E1387" t="e">
        <f>(C1387+$S$53)*$S$54</f>
        <v>#N/A</v>
      </c>
      <c r="F1387">
        <f>(B1387+$S$55)*$S$58</f>
        <v>158.55851282051282</v>
      </c>
      <c r="G1387" t="e">
        <f>(C1387+$S$56)*$S$58</f>
        <v>#N/A</v>
      </c>
      <c r="H1387">
        <f>(B1387+$S$59)*$S$61</f>
        <v>77.71650295857988</v>
      </c>
      <c r="I1387" t="e">
        <f>(C1387+$S$60)*$S$61</f>
        <v>#N/A</v>
      </c>
    </row>
    <row r="1389">
      <c r="B1389">
        <f>$S$7</f>
        <v>3.0</v>
      </c>
      <c r="C1389" t="e">
        <f>IF(AND($S$9=1,6&lt;=$S$39),$S$37+6*(2*$S$40/3)/MAX($S$39,1),NA())</f>
        <v>#N/A</v>
      </c>
      <c r="D1389">
        <f>(B1389+$S$52)*$S$54</f>
        <v>47.42129577464789</v>
      </c>
      <c r="E1389" t="e">
        <f>(C1389+$S$53)*$S$54</f>
        <v>#N/A</v>
      </c>
      <c r="F1389">
        <f>(B1389+$S$55)*$S$58</f>
        <v>95.1351076923077</v>
      </c>
      <c r="G1389" t="e">
        <f>(C1389+$S$56)*$S$58</f>
        <v>#N/A</v>
      </c>
      <c r="H1389">
        <f>(B1389+$S$59)*$S$61</f>
        <v>45.4568224852071</v>
      </c>
      <c r="I1389" t="e">
        <f>(C1389+$S$60)*$S$61</f>
        <v>#N/A</v>
      </c>
    </row>
    <row r="1390">
      <c r="B1390">
        <f>$S$41</f>
        <v>25.0</v>
      </c>
      <c r="C1390" t="e">
        <f>IF(AND($S$9=1,6&lt;=$S$39),$S$37+6*(2*$S$40/3)/MAX($S$39,1),NA())</f>
        <v>#N/A</v>
      </c>
      <c r="D1390">
        <f>(B1390+$S$52)*$S$54</f>
        <v>69.15605633802816</v>
      </c>
      <c r="E1390" t="e">
        <f>(C1390+$S$53)*$S$54</f>
        <v>#N/A</v>
      </c>
      <c r="F1390">
        <f>(B1390+$S$55)*$S$58</f>
        <v>158.55851282051282</v>
      </c>
      <c r="G1390" t="e">
        <f>(C1390+$S$56)*$S$58</f>
        <v>#N/A</v>
      </c>
      <c r="H1390">
        <f>(B1390+$S$59)*$S$61</f>
        <v>77.71650295857988</v>
      </c>
      <c r="I1390" t="e">
        <f>(C1390+$S$60)*$S$61</f>
        <v>#N/A</v>
      </c>
    </row>
    <row r="1392">
      <c r="B1392">
        <f>$S$7</f>
        <v>3.0</v>
      </c>
      <c r="C1392" t="e">
        <f>IF(AND($S$9=1,7&lt;=$S$39),$S$37+7*(2*$S$40/3)/MAX($S$39,1),NA())</f>
        <v>#N/A</v>
      </c>
      <c r="D1392">
        <f>(B1392+$S$52)*$S$54</f>
        <v>47.42129577464789</v>
      </c>
      <c r="E1392" t="e">
        <f>(C1392+$S$53)*$S$54</f>
        <v>#N/A</v>
      </c>
      <c r="F1392">
        <f>(B1392+$S$55)*$S$58</f>
        <v>95.1351076923077</v>
      </c>
      <c r="G1392" t="e">
        <f>(C1392+$S$56)*$S$58</f>
        <v>#N/A</v>
      </c>
      <c r="H1392">
        <f>(B1392+$S$59)*$S$61</f>
        <v>45.4568224852071</v>
      </c>
      <c r="I1392" t="e">
        <f>(C1392+$S$60)*$S$61</f>
        <v>#N/A</v>
      </c>
    </row>
    <row r="1393">
      <c r="B1393">
        <f>$S$41</f>
        <v>25.0</v>
      </c>
      <c r="C1393" t="e">
        <f>IF(AND($S$9=1,7&lt;=$S$39),$S$37+7*(2*$S$40/3)/MAX($S$39,1),NA())</f>
        <v>#N/A</v>
      </c>
      <c r="D1393">
        <f>(B1393+$S$52)*$S$54</f>
        <v>69.15605633802816</v>
      </c>
      <c r="E1393" t="e">
        <f>(C1393+$S$53)*$S$54</f>
        <v>#N/A</v>
      </c>
      <c r="F1393">
        <f>(B1393+$S$55)*$S$58</f>
        <v>158.55851282051282</v>
      </c>
      <c r="G1393" t="e">
        <f>(C1393+$S$56)*$S$58</f>
        <v>#N/A</v>
      </c>
      <c r="H1393">
        <f>(B1393+$S$59)*$S$61</f>
        <v>77.71650295857988</v>
      </c>
      <c r="I1393" t="e">
        <f>(C1393+$S$60)*$S$61</f>
        <v>#N/A</v>
      </c>
    </row>
    <row r="1395">
      <c r="B1395">
        <f>$S$7</f>
        <v>3.0</v>
      </c>
      <c r="C1395" t="e">
        <f>IF(AND($S$9=1,8&lt;=$S$39),$S$37+8*(2*$S$40/3)/MAX($S$39,1),NA())</f>
        <v>#N/A</v>
      </c>
      <c r="D1395">
        <f>(B1395+$S$52)*$S$54</f>
        <v>47.42129577464789</v>
      </c>
      <c r="E1395" t="e">
        <f>(C1395+$S$53)*$S$54</f>
        <v>#N/A</v>
      </c>
      <c r="F1395">
        <f>(B1395+$S$55)*$S$58</f>
        <v>95.1351076923077</v>
      </c>
      <c r="G1395" t="e">
        <f>(C1395+$S$56)*$S$58</f>
        <v>#N/A</v>
      </c>
      <c r="H1395">
        <f>(B1395+$S$59)*$S$61</f>
        <v>45.4568224852071</v>
      </c>
      <c r="I1395" t="e">
        <f>(C1395+$S$60)*$S$61</f>
        <v>#N/A</v>
      </c>
    </row>
    <row r="1396">
      <c r="B1396">
        <f>$S$41</f>
        <v>25.0</v>
      </c>
      <c r="C1396" t="e">
        <f>IF(AND($S$9=1,8&lt;=$S$39),$S$37+8*(2*$S$40/3)/MAX($S$39,1),NA())</f>
        <v>#N/A</v>
      </c>
      <c r="D1396">
        <f>(B1396+$S$52)*$S$54</f>
        <v>69.15605633802816</v>
      </c>
      <c r="E1396" t="e">
        <f>(C1396+$S$53)*$S$54</f>
        <v>#N/A</v>
      </c>
      <c r="F1396">
        <f>(B1396+$S$55)*$S$58</f>
        <v>158.55851282051282</v>
      </c>
      <c r="G1396" t="e">
        <f>(C1396+$S$56)*$S$58</f>
        <v>#N/A</v>
      </c>
      <c r="H1396">
        <f>(B1396+$S$59)*$S$61</f>
        <v>77.71650295857988</v>
      </c>
      <c r="I1396" t="e">
        <f>(C1396+$S$60)*$S$61</f>
        <v>#N/A</v>
      </c>
    </row>
    <row r="1398">
      <c r="B1398">
        <f>$S$2-($S$7)</f>
        <v>812.0</v>
      </c>
      <c r="C1398" t="e">
        <f>IF(AND($S$9=1,1&lt;=$S$39),$S$37+1*(2*$S$40/3)/MAX($S$39,1),NA())</f>
        <v>#N/A</v>
      </c>
      <c r="D1398">
        <f>(B1398+$S$52)*$S$54</f>
        <v>846.6677183098591</v>
      </c>
      <c r="E1398" t="e">
        <f>(C1398+$S$53)*$S$54</f>
        <v>#N/A</v>
      </c>
      <c r="F1398">
        <f>(B1398+$S$55)*$S$58</f>
        <v>2427.386687179487</v>
      </c>
      <c r="G1398" t="e">
        <f>(C1398+$S$56)*$S$58</f>
        <v>#N/A</v>
      </c>
      <c r="H1398">
        <f>(B1398+$S$59)*$S$61</f>
        <v>1231.7332544378698</v>
      </c>
      <c r="I1398" t="e">
        <f>(C1398+$S$60)*$S$61</f>
        <v>#N/A</v>
      </c>
    </row>
    <row r="1399">
      <c r="B1399">
        <f>$S$2-($S$41)</f>
        <v>790.0</v>
      </c>
      <c r="C1399" t="e">
        <f>IF(AND($S$9=1,1&lt;=$S$39),$S$37+1*(2*$S$40/3)/MAX($S$39,1),NA())</f>
        <v>#N/A</v>
      </c>
      <c r="D1399">
        <f>(B1399+$S$52)*$S$54</f>
        <v>824.9329577464788</v>
      </c>
      <c r="E1399" t="e">
        <f>(C1399+$S$53)*$S$54</f>
        <v>#N/A</v>
      </c>
      <c r="F1399">
        <f>(B1399+$S$55)*$S$58</f>
        <v>2363.963282051282</v>
      </c>
      <c r="G1399" t="e">
        <f>(C1399+$S$56)*$S$58</f>
        <v>#N/A</v>
      </c>
      <c r="H1399">
        <f>(B1399+$S$59)*$S$61</f>
        <v>1199.473573964497</v>
      </c>
      <c r="I1399" t="e">
        <f>(C1399+$S$60)*$S$61</f>
        <v>#N/A</v>
      </c>
    </row>
    <row r="1401">
      <c r="B1401">
        <f>$S$2-($S$7)</f>
        <v>812.0</v>
      </c>
      <c r="C1401" t="e">
        <f>IF(AND($S$9=1,2&lt;=$S$39),$S$37+2*(2*$S$40/3)/MAX($S$39,1),NA())</f>
        <v>#N/A</v>
      </c>
      <c r="D1401">
        <f>(B1401+$S$52)*$S$54</f>
        <v>846.6677183098591</v>
      </c>
      <c r="E1401" t="e">
        <f>(C1401+$S$53)*$S$54</f>
        <v>#N/A</v>
      </c>
      <c r="F1401">
        <f>(B1401+$S$55)*$S$58</f>
        <v>2427.386687179487</v>
      </c>
      <c r="G1401" t="e">
        <f>(C1401+$S$56)*$S$58</f>
        <v>#N/A</v>
      </c>
      <c r="H1401">
        <f>(B1401+$S$59)*$S$61</f>
        <v>1231.7332544378698</v>
      </c>
      <c r="I1401" t="e">
        <f>(C1401+$S$60)*$S$61</f>
        <v>#N/A</v>
      </c>
    </row>
    <row r="1402">
      <c r="B1402">
        <f>$S$2-($S$41)</f>
        <v>790.0</v>
      </c>
      <c r="C1402" t="e">
        <f>IF(AND($S$9=1,2&lt;=$S$39),$S$37+2*(2*$S$40/3)/MAX($S$39,1),NA())</f>
        <v>#N/A</v>
      </c>
      <c r="D1402">
        <f>(B1402+$S$52)*$S$54</f>
        <v>824.9329577464788</v>
      </c>
      <c r="E1402" t="e">
        <f>(C1402+$S$53)*$S$54</f>
        <v>#N/A</v>
      </c>
      <c r="F1402">
        <f>(B1402+$S$55)*$S$58</f>
        <v>2363.963282051282</v>
      </c>
      <c r="G1402" t="e">
        <f>(C1402+$S$56)*$S$58</f>
        <v>#N/A</v>
      </c>
      <c r="H1402">
        <f>(B1402+$S$59)*$S$61</f>
        <v>1199.473573964497</v>
      </c>
      <c r="I1402" t="e">
        <f>(C1402+$S$60)*$S$61</f>
        <v>#N/A</v>
      </c>
    </row>
    <row r="1404">
      <c r="B1404">
        <f>$S$2-($S$7)</f>
        <v>812.0</v>
      </c>
      <c r="C1404" t="e">
        <f>IF(AND($S$9=1,3&lt;=$S$39),$S$37+3*(2*$S$40/3)/MAX($S$39,1),NA())</f>
        <v>#N/A</v>
      </c>
      <c r="D1404">
        <f>(B1404+$S$52)*$S$54</f>
        <v>846.6677183098591</v>
      </c>
      <c r="E1404" t="e">
        <f>(C1404+$S$53)*$S$54</f>
        <v>#N/A</v>
      </c>
      <c r="F1404">
        <f>(B1404+$S$55)*$S$58</f>
        <v>2427.386687179487</v>
      </c>
      <c r="G1404" t="e">
        <f>(C1404+$S$56)*$S$58</f>
        <v>#N/A</v>
      </c>
      <c r="H1404">
        <f>(B1404+$S$59)*$S$61</f>
        <v>1231.7332544378698</v>
      </c>
      <c r="I1404" t="e">
        <f>(C1404+$S$60)*$S$61</f>
        <v>#N/A</v>
      </c>
    </row>
    <row r="1405">
      <c r="B1405">
        <f>$S$2-($S$41)</f>
        <v>790.0</v>
      </c>
      <c r="C1405" t="e">
        <f>IF(AND($S$9=1,3&lt;=$S$39),$S$37+3*(2*$S$40/3)/MAX($S$39,1),NA())</f>
        <v>#N/A</v>
      </c>
      <c r="D1405">
        <f>(B1405+$S$52)*$S$54</f>
        <v>824.9329577464788</v>
      </c>
      <c r="E1405" t="e">
        <f>(C1405+$S$53)*$S$54</f>
        <v>#N/A</v>
      </c>
      <c r="F1405">
        <f>(B1405+$S$55)*$S$58</f>
        <v>2363.963282051282</v>
      </c>
      <c r="G1405" t="e">
        <f>(C1405+$S$56)*$S$58</f>
        <v>#N/A</v>
      </c>
      <c r="H1405">
        <f>(B1405+$S$59)*$S$61</f>
        <v>1199.473573964497</v>
      </c>
      <c r="I1405" t="e">
        <f>(C1405+$S$60)*$S$61</f>
        <v>#N/A</v>
      </c>
    </row>
    <row r="1407">
      <c r="B1407">
        <f>$S$2-($S$7)</f>
        <v>812.0</v>
      </c>
      <c r="C1407" t="e">
        <f>IF(AND($S$9=1,4&lt;=$S$39),$S$37+4*(2*$S$40/3)/MAX($S$39,1),NA())</f>
        <v>#N/A</v>
      </c>
      <c r="D1407">
        <f>(B1407+$S$52)*$S$54</f>
        <v>846.6677183098591</v>
      </c>
      <c r="E1407" t="e">
        <f>(C1407+$S$53)*$S$54</f>
        <v>#N/A</v>
      </c>
      <c r="F1407">
        <f>(B1407+$S$55)*$S$58</f>
        <v>2427.386687179487</v>
      </c>
      <c r="G1407" t="e">
        <f>(C1407+$S$56)*$S$58</f>
        <v>#N/A</v>
      </c>
      <c r="H1407">
        <f>(B1407+$S$59)*$S$61</f>
        <v>1231.7332544378698</v>
      </c>
      <c r="I1407" t="e">
        <f>(C1407+$S$60)*$S$61</f>
        <v>#N/A</v>
      </c>
    </row>
    <row r="1408">
      <c r="B1408">
        <f>$S$2-($S$41)</f>
        <v>790.0</v>
      </c>
      <c r="C1408" t="e">
        <f>IF(AND($S$9=1,4&lt;=$S$39),$S$37+4*(2*$S$40/3)/MAX($S$39,1),NA())</f>
        <v>#N/A</v>
      </c>
      <c r="D1408">
        <f>(B1408+$S$52)*$S$54</f>
        <v>824.9329577464788</v>
      </c>
      <c r="E1408" t="e">
        <f>(C1408+$S$53)*$S$54</f>
        <v>#N/A</v>
      </c>
      <c r="F1408">
        <f>(B1408+$S$55)*$S$58</f>
        <v>2363.963282051282</v>
      </c>
      <c r="G1408" t="e">
        <f>(C1408+$S$56)*$S$58</f>
        <v>#N/A</v>
      </c>
      <c r="H1408">
        <f>(B1408+$S$59)*$S$61</f>
        <v>1199.473573964497</v>
      </c>
      <c r="I1408" t="e">
        <f>(C1408+$S$60)*$S$61</f>
        <v>#N/A</v>
      </c>
    </row>
    <row r="1410">
      <c r="B1410">
        <f>$S$2-($S$7)</f>
        <v>812.0</v>
      </c>
      <c r="C1410" t="e">
        <f>IF(AND($S$9=1,5&lt;=$S$39),$S$37+5*(2*$S$40/3)/MAX($S$39,1),NA())</f>
        <v>#N/A</v>
      </c>
      <c r="D1410">
        <f>(B1410+$S$52)*$S$54</f>
        <v>846.6677183098591</v>
      </c>
      <c r="E1410" t="e">
        <f>(C1410+$S$53)*$S$54</f>
        <v>#N/A</v>
      </c>
      <c r="F1410">
        <f>(B1410+$S$55)*$S$58</f>
        <v>2427.386687179487</v>
      </c>
      <c r="G1410" t="e">
        <f>(C1410+$S$56)*$S$58</f>
        <v>#N/A</v>
      </c>
      <c r="H1410">
        <f>(B1410+$S$59)*$S$61</f>
        <v>1231.7332544378698</v>
      </c>
      <c r="I1410" t="e">
        <f>(C1410+$S$60)*$S$61</f>
        <v>#N/A</v>
      </c>
    </row>
    <row r="1411">
      <c r="B1411">
        <f>$S$2-($S$41)</f>
        <v>790.0</v>
      </c>
      <c r="C1411" t="e">
        <f>IF(AND($S$9=1,5&lt;=$S$39),$S$37+5*(2*$S$40/3)/MAX($S$39,1),NA())</f>
        <v>#N/A</v>
      </c>
      <c r="D1411">
        <f>(B1411+$S$52)*$S$54</f>
        <v>824.9329577464788</v>
      </c>
      <c r="E1411" t="e">
        <f>(C1411+$S$53)*$S$54</f>
        <v>#N/A</v>
      </c>
      <c r="F1411">
        <f>(B1411+$S$55)*$S$58</f>
        <v>2363.963282051282</v>
      </c>
      <c r="G1411" t="e">
        <f>(C1411+$S$56)*$S$58</f>
        <v>#N/A</v>
      </c>
      <c r="H1411">
        <f>(B1411+$S$59)*$S$61</f>
        <v>1199.473573964497</v>
      </c>
      <c r="I1411" t="e">
        <f>(C1411+$S$60)*$S$61</f>
        <v>#N/A</v>
      </c>
    </row>
    <row r="1413">
      <c r="B1413">
        <f>$S$2-($S$7)</f>
        <v>812.0</v>
      </c>
      <c r="C1413" t="e">
        <f>IF(AND($S$9=1,6&lt;=$S$39),$S$37+6*(2*$S$40/3)/MAX($S$39,1),NA())</f>
        <v>#N/A</v>
      </c>
      <c r="D1413">
        <f>(B1413+$S$52)*$S$54</f>
        <v>846.6677183098591</v>
      </c>
      <c r="E1413" t="e">
        <f>(C1413+$S$53)*$S$54</f>
        <v>#N/A</v>
      </c>
      <c r="F1413">
        <f>(B1413+$S$55)*$S$58</f>
        <v>2427.386687179487</v>
      </c>
      <c r="G1413" t="e">
        <f>(C1413+$S$56)*$S$58</f>
        <v>#N/A</v>
      </c>
      <c r="H1413">
        <f>(B1413+$S$59)*$S$61</f>
        <v>1231.7332544378698</v>
      </c>
      <c r="I1413" t="e">
        <f>(C1413+$S$60)*$S$61</f>
        <v>#N/A</v>
      </c>
    </row>
    <row r="1414">
      <c r="B1414">
        <f>$S$2-($S$41)</f>
        <v>790.0</v>
      </c>
      <c r="C1414" t="e">
        <f>IF(AND($S$9=1,6&lt;=$S$39),$S$37+6*(2*$S$40/3)/MAX($S$39,1),NA())</f>
        <v>#N/A</v>
      </c>
      <c r="D1414">
        <f>(B1414+$S$52)*$S$54</f>
        <v>824.9329577464788</v>
      </c>
      <c r="E1414" t="e">
        <f>(C1414+$S$53)*$S$54</f>
        <v>#N/A</v>
      </c>
      <c r="F1414">
        <f>(B1414+$S$55)*$S$58</f>
        <v>2363.963282051282</v>
      </c>
      <c r="G1414" t="e">
        <f>(C1414+$S$56)*$S$58</f>
        <v>#N/A</v>
      </c>
      <c r="H1414">
        <f>(B1414+$S$59)*$S$61</f>
        <v>1199.473573964497</v>
      </c>
      <c r="I1414" t="e">
        <f>(C1414+$S$60)*$S$61</f>
        <v>#N/A</v>
      </c>
    </row>
    <row r="1416">
      <c r="B1416">
        <f>$S$2-($S$7)</f>
        <v>812.0</v>
      </c>
      <c r="C1416" t="e">
        <f>IF(AND($S$9=1,7&lt;=$S$39),$S$37+7*(2*$S$40/3)/MAX($S$39,1),NA())</f>
        <v>#N/A</v>
      </c>
      <c r="D1416">
        <f>(B1416+$S$52)*$S$54</f>
        <v>846.6677183098591</v>
      </c>
      <c r="E1416" t="e">
        <f>(C1416+$S$53)*$S$54</f>
        <v>#N/A</v>
      </c>
      <c r="F1416">
        <f>(B1416+$S$55)*$S$58</f>
        <v>2427.386687179487</v>
      </c>
      <c r="G1416" t="e">
        <f>(C1416+$S$56)*$S$58</f>
        <v>#N/A</v>
      </c>
      <c r="H1416">
        <f>(B1416+$S$59)*$S$61</f>
        <v>1231.7332544378698</v>
      </c>
      <c r="I1416" t="e">
        <f>(C1416+$S$60)*$S$61</f>
        <v>#N/A</v>
      </c>
    </row>
    <row r="1417">
      <c r="B1417">
        <f>$S$2-($S$41)</f>
        <v>790.0</v>
      </c>
      <c r="C1417" t="e">
        <f>IF(AND($S$9=1,7&lt;=$S$39),$S$37+7*(2*$S$40/3)/MAX($S$39,1),NA())</f>
        <v>#N/A</v>
      </c>
      <c r="D1417">
        <f>(B1417+$S$52)*$S$54</f>
        <v>824.9329577464788</v>
      </c>
      <c r="E1417" t="e">
        <f>(C1417+$S$53)*$S$54</f>
        <v>#N/A</v>
      </c>
      <c r="F1417">
        <f>(B1417+$S$55)*$S$58</f>
        <v>2363.963282051282</v>
      </c>
      <c r="G1417" t="e">
        <f>(C1417+$S$56)*$S$58</f>
        <v>#N/A</v>
      </c>
      <c r="H1417">
        <f>(B1417+$S$59)*$S$61</f>
        <v>1199.473573964497</v>
      </c>
      <c r="I1417" t="e">
        <f>(C1417+$S$60)*$S$61</f>
        <v>#N/A</v>
      </c>
    </row>
    <row r="1419">
      <c r="B1419">
        <f>$S$2-($S$7)</f>
        <v>812.0</v>
      </c>
      <c r="C1419" t="e">
        <f>IF(AND($S$9=1,8&lt;=$S$39),$S$37+8*(2*$S$40/3)/MAX($S$39,1),NA())</f>
        <v>#N/A</v>
      </c>
      <c r="D1419">
        <f>(B1419+$S$52)*$S$54</f>
        <v>846.6677183098591</v>
      </c>
      <c r="E1419" t="e">
        <f>(C1419+$S$53)*$S$54</f>
        <v>#N/A</v>
      </c>
      <c r="F1419">
        <f>(B1419+$S$55)*$S$58</f>
        <v>2427.386687179487</v>
      </c>
      <c r="G1419" t="e">
        <f>(C1419+$S$56)*$S$58</f>
        <v>#N/A</v>
      </c>
      <c r="H1419">
        <f>(B1419+$S$59)*$S$61</f>
        <v>1231.7332544378698</v>
      </c>
      <c r="I1419" t="e">
        <f>(C1419+$S$60)*$S$61</f>
        <v>#N/A</v>
      </c>
    </row>
    <row r="1420">
      <c r="B1420">
        <f>$S$2-($S$41)</f>
        <v>790.0</v>
      </c>
      <c r="C1420" t="e">
        <f>IF(AND($S$9=1,8&lt;=$S$39),$S$37+8*(2*$S$40/3)/MAX($S$39,1),NA())</f>
        <v>#N/A</v>
      </c>
      <c r="D1420">
        <f>(B1420+$S$52)*$S$54</f>
        <v>824.9329577464788</v>
      </c>
      <c r="E1420" t="e">
        <f>(C1420+$S$53)*$S$54</f>
        <v>#N/A</v>
      </c>
      <c r="F1420">
        <f>(B1420+$S$55)*$S$58</f>
        <v>2363.963282051282</v>
      </c>
      <c r="G1420" t="e">
        <f>(C1420+$S$56)*$S$58</f>
        <v>#N/A</v>
      </c>
      <c r="H1420">
        <f>(B1420+$S$59)*$S$61</f>
        <v>1199.473573964497</v>
      </c>
      <c r="I1420" t="e">
        <f>(C1420+$S$60)*$S$61</f>
        <v>#N/A</v>
      </c>
    </row>
    <row r="1423">
      <c r="A1423" t="inlineStr">
        <is>
          <t>Laços de fendilhamento</t>
        </is>
      </c>
      <c r="B1423">
        <f>$S$36</f>
        <v>3.0</v>
      </c>
      <c r="C1423">
        <f>IF(1&lt;=$S$33,$S$7+3+0*$S$34,NA())</f>
        <v>6.0</v>
      </c>
      <c r="D1423">
        <f>(B1423+$S$52)*$S$54</f>
        <v>47.42129577464789</v>
      </c>
      <c r="E1423">
        <f>(C1423+$S$53)*$S$54</f>
        <v>80.02343661971831</v>
      </c>
      <c r="F1423">
        <f>(B1423+$S$55)*$S$58</f>
        <v>95.1351076923077</v>
      </c>
      <c r="G1423">
        <f>(C1423+$S$56)*$S$58</f>
        <v>196.0359794871795</v>
      </c>
      <c r="H1423">
        <f>(B1423+$S$59)*$S$61</f>
        <v>45.4568224852071</v>
      </c>
      <c r="I1423">
        <f>(C1423+$S$60)*$S$61</f>
        <v>76.25015384615385</v>
      </c>
    </row>
    <row r="1424">
      <c r="B1424">
        <f>$S$36+$S$35</f>
        <v>73.0</v>
      </c>
      <c r="C1424">
        <f>IF(1&lt;=$S$33,$S$7+3+0*$S$34,NA())</f>
        <v>6.0</v>
      </c>
      <c r="D1424">
        <f>(B1424+$S$52)*$S$54</f>
        <v>116.57735211267605</v>
      </c>
      <c r="E1424">
        <f>(C1424+$S$53)*$S$54</f>
        <v>80.02343661971831</v>
      </c>
      <c r="F1424">
        <f>(B1424+$S$55)*$S$58</f>
        <v>296.9368512820513</v>
      </c>
      <c r="G1424">
        <f>(C1424+$S$56)*$S$58</f>
        <v>196.0359794871795</v>
      </c>
      <c r="H1424">
        <f>(B1424+$S$59)*$S$61</f>
        <v>148.10126035502958</v>
      </c>
      <c r="I1424">
        <f>(C1424+$S$60)*$S$61</f>
        <v>76.25015384615385</v>
      </c>
    </row>
    <row r="1426">
      <c r="B1426">
        <f>$S$36</f>
        <v>3.0</v>
      </c>
      <c r="C1426">
        <f>IF(2&lt;=$S$33,$S$7+3+1*$S$34,NA())</f>
        <v>11.0</v>
      </c>
      <c r="D1426">
        <f>(B1426+$S$52)*$S$54</f>
        <v>47.42129577464789</v>
      </c>
      <c r="E1426">
        <f>(C1426+$S$53)*$S$54</f>
        <v>84.96315492957746</v>
      </c>
      <c r="F1426">
        <f>(B1426+$S$55)*$S$58</f>
        <v>95.1351076923077</v>
      </c>
      <c r="G1426">
        <f>(C1426+$S$56)*$S$58</f>
        <v>210.45038974358977</v>
      </c>
      <c r="H1426">
        <f>(B1426+$S$59)*$S$61</f>
        <v>45.4568224852071</v>
      </c>
      <c r="I1426">
        <f>(C1426+$S$60)*$S$61</f>
        <v>83.58189940828402</v>
      </c>
    </row>
    <row r="1427">
      <c r="B1427">
        <f>$S$36+$S$35</f>
        <v>73.0</v>
      </c>
      <c r="C1427">
        <f>IF(2&lt;=$S$33,$S$7+3+1*$S$34,NA())</f>
        <v>11.0</v>
      </c>
      <c r="D1427">
        <f>(B1427+$S$52)*$S$54</f>
        <v>116.57735211267605</v>
      </c>
      <c r="E1427">
        <f>(C1427+$S$53)*$S$54</f>
        <v>84.96315492957746</v>
      </c>
      <c r="F1427">
        <f>(B1427+$S$55)*$S$58</f>
        <v>296.9368512820513</v>
      </c>
      <c r="G1427">
        <f>(C1427+$S$56)*$S$58</f>
        <v>210.45038974358977</v>
      </c>
      <c r="H1427">
        <f>(B1427+$S$59)*$S$61</f>
        <v>148.10126035502958</v>
      </c>
      <c r="I1427">
        <f>(C1427+$S$60)*$S$61</f>
        <v>83.58189940828402</v>
      </c>
    </row>
    <row r="1429">
      <c r="B1429">
        <f>$S$36</f>
        <v>3.0</v>
      </c>
      <c r="C1429" t="e">
        <f>IF(3&lt;=$S$33,$S$7+3+2*$S$34,NA())</f>
        <v>#N/A</v>
      </c>
      <c r="D1429">
        <f>(B1429+$S$52)*$S$54</f>
        <v>47.42129577464789</v>
      </c>
      <c r="E1429" t="e">
        <f>(C1429+$S$53)*$S$54</f>
        <v>#N/A</v>
      </c>
      <c r="F1429">
        <f>(B1429+$S$55)*$S$58</f>
        <v>95.1351076923077</v>
      </c>
      <c r="G1429" t="e">
        <f>(C1429+$S$56)*$S$58</f>
        <v>#N/A</v>
      </c>
      <c r="H1429">
        <f>(B1429+$S$59)*$S$61</f>
        <v>45.4568224852071</v>
      </c>
      <c r="I1429" t="e">
        <f>(C1429+$S$60)*$S$61</f>
        <v>#N/A</v>
      </c>
    </row>
    <row r="1430">
      <c r="B1430">
        <f>$S$36+$S$35</f>
        <v>73.0</v>
      </c>
      <c r="C1430" t="e">
        <f>IF(3&lt;=$S$33,$S$7+3+2*$S$34,NA())</f>
        <v>#N/A</v>
      </c>
      <c r="D1430">
        <f>(B1430+$S$52)*$S$54</f>
        <v>116.57735211267605</v>
      </c>
      <c r="E1430" t="e">
        <f>(C1430+$S$53)*$S$54</f>
        <v>#N/A</v>
      </c>
      <c r="F1430">
        <f>(B1430+$S$55)*$S$58</f>
        <v>296.9368512820513</v>
      </c>
      <c r="G1430" t="e">
        <f>(C1430+$S$56)*$S$58</f>
        <v>#N/A</v>
      </c>
      <c r="H1430">
        <f>(B1430+$S$59)*$S$61</f>
        <v>148.10126035502958</v>
      </c>
      <c r="I1430" t="e">
        <f>(C1430+$S$60)*$S$61</f>
        <v>#N/A</v>
      </c>
    </row>
    <row r="1432">
      <c r="B1432">
        <f>$S$36</f>
        <v>3.0</v>
      </c>
      <c r="C1432" t="e">
        <f>IF(4&lt;=$S$33,$S$7+3+3*$S$34,NA())</f>
        <v>#N/A</v>
      </c>
      <c r="D1432">
        <f>(B1432+$S$52)*$S$54</f>
        <v>47.42129577464789</v>
      </c>
      <c r="E1432" t="e">
        <f>(C1432+$S$53)*$S$54</f>
        <v>#N/A</v>
      </c>
      <c r="F1432">
        <f>(B1432+$S$55)*$S$58</f>
        <v>95.1351076923077</v>
      </c>
      <c r="G1432" t="e">
        <f>(C1432+$S$56)*$S$58</f>
        <v>#N/A</v>
      </c>
      <c r="H1432">
        <f>(B1432+$S$59)*$S$61</f>
        <v>45.4568224852071</v>
      </c>
      <c r="I1432" t="e">
        <f>(C1432+$S$60)*$S$61</f>
        <v>#N/A</v>
      </c>
    </row>
    <row r="1433">
      <c r="B1433">
        <f>$S$36+$S$35</f>
        <v>73.0</v>
      </c>
      <c r="C1433" t="e">
        <f>IF(4&lt;=$S$33,$S$7+3+3*$S$34,NA())</f>
        <v>#N/A</v>
      </c>
      <c r="D1433">
        <f>(B1433+$S$52)*$S$54</f>
        <v>116.57735211267605</v>
      </c>
      <c r="E1433" t="e">
        <f>(C1433+$S$53)*$S$54</f>
        <v>#N/A</v>
      </c>
      <c r="F1433">
        <f>(B1433+$S$55)*$S$58</f>
        <v>296.9368512820513</v>
      </c>
      <c r="G1433" t="e">
        <f>(C1433+$S$56)*$S$58</f>
        <v>#N/A</v>
      </c>
      <c r="H1433">
        <f>(B1433+$S$59)*$S$61</f>
        <v>148.10126035502958</v>
      </c>
      <c r="I1433" t="e">
        <f>(C1433+$S$60)*$S$61</f>
        <v>#N/A</v>
      </c>
    </row>
    <row r="1435">
      <c r="B1435">
        <f>$S$36</f>
        <v>3.0</v>
      </c>
      <c r="C1435" t="e">
        <f>IF(5&lt;=$S$33,$S$7+3+4*$S$34,NA())</f>
        <v>#N/A</v>
      </c>
      <c r="D1435">
        <f>(B1435+$S$52)*$S$54</f>
        <v>47.42129577464789</v>
      </c>
      <c r="E1435" t="e">
        <f>(C1435+$S$53)*$S$54</f>
        <v>#N/A</v>
      </c>
      <c r="F1435">
        <f>(B1435+$S$55)*$S$58</f>
        <v>95.1351076923077</v>
      </c>
      <c r="G1435" t="e">
        <f>(C1435+$S$56)*$S$58</f>
        <v>#N/A</v>
      </c>
      <c r="H1435">
        <f>(B1435+$S$59)*$S$61</f>
        <v>45.4568224852071</v>
      </c>
      <c r="I1435" t="e">
        <f>(C1435+$S$60)*$S$61</f>
        <v>#N/A</v>
      </c>
    </row>
    <row r="1436">
      <c r="B1436">
        <f>$S$36+$S$35</f>
        <v>73.0</v>
      </c>
      <c r="C1436" t="e">
        <f>IF(5&lt;=$S$33,$S$7+3+4*$S$34,NA())</f>
        <v>#N/A</v>
      </c>
      <c r="D1436">
        <f>(B1436+$S$52)*$S$54</f>
        <v>116.57735211267605</v>
      </c>
      <c r="E1436" t="e">
        <f>(C1436+$S$53)*$S$54</f>
        <v>#N/A</v>
      </c>
      <c r="F1436">
        <f>(B1436+$S$55)*$S$58</f>
        <v>296.9368512820513</v>
      </c>
      <c r="G1436" t="e">
        <f>(C1436+$S$56)*$S$58</f>
        <v>#N/A</v>
      </c>
      <c r="H1436">
        <f>(B1436+$S$59)*$S$61</f>
        <v>148.10126035502958</v>
      </c>
      <c r="I1436" t="e">
        <f>(C1436+$S$60)*$S$61</f>
        <v>#N/A</v>
      </c>
    </row>
    <row r="1438">
      <c r="B1438">
        <f>$S$2-($S$36)</f>
        <v>812.0</v>
      </c>
      <c r="C1438">
        <f>IF(1&lt;=$S$33,$S$7+3+0*$S$34,NA())</f>
        <v>6.0</v>
      </c>
      <c r="D1438">
        <f>(B1438+$S$52)*$S$54</f>
        <v>846.6677183098591</v>
      </c>
      <c r="E1438">
        <f>(C1438+$S$53)*$S$54</f>
        <v>80.02343661971831</v>
      </c>
      <c r="F1438">
        <f>(B1438+$S$55)*$S$58</f>
        <v>2427.386687179487</v>
      </c>
      <c r="G1438">
        <f>(C1438+$S$56)*$S$58</f>
        <v>196.0359794871795</v>
      </c>
      <c r="H1438">
        <f>(B1438+$S$59)*$S$61</f>
        <v>1231.7332544378698</v>
      </c>
      <c r="I1438">
        <f>(C1438+$S$60)*$S$61</f>
        <v>76.25015384615385</v>
      </c>
    </row>
    <row r="1439">
      <c r="B1439">
        <f>$S$2-($S$36+$S$35)</f>
        <v>742.0</v>
      </c>
      <c r="C1439">
        <f>IF(1&lt;=$S$33,$S$7+3+0*$S$34,NA())</f>
        <v>6.0</v>
      </c>
      <c r="D1439">
        <f>(B1439+$S$52)*$S$54</f>
        <v>777.5116619718309</v>
      </c>
      <c r="E1439">
        <f>(C1439+$S$53)*$S$54</f>
        <v>80.02343661971831</v>
      </c>
      <c r="F1439">
        <f>(B1439+$S$55)*$S$58</f>
        <v>2225.5849435897435</v>
      </c>
      <c r="G1439">
        <f>(C1439+$S$56)*$S$58</f>
        <v>196.0359794871795</v>
      </c>
      <c r="H1439">
        <f>(B1439+$S$59)*$S$61</f>
        <v>1129.0888165680474</v>
      </c>
      <c r="I1439">
        <f>(C1439+$S$60)*$S$61</f>
        <v>76.25015384615385</v>
      </c>
    </row>
    <row r="1441">
      <c r="B1441">
        <f>$S$2-($S$36)</f>
        <v>812.0</v>
      </c>
      <c r="C1441">
        <f>IF(2&lt;=$S$33,$S$7+3+1*$S$34,NA())</f>
        <v>11.0</v>
      </c>
      <c r="D1441">
        <f>(B1441+$S$52)*$S$54</f>
        <v>846.6677183098591</v>
      </c>
      <c r="E1441">
        <f>(C1441+$S$53)*$S$54</f>
        <v>84.96315492957746</v>
      </c>
      <c r="F1441">
        <f>(B1441+$S$55)*$S$58</f>
        <v>2427.386687179487</v>
      </c>
      <c r="G1441">
        <f>(C1441+$S$56)*$S$58</f>
        <v>210.45038974358977</v>
      </c>
      <c r="H1441">
        <f>(B1441+$S$59)*$S$61</f>
        <v>1231.7332544378698</v>
      </c>
      <c r="I1441">
        <f>(C1441+$S$60)*$S$61</f>
        <v>83.58189940828402</v>
      </c>
    </row>
    <row r="1442">
      <c r="B1442">
        <f>$S$2-($S$36+$S$35)</f>
        <v>742.0</v>
      </c>
      <c r="C1442">
        <f>IF(2&lt;=$S$33,$S$7+3+1*$S$34,NA())</f>
        <v>11.0</v>
      </c>
      <c r="D1442">
        <f>(B1442+$S$52)*$S$54</f>
        <v>777.5116619718309</v>
      </c>
      <c r="E1442">
        <f>(C1442+$S$53)*$S$54</f>
        <v>84.96315492957746</v>
      </c>
      <c r="F1442">
        <f>(B1442+$S$55)*$S$58</f>
        <v>2225.5849435897435</v>
      </c>
      <c r="G1442">
        <f>(C1442+$S$56)*$S$58</f>
        <v>210.45038974358977</v>
      </c>
      <c r="H1442">
        <f>(B1442+$S$59)*$S$61</f>
        <v>1129.0888165680474</v>
      </c>
      <c r="I1442">
        <f>(C1442+$S$60)*$S$61</f>
        <v>83.58189940828402</v>
      </c>
    </row>
    <row r="1444">
      <c r="B1444">
        <f>$S$2-($S$36)</f>
        <v>812.0</v>
      </c>
      <c r="C1444" t="e">
        <f>IF(3&lt;=$S$33,$S$7+3+2*$S$34,NA())</f>
        <v>#N/A</v>
      </c>
      <c r="D1444">
        <f>(B1444+$S$52)*$S$54</f>
        <v>846.6677183098591</v>
      </c>
      <c r="E1444" t="e">
        <f>(C1444+$S$53)*$S$54</f>
        <v>#N/A</v>
      </c>
      <c r="F1444">
        <f>(B1444+$S$55)*$S$58</f>
        <v>2427.386687179487</v>
      </c>
      <c r="G1444" t="e">
        <f>(C1444+$S$56)*$S$58</f>
        <v>#N/A</v>
      </c>
      <c r="H1444">
        <f>(B1444+$S$59)*$S$61</f>
        <v>1231.7332544378698</v>
      </c>
      <c r="I1444" t="e">
        <f>(C1444+$S$60)*$S$61</f>
        <v>#N/A</v>
      </c>
    </row>
    <row r="1445">
      <c r="B1445">
        <f>$S$2-($S$36+$S$35)</f>
        <v>742.0</v>
      </c>
      <c r="C1445" t="e">
        <f>IF(3&lt;=$S$33,$S$7+3+2*$S$34,NA())</f>
        <v>#N/A</v>
      </c>
      <c r="D1445">
        <f>(B1445+$S$52)*$S$54</f>
        <v>777.5116619718309</v>
      </c>
      <c r="E1445" t="e">
        <f>(C1445+$S$53)*$S$54</f>
        <v>#N/A</v>
      </c>
      <c r="F1445">
        <f>(B1445+$S$55)*$S$58</f>
        <v>2225.5849435897435</v>
      </c>
      <c r="G1445" t="e">
        <f>(C1445+$S$56)*$S$58</f>
        <v>#N/A</v>
      </c>
      <c r="H1445">
        <f>(B1445+$S$59)*$S$61</f>
        <v>1129.0888165680474</v>
      </c>
      <c r="I1445" t="e">
        <f>(C1445+$S$60)*$S$61</f>
        <v>#N/A</v>
      </c>
    </row>
    <row r="1447">
      <c r="B1447">
        <f>$S$2-($S$36)</f>
        <v>812.0</v>
      </c>
      <c r="C1447" t="e">
        <f>IF(4&lt;=$S$33,$S$7+3+3*$S$34,NA())</f>
        <v>#N/A</v>
      </c>
      <c r="D1447">
        <f>(B1447+$S$52)*$S$54</f>
        <v>846.6677183098591</v>
      </c>
      <c r="E1447" t="e">
        <f>(C1447+$S$53)*$S$54</f>
        <v>#N/A</v>
      </c>
      <c r="F1447">
        <f>(B1447+$S$55)*$S$58</f>
        <v>2427.386687179487</v>
      </c>
      <c r="G1447" t="e">
        <f>(C1447+$S$56)*$S$58</f>
        <v>#N/A</v>
      </c>
      <c r="H1447">
        <f>(B1447+$S$59)*$S$61</f>
        <v>1231.7332544378698</v>
      </c>
      <c r="I1447" t="e">
        <f>(C1447+$S$60)*$S$61</f>
        <v>#N/A</v>
      </c>
    </row>
    <row r="1448">
      <c r="B1448">
        <f>$S$2-($S$36+$S$35)</f>
        <v>742.0</v>
      </c>
      <c r="C1448" t="e">
        <f>IF(4&lt;=$S$33,$S$7+3+3*$S$34,NA())</f>
        <v>#N/A</v>
      </c>
      <c r="D1448">
        <f>(B1448+$S$52)*$S$54</f>
        <v>777.5116619718309</v>
      </c>
      <c r="E1448" t="e">
        <f>(C1448+$S$53)*$S$54</f>
        <v>#N/A</v>
      </c>
      <c r="F1448">
        <f>(B1448+$S$55)*$S$58</f>
        <v>2225.5849435897435</v>
      </c>
      <c r="G1448" t="e">
        <f>(C1448+$S$56)*$S$58</f>
        <v>#N/A</v>
      </c>
      <c r="H1448">
        <f>(B1448+$S$59)*$S$61</f>
        <v>1129.0888165680474</v>
      </c>
      <c r="I1448" t="e">
        <f>(C1448+$S$60)*$S$61</f>
        <v>#N/A</v>
      </c>
    </row>
    <row r="1450">
      <c r="B1450">
        <f>$S$2-($S$36)</f>
        <v>812.0</v>
      </c>
      <c r="C1450" t="e">
        <f>IF(5&lt;=$S$33,$S$7+3+4*$S$34,NA())</f>
        <v>#N/A</v>
      </c>
      <c r="D1450">
        <f>(B1450+$S$52)*$S$54</f>
        <v>846.6677183098591</v>
      </c>
      <c r="E1450" t="e">
        <f>(C1450+$S$53)*$S$54</f>
        <v>#N/A</v>
      </c>
      <c r="F1450">
        <f>(B1450+$S$55)*$S$58</f>
        <v>2427.386687179487</v>
      </c>
      <c r="G1450" t="e">
        <f>(C1450+$S$56)*$S$58</f>
        <v>#N/A</v>
      </c>
      <c r="H1450">
        <f>(B1450+$S$59)*$S$61</f>
        <v>1231.7332544378698</v>
      </c>
      <c r="I1450" t="e">
        <f>(C1450+$S$60)*$S$61</f>
        <v>#N/A</v>
      </c>
    </row>
    <row r="1451">
      <c r="B1451">
        <f>$S$2-($S$36+$S$35)</f>
        <v>742.0</v>
      </c>
      <c r="C1451" t="e">
        <f>IF(5&lt;=$S$33,$S$7+3+4*$S$34,NA())</f>
        <v>#N/A</v>
      </c>
      <c r="D1451">
        <f>(B1451+$S$52)*$S$54</f>
        <v>777.5116619718309</v>
      </c>
      <c r="E1451" t="e">
        <f>(C1451+$S$53)*$S$54</f>
        <v>#N/A</v>
      </c>
      <c r="F1451">
        <f>(B1451+$S$55)*$S$58</f>
        <v>2225.5849435897435</v>
      </c>
      <c r="G1451" t="e">
        <f>(C1451+$S$56)*$S$58</f>
        <v>#N/A</v>
      </c>
      <c r="H1451">
        <f>(B1451+$S$59)*$S$61</f>
        <v>1129.0888165680474</v>
      </c>
      <c r="I1451" t="e">
        <f>(C1451+$S$60)*$S$61</f>
        <v>#N/A</v>
      </c>
    </row>
    <row r="1454">
      <c r="A1454" t="inlineStr">
        <is>
          <t>Marcas x1, x2 e d/2</t>
        </is>
      </c>
      <c r="B1454">
        <f>$S$8+$S$20</f>
        <v>100.0</v>
      </c>
      <c r="C1454">
        <f>-12</f>
        <v>-12.0</v>
      </c>
      <c r="D1454">
        <f>(B1454+$S$52)*$S$54</f>
        <v>143.2518309859155</v>
      </c>
      <c r="E1454">
        <f>(C1454+$S$53)*$S$54</f>
        <v>62.240450704225346</v>
      </c>
      <c r="F1454">
        <f>(B1454+$S$55)*$S$58</f>
        <v>374.7746666666667</v>
      </c>
      <c r="G1454">
        <f>(C1454+$S$56)*$S$58</f>
        <v>144.14410256410258</v>
      </c>
      <c r="H1454">
        <f>(B1454+$S$59)*$S$61</f>
        <v>187.69268639053254</v>
      </c>
      <c r="I1454">
        <f>(C1454+$S$60)*$S$61</f>
        <v>49.855869822485204</v>
      </c>
    </row>
    <row r="1455">
      <c r="B1455">
        <f>$S$8+$S$20</f>
        <v>100.0</v>
      </c>
      <c r="C1455">
        <f>$S$5+6</f>
        <v>96.0</v>
      </c>
      <c r="D1455">
        <f>(B1455+$S$52)*$S$54</f>
        <v>143.2518309859155</v>
      </c>
      <c r="E1455">
        <f>(C1455+$S$53)*$S$54</f>
        <v>168.9383661971831</v>
      </c>
      <c r="F1455">
        <f>(B1455+$S$55)*$S$58</f>
        <v>374.7746666666667</v>
      </c>
      <c r="G1455">
        <f>(C1455+$S$56)*$S$58</f>
        <v>455.4953641025641</v>
      </c>
      <c r="H1455">
        <f>(B1455+$S$59)*$S$61</f>
        <v>187.69268639053254</v>
      </c>
      <c r="I1455">
        <f>(C1455+$S$60)*$S$61</f>
        <v>208.22157396449705</v>
      </c>
    </row>
    <row r="1457">
      <c r="B1457">
        <f>$S$8+$S$21</f>
        <v>180.0</v>
      </c>
      <c r="C1457">
        <f>-12</f>
        <v>-12.0</v>
      </c>
      <c r="D1457">
        <f>(B1457+$S$52)*$S$54</f>
        <v>222.28732394366196</v>
      </c>
      <c r="E1457">
        <f>(C1457+$S$53)*$S$54</f>
        <v>62.240450704225346</v>
      </c>
      <c r="F1457">
        <f>(B1457+$S$55)*$S$58</f>
        <v>605.4052307692308</v>
      </c>
      <c r="G1457">
        <f>(C1457+$S$56)*$S$58</f>
        <v>144.14410256410258</v>
      </c>
      <c r="H1457">
        <f>(B1457+$S$59)*$S$61</f>
        <v>305.0006153846154</v>
      </c>
      <c r="I1457">
        <f>(C1457+$S$60)*$S$61</f>
        <v>49.855869822485204</v>
      </c>
    </row>
    <row r="1458">
      <c r="B1458">
        <f>$S$8+$S$21</f>
        <v>180.0</v>
      </c>
      <c r="C1458">
        <f>$S$5+6</f>
        <v>96.0</v>
      </c>
      <c r="D1458">
        <f>(B1458+$S$52)*$S$54</f>
        <v>222.28732394366196</v>
      </c>
      <c r="E1458">
        <f>(C1458+$S$53)*$S$54</f>
        <v>168.9383661971831</v>
      </c>
      <c r="F1458">
        <f>(B1458+$S$55)*$S$58</f>
        <v>605.4052307692308</v>
      </c>
      <c r="G1458">
        <f>(C1458+$S$56)*$S$58</f>
        <v>455.4953641025641</v>
      </c>
      <c r="H1458">
        <f>(B1458+$S$59)*$S$61</f>
        <v>305.0006153846154</v>
      </c>
      <c r="I1458">
        <f>(C1458+$S$60)*$S$61</f>
        <v>208.22157396449705</v>
      </c>
    </row>
    <row r="1460">
      <c r="B1460">
        <f>$S$8+'Cisalhamento e Apoios'!$J$20/2</f>
        <v>57.6</v>
      </c>
      <c r="C1460">
        <f>-12</f>
        <v>-12.0</v>
      </c>
      <c r="D1460">
        <f>(B1460+$S$52)*$S$54</f>
        <v>101.36301971830984</v>
      </c>
      <c r="E1460">
        <f>(C1460+$S$53)*$S$54</f>
        <v>62.240450704225346</v>
      </c>
      <c r="F1460">
        <f>(B1460+$S$55)*$S$58</f>
        <v>252.5404676923077</v>
      </c>
      <c r="G1460">
        <f>(C1460+$S$56)*$S$58</f>
        <v>144.14410256410258</v>
      </c>
      <c r="H1460">
        <f>(B1460+$S$59)*$S$61</f>
        <v>125.51948402366862</v>
      </c>
      <c r="I1460">
        <f>(C1460+$S$60)*$S$61</f>
        <v>49.855869822485204</v>
      </c>
    </row>
    <row r="1461">
      <c r="B1461">
        <f>$S$8+'Cisalhamento e Apoios'!$J$20/2</f>
        <v>57.6</v>
      </c>
      <c r="C1461">
        <f>$S$4</f>
        <v>60.0</v>
      </c>
      <c r="D1461">
        <f>(B1461+$S$52)*$S$54</f>
        <v>101.36301971830984</v>
      </c>
      <c r="E1461">
        <f>(C1461+$S$53)*$S$54</f>
        <v>133.37239436619717</v>
      </c>
      <c r="F1461">
        <f>(B1461+$S$55)*$S$58</f>
        <v>252.5404676923077</v>
      </c>
      <c r="G1461">
        <f>(C1461+$S$56)*$S$58</f>
        <v>351.71161025641027</v>
      </c>
      <c r="H1461">
        <f>(B1461+$S$59)*$S$61</f>
        <v>125.51948402366862</v>
      </c>
      <c r="I1461">
        <f>(C1461+$S$60)*$S$61</f>
        <v>155.43300591715976</v>
      </c>
    </row>
    <row r="1464">
      <c r="A1464" t="inlineStr">
        <is>
          <t>cota L</t>
        </is>
      </c>
      <c r="B1464">
        <f>0</f>
        <v>0.0</v>
      </c>
      <c r="C1464">
        <f>-58</f>
        <v>-58.0</v>
      </c>
      <c r="D1464">
        <f>(B1464+$S$52)*$S$54</f>
        <v>44.457464788732395</v>
      </c>
      <c r="E1464">
        <f>(C1464+$S$53)*$S$54</f>
        <v>16.795042253521125</v>
      </c>
      <c r="F1464">
        <f>(B1464+$S$55)*$S$58</f>
        <v>86.48646153846154</v>
      </c>
      <c r="G1464">
        <f>(C1464+$S$56)*$S$58</f>
        <v>11.531528205128206</v>
      </c>
      <c r="H1464">
        <f>(B1464+$S$59)*$S$61</f>
        <v>41.05777514792899</v>
      </c>
      <c r="I1464">
        <f>(C1464+$S$60)*$S$61</f>
        <v>-17.596189349112425</v>
      </c>
    </row>
    <row r="1465">
      <c r="B1465">
        <f>$S$2</f>
        <v>815.0</v>
      </c>
      <c r="C1465">
        <f>-58</f>
        <v>-58.0</v>
      </c>
      <c r="D1465">
        <f>(B1465+$S$52)*$S$54</f>
        <v>849.6315492957746</v>
      </c>
      <c r="E1465">
        <f>(C1465+$S$53)*$S$54</f>
        <v>16.795042253521125</v>
      </c>
      <c r="F1465">
        <f>(B1465+$S$55)*$S$58</f>
        <v>2436.0353333333333</v>
      </c>
      <c r="G1465">
        <f>(C1465+$S$56)*$S$58</f>
        <v>11.531528205128206</v>
      </c>
      <c r="H1465">
        <f>(B1465+$S$59)*$S$61</f>
        <v>1236.1323017751479</v>
      </c>
      <c r="I1465">
        <f>(C1465+$S$60)*$S$61</f>
        <v>-17.596189349112425</v>
      </c>
    </row>
    <row r="1467">
      <c r="B1467">
        <f>0</f>
        <v>0.0</v>
      </c>
      <c r="C1467">
        <f>-63</f>
        <v>-63.0</v>
      </c>
      <c r="D1467">
        <f>(B1467+$S$52)*$S$54</f>
        <v>44.457464788732395</v>
      </c>
      <c r="E1467">
        <f>(C1467+$S$53)*$S$54</f>
        <v>11.855323943661972</v>
      </c>
      <c r="F1467">
        <f>(B1467+$S$55)*$S$58</f>
        <v>86.48646153846154</v>
      </c>
      <c r="G1467">
        <f>(C1467+$S$56)*$S$58</f>
        <v>-2.8828820512820514</v>
      </c>
      <c r="H1467">
        <f>(B1467+$S$59)*$S$61</f>
        <v>41.05777514792899</v>
      </c>
      <c r="I1467">
        <f>(C1467+$S$60)*$S$61</f>
        <v>-24.927934911242602</v>
      </c>
    </row>
    <row r="1468">
      <c r="B1468">
        <f>0</f>
        <v>0.0</v>
      </c>
      <c r="C1468">
        <f>-53</f>
        <v>-53.0</v>
      </c>
      <c r="D1468">
        <f>(B1468+$S$52)*$S$54</f>
        <v>44.457464788732395</v>
      </c>
      <c r="E1468">
        <f>(C1468+$S$53)*$S$54</f>
        <v>21.73476056338028</v>
      </c>
      <c r="F1468">
        <f>(B1468+$S$55)*$S$58</f>
        <v>86.48646153846154</v>
      </c>
      <c r="G1468">
        <f>(C1468+$S$56)*$S$58</f>
        <v>25.945938461538464</v>
      </c>
      <c r="H1468">
        <f>(B1468+$S$59)*$S$61</f>
        <v>41.05777514792899</v>
      </c>
      <c r="I1468">
        <f>(C1468+$S$60)*$S$61</f>
        <v>-10.264443786982248</v>
      </c>
    </row>
    <row r="1470">
      <c r="B1470">
        <f>$S$2</f>
        <v>815.0</v>
      </c>
      <c r="C1470">
        <f>-63</f>
        <v>-63.0</v>
      </c>
      <c r="D1470">
        <f>(B1470+$S$52)*$S$54</f>
        <v>849.6315492957746</v>
      </c>
      <c r="E1470">
        <f>(C1470+$S$53)*$S$54</f>
        <v>11.855323943661972</v>
      </c>
      <c r="F1470">
        <f>(B1470+$S$55)*$S$58</f>
        <v>2436.0353333333333</v>
      </c>
      <c r="G1470">
        <f>(C1470+$S$56)*$S$58</f>
        <v>-2.8828820512820514</v>
      </c>
      <c r="H1470">
        <f>(B1470+$S$59)*$S$61</f>
        <v>1236.1323017751479</v>
      </c>
      <c r="I1470">
        <f>(C1470+$S$60)*$S$61</f>
        <v>-24.927934911242602</v>
      </c>
    </row>
    <row r="1471">
      <c r="B1471">
        <f>$S$2</f>
        <v>815.0</v>
      </c>
      <c r="C1471">
        <f>-53</f>
        <v>-53.0</v>
      </c>
      <c r="D1471">
        <f>(B1471+$S$52)*$S$54</f>
        <v>849.6315492957746</v>
      </c>
      <c r="E1471">
        <f>(C1471+$S$53)*$S$54</f>
        <v>21.73476056338028</v>
      </c>
      <c r="F1471">
        <f>(B1471+$S$55)*$S$58</f>
        <v>2436.0353333333333</v>
      </c>
      <c r="G1471">
        <f>(C1471+$S$56)*$S$58</f>
        <v>25.945938461538464</v>
      </c>
      <c r="H1471">
        <f>(B1471+$S$59)*$S$61</f>
        <v>1236.1323017751479</v>
      </c>
      <c r="I1471">
        <f>(C1471+$S$60)*$S$61</f>
        <v>-10.264443786982248</v>
      </c>
    </row>
    <row r="1474">
      <c r="A1474" t="inlineStr">
        <is>
          <t>cota vão</t>
        </is>
      </c>
      <c r="B1474">
        <f>$S$8</f>
        <v>15.0</v>
      </c>
      <c r="C1474">
        <f>-42</f>
        <v>-42.0</v>
      </c>
      <c r="D1474">
        <f>(B1474+$S$52)*$S$54</f>
        <v>59.27661971830985</v>
      </c>
      <c r="E1474">
        <f>(C1474+$S$53)*$S$54</f>
        <v>32.60214084507042</v>
      </c>
      <c r="F1474">
        <f>(B1474+$S$55)*$S$58</f>
        <v>129.72969230769232</v>
      </c>
      <c r="G1474">
        <f>(C1474+$S$56)*$S$58</f>
        <v>57.65764102564103</v>
      </c>
      <c r="H1474">
        <f>(B1474+$S$59)*$S$61</f>
        <v>63.05301183431953</v>
      </c>
      <c r="I1474">
        <f>(C1474+$S$60)*$S$61</f>
        <v>5.865396449704142</v>
      </c>
    </row>
    <row r="1475">
      <c r="B1475">
        <f>$S$2-$S$8</f>
        <v>800.0</v>
      </c>
      <c r="C1475">
        <f>-42</f>
        <v>-42.0</v>
      </c>
      <c r="D1475">
        <f>(B1475+$S$52)*$S$54</f>
        <v>834.8123943661972</v>
      </c>
      <c r="E1475">
        <f>(C1475+$S$53)*$S$54</f>
        <v>32.60214084507042</v>
      </c>
      <c r="F1475">
        <f>(B1475+$S$55)*$S$58</f>
        <v>2392.7921025641026</v>
      </c>
      <c r="G1475">
        <f>(C1475+$S$56)*$S$58</f>
        <v>57.65764102564103</v>
      </c>
      <c r="H1475">
        <f>(B1475+$S$59)*$S$61</f>
        <v>1214.1370650887575</v>
      </c>
      <c r="I1475">
        <f>(C1475+$S$60)*$S$61</f>
        <v>5.865396449704142</v>
      </c>
    </row>
    <row r="1477">
      <c r="B1477">
        <f>$S$8</f>
        <v>15.0</v>
      </c>
      <c r="C1477">
        <f>-47</f>
        <v>-47.0</v>
      </c>
      <c r="D1477">
        <f>(B1477+$S$52)*$S$54</f>
        <v>59.27661971830985</v>
      </c>
      <c r="E1477">
        <f>(C1477+$S$53)*$S$54</f>
        <v>27.662422535211267</v>
      </c>
      <c r="F1477">
        <f>(B1477+$S$55)*$S$58</f>
        <v>129.72969230769232</v>
      </c>
      <c r="G1477">
        <f>(C1477+$S$56)*$S$58</f>
        <v>43.24323076923077</v>
      </c>
      <c r="H1477">
        <f>(B1477+$S$59)*$S$61</f>
        <v>63.05301183431953</v>
      </c>
      <c r="I1477">
        <f>(C1477+$S$60)*$S$61</f>
        <v>-1.4663491124260355</v>
      </c>
    </row>
    <row r="1478">
      <c r="B1478">
        <f>$S$8</f>
        <v>15.0</v>
      </c>
      <c r="C1478">
        <f>-37</f>
        <v>-37.0</v>
      </c>
      <c r="D1478">
        <f>(B1478+$S$52)*$S$54</f>
        <v>59.27661971830985</v>
      </c>
      <c r="E1478">
        <f>(C1478+$S$53)*$S$54</f>
        <v>37.541859154929575</v>
      </c>
      <c r="F1478">
        <f>(B1478+$S$55)*$S$58</f>
        <v>129.72969230769232</v>
      </c>
      <c r="G1478">
        <f>(C1478+$S$56)*$S$58</f>
        <v>72.07205128205129</v>
      </c>
      <c r="H1478">
        <f>(B1478+$S$59)*$S$61</f>
        <v>63.05301183431953</v>
      </c>
      <c r="I1478">
        <f>(C1478+$S$60)*$S$61</f>
        <v>13.19714201183432</v>
      </c>
    </row>
    <row r="1480">
      <c r="B1480">
        <f>$S$2-$S$8</f>
        <v>800.0</v>
      </c>
      <c r="C1480">
        <f>-47</f>
        <v>-47.0</v>
      </c>
      <c r="D1480">
        <f>(B1480+$S$52)*$S$54</f>
        <v>834.8123943661972</v>
      </c>
      <c r="E1480">
        <f>(C1480+$S$53)*$S$54</f>
        <v>27.662422535211267</v>
      </c>
      <c r="F1480">
        <f>(B1480+$S$55)*$S$58</f>
        <v>2392.7921025641026</v>
      </c>
      <c r="G1480">
        <f>(C1480+$S$56)*$S$58</f>
        <v>43.24323076923077</v>
      </c>
      <c r="H1480">
        <f>(B1480+$S$59)*$S$61</f>
        <v>1214.1370650887575</v>
      </c>
      <c r="I1480">
        <f>(C1480+$S$60)*$S$61</f>
        <v>-1.4663491124260355</v>
      </c>
    </row>
    <row r="1481">
      <c r="B1481">
        <f>$S$2-$S$8</f>
        <v>800.0</v>
      </c>
      <c r="C1481">
        <f>-37</f>
        <v>-37.0</v>
      </c>
      <c r="D1481">
        <f>(B1481+$S$52)*$S$54</f>
        <v>834.8123943661972</v>
      </c>
      <c r="E1481">
        <f>(C1481+$S$53)*$S$54</f>
        <v>37.541859154929575</v>
      </c>
      <c r="F1481">
        <f>(B1481+$S$55)*$S$58</f>
        <v>2392.7921025641026</v>
      </c>
      <c r="G1481">
        <f>(C1481+$S$56)*$S$58</f>
        <v>72.07205128205129</v>
      </c>
      <c r="H1481">
        <f>(B1481+$S$59)*$S$61</f>
        <v>1214.1370650887575</v>
      </c>
      <c r="I1481">
        <f>(C1481+$S$60)*$S$61</f>
        <v>13.19714201183432</v>
      </c>
    </row>
    <row r="1484">
      <c r="A1484" t="inlineStr">
        <is>
          <t>cota trechos</t>
        </is>
      </c>
      <c r="B1484">
        <f>$S$13</f>
        <v>3.0</v>
      </c>
      <c r="C1484">
        <f>$S$5+16</f>
        <v>106.0</v>
      </c>
      <c r="D1484">
        <f>(B1484+$S$52)*$S$54</f>
        <v>47.42129577464789</v>
      </c>
      <c r="E1484">
        <f>(C1484+$S$53)*$S$54</f>
        <v>178.8178028169014</v>
      </c>
      <c r="F1484">
        <f>(B1484+$S$55)*$S$58</f>
        <v>95.1351076923077</v>
      </c>
      <c r="G1484">
        <f>(C1484+$S$56)*$S$58</f>
        <v>484.32418461538464</v>
      </c>
      <c r="H1484">
        <f>(B1484+$S$59)*$S$61</f>
        <v>45.4568224852071</v>
      </c>
      <c r="I1484">
        <f>(C1484+$S$60)*$S$61</f>
        <v>222.8850650887574</v>
      </c>
    </row>
    <row r="1485">
      <c r="B1485">
        <f>$S$2-$S$13</f>
        <v>812.0</v>
      </c>
      <c r="C1485">
        <f>$S$5+16</f>
        <v>106.0</v>
      </c>
      <c r="D1485">
        <f>(B1485+$S$52)*$S$54</f>
        <v>846.6677183098591</v>
      </c>
      <c r="E1485">
        <f>(C1485+$S$53)*$S$54</f>
        <v>178.8178028169014</v>
      </c>
      <c r="F1485">
        <f>(B1485+$S$55)*$S$58</f>
        <v>2427.386687179487</v>
      </c>
      <c r="G1485">
        <f>(C1485+$S$56)*$S$58</f>
        <v>484.32418461538464</v>
      </c>
      <c r="H1485">
        <f>(B1485+$S$59)*$S$61</f>
        <v>1231.7332544378698</v>
      </c>
      <c r="I1485">
        <f>(C1485+$S$60)*$S$61</f>
        <v>222.8850650887574</v>
      </c>
    </row>
    <row r="1487">
      <c r="B1487">
        <f>$S$13</f>
        <v>3.0</v>
      </c>
      <c r="C1487">
        <f>$S$5+16-4</f>
        <v>102.0</v>
      </c>
      <c r="D1487">
        <f>(B1487+$S$52)*$S$54</f>
        <v>47.42129577464789</v>
      </c>
      <c r="E1487">
        <f>(C1487+$S$53)*$S$54</f>
        <v>174.86602816901407</v>
      </c>
      <c r="F1487">
        <f>(B1487+$S$55)*$S$58</f>
        <v>95.1351076923077</v>
      </c>
      <c r="G1487">
        <f>(C1487+$S$56)*$S$58</f>
        <v>472.7926564102564</v>
      </c>
      <c r="H1487">
        <f>(B1487+$S$59)*$S$61</f>
        <v>45.4568224852071</v>
      </c>
      <c r="I1487">
        <f>(C1487+$S$60)*$S$61</f>
        <v>217.01966863905326</v>
      </c>
    </row>
    <row r="1488">
      <c r="B1488">
        <f>$S$13</f>
        <v>3.0</v>
      </c>
      <c r="C1488">
        <f>$S$5+16+4</f>
        <v>110.0</v>
      </c>
      <c r="D1488">
        <f>(B1488+$S$52)*$S$54</f>
        <v>47.42129577464789</v>
      </c>
      <c r="E1488">
        <f>(C1488+$S$53)*$S$54</f>
        <v>182.7695774647887</v>
      </c>
      <c r="F1488">
        <f>(B1488+$S$55)*$S$58</f>
        <v>95.1351076923077</v>
      </c>
      <c r="G1488">
        <f>(C1488+$S$56)*$S$58</f>
        <v>495.85571282051285</v>
      </c>
      <c r="H1488">
        <f>(B1488+$S$59)*$S$61</f>
        <v>45.4568224852071</v>
      </c>
      <c r="I1488">
        <f>(C1488+$S$60)*$S$61</f>
        <v>228.75046153846154</v>
      </c>
    </row>
    <row r="1490">
      <c r="B1490">
        <f>$S$8+$S$20</f>
        <v>100.0</v>
      </c>
      <c r="C1490">
        <f>$S$5+16-4</f>
        <v>102.0</v>
      </c>
      <c r="D1490">
        <f>(B1490+$S$52)*$S$54</f>
        <v>143.2518309859155</v>
      </c>
      <c r="E1490">
        <f>(C1490+$S$53)*$S$54</f>
        <v>174.86602816901407</v>
      </c>
      <c r="F1490">
        <f>(B1490+$S$55)*$S$58</f>
        <v>374.7746666666667</v>
      </c>
      <c r="G1490">
        <f>(C1490+$S$56)*$S$58</f>
        <v>472.7926564102564</v>
      </c>
      <c r="H1490">
        <f>(B1490+$S$59)*$S$61</f>
        <v>187.69268639053254</v>
      </c>
      <c r="I1490">
        <f>(C1490+$S$60)*$S$61</f>
        <v>217.01966863905326</v>
      </c>
    </row>
    <row r="1491">
      <c r="B1491">
        <f>$S$8+$S$20</f>
        <v>100.0</v>
      </c>
      <c r="C1491">
        <f>$S$5+16+4</f>
        <v>110.0</v>
      </c>
      <c r="D1491">
        <f>(B1491+$S$52)*$S$54</f>
        <v>143.2518309859155</v>
      </c>
      <c r="E1491">
        <f>(C1491+$S$53)*$S$54</f>
        <v>182.7695774647887</v>
      </c>
      <c r="F1491">
        <f>(B1491+$S$55)*$S$58</f>
        <v>374.7746666666667</v>
      </c>
      <c r="G1491">
        <f>(C1491+$S$56)*$S$58</f>
        <v>495.85571282051285</v>
      </c>
      <c r="H1491">
        <f>(B1491+$S$59)*$S$61</f>
        <v>187.69268639053254</v>
      </c>
      <c r="I1491">
        <f>(C1491+$S$60)*$S$61</f>
        <v>228.75046153846154</v>
      </c>
    </row>
    <row r="1493">
      <c r="B1493">
        <f>$S$8+$S$21</f>
        <v>180.0</v>
      </c>
      <c r="C1493">
        <f>$S$5+16-4</f>
        <v>102.0</v>
      </c>
      <c r="D1493">
        <f>(B1493+$S$52)*$S$54</f>
        <v>222.28732394366196</v>
      </c>
      <c r="E1493">
        <f>(C1493+$S$53)*$S$54</f>
        <v>174.86602816901407</v>
      </c>
      <c r="F1493">
        <f>(B1493+$S$55)*$S$58</f>
        <v>605.4052307692308</v>
      </c>
      <c r="G1493">
        <f>(C1493+$S$56)*$S$58</f>
        <v>472.7926564102564</v>
      </c>
      <c r="H1493">
        <f>(B1493+$S$59)*$S$61</f>
        <v>305.0006153846154</v>
      </c>
      <c r="I1493">
        <f>(C1493+$S$60)*$S$61</f>
        <v>217.01966863905326</v>
      </c>
    </row>
    <row r="1494">
      <c r="B1494">
        <f>$S$8+$S$21</f>
        <v>180.0</v>
      </c>
      <c r="C1494">
        <f>$S$5+16+4</f>
        <v>110.0</v>
      </c>
      <c r="D1494">
        <f>(B1494+$S$52)*$S$54</f>
        <v>222.28732394366196</v>
      </c>
      <c r="E1494">
        <f>(C1494+$S$53)*$S$54</f>
        <v>182.7695774647887</v>
      </c>
      <c r="F1494">
        <f>(B1494+$S$55)*$S$58</f>
        <v>605.4052307692308</v>
      </c>
      <c r="G1494">
        <f>(C1494+$S$56)*$S$58</f>
        <v>495.85571282051285</v>
      </c>
      <c r="H1494">
        <f>(B1494+$S$59)*$S$61</f>
        <v>305.0006153846154</v>
      </c>
      <c r="I1494">
        <f>(C1494+$S$60)*$S$61</f>
        <v>228.75046153846154</v>
      </c>
    </row>
    <row r="1496">
      <c r="B1496">
        <f>$S$2-$S$8-$S$21</f>
        <v>635.0</v>
      </c>
      <c r="C1496">
        <f>$S$5+16-4</f>
        <v>102.0</v>
      </c>
      <c r="D1496">
        <f>(B1496+$S$52)*$S$54</f>
        <v>671.801690140845</v>
      </c>
      <c r="E1496">
        <f>(C1496+$S$53)*$S$54</f>
        <v>174.86602816901407</v>
      </c>
      <c r="F1496">
        <f>(B1496+$S$55)*$S$58</f>
        <v>1917.116564102564</v>
      </c>
      <c r="G1496">
        <f>(C1496+$S$56)*$S$58</f>
        <v>472.7926564102564</v>
      </c>
      <c r="H1496">
        <f>(B1496+$S$59)*$S$61</f>
        <v>972.1894615384615</v>
      </c>
      <c r="I1496">
        <f>(C1496+$S$60)*$S$61</f>
        <v>217.01966863905326</v>
      </c>
    </row>
    <row r="1497">
      <c r="B1497">
        <f>$S$2-$S$8-$S$21</f>
        <v>635.0</v>
      </c>
      <c r="C1497">
        <f>$S$5+16+4</f>
        <v>110.0</v>
      </c>
      <c r="D1497">
        <f>(B1497+$S$52)*$S$54</f>
        <v>671.801690140845</v>
      </c>
      <c r="E1497">
        <f>(C1497+$S$53)*$S$54</f>
        <v>182.7695774647887</v>
      </c>
      <c r="F1497">
        <f>(B1497+$S$55)*$S$58</f>
        <v>1917.116564102564</v>
      </c>
      <c r="G1497">
        <f>(C1497+$S$56)*$S$58</f>
        <v>495.85571282051285</v>
      </c>
      <c r="H1497">
        <f>(B1497+$S$59)*$S$61</f>
        <v>972.1894615384615</v>
      </c>
      <c r="I1497">
        <f>(C1497+$S$60)*$S$61</f>
        <v>228.75046153846154</v>
      </c>
    </row>
    <row r="1499">
      <c r="B1499">
        <f>$S$2-$S$8-$S$20</f>
        <v>715.0</v>
      </c>
      <c r="C1499">
        <f>$S$5+16-4</f>
        <v>102.0</v>
      </c>
      <c r="D1499">
        <f>(B1499+$S$52)*$S$54</f>
        <v>750.8371830985915</v>
      </c>
      <c r="E1499">
        <f>(C1499+$S$53)*$S$54</f>
        <v>174.86602816901407</v>
      </c>
      <c r="F1499">
        <f>(B1499+$S$55)*$S$58</f>
        <v>2147.7471282051283</v>
      </c>
      <c r="G1499">
        <f>(C1499+$S$56)*$S$58</f>
        <v>472.7926564102564</v>
      </c>
      <c r="H1499">
        <f>(B1499+$S$59)*$S$61</f>
        <v>1089.4973905325444</v>
      </c>
      <c r="I1499">
        <f>(C1499+$S$60)*$S$61</f>
        <v>217.01966863905326</v>
      </c>
    </row>
    <row r="1500">
      <c r="B1500">
        <f>$S$2-$S$8-$S$20</f>
        <v>715.0</v>
      </c>
      <c r="C1500">
        <f>$S$5+16+4</f>
        <v>110.0</v>
      </c>
      <c r="D1500">
        <f>(B1500+$S$52)*$S$54</f>
        <v>750.8371830985915</v>
      </c>
      <c r="E1500">
        <f>(C1500+$S$53)*$S$54</f>
        <v>182.7695774647887</v>
      </c>
      <c r="F1500">
        <f>(B1500+$S$55)*$S$58</f>
        <v>2147.7471282051283</v>
      </c>
      <c r="G1500">
        <f>(C1500+$S$56)*$S$58</f>
        <v>495.85571282051285</v>
      </c>
      <c r="H1500">
        <f>(B1500+$S$59)*$S$61</f>
        <v>1089.4973905325444</v>
      </c>
      <c r="I1500">
        <f>(C1500+$S$60)*$S$61</f>
        <v>228.75046153846154</v>
      </c>
    </row>
    <row r="1502">
      <c r="B1502">
        <f>$S$2-$S$13</f>
        <v>812.0</v>
      </c>
      <c r="C1502">
        <f>$S$5+16-4</f>
        <v>102.0</v>
      </c>
      <c r="D1502">
        <f>(B1502+$S$52)*$S$54</f>
        <v>846.6677183098591</v>
      </c>
      <c r="E1502">
        <f>(C1502+$S$53)*$S$54</f>
        <v>174.86602816901407</v>
      </c>
      <c r="F1502">
        <f>(B1502+$S$55)*$S$58</f>
        <v>2427.386687179487</v>
      </c>
      <c r="G1502">
        <f>(C1502+$S$56)*$S$58</f>
        <v>472.7926564102564</v>
      </c>
      <c r="H1502">
        <f>(B1502+$S$59)*$S$61</f>
        <v>1231.7332544378698</v>
      </c>
      <c r="I1502">
        <f>(C1502+$S$60)*$S$61</f>
        <v>217.01966863905326</v>
      </c>
    </row>
    <row r="1503">
      <c r="B1503">
        <f>$S$2-$S$13</f>
        <v>812.0</v>
      </c>
      <c r="C1503">
        <f>$S$5+16+4</f>
        <v>110.0</v>
      </c>
      <c r="D1503">
        <f>(B1503+$S$52)*$S$54</f>
        <v>846.6677183098591</v>
      </c>
      <c r="E1503">
        <f>(C1503+$S$53)*$S$54</f>
        <v>182.7695774647887</v>
      </c>
      <c r="F1503">
        <f>(B1503+$S$55)*$S$58</f>
        <v>2427.386687179487</v>
      </c>
      <c r="G1503">
        <f>(C1503+$S$56)*$S$58</f>
        <v>495.85571282051285</v>
      </c>
      <c r="H1503">
        <f>(B1503+$S$59)*$S$61</f>
        <v>1231.7332544378698</v>
      </c>
      <c r="I1503">
        <f>(C1503+$S$60)*$S$61</f>
        <v>228.75046153846154</v>
      </c>
    </row>
    <row r="1506">
      <c r="A1506" t="inlineStr">
        <is>
          <t>cota h</t>
        </is>
      </c>
      <c r="B1506">
        <f>$S$2+20</f>
        <v>835.0</v>
      </c>
      <c r="C1506">
        <f>0</f>
        <v>0.0</v>
      </c>
      <c r="D1506">
        <f>(B1506+$S$52)*$S$54</f>
        <v>869.3904225352112</v>
      </c>
      <c r="E1506">
        <f>(C1506+$S$53)*$S$54</f>
        <v>74.09577464788732</v>
      </c>
      <c r="F1506">
        <f>(B1506+$S$55)*$S$58</f>
        <v>2493.6929743589744</v>
      </c>
      <c r="G1506">
        <f>(C1506+$S$56)*$S$58</f>
        <v>178.7386871794872</v>
      </c>
      <c r="H1506">
        <f>(B1506+$S$59)*$S$61</f>
        <v>1265.4592840236687</v>
      </c>
      <c r="I1506">
        <f>(C1506+$S$60)*$S$61</f>
        <v>67.45205917159764</v>
      </c>
    </row>
    <row r="1507">
      <c r="B1507">
        <f>$S$2+20</f>
        <v>835.0</v>
      </c>
      <c r="C1507">
        <f>$S$4</f>
        <v>60.0</v>
      </c>
      <c r="D1507">
        <f>(B1507+$S$52)*$S$54</f>
        <v>869.3904225352112</v>
      </c>
      <c r="E1507">
        <f>(C1507+$S$53)*$S$54</f>
        <v>133.37239436619717</v>
      </c>
      <c r="F1507">
        <f>(B1507+$S$55)*$S$58</f>
        <v>2493.6929743589744</v>
      </c>
      <c r="G1507">
        <f>(C1507+$S$56)*$S$58</f>
        <v>351.71161025641027</v>
      </c>
      <c r="H1507">
        <f>(B1507+$S$59)*$S$61</f>
        <v>1265.4592840236687</v>
      </c>
      <c r="I1507">
        <f>(C1507+$S$60)*$S$61</f>
        <v>155.43300591715976</v>
      </c>
    </row>
    <row r="1509">
      <c r="B1509">
        <f>$S$2+16</f>
        <v>831.0</v>
      </c>
      <c r="C1509">
        <f>0</f>
        <v>0.0</v>
      </c>
      <c r="D1509">
        <f>(B1509+$S$52)*$S$54</f>
        <v>865.4386478873239</v>
      </c>
      <c r="E1509">
        <f>(C1509+$S$53)*$S$54</f>
        <v>74.09577464788732</v>
      </c>
      <c r="F1509">
        <f>(B1509+$S$55)*$S$58</f>
        <v>2482.161446153846</v>
      </c>
      <c r="G1509">
        <f>(C1509+$S$56)*$S$58</f>
        <v>178.7386871794872</v>
      </c>
      <c r="H1509">
        <f>(B1509+$S$59)*$S$61</f>
        <v>1259.5938875739646</v>
      </c>
      <c r="I1509">
        <f>(C1509+$S$60)*$S$61</f>
        <v>67.45205917159764</v>
      </c>
    </row>
    <row r="1510">
      <c r="B1510">
        <f>$S$2+24</f>
        <v>839.0</v>
      </c>
      <c r="C1510">
        <f>0</f>
        <v>0.0</v>
      </c>
      <c r="D1510">
        <f>(B1510+$S$52)*$S$54</f>
        <v>873.3421971830985</v>
      </c>
      <c r="E1510">
        <f>(C1510+$S$53)*$S$54</f>
        <v>74.09577464788732</v>
      </c>
      <c r="F1510">
        <f>(B1510+$S$55)*$S$58</f>
        <v>2505.2245025641027</v>
      </c>
      <c r="G1510">
        <f>(C1510+$S$56)*$S$58</f>
        <v>178.7386871794872</v>
      </c>
      <c r="H1510">
        <f>(B1510+$S$59)*$S$61</f>
        <v>1271.3246804733728</v>
      </c>
      <c r="I1510">
        <f>(C1510+$S$60)*$S$61</f>
        <v>67.45205917159764</v>
      </c>
    </row>
    <row r="1512">
      <c r="B1512">
        <f>$S$2+16</f>
        <v>831.0</v>
      </c>
      <c r="C1512">
        <f>$S$4</f>
        <v>60.0</v>
      </c>
      <c r="D1512">
        <f>(B1512+$S$52)*$S$54</f>
        <v>865.4386478873239</v>
      </c>
      <c r="E1512">
        <f>(C1512+$S$53)*$S$54</f>
        <v>133.37239436619717</v>
      </c>
      <c r="F1512">
        <f>(B1512+$S$55)*$S$58</f>
        <v>2482.161446153846</v>
      </c>
      <c r="G1512">
        <f>(C1512+$S$56)*$S$58</f>
        <v>351.71161025641027</v>
      </c>
      <c r="H1512">
        <f>(B1512+$S$59)*$S$61</f>
        <v>1259.5938875739646</v>
      </c>
      <c r="I1512">
        <f>(C1512+$S$60)*$S$61</f>
        <v>155.43300591715976</v>
      </c>
    </row>
    <row r="1513">
      <c r="B1513">
        <f>$S$2+24</f>
        <v>839.0</v>
      </c>
      <c r="C1513">
        <f>$S$4</f>
        <v>60.0</v>
      </c>
      <c r="D1513">
        <f>(B1513+$S$52)*$S$54</f>
        <v>873.3421971830985</v>
      </c>
      <c r="E1513">
        <f>(C1513+$S$53)*$S$54</f>
        <v>133.37239436619717</v>
      </c>
      <c r="F1513">
        <f>(B1513+$S$55)*$S$58</f>
        <v>2505.2245025641027</v>
      </c>
      <c r="G1513">
        <f>(C1513+$S$56)*$S$58</f>
        <v>351.71161025641027</v>
      </c>
      <c r="H1513">
        <f>(B1513+$S$59)*$S$61</f>
        <v>1271.3246804733728</v>
      </c>
      <c r="I1513">
        <f>(C1513+$S$60)*$S$61</f>
        <v>155.43300591715976</v>
      </c>
    </row>
    <row r="1516">
      <c r="A1516" t="inlineStr">
        <is>
          <t>corte A</t>
        </is>
      </c>
      <c r="B1516">
        <f>$S$3</f>
        <v>407.5</v>
      </c>
      <c r="C1516">
        <f>-24</f>
        <v>-24.0</v>
      </c>
      <c r="D1516">
        <f>(B1516+$S$52)*$S$54</f>
        <v>447.0445070422535</v>
      </c>
      <c r="E1516">
        <f>(C1516+$S$53)*$S$54</f>
        <v>50.385126760563374</v>
      </c>
      <c r="F1516">
        <f>(B1516+$S$55)*$S$58</f>
        <v>1261.2608974358975</v>
      </c>
      <c r="G1516">
        <f>(C1516+$S$56)*$S$58</f>
        <v>109.54951794871795</v>
      </c>
      <c r="H1516">
        <f>(B1516+$S$59)*$S$61</f>
        <v>638.5950384615385</v>
      </c>
      <c r="I1516">
        <f>(C1516+$S$60)*$S$61</f>
        <v>32.25968047337278</v>
      </c>
    </row>
    <row r="1517">
      <c r="B1517">
        <f>$S$3</f>
        <v>407.5</v>
      </c>
      <c r="C1517">
        <f>-8</f>
        <v>-8.0</v>
      </c>
      <c r="D1517">
        <f>(B1517+$S$52)*$S$54</f>
        <v>447.0445070422535</v>
      </c>
      <c r="E1517">
        <f>(C1517+$S$53)*$S$54</f>
        <v>66.19222535211267</v>
      </c>
      <c r="F1517">
        <f>(B1517+$S$55)*$S$58</f>
        <v>1261.2608974358975</v>
      </c>
      <c r="G1517">
        <f>(C1517+$S$56)*$S$58</f>
        <v>155.67563076923076</v>
      </c>
      <c r="H1517">
        <f>(B1517+$S$59)*$S$61</f>
        <v>638.5950384615385</v>
      </c>
      <c r="I1517">
        <f>(C1517+$S$60)*$S$61</f>
        <v>55.72126627218935</v>
      </c>
    </row>
    <row r="1519">
      <c r="B1519">
        <f>$S$3</f>
        <v>407.5</v>
      </c>
      <c r="C1519">
        <f>$S$5+3</f>
        <v>93.0</v>
      </c>
      <c r="D1519">
        <f>(B1519+$S$52)*$S$54</f>
        <v>447.0445070422535</v>
      </c>
      <c r="E1519">
        <f>(C1519+$S$53)*$S$54</f>
        <v>165.9745352112676</v>
      </c>
      <c r="F1519">
        <f>(B1519+$S$55)*$S$58</f>
        <v>1261.2608974358975</v>
      </c>
      <c r="G1519">
        <f>(C1519+$S$56)*$S$58</f>
        <v>446.846717948718</v>
      </c>
      <c r="H1519">
        <f>(B1519+$S$59)*$S$61</f>
        <v>638.5950384615385</v>
      </c>
      <c r="I1519">
        <f>(C1519+$S$60)*$S$61</f>
        <v>203.82252662721893</v>
      </c>
    </row>
    <row r="1520">
      <c r="B1520">
        <f>$S$3</f>
        <v>407.5</v>
      </c>
      <c r="C1520">
        <f>$S$5+11</f>
        <v>101.0</v>
      </c>
      <c r="D1520">
        <f>(B1520+$S$52)*$S$54</f>
        <v>447.0445070422535</v>
      </c>
      <c r="E1520">
        <f>(C1520+$S$53)*$S$54</f>
        <v>173.87808450704225</v>
      </c>
      <c r="F1520">
        <f>(B1520+$S$55)*$S$58</f>
        <v>1261.2608974358975</v>
      </c>
      <c r="G1520">
        <f>(C1520+$S$56)*$S$58</f>
        <v>469.9097743589744</v>
      </c>
      <c r="H1520">
        <f>(B1520+$S$59)*$S$61</f>
        <v>638.5950384615385</v>
      </c>
      <c r="I1520">
        <f>(C1520+$S$60)*$S$61</f>
        <v>215.5533195266272</v>
      </c>
    </row>
    <row r="1523">
      <c r="A1523" t="inlineStr">
        <is>
          <t>cotas detalhe</t>
        </is>
      </c>
      <c r="B1523">
        <f>0</f>
        <v>0.0</v>
      </c>
      <c r="C1523" t="e">
        <f>IF($S$9=1,$S$4+10,NA())</f>
        <v>#N/A</v>
      </c>
      <c r="D1523">
        <f>(B1523+$S$52)*$S$54</f>
        <v>44.457464788732395</v>
      </c>
      <c r="E1523" t="e">
        <f>(C1523+$S$53)*$S$54</f>
        <v>#N/A</v>
      </c>
      <c r="F1523">
        <f>(B1523+$S$55)*$S$58</f>
        <v>86.48646153846154</v>
      </c>
      <c r="G1523" t="e">
        <f>(C1523+$S$56)*$S$58</f>
        <v>#N/A</v>
      </c>
      <c r="H1523">
        <f>(B1523+$S$59)*$S$61</f>
        <v>41.05777514792899</v>
      </c>
      <c r="I1523" t="e">
        <f>(C1523+$S$60)*$S$61</f>
        <v>#N/A</v>
      </c>
    </row>
    <row r="1524">
      <c r="B1524">
        <f>$S$10</f>
        <v>0.0</v>
      </c>
      <c r="C1524" t="e">
        <f>IF($S$9=1,$S$4+10,NA())</f>
        <v>#N/A</v>
      </c>
      <c r="D1524">
        <f>(B1524+$S$52)*$S$54</f>
        <v>44.457464788732395</v>
      </c>
      <c r="E1524" t="e">
        <f>(C1524+$S$53)*$S$54</f>
        <v>#N/A</v>
      </c>
      <c r="F1524">
        <f>(B1524+$S$55)*$S$58</f>
        <v>86.48646153846154</v>
      </c>
      <c r="G1524" t="e">
        <f>(C1524+$S$56)*$S$58</f>
        <v>#N/A</v>
      </c>
      <c r="H1524">
        <f>(B1524+$S$59)*$S$61</f>
        <v>41.05777514792899</v>
      </c>
      <c r="I1524" t="e">
        <f>(C1524+$S$60)*$S$61</f>
        <v>#N/A</v>
      </c>
    </row>
    <row r="1526">
      <c r="B1526">
        <f>-10</f>
        <v>-10.0</v>
      </c>
      <c r="C1526" t="e">
        <f>IF($S$9=1,$S$11,NA())</f>
        <v>#N/A</v>
      </c>
      <c r="D1526">
        <f>(B1526+$S$52)*$S$54</f>
        <v>34.57802816901408</v>
      </c>
      <c r="E1526" t="e">
        <f>(C1526+$S$53)*$S$54</f>
        <v>#N/A</v>
      </c>
      <c r="F1526">
        <f>(B1526+$S$55)*$S$58</f>
        <v>57.65764102564103</v>
      </c>
      <c r="G1526" t="e">
        <f>(C1526+$S$56)*$S$58</f>
        <v>#N/A</v>
      </c>
      <c r="H1526">
        <f>(B1526+$S$59)*$S$61</f>
        <v>26.39428402366864</v>
      </c>
      <c r="I1526" t="e">
        <f>(C1526+$S$60)*$S$61</f>
        <v>#N/A</v>
      </c>
    </row>
    <row r="1527">
      <c r="B1527">
        <f>-10</f>
        <v>-10.0</v>
      </c>
      <c r="C1527" t="e">
        <f>IF($S$9=1,$S$4,NA())</f>
        <v>#N/A</v>
      </c>
      <c r="D1527">
        <f>(B1527+$S$52)*$S$54</f>
        <v>34.57802816901408</v>
      </c>
      <c r="E1527" t="e">
        <f>(C1527+$S$53)*$S$54</f>
        <v>#N/A</v>
      </c>
      <c r="F1527">
        <f>(B1527+$S$55)*$S$58</f>
        <v>57.65764102564103</v>
      </c>
      <c r="G1527" t="e">
        <f>(C1527+$S$56)*$S$58</f>
        <v>#N/A</v>
      </c>
      <c r="H1527">
        <f>(B1527+$S$59)*$S$61</f>
        <v>26.39428402366864</v>
      </c>
      <c r="I1527" t="e">
        <f>(C1527+$S$60)*$S$61</f>
        <v>#N/A</v>
      </c>
    </row>
    <row r="1529">
      <c r="B1529">
        <f>0</f>
        <v>0.0</v>
      </c>
      <c r="C1529">
        <f>-25</f>
        <v>-25.0</v>
      </c>
      <c r="D1529">
        <f>(B1529+$S$52)*$S$54</f>
        <v>44.457464788732395</v>
      </c>
      <c r="E1529">
        <f>(C1529+$S$53)*$S$54</f>
        <v>49.39718309859155</v>
      </c>
      <c r="F1529">
        <f>(B1529+$S$55)*$S$58</f>
        <v>86.48646153846154</v>
      </c>
      <c r="G1529">
        <f>(C1529+$S$56)*$S$58</f>
        <v>106.66663589743591</v>
      </c>
      <c r="H1529">
        <f>(B1529+$S$59)*$S$61</f>
        <v>41.05777514792899</v>
      </c>
      <c r="I1529">
        <f>(C1529+$S$60)*$S$61</f>
        <v>30.793331360946745</v>
      </c>
    </row>
    <row r="1530">
      <c r="B1530">
        <f>$S$8</f>
        <v>15.0</v>
      </c>
      <c r="C1530">
        <f>-25</f>
        <v>-25.0</v>
      </c>
      <c r="D1530">
        <f>(B1530+$S$52)*$S$54</f>
        <v>59.27661971830985</v>
      </c>
      <c r="E1530">
        <f>(C1530+$S$53)*$S$54</f>
        <v>49.39718309859155</v>
      </c>
      <c r="F1530">
        <f>(B1530+$S$55)*$S$58</f>
        <v>129.72969230769232</v>
      </c>
      <c r="G1530">
        <f>(C1530+$S$56)*$S$58</f>
        <v>106.66663589743591</v>
      </c>
      <c r="H1530">
        <f>(B1530+$S$59)*$S$61</f>
        <v>63.05301183431953</v>
      </c>
      <c r="I1530">
        <f>(C1530+$S$60)*$S$61</f>
        <v>30.793331360946745</v>
      </c>
    </row>
    <row r="1532">
      <c r="B1532">
        <f>0</f>
        <v>0.0</v>
      </c>
      <c r="C1532">
        <f>-29</f>
        <v>-29.0</v>
      </c>
      <c r="D1532">
        <f>(B1532+$S$52)*$S$54</f>
        <v>44.457464788732395</v>
      </c>
      <c r="E1532">
        <f>(C1532+$S$53)*$S$54</f>
        <v>45.44540845070422</v>
      </c>
      <c r="F1532">
        <f>(B1532+$S$55)*$S$58</f>
        <v>86.48646153846154</v>
      </c>
      <c r="G1532">
        <f>(C1532+$S$56)*$S$58</f>
        <v>95.1351076923077</v>
      </c>
      <c r="H1532">
        <f>(B1532+$S$59)*$S$61</f>
        <v>41.05777514792899</v>
      </c>
      <c r="I1532">
        <f>(C1532+$S$60)*$S$61</f>
        <v>24.927934911242602</v>
      </c>
    </row>
    <row r="1533">
      <c r="B1533">
        <f>0</f>
        <v>0.0</v>
      </c>
      <c r="C1533">
        <f>-21</f>
        <v>-21.0</v>
      </c>
      <c r="D1533">
        <f>(B1533+$S$52)*$S$54</f>
        <v>44.457464788732395</v>
      </c>
      <c r="E1533">
        <f>(C1533+$S$53)*$S$54</f>
        <v>53.34895774647887</v>
      </c>
      <c r="F1533">
        <f>(B1533+$S$55)*$S$58</f>
        <v>86.48646153846154</v>
      </c>
      <c r="G1533">
        <f>(C1533+$S$56)*$S$58</f>
        <v>118.1981641025641</v>
      </c>
      <c r="H1533">
        <f>(B1533+$S$59)*$S$61</f>
        <v>41.05777514792899</v>
      </c>
      <c r="I1533">
        <f>(C1533+$S$60)*$S$61</f>
        <v>36.65872781065089</v>
      </c>
    </row>
    <row r="1535">
      <c r="B1535">
        <f>$S$8</f>
        <v>15.0</v>
      </c>
      <c r="C1535">
        <f>-29</f>
        <v>-29.0</v>
      </c>
      <c r="D1535">
        <f>(B1535+$S$52)*$S$54</f>
        <v>59.27661971830985</v>
      </c>
      <c r="E1535">
        <f>(C1535+$S$53)*$S$54</f>
        <v>45.44540845070422</v>
      </c>
      <c r="F1535">
        <f>(B1535+$S$55)*$S$58</f>
        <v>129.72969230769232</v>
      </c>
      <c r="G1535">
        <f>(C1535+$S$56)*$S$58</f>
        <v>95.1351076923077</v>
      </c>
      <c r="H1535">
        <f>(B1535+$S$59)*$S$61</f>
        <v>63.05301183431953</v>
      </c>
      <c r="I1535">
        <f>(C1535+$S$60)*$S$61</f>
        <v>24.927934911242602</v>
      </c>
    </row>
    <row r="1536">
      <c r="B1536">
        <f>$S$8</f>
        <v>15.0</v>
      </c>
      <c r="C1536">
        <f>-21</f>
        <v>-21.0</v>
      </c>
      <c r="D1536">
        <f>(B1536+$S$52)*$S$54</f>
        <v>59.27661971830985</v>
      </c>
      <c r="E1536">
        <f>(C1536+$S$53)*$S$54</f>
        <v>53.34895774647887</v>
      </c>
      <c r="F1536">
        <f>(B1536+$S$55)*$S$58</f>
        <v>129.72969230769232</v>
      </c>
      <c r="G1536">
        <f>(C1536+$S$56)*$S$58</f>
        <v>118.1981641025641</v>
      </c>
      <c r="H1536">
        <f>(B1536+$S$59)*$S$61</f>
        <v>63.05301183431953</v>
      </c>
      <c r="I1536">
        <f>(C1536+$S$60)*$S$61</f>
        <v>36.65872781065089</v>
      </c>
    </row>
    <row r="1539">
      <c r="A1539" t="str">
        <f>Resumo!$AM$28&amp;" – "&amp;'Cisalhamento e Apoios'!$S$61/2&amp;" Ø"&amp;'Cisalhamento e Apoios'!$Z$61&amp;" c/"&amp;'Cisalhamento e Apoios'!$AB$61</f>
        <v>N5 – 12 Ø10 c/8.5</v>
      </c>
      <c r="B1539">
        <f>($S$13+$S$8+$S$20)/2</f>
        <v>51.5</v>
      </c>
      <c r="C1539">
        <f>$S$5+19</f>
        <v>109.0</v>
      </c>
      <c r="D1539">
        <f>(B1539+$S$52)*$S$54</f>
        <v>95.33656338028169</v>
      </c>
      <c r="E1539">
        <f>(C1539+$S$53)*$S$54</f>
        <v>181.78163380281688</v>
      </c>
      <c r="F1539">
        <f>(B1539+$S$55)*$S$58</f>
        <v>234.9548871794872</v>
      </c>
      <c r="G1539">
        <f>(C1539+$S$56)*$S$58</f>
        <v>492.97283076923077</v>
      </c>
      <c r="H1539">
        <f>(B1539+$S$59)*$S$61</f>
        <v>116.57475443786983</v>
      </c>
      <c r="I1539">
        <f>(C1539+$S$60)*$S$61</f>
        <v>227.2841124260355</v>
      </c>
    </row>
    <row r="1541">
      <c r="A1541" t="str">
        <f>Resumo!$AM$29&amp;" – "&amp;'Cisalhamento e Apoios'!$S$62/2&amp;" Ø"&amp;'Cisalhamento e Apoios'!$Z$62&amp;" c/"&amp;'Cisalhamento e Apoios'!$AB$62</f>
        <v>N6 – 8 Ø10 c/11</v>
      </c>
      <c r="B1541">
        <f>(2*$S$8+$S$20+$S$21)/2</f>
        <v>140.0</v>
      </c>
      <c r="C1541">
        <f>$S$5+19</f>
        <v>109.0</v>
      </c>
      <c r="D1541">
        <f>(B1541+$S$52)*$S$54</f>
        <v>182.7695774647887</v>
      </c>
      <c r="E1541">
        <f>(C1541+$S$53)*$S$54</f>
        <v>181.78163380281688</v>
      </c>
      <c r="F1541">
        <f>(B1541+$S$55)*$S$58</f>
        <v>490.08994871794874</v>
      </c>
      <c r="G1541">
        <f>(C1541+$S$56)*$S$58</f>
        <v>492.97283076923077</v>
      </c>
      <c r="H1541">
        <f>(B1541+$S$59)*$S$61</f>
        <v>246.34665088757396</v>
      </c>
      <c r="I1541">
        <f>(C1541+$S$60)*$S$61</f>
        <v>227.2841124260355</v>
      </c>
    </row>
    <row r="1543">
      <c r="A1543" t="str">
        <f>Resumo!$AM$30&amp;" – "&amp;'Cisalhamento e Apoios'!$S$63&amp;" Ø"&amp;'Cisalhamento e Apoios'!$Z$63&amp;" c/"&amp;'Cisalhamento e Apoios'!$AB$63</f>
        <v>N7 – 62 Ø8 c/7.5</v>
      </c>
      <c r="B1543">
        <f>$S$3</f>
        <v>407.5</v>
      </c>
      <c r="C1543">
        <f>$S$5+19</f>
        <v>109.0</v>
      </c>
      <c r="D1543">
        <f>(B1543+$S$52)*$S$54</f>
        <v>447.0445070422535</v>
      </c>
      <c r="E1543">
        <f>(C1543+$S$53)*$S$54</f>
        <v>181.78163380281688</v>
      </c>
      <c r="F1543">
        <f>(B1543+$S$55)*$S$58</f>
        <v>1261.2608974358975</v>
      </c>
      <c r="G1543">
        <f>(C1543+$S$56)*$S$58</f>
        <v>492.97283076923077</v>
      </c>
      <c r="H1543">
        <f>(B1543+$S$59)*$S$61</f>
        <v>638.5950384615385</v>
      </c>
      <c r="I1543">
        <f>(C1543+$S$60)*$S$61</f>
        <v>227.2841124260355</v>
      </c>
    </row>
    <row r="1545">
      <c r="A1545" t="str">
        <f>Resumo!$AM$29&amp;" – "&amp;'Cisalhamento e Apoios'!$S$62/2&amp;" Ø"&amp;'Cisalhamento e Apoios'!$Z$62&amp;" c/"&amp;'Cisalhamento e Apoios'!$AB$62</f>
        <v>N6 – 8 Ø10 c/11</v>
      </c>
      <c r="B1545">
        <f>$S$2-(2*$S$8+$S$20+$S$21)/2</f>
        <v>675.0</v>
      </c>
      <c r="C1545">
        <f>$S$5+19</f>
        <v>109.0</v>
      </c>
      <c r="D1545">
        <f>(B1545+$S$52)*$S$54</f>
        <v>711.3194366197183</v>
      </c>
      <c r="E1545">
        <f>(C1545+$S$53)*$S$54</f>
        <v>181.78163380281688</v>
      </c>
      <c r="F1545">
        <f>(B1545+$S$55)*$S$58</f>
        <v>2032.4318461538462</v>
      </c>
      <c r="G1545">
        <f>(C1545+$S$56)*$S$58</f>
        <v>492.97283076923077</v>
      </c>
      <c r="H1545">
        <f>(B1545+$S$59)*$S$61</f>
        <v>1030.843426035503</v>
      </c>
      <c r="I1545">
        <f>(C1545+$S$60)*$S$61</f>
        <v>227.2841124260355</v>
      </c>
    </row>
    <row r="1547">
      <c r="A1547" t="str">
        <f>Resumo!$AM$28&amp;" – "&amp;'Cisalhamento e Apoios'!$S$61/2&amp;" Ø"&amp;'Cisalhamento e Apoios'!$Z$61&amp;" c/"&amp;'Cisalhamento e Apoios'!$AB$61</f>
        <v>N5 – 12 Ø10 c/8.5</v>
      </c>
      <c r="B1547">
        <f>$S$2-($S$13+$S$8+$S$20)/2</f>
        <v>763.5</v>
      </c>
      <c r="C1547">
        <f>$S$5+19</f>
        <v>109.0</v>
      </c>
      <c r="D1547">
        <f>(B1547+$S$52)*$S$54</f>
        <v>798.7524507042253</v>
      </c>
      <c r="E1547">
        <f>(C1547+$S$53)*$S$54</f>
        <v>181.78163380281688</v>
      </c>
      <c r="F1547">
        <f>(B1547+$S$55)*$S$58</f>
        <v>2287.5669076923077</v>
      </c>
      <c r="G1547">
        <f>(C1547+$S$56)*$S$58</f>
        <v>492.97283076923077</v>
      </c>
      <c r="H1547">
        <f>(B1547+$S$59)*$S$61</f>
        <v>1160.6153224852071</v>
      </c>
      <c r="I1547">
        <f>(C1547+$S$60)*$S$61</f>
        <v>227.2841124260355</v>
      </c>
    </row>
    <row r="1549">
      <c r="A1549" t="str">
        <f>"L = "&amp;TEXT($S$2,"0")&amp;" cm"</f>
        <v>L = 815 cm</v>
      </c>
      <c r="B1549">
        <f>$S$3</f>
        <v>407.5</v>
      </c>
      <c r="C1549">
        <f>-58</f>
        <v>-58.0</v>
      </c>
      <c r="D1549">
        <f>(B1549+$S$52)*$S$54</f>
        <v>447.0445070422535</v>
      </c>
      <c r="E1549">
        <f>(C1549+$S$53)*$S$54</f>
        <v>16.795042253521125</v>
      </c>
      <c r="F1549">
        <f>(B1549+$S$55)*$S$58</f>
        <v>1261.2608974358975</v>
      </c>
      <c r="G1549">
        <f>(C1549+$S$56)*$S$58</f>
        <v>11.531528205128206</v>
      </c>
      <c r="H1549">
        <f>(B1549+$S$59)*$S$61</f>
        <v>638.5950384615385</v>
      </c>
      <c r="I1549">
        <f>(C1549+$S$60)*$S$61</f>
        <v>-17.596189349112425</v>
      </c>
    </row>
    <row r="1551">
      <c r="A1551" t="str">
        <f>"vão = "&amp;TEXT($S$2-2*$S$8,"0")&amp;" cm"</f>
        <v>vão = 785 cm</v>
      </c>
      <c r="B1551">
        <f>$S$3</f>
        <v>407.5</v>
      </c>
      <c r="C1551">
        <f>-42</f>
        <v>-42.0</v>
      </c>
      <c r="D1551">
        <f>(B1551+$S$52)*$S$54</f>
        <v>447.0445070422535</v>
      </c>
      <c r="E1551">
        <f>(C1551+$S$53)*$S$54</f>
        <v>32.60214084507042</v>
      </c>
      <c r="F1551">
        <f>(B1551+$S$55)*$S$58</f>
        <v>1261.2608974358975</v>
      </c>
      <c r="G1551">
        <f>(C1551+$S$56)*$S$58</f>
        <v>57.65764102564103</v>
      </c>
      <c r="H1551">
        <f>(B1551+$S$59)*$S$61</f>
        <v>638.5950384615385</v>
      </c>
      <c r="I1551">
        <f>(C1551+$S$60)*$S$61</f>
        <v>5.865396449704142</v>
      </c>
    </row>
    <row r="1553">
      <c r="A1553" t="str">
        <f>"h = "&amp;TEXT($S$4,"0")</f>
        <v>h = 60</v>
      </c>
      <c r="B1553">
        <f>$S$2+22</f>
        <v>837.0</v>
      </c>
      <c r="C1553">
        <f>$S$4/2</f>
        <v>30.0</v>
      </c>
      <c r="D1553">
        <f>(B1553+$S$52)*$S$54</f>
        <v>871.3663098591549</v>
      </c>
      <c r="E1553">
        <f>(C1553+$S$53)*$S$54</f>
        <v>103.73408450704224</v>
      </c>
      <c r="F1553">
        <f>(B1553+$S$55)*$S$58</f>
        <v>2499.458738461539</v>
      </c>
      <c r="G1553">
        <f>(C1553+$S$56)*$S$58</f>
        <v>265.22514871794874</v>
      </c>
      <c r="H1553">
        <f>(B1553+$S$59)*$S$61</f>
        <v>1268.3919822485207</v>
      </c>
      <c r="I1553">
        <f>(C1553+$S$60)*$S$61</f>
        <v>111.4425325443787</v>
      </c>
    </row>
    <row r="1555">
      <c r="A1555" t="inlineStr">
        <is>
          <t>A</t>
        </is>
      </c>
      <c r="B1555">
        <f>$S$3</f>
        <v>407.5</v>
      </c>
      <c r="C1555">
        <f>-26</f>
        <v>-26.0</v>
      </c>
      <c r="D1555">
        <f>(B1555+$S$52)*$S$54</f>
        <v>447.0445070422535</v>
      </c>
      <c r="E1555">
        <f>(C1555+$S$53)*$S$54</f>
        <v>48.409239436619714</v>
      </c>
      <c r="F1555">
        <f>(B1555+$S$55)*$S$58</f>
        <v>1261.2608974358975</v>
      </c>
      <c r="G1555">
        <f>(C1555+$S$56)*$S$58</f>
        <v>103.78375384615386</v>
      </c>
      <c r="H1555">
        <f>(B1555+$S$59)*$S$61</f>
        <v>638.5950384615385</v>
      </c>
      <c r="I1555">
        <f>(C1555+$S$60)*$S$61</f>
        <v>29.32698224852071</v>
      </c>
    </row>
    <row r="1557">
      <c r="A1557" t="inlineStr">
        <is>
          <t>A</t>
        </is>
      </c>
      <c r="B1557">
        <f>$S$3</f>
        <v>407.5</v>
      </c>
      <c r="C1557">
        <f>$S$5+11</f>
        <v>101.0</v>
      </c>
      <c r="D1557">
        <f>(B1557+$S$52)*$S$54</f>
        <v>447.0445070422535</v>
      </c>
      <c r="E1557">
        <f>(C1557+$S$53)*$S$54</f>
        <v>173.87808450704225</v>
      </c>
      <c r="F1557">
        <f>(B1557+$S$55)*$S$58</f>
        <v>1261.2608974358975</v>
      </c>
      <c r="G1557">
        <f>(C1557+$S$56)*$S$58</f>
        <v>469.9097743589744</v>
      </c>
      <c r="H1557">
        <f>(B1557+$S$59)*$S$61</f>
        <v>638.5950384615385</v>
      </c>
      <c r="I1557">
        <f>(C1557+$S$60)*$S$61</f>
        <v>215.5533195266272</v>
      </c>
    </row>
    <row r="1559">
      <c r="A1559" t="str">
        <f>IF(Taxas!$H$57&gt;0,Resumo!$AM$24&amp;" – "&amp;Taxas!$H$57&amp;" Ø"&amp;Taxas!$I$57,"")</f>
        <v>N2 – 12 Ø16</v>
      </c>
      <c r="B1559">
        <f>$S$2*0.30</f>
        <v>244.5</v>
      </c>
      <c r="C1559">
        <f>IF(Taxas!$H$57&gt;0,$S$47,NA())</f>
        <v>4.8</v>
      </c>
      <c r="D1559">
        <f>(B1559+$S$52)*$S$54</f>
        <v>286.00969014084507</v>
      </c>
      <c r="E1559">
        <f>(C1559+$S$53)*$S$54</f>
        <v>78.8379042253521</v>
      </c>
      <c r="F1559">
        <f>(B1559+$S$55)*$S$58</f>
        <v>791.3511230769232</v>
      </c>
      <c r="G1559">
        <f>(C1559+$S$56)*$S$58</f>
        <v>192.57652102564103</v>
      </c>
      <c r="H1559">
        <f>(B1559+$S$59)*$S$61</f>
        <v>399.5801331360947</v>
      </c>
      <c r="I1559">
        <f>(C1559+$S$60)*$S$61</f>
        <v>74.4905349112426</v>
      </c>
    </row>
    <row r="1561">
      <c r="A1561" t="str">
        <f>IF(Taxas!$H$50&gt;0,Resumo!$AM$23&amp;" – "&amp;Taxas!$H$50&amp;" Ø"&amp;Taxas!$I$50,"")</f>
        <v>N1 – 3 Ø16</v>
      </c>
      <c r="B1561">
        <f>$S$2*0.30</f>
        <v>244.5</v>
      </c>
      <c r="C1561">
        <f>IF(Taxas!$H$50&gt;0,$S$4-$S$47,NA())</f>
        <v>55.2</v>
      </c>
      <c r="D1561">
        <f>(B1561+$S$52)*$S$54</f>
        <v>286.00969014084507</v>
      </c>
      <c r="E1561">
        <f>(C1561+$S$53)*$S$54</f>
        <v>128.63026478873238</v>
      </c>
      <c r="F1561">
        <f>(B1561+$S$55)*$S$58</f>
        <v>791.3511230769232</v>
      </c>
      <c r="G1561">
        <f>(C1561+$S$56)*$S$58</f>
        <v>337.8737764102564</v>
      </c>
      <c r="H1561">
        <f>(B1561+$S$59)*$S$61</f>
        <v>399.5801331360947</v>
      </c>
      <c r="I1561">
        <f>(C1561+$S$60)*$S$61</f>
        <v>148.3945301775148</v>
      </c>
    </row>
    <row r="1563">
      <c r="A1563" t="str">
        <f>Geometria!$K$251&amp;" cord. Ø"&amp;Geometria!$L$251&amp;" CP"&amp;Geometria!$L$88&amp;" RB"&amp;IF(Geometria!$K$265&gt;0," + "&amp;Geometria!$K$265&amp;" sup.","")</f>
        <v>8 cord. Ø15.2 CP190 RB</v>
      </c>
      <c r="B1563">
        <f>$S$2*0.62</f>
        <v>505.3</v>
      </c>
      <c r="C1563">
        <f>Geometria!$L$277</f>
        <v>11.25</v>
      </c>
      <c r="D1563">
        <f>(B1563+$S$52)*$S$54</f>
        <v>543.6653971830985</v>
      </c>
      <c r="E1563">
        <f>(C1563+$S$53)*$S$54</f>
        <v>85.21014084507041</v>
      </c>
      <c r="F1563">
        <f>(B1563+$S$55)*$S$58</f>
        <v>1543.206762051282</v>
      </c>
      <c r="G1563">
        <f>(C1563+$S$56)*$S$58</f>
        <v>211.17111025641026</v>
      </c>
      <c r="H1563">
        <f>(B1563+$S$59)*$S$61</f>
        <v>782.0039816568046</v>
      </c>
      <c r="I1563">
        <f>(C1563+$S$60)*$S$61</f>
        <v>83.94848668639054</v>
      </c>
    </row>
    <row r="1565">
      <c r="A1565" t="str">
        <f>IF($S$23=1,Resumo!$AM$34&amp;" – "&amp;$S$26&amp;" Ø"&amp;'Cisalhamento e Apoios'!$J$231&amp;" "&amp;'Cisalhamento e Apoios'!$J$232&amp;"r (suspensão)","")</f>
        <v>N10 – 5 Ø12.5 4r (suspensão)</v>
      </c>
      <c r="B1565">
        <f>$S$27+$S$28</f>
        <v>33.0</v>
      </c>
      <c r="C1565">
        <f>IF($S$23=1,$S$4*0.55,NA())</f>
        <v>33.0</v>
      </c>
      <c r="D1565">
        <f>(B1565+$S$52)*$S$54</f>
        <v>77.05960563380282</v>
      </c>
      <c r="E1565">
        <f>(C1565+$S$53)*$S$54</f>
        <v>106.69791549295773</v>
      </c>
      <c r="F1565">
        <f>(B1565+$S$55)*$S$58</f>
        <v>181.62156923076924</v>
      </c>
      <c r="G1565">
        <f>(C1565+$S$56)*$S$58</f>
        <v>273.87379487179487</v>
      </c>
      <c r="H1565">
        <f>(B1565+$S$59)*$S$61</f>
        <v>89.44729585798817</v>
      </c>
      <c r="I1565">
        <f>(C1565+$S$60)*$S$61</f>
        <v>115.8415798816568</v>
      </c>
    </row>
    <row r="1567">
      <c r="A1567" t="str">
        <f>IF($S$22=1,Resumo!$AM$31&amp;" – "&amp;'Cisalhamento e Apoios'!$J$93&amp;" Ø"&amp;'Cisalhamento e Apoios'!$J$92&amp;" (grampos/tirante)","")</f>
        <v>N8 – 10 Ø12.5 (grampos/tirante)</v>
      </c>
      <c r="B1567">
        <f>$S$7+$S$29</f>
        <v>65.5</v>
      </c>
      <c r="C1567">
        <f>IF($S$22=1,$S$7+1.5,NA())</f>
        <v>4.5</v>
      </c>
      <c r="D1567">
        <f>(B1567+$S$52)*$S$54</f>
        <v>109.16777464788731</v>
      </c>
      <c r="E1567">
        <f>(C1567+$S$53)*$S$54</f>
        <v>78.54152112676056</v>
      </c>
      <c r="F1567">
        <f>(B1567+$S$55)*$S$58</f>
        <v>275.3152358974359</v>
      </c>
      <c r="G1567">
        <f>(C1567+$S$56)*$S$58</f>
        <v>191.7116564102564</v>
      </c>
      <c r="H1567">
        <f>(B1567+$S$59)*$S$61</f>
        <v>137.10364201183432</v>
      </c>
      <c r="I1567">
        <f>(C1567+$S$60)*$S$61</f>
        <v>74.05063017751479</v>
      </c>
    </row>
    <row r="1569">
      <c r="A1569" t="str">
        <f>IF($S$24=1,Resumo!$AM$32&amp;" – "&amp;'Cisalhamento e Apoios'!$J$251&amp;" Ø"&amp;'Cisalhamento e Apoios'!$J$250&amp;" (grampos de ancoragem)","")</f>
        <v/>
      </c>
      <c r="B1569">
        <f>IF($S$9=1,$S$10,0)+$S$7+$S$25</f>
        <v>58.0</v>
      </c>
      <c r="C1569" t="e">
        <f>IF($S$24=1,$S$7+2.5,NA())</f>
        <v>#N/A</v>
      </c>
      <c r="D1569">
        <f>(B1569+$S$52)*$S$54</f>
        <v>101.75819718309859</v>
      </c>
      <c r="E1569" t="e">
        <f>(C1569+$S$53)*$S$54</f>
        <v>#N/A</v>
      </c>
      <c r="F1569">
        <f>(B1569+$S$55)*$S$58</f>
        <v>253.69362051282053</v>
      </c>
      <c r="G1569" t="e">
        <f>(C1569+$S$56)*$S$58</f>
        <v>#N/A</v>
      </c>
      <c r="H1569">
        <f>(B1569+$S$59)*$S$61</f>
        <v>126.10602366863905</v>
      </c>
      <c r="I1569" t="e">
        <f>(C1569+$S$60)*$S$61</f>
        <v>#N/A</v>
      </c>
    </row>
    <row r="1571">
      <c r="A1571" t="str">
        <f>IF(AND($S$22=1,$S$30&gt;0),Resumo!$AM$33&amp;" – "&amp;$S$30&amp;" Ø"&amp;'Cisalhamento e Apoios'!$J$98&amp;" (costura)","")</f>
        <v>N9 – 3 Ø8 (costura)</v>
      </c>
      <c r="B1571">
        <f>$S$7+$S$32</f>
        <v>34.25</v>
      </c>
      <c r="C1571">
        <f>IF(AND($S$22=1,$S$30&gt;0),$S$7+6+$S$31,NA())</f>
        <v>21.0</v>
      </c>
      <c r="D1571">
        <f>(B1571+$S$52)*$S$54</f>
        <v>78.2945352112676</v>
      </c>
      <c r="E1571">
        <f>(C1571+$S$53)*$S$54</f>
        <v>94.84259154929578</v>
      </c>
      <c r="F1571">
        <f>(B1571+$S$55)*$S$58</f>
        <v>185.2251717948718</v>
      </c>
      <c r="G1571">
        <f>(C1571+$S$56)*$S$58</f>
        <v>239.27921025641027</v>
      </c>
      <c r="H1571">
        <f>(B1571+$S$59)*$S$61</f>
        <v>91.2802322485207</v>
      </c>
      <c r="I1571">
        <f>(C1571+$S$60)*$S$61</f>
        <v>98.24539053254438</v>
      </c>
    </row>
    <row r="1573">
      <c r="A1573" t="str">
        <f>IF($S$9=1,Resumo!$AM$35&amp;" – "&amp;'Cisalhamento e Apoios'!$J$144&amp;" Ø"&amp;'Cisalhamento e Apoios'!$J$108&amp;" (tirante do dente)","")</f>
        <v/>
      </c>
      <c r="B1573">
        <f>$S$38</f>
        <v>94.05</v>
      </c>
      <c r="C1573" t="e">
        <f>IF($S$9=1,$S$37,NA())</f>
        <v>#N/A</v>
      </c>
      <c r="D1573">
        <f>(B1573+$S$52)*$S$54</f>
        <v>137.3735661971831</v>
      </c>
      <c r="E1573" t="e">
        <f>(C1573+$S$53)*$S$54</f>
        <v>#N/A</v>
      </c>
      <c r="F1573">
        <f>(B1573+$S$55)*$S$58</f>
        <v>357.62151846153847</v>
      </c>
      <c r="G1573" t="e">
        <f>(C1573+$S$56)*$S$58</f>
        <v>#N/A</v>
      </c>
      <c r="H1573">
        <f>(B1573+$S$59)*$S$61</f>
        <v>178.96790917159763</v>
      </c>
      <c r="I1573" t="e">
        <f>(C1573+$S$60)*$S$61</f>
        <v>#N/A</v>
      </c>
    </row>
    <row r="1575">
      <c r="A1575" t="str">
        <f>IF($S$9=1,"planta do tirante do dente: laço horizontal (sem dobra)","")</f>
        <v/>
      </c>
      <c r="B1575">
        <f>$S$38</f>
        <v>94.05</v>
      </c>
      <c r="C1575" t="e">
        <f>IF($S$9=1,-10-('Cisalhamento e Apoios'!$J$14-2*$S$7)/2,NA())</f>
        <v>#N/A</v>
      </c>
      <c r="D1575">
        <f>(B1575+$S$52)*$S$54</f>
        <v>137.3735661971831</v>
      </c>
      <c r="E1575" t="e">
        <f>(C1575+$S$53)*$S$54</f>
        <v>#N/A</v>
      </c>
      <c r="F1575">
        <f>(B1575+$S$55)*$S$58</f>
        <v>357.62151846153847</v>
      </c>
      <c r="G1575" t="e">
        <f>(C1575+$S$56)*$S$58</f>
        <v>#N/A</v>
      </c>
      <c r="H1575">
        <f>(B1575+$S$59)*$S$61</f>
        <v>178.96790917159763</v>
      </c>
      <c r="I1575" t="e">
        <f>(C1575+$S$60)*$S$61</f>
        <v>#N/A</v>
      </c>
    </row>
    <row r="1577">
      <c r="A1577" t="str">
        <f>IF(AND($S$9=1,$S$39&gt;0),Resumo!$AM$36&amp;" – "&amp;$S$39&amp;" Ø"&amp;'Cisalhamento e Apoios'!$J$149&amp;" (costura do dente)","")</f>
        <v/>
      </c>
      <c r="B1577">
        <f>$S$41</f>
        <v>25.0</v>
      </c>
      <c r="C1577" t="e">
        <f>IF(AND($S$9=1,$S$39&gt;0),$S$37+(2*$S$40/3)/2,NA())</f>
        <v>#N/A</v>
      </c>
      <c r="D1577">
        <f>(B1577+$S$52)*$S$54</f>
        <v>69.15605633802816</v>
      </c>
      <c r="E1577" t="e">
        <f>(C1577+$S$53)*$S$54</f>
        <v>#N/A</v>
      </c>
      <c r="F1577">
        <f>(B1577+$S$55)*$S$58</f>
        <v>158.55851282051282</v>
      </c>
      <c r="G1577" t="e">
        <f>(C1577+$S$56)*$S$58</f>
        <v>#N/A</v>
      </c>
      <c r="H1577">
        <f>(B1577+$S$59)*$S$61</f>
        <v>77.71650295857988</v>
      </c>
      <c r="I1577" t="e">
        <f>(C1577+$S$60)*$S$61</f>
        <v>#N/A</v>
      </c>
    </row>
    <row r="1579">
      <c r="A1579" t="str">
        <f>Resumo!$AM$37&amp;" – "&amp;$S$33&amp;" Ø"&amp;'Cisalhamento e Apoios'!$J$188&amp;" (laços)"</f>
        <v>N11 – 2 Ø10 (laços)</v>
      </c>
      <c r="B1579">
        <f>$S$36+$S$35</f>
        <v>73.0</v>
      </c>
      <c r="C1579">
        <f>$S$7+3</f>
        <v>6.0</v>
      </c>
      <c r="D1579">
        <f>(B1579+$S$52)*$S$54</f>
        <v>116.57735211267605</v>
      </c>
      <c r="E1579">
        <f>(C1579+$S$53)*$S$54</f>
        <v>80.02343661971831</v>
      </c>
      <c r="F1579">
        <f>(B1579+$S$55)*$S$58</f>
        <v>296.9368512820513</v>
      </c>
      <c r="G1579">
        <f>(C1579+$S$56)*$S$58</f>
        <v>196.0359794871795</v>
      </c>
      <c r="H1579">
        <f>(B1579+$S$59)*$S$61</f>
        <v>148.10126035502958</v>
      </c>
      <c r="I1579">
        <f>(C1579+$S$60)*$S$61</f>
        <v>76.25015384615385</v>
      </c>
    </row>
    <row r="1581">
      <c r="A1581" t="str">
        <f>Resumo!$AM$28&amp;" – "&amp;'Cisalhamento e Apoios'!$S$61/2&amp;" Ø"&amp;'Cisalhamento e Apoios'!$Z$61&amp;" c/"&amp;'Cisalhamento e Apoios'!$AB$61</f>
        <v>N5 – 12 Ø10 c/8.5</v>
      </c>
      <c r="B1581">
        <f>$S$13+2.5*$S$15</f>
        <v>24.25</v>
      </c>
      <c r="C1581">
        <f>$S$12+5</f>
        <v>89.0</v>
      </c>
      <c r="D1581">
        <f>(B1581+$S$52)*$S$54</f>
        <v>68.4150985915493</v>
      </c>
      <c r="E1581">
        <f>(C1581+$S$53)*$S$54</f>
        <v>162.02276056338027</v>
      </c>
      <c r="F1581">
        <f>(B1581+$S$55)*$S$58</f>
        <v>156.39635128205128</v>
      </c>
      <c r="G1581">
        <f>(C1581+$S$56)*$S$58</f>
        <v>435.31518974358977</v>
      </c>
      <c r="H1581">
        <f>(B1581+$S$59)*$S$61</f>
        <v>76.61674112426036</v>
      </c>
      <c r="I1581">
        <f>(C1581+$S$60)*$S$61</f>
        <v>197.95713017751478</v>
      </c>
    </row>
    <row r="1583">
      <c r="A1583" t="str">
        <f>IF($S$9=1,"L1 = "&amp;TEXT($S$10,"0"),"")</f>
        <v/>
      </c>
      <c r="B1583">
        <f>$S$10/2</f>
        <v>0.0</v>
      </c>
      <c r="C1583" t="e">
        <f>IF($S$9=1,$S$4+10,NA())</f>
        <v>#N/A</v>
      </c>
      <c r="D1583">
        <f>(B1583+$S$52)*$S$54</f>
        <v>44.457464788732395</v>
      </c>
      <c r="E1583" t="e">
        <f>(C1583+$S$53)*$S$54</f>
        <v>#N/A</v>
      </c>
      <c r="F1583">
        <f>(B1583+$S$55)*$S$58</f>
        <v>86.48646153846154</v>
      </c>
      <c r="G1583" t="e">
        <f>(C1583+$S$56)*$S$58</f>
        <v>#N/A</v>
      </c>
      <c r="H1583">
        <f>(B1583+$S$59)*$S$61</f>
        <v>41.05777514792899</v>
      </c>
      <c r="I1583" t="e">
        <f>(C1583+$S$60)*$S$61</f>
        <v>#N/A</v>
      </c>
    </row>
    <row r="1585">
      <c r="A1585" t="str">
        <f>IF($S$9=1,"h1 = "&amp;TEXT($S$4-$S$11,"0"),"")</f>
        <v/>
      </c>
      <c r="B1585">
        <f>-10</f>
        <v>-10.0</v>
      </c>
      <c r="C1585" t="e">
        <f>IF($S$9=1,($S$4+$S$11)/2,NA())</f>
        <v>#N/A</v>
      </c>
      <c r="D1585">
        <f>(B1585+$S$52)*$S$54</f>
        <v>34.57802816901408</v>
      </c>
      <c r="E1585" t="e">
        <f>(C1585+$S$53)*$S$54</f>
        <v>#N/A</v>
      </c>
      <c r="F1585">
        <f>(B1585+$S$55)*$S$58</f>
        <v>57.65764102564103</v>
      </c>
      <c r="G1585" t="e">
        <f>(C1585+$S$56)*$S$58</f>
        <v>#N/A</v>
      </c>
      <c r="H1585">
        <f>(B1585+$S$59)*$S$61</f>
        <v>26.39428402366864</v>
      </c>
      <c r="I1585" t="e">
        <f>(C1585+$S$60)*$S$61</f>
        <v>#N/A</v>
      </c>
    </row>
    <row r="1587">
      <c r="A1587" t="str">
        <f>"a0 = "&amp;TEXT($S$8,"0")</f>
        <v>a0 = 15</v>
      </c>
      <c r="B1587">
        <f>$S$8/2</f>
        <v>7.5</v>
      </c>
      <c r="C1587">
        <f>-25</f>
        <v>-25.0</v>
      </c>
      <c r="D1587">
        <f>(B1587+$S$52)*$S$54</f>
        <v>51.86704225352112</v>
      </c>
      <c r="E1587">
        <f>(C1587+$S$53)*$S$54</f>
        <v>49.39718309859155</v>
      </c>
      <c r="F1587">
        <f>(B1587+$S$55)*$S$58</f>
        <v>108.10807692307692</v>
      </c>
      <c r="G1587">
        <f>(C1587+$S$56)*$S$58</f>
        <v>106.66663589743591</v>
      </c>
      <c r="H1587">
        <f>(B1587+$S$59)*$S$61</f>
        <v>52.05539349112426</v>
      </c>
      <c r="I1587">
        <f>(C1587+$S$60)*$S$61</f>
        <v>30.793331360946745</v>
      </c>
    </row>
    <row r="1589">
      <c r="A1589" t="inlineStr">
        <is>
          <t>eixo do apoio</t>
        </is>
      </c>
      <c r="B1589">
        <f>$S$8</f>
        <v>15.0</v>
      </c>
      <c r="C1589">
        <f>$S$5+12</f>
        <v>102.0</v>
      </c>
      <c r="D1589">
        <f>(B1589+$S$52)*$S$54</f>
        <v>59.27661971830985</v>
      </c>
      <c r="E1589">
        <f>(C1589+$S$53)*$S$54</f>
        <v>174.86602816901407</v>
      </c>
      <c r="F1589">
        <f>(B1589+$S$55)*$S$58</f>
        <v>129.72969230769232</v>
      </c>
      <c r="G1589">
        <f>(C1589+$S$56)*$S$58</f>
        <v>472.7926564102564</v>
      </c>
      <c r="H1589">
        <f>(B1589+$S$59)*$S$61</f>
        <v>63.05301183431953</v>
      </c>
      <c r="I1589">
        <f>(C1589+$S$60)*$S$61</f>
        <v>217.01966863905326</v>
      </c>
    </row>
    <row r="1591">
      <c r="A1591" t="str">
        <f>IF(Taxas!$H$57&gt;0,Resumo!$AM$24&amp;" – "&amp;Taxas!$H$57&amp;" Ø"&amp;Taxas!$I$57,"")</f>
        <v>N2 – 12 Ø16</v>
      </c>
      <c r="B1591">
        <f>$S$13+$S$15+60</f>
        <v>71.5</v>
      </c>
      <c r="C1591">
        <f>IF(Taxas!$H$57&gt;0,$S$47,NA())</f>
        <v>4.8</v>
      </c>
      <c r="D1591">
        <f>(B1591+$S$52)*$S$54</f>
        <v>115.0954366197183</v>
      </c>
      <c r="E1591">
        <f>(C1591+$S$53)*$S$54</f>
        <v>78.8379042253521</v>
      </c>
      <c r="F1591">
        <f>(B1591+$S$55)*$S$58</f>
        <v>292.6125282051282</v>
      </c>
      <c r="G1591">
        <f>(C1591+$S$56)*$S$58</f>
        <v>192.57652102564103</v>
      </c>
      <c r="H1591">
        <f>(B1591+$S$59)*$S$61</f>
        <v>145.90173668639054</v>
      </c>
      <c r="I1591">
        <f>(C1591+$S$60)*$S$61</f>
        <v>74.4905349112426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Planilhas</vt:lpstr>
      </vt:variant>
      <vt:variant>
        <vt:i4>25</vt:i4>
      </vt:variant>
      <vt:variant>
        <vt:lpstr>Intervalos Nomeados</vt:lpstr>
      </vt:variant>
      <vt:variant>
        <vt:i4>25</vt:i4>
      </vt:variant>
    </vt:vector>
  </HeadingPairs>
  <TitlesOfParts>
    <vt:vector size="50" baseType="lpstr">
      <vt:lpstr>Geometria</vt:lpstr>
      <vt:lpstr>ELU i</vt:lpstr>
      <vt:lpstr>Homogeneização</vt:lpstr>
      <vt:lpstr>Isolamento de cabos</vt:lpstr>
      <vt:lpstr>Tensões</vt:lpstr>
      <vt:lpstr>AUXÍLIO</vt:lpstr>
      <vt:lpstr>Apoio</vt:lpstr>
      <vt:lpstr>Propriedades geométricas LAJE</vt:lpstr>
      <vt:lpstr>Seções</vt:lpstr>
      <vt:lpstr>Propriedades geométricas VIGA</vt:lpstr>
      <vt:lpstr>Resumo</vt:lpstr>
      <vt:lpstr>Taxas</vt:lpstr>
      <vt:lpstr>Cargas Pavilhões</vt:lpstr>
      <vt:lpstr>Diagrama Cortante</vt:lpstr>
      <vt:lpstr>Fluência</vt:lpstr>
      <vt:lpstr>Perdas por Seção</vt:lpstr>
      <vt:lpstr>Cargas adicionais</vt:lpstr>
      <vt:lpstr>Torção (parede fina)</vt:lpstr>
      <vt:lpstr>Armadura Dupla</vt:lpstr>
      <vt:lpstr>Momento Resistente - Ap+As</vt:lpstr>
      <vt:lpstr>Fissuração - wk por Seção</vt:lpstr>
      <vt:lpstr>Aberturas na Alma</vt:lpstr>
      <vt:lpstr>Estádio - Flechas</vt:lpstr>
      <vt:lpstr>Cisalhamento e Apoios</vt:lpstr>
      <vt:lpstr>Desenho (dados)</vt:lpstr>
      <vt:lpstr>'Aberturas na Alma'!Area_de_impressao</vt:lpstr>
      <vt:lpstr>'Armadura Dupla'!Area_de_impressao</vt:lpstr>
      <vt:lpstr>AUXÍLIO!Area_de_impressao</vt:lpstr>
      <vt:lpstr>'Cargas adicionais'!Area_de_impressao</vt:lpstr>
      <vt:lpstr>'Cargas Pavilhões'!Area_de_impressao</vt:lpstr>
      <vt:lpstr>'Cisalhamento e Apoios'!Area_de_impressao</vt:lpstr>
      <vt:lpstr>'Diagrama Cortante'!Area_de_impressao</vt:lpstr>
      <vt:lpstr>'Fissuração - wk por Seção'!Area_de_impressao</vt:lpstr>
      <vt:lpstr>Geometria!Area_de_impressao</vt:lpstr>
      <vt:lpstr>Homogeneização!Area_de_impressao</vt:lpstr>
      <vt:lpstr>'Momento Resistente - Ap+As'!Area_de_impressao</vt:lpstr>
      <vt:lpstr>Resumo!Area_de_impressao</vt:lpstr>
      <vt:lpstr>Seções!Area_de_impressao</vt:lpstr>
      <vt:lpstr>Taxas!Area_de_impressao</vt:lpstr>
      <vt:lpstr>'Torção (parede fina)'!Area_de_impressao</vt:lpstr>
      <vt:lpstr>'Propriedades geométricas LAJE'!FirstX</vt:lpstr>
      <vt:lpstr>FirstX</vt:lpstr>
      <vt:lpstr>testex</vt:lpstr>
      <vt:lpstr>testey</vt:lpstr>
      <vt:lpstr>XX</vt:lpstr>
      <vt:lpstr>XXX</vt:lpstr>
      <vt:lpstr>XXXX</vt:lpstr>
      <vt:lpstr>YY</vt:lpstr>
      <vt:lpstr>YYY</vt:lpstr>
      <vt:lpstr>YYYY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Eduardo Godoy Ferreira</dc:creator>
  <dc:description/>
  <cp:lastModifiedBy>Carlos  Eduardo Godoy Ferreira</cp:lastModifiedBy>
  <cp:revision>7</cp:revision>
  <cp:lastPrinted>2026-03-27T16:58:35Z</cp:lastPrinted>
  <dcterms:created xsi:type="dcterms:W3CDTF">2025-08-14T17:41:03Z</dcterms:created>
  <dcterms:modified xsi:type="dcterms:W3CDTF">2026-09-24T15:40:25Z</dcterms:modified>
  <dc:language>en-US</dc:language>
</cp:coreProperties>
</file>