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Documents\Caso_Base_Junio_VEDA\CasoBase_Junio_Simulacion\"/>
    </mc:Choice>
  </mc:AlternateContent>
  <xr:revisionPtr revIDLastSave="0" documentId="13_ncr:1_{E2205114-2929-4439-A0BD-AA5A8AEC83CD}" xr6:coauthVersionLast="47" xr6:coauthVersionMax="47" xr10:uidLastSave="{00000000-0000-0000-0000-000000000000}"/>
  <bookViews>
    <workbookView xWindow="-108" yWindow="-108" windowWidth="23256" windowHeight="12456" tabRatio="900" activeTab="6" xr2:uid="{00000000-000D-0000-FFFF-FFFF00000000}"/>
  </bookViews>
  <sheets>
    <sheet name="EnergyBalance" sheetId="133" r:id="rId1"/>
    <sheet name="RES&amp;OBJ" sheetId="135" r:id="rId2"/>
    <sheet name="Pri_GAS" sheetId="136" r:id="rId3"/>
    <sheet name="Pri_OIL" sheetId="137" r:id="rId4"/>
    <sheet name="Pri_RNW" sheetId="142" r:id="rId5"/>
    <sheet name="Sector_Fuels" sheetId="140" r:id="rId6"/>
    <sheet name="Con_ELC" sheetId="143" r:id="rId7"/>
    <sheet name="DemTechs_ELC" sheetId="146" r:id="rId8"/>
    <sheet name="DemTechs_TRA" sheetId="141" r:id="rId9"/>
    <sheet name="DemTechs_RSD" sheetId="138" r:id="rId10"/>
    <sheet name="Demands" sheetId="134" r:id="rId11"/>
  </sheets>
  <externalReferences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34" l="1"/>
  <c r="O11" i="134"/>
  <c r="O10" i="134"/>
  <c r="O9" i="134"/>
  <c r="E14" i="143"/>
  <c r="R16" i="143" s="1"/>
  <c r="N13" i="143"/>
  <c r="N20" i="143"/>
  <c r="N18" i="143"/>
  <c r="N15" i="143"/>
  <c r="L15" i="141"/>
  <c r="L13" i="141"/>
  <c r="L15" i="138"/>
  <c r="L13" i="138"/>
  <c r="F2" i="146"/>
  <c r="E2" i="146"/>
  <c r="P12" i="146" s="1"/>
  <c r="C2" i="146"/>
  <c r="B2" i="146"/>
  <c r="I12" i="146"/>
  <c r="Q12" i="146"/>
  <c r="D2" i="146"/>
  <c r="E10" i="134"/>
  <c r="E9" i="134"/>
  <c r="E12" i="141"/>
  <c r="E12" i="138"/>
  <c r="E16" i="143"/>
  <c r="F16" i="143" s="1"/>
  <c r="E12" i="143"/>
  <c r="R14" i="143" s="1"/>
  <c r="I15" i="137"/>
  <c r="I12" i="137"/>
  <c r="I11" i="137"/>
  <c r="I12" i="136"/>
  <c r="I11" i="136"/>
  <c r="N11" i="143"/>
  <c r="L11" i="141"/>
  <c r="I14" i="141"/>
  <c r="L11" i="138"/>
  <c r="I14" i="138"/>
  <c r="P13" i="138"/>
  <c r="B14" i="138" s="1"/>
  <c r="F11" i="143"/>
  <c r="E11" i="143"/>
  <c r="Y15" i="143"/>
  <c r="Y16" i="143"/>
  <c r="I15" i="136"/>
  <c r="L11" i="133"/>
  <c r="K6" i="140"/>
  <c r="D18" i="140"/>
  <c r="C18" i="140" s="1"/>
  <c r="K5" i="140"/>
  <c r="K17" i="140" s="1"/>
  <c r="B17" i="140" s="1"/>
  <c r="L18" i="140"/>
  <c r="L17" i="140"/>
  <c r="L6" i="140"/>
  <c r="F24" i="133"/>
  <c r="K24" i="133"/>
  <c r="E11" i="134"/>
  <c r="I11" i="134" s="1"/>
  <c r="E2" i="141"/>
  <c r="R5" i="14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/>
  <c r="H24" i="133" s="1"/>
  <c r="G8" i="133"/>
  <c r="G21" i="133" s="1"/>
  <c r="G24" i="133" s="1"/>
  <c r="F8" i="133"/>
  <c r="E8" i="133"/>
  <c r="E21" i="133"/>
  <c r="E24" i="133" s="1"/>
  <c r="D8" i="133"/>
  <c r="D21" i="133" s="1"/>
  <c r="X6" i="143"/>
  <c r="G2" i="143"/>
  <c r="J11" i="143" s="1"/>
  <c r="E2" i="143"/>
  <c r="X16" i="143" s="1"/>
  <c r="C2" i="143"/>
  <c r="B2" i="143"/>
  <c r="K9" i="140" s="1"/>
  <c r="W5" i="143"/>
  <c r="V5" i="143"/>
  <c r="D17" i="143" s="1"/>
  <c r="Y14" i="143"/>
  <c r="Y13" i="143"/>
  <c r="Y12" i="143"/>
  <c r="G2" i="142"/>
  <c r="H10" i="142" s="1"/>
  <c r="E2" i="142"/>
  <c r="O11" i="142" s="1"/>
  <c r="K11" i="142"/>
  <c r="D2" i="142"/>
  <c r="N5" i="142" s="1"/>
  <c r="C2" i="142"/>
  <c r="M5" i="142" s="1"/>
  <c r="D11" i="142" s="1"/>
  <c r="P12" i="138"/>
  <c r="B12" i="138"/>
  <c r="C12" i="138" s="1"/>
  <c r="D2" i="138"/>
  <c r="Q13" i="138" s="1"/>
  <c r="C2" i="138"/>
  <c r="B2" i="141"/>
  <c r="P6" i="141" s="1"/>
  <c r="B2" i="138"/>
  <c r="R6" i="141"/>
  <c r="F2" i="141"/>
  <c r="I11" i="14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H10" i="137"/>
  <c r="E2" i="136"/>
  <c r="G10" i="136" s="1"/>
  <c r="G2" i="136"/>
  <c r="H10" i="136"/>
  <c r="K11" i="137"/>
  <c r="M11" i="137" s="1"/>
  <c r="B11" i="137" s="1"/>
  <c r="K11" i="136"/>
  <c r="D2" i="137"/>
  <c r="N5" i="137" s="1"/>
  <c r="C2" i="137"/>
  <c r="M5" i="137" s="1"/>
  <c r="K15" i="137"/>
  <c r="K14" i="137"/>
  <c r="M14" i="137"/>
  <c r="B14" i="137" s="1"/>
  <c r="D2" i="136"/>
  <c r="C2" i="136"/>
  <c r="K15" i="136"/>
  <c r="K14" i="136"/>
  <c r="M21" i="140"/>
  <c r="O11" i="136"/>
  <c r="O5" i="137"/>
  <c r="M5" i="136"/>
  <c r="D12" i="136" s="1"/>
  <c r="O14" i="137"/>
  <c r="O15" i="137"/>
  <c r="M14" i="136"/>
  <c r="B14" i="136" s="1"/>
  <c r="I10" i="136"/>
  <c r="I11" i="146"/>
  <c r="E11" i="146"/>
  <c r="H11" i="146"/>
  <c r="P11" i="141"/>
  <c r="B12" i="141" s="1"/>
  <c r="C12" i="141" s="1"/>
  <c r="Q6" i="138"/>
  <c r="K18" i="140"/>
  <c r="B18" i="140" s="1"/>
  <c r="M19" i="140"/>
  <c r="M8" i="140"/>
  <c r="N20" i="140"/>
  <c r="M17" i="140"/>
  <c r="M5" i="140"/>
  <c r="N17" i="140"/>
  <c r="N18" i="140"/>
  <c r="L9" i="140"/>
  <c r="L21" i="140" s="1"/>
  <c r="P5" i="138"/>
  <c r="C9" i="134" s="1"/>
  <c r="G10" i="142"/>
  <c r="O5" i="146"/>
  <c r="O12" i="146"/>
  <c r="N12" i="146" s="1"/>
  <c r="B12" i="146" s="1"/>
  <c r="C12" i="146" s="1"/>
  <c r="G11" i="134"/>
  <c r="Q5" i="138"/>
  <c r="P6" i="138"/>
  <c r="O5" i="142"/>
  <c r="M18" i="140"/>
  <c r="M7" i="140"/>
  <c r="M20" i="140"/>
  <c r="N21" i="140"/>
  <c r="N19" i="140"/>
  <c r="Q12" i="141"/>
  <c r="Q6" i="141"/>
  <c r="I10" i="142"/>
  <c r="N5" i="136"/>
  <c r="H11" i="134"/>
  <c r="M11" i="142"/>
  <c r="N11" i="142" s="1"/>
  <c r="E11" i="141"/>
  <c r="H11" i="141"/>
  <c r="R12" i="141"/>
  <c r="R11" i="141"/>
  <c r="S11" i="141"/>
  <c r="Q5" i="141"/>
  <c r="S12" i="141"/>
  <c r="N5" i="146"/>
  <c r="D14" i="136"/>
  <c r="D15" i="138"/>
  <c r="D13" i="138"/>
  <c r="K8" i="140" l="1"/>
  <c r="K20" i="140" s="1"/>
  <c r="B20" i="140" s="1"/>
  <c r="D12" i="143"/>
  <c r="X13" i="143"/>
  <c r="D16" i="143"/>
  <c r="D19" i="143"/>
  <c r="X15" i="143"/>
  <c r="D14" i="143"/>
  <c r="X12" i="143"/>
  <c r="X5" i="143"/>
  <c r="C16" i="143"/>
  <c r="K21" i="140"/>
  <c r="B21" i="140" s="1"/>
  <c r="D21" i="140"/>
  <c r="C21" i="140" s="1"/>
  <c r="D11" i="137"/>
  <c r="D12" i="137"/>
  <c r="D13" i="137"/>
  <c r="C15" i="137"/>
  <c r="O15" i="136"/>
  <c r="M15" i="136"/>
  <c r="I11" i="138"/>
  <c r="N14" i="137"/>
  <c r="P5" i="146"/>
  <c r="M13" i="136"/>
  <c r="B13" i="136" s="1"/>
  <c r="C15" i="136"/>
  <c r="O14" i="136"/>
  <c r="M12" i="136"/>
  <c r="O13" i="136"/>
  <c r="L8" i="133"/>
  <c r="D17" i="140"/>
  <c r="C17" i="140" s="1"/>
  <c r="S12" i="138"/>
  <c r="R18" i="143"/>
  <c r="D14" i="138"/>
  <c r="N11" i="137"/>
  <c r="K7" i="140"/>
  <c r="K11" i="143"/>
  <c r="V6" i="143"/>
  <c r="S13" i="138"/>
  <c r="L14" i="133"/>
  <c r="R12" i="138"/>
  <c r="R13" i="138"/>
  <c r="M12" i="137"/>
  <c r="M13" i="137"/>
  <c r="B13" i="137" s="1"/>
  <c r="Q12" i="138"/>
  <c r="W6" i="143"/>
  <c r="O5" i="136"/>
  <c r="M15" i="137"/>
  <c r="B15" i="137" s="1"/>
  <c r="O12" i="136"/>
  <c r="G10" i="137"/>
  <c r="C14" i="138"/>
  <c r="D12" i="138"/>
  <c r="B11" i="142"/>
  <c r="V14" i="143"/>
  <c r="L8" i="140"/>
  <c r="L20" i="140" s="1"/>
  <c r="D13" i="136"/>
  <c r="N15" i="136"/>
  <c r="B15" i="136"/>
  <c r="D15" i="141"/>
  <c r="D13" i="141"/>
  <c r="B12" i="136"/>
  <c r="N12" i="136"/>
  <c r="D24" i="133"/>
  <c r="L21" i="133"/>
  <c r="L24" i="133" s="1"/>
  <c r="O11" i="143"/>
  <c r="D12" i="146"/>
  <c r="D15" i="143"/>
  <c r="M9" i="140"/>
  <c r="R5" i="138"/>
  <c r="H11" i="138"/>
  <c r="I10" i="137"/>
  <c r="O12" i="137"/>
  <c r="D14" i="137"/>
  <c r="D11" i="136"/>
  <c r="X14" i="143"/>
  <c r="M11" i="136"/>
  <c r="O11" i="137"/>
  <c r="E16" i="140"/>
  <c r="P12" i="141"/>
  <c r="B14" i="141" s="1"/>
  <c r="C14" i="141" s="1"/>
  <c r="L7" i="140"/>
  <c r="L19" i="140" s="1"/>
  <c r="I11" i="143"/>
  <c r="C11" i="134"/>
  <c r="O12" i="134"/>
  <c r="N14" i="136"/>
  <c r="P5" i="141"/>
  <c r="C14" i="143" l="1"/>
  <c r="V16" i="143"/>
  <c r="B19" i="143" s="1"/>
  <c r="V13" i="143"/>
  <c r="W13" i="143" s="1"/>
  <c r="C19" i="143"/>
  <c r="D20" i="140"/>
  <c r="C20" i="140" s="1"/>
  <c r="V15" i="143"/>
  <c r="W15" i="143" s="1"/>
  <c r="V12" i="143"/>
  <c r="B12" i="143" s="1"/>
  <c r="D19" i="140"/>
  <c r="C19" i="140" s="1"/>
  <c r="K19" i="140"/>
  <c r="B19" i="140" s="1"/>
  <c r="W16" i="143"/>
  <c r="N13" i="137"/>
  <c r="B16" i="143"/>
  <c r="W14" i="143"/>
  <c r="N12" i="137"/>
  <c r="B12" i="137"/>
  <c r="N15" i="137"/>
  <c r="C12" i="143"/>
  <c r="D20" i="143"/>
  <c r="D18" i="143"/>
  <c r="D13" i="143"/>
  <c r="N13" i="136"/>
  <c r="C17" i="143"/>
  <c r="B14" i="143"/>
  <c r="N11" i="136"/>
  <c r="B11" i="136"/>
  <c r="C10" i="134"/>
  <c r="D14" i="141"/>
  <c r="D12" i="141"/>
  <c r="B17" i="143" l="1"/>
  <c r="W12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<sst xmlns="http://schemas.openxmlformats.org/spreadsheetml/2006/main" count="741" uniqueCount="217">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</sst>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0.000%"/>
    <numFmt numFmtId="170" formatCode="\Te\x\t"/>
  </numFmts>
  <fonts count="29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9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9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214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6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0" xfId="10" applyFont="1" applyFill="1"/>
    <xf numFmtId="0" fontId="4" fillId="0" borderId="2" xfId="0" applyFont="1" applyBorder="1"/>
    <xf numFmtId="0" fontId="4" fillId="0" borderId="2" xfId="10" applyFont="1" applyFill="1" applyBorder="1"/>
    <xf numFmtId="0" fontId="21" fillId="12" borderId="3" xfId="2" applyFont="1" applyFill="1" applyBorder="1" applyAlignment="1">
      <alignment horizontal="right"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66" fontId="9" fillId="13" borderId="0" xfId="0" applyNumberFormat="1" applyFont="1" applyFill="1" applyBorder="1" applyAlignment="1">
      <alignment horizontal="left" vertical="center"/>
    </xf>
    <xf numFmtId="1" fontId="0" fillId="13" borderId="0" xfId="0" applyNumberFormat="1" applyFill="1" applyAlignment="1"/>
    <xf numFmtId="1" fontId="3" fillId="13" borderId="0" xfId="0" applyNumberFormat="1" applyFont="1" applyFill="1" applyAlignment="1"/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1" fontId="3" fillId="16" borderId="0" xfId="0" applyNumberFormat="1" applyFont="1" applyFill="1" applyBorder="1" applyAlignment="1"/>
    <xf numFmtId="0" fontId="0" fillId="16" borderId="0" xfId="0" applyFill="1"/>
    <xf numFmtId="0" fontId="0" fillId="16" borderId="0" xfId="0" applyFill="1" applyAlignment="1"/>
    <xf numFmtId="1" fontId="0" fillId="16" borderId="0" xfId="0" applyNumberFormat="1" applyFill="1" applyAlignment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 applyAlignment="1"/>
    <xf numFmtId="1" fontId="0" fillId="15" borderId="2" xfId="0" applyNumberFormat="1" applyFill="1" applyBorder="1" applyAlignment="1"/>
    <xf numFmtId="0" fontId="0" fillId="15" borderId="0" xfId="0" applyFill="1" applyAlignment="1"/>
    <xf numFmtId="1" fontId="3" fillId="15" borderId="0" xfId="0" applyNumberFormat="1" applyFont="1" applyFill="1" applyAlignment="1"/>
    <xf numFmtId="1" fontId="3" fillId="15" borderId="2" xfId="0" applyNumberFormat="1" applyFon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0" fontId="3" fillId="0" borderId="2" xfId="0" applyFont="1" applyBorder="1" applyAlignment="1"/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" fontId="15" fillId="7" borderId="23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9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166" fontId="9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2" fontId="0" fillId="17" borderId="2" xfId="0" applyNumberFormat="1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2" fontId="4" fillId="0" borderId="0" xfId="10" applyNumberFormat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16" borderId="0" xfId="10" applyNumberFormat="1" applyFill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1" fillId="3" borderId="4" xfId="1" applyFont="1" applyBorder="1" applyAlignment="1">
      <alignment horizontal="center" wrapText="1"/>
    </xf>
    <xf numFmtId="0" fontId="21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2" xfId="17" applyFont="1" applyFill="1" applyBorder="1"/>
    <xf numFmtId="0" fontId="26" fillId="4" borderId="4" xfId="2" applyFont="1" applyBorder="1" applyAlignment="1">
      <alignment horizontal="center" wrapText="1"/>
    </xf>
    <xf numFmtId="1" fontId="4" fillId="0" borderId="0" xfId="10" applyNumberFormat="1" applyFill="1" applyBorder="1"/>
    <xf numFmtId="0" fontId="4" fillId="0" borderId="2" xfId="10" applyBorder="1"/>
    <xf numFmtId="1" fontId="25" fillId="12" borderId="2" xfId="2" applyNumberFormat="1" applyFont="1" applyFill="1" applyBorder="1" applyAlignment="1">
      <alignment horizontal="right" wrapText="1"/>
    </xf>
    <xf numFmtId="1" fontId="0" fillId="0" borderId="0" xfId="0" applyNumberFormat="1" applyFill="1" applyBorder="1"/>
    <xf numFmtId="165" fontId="4" fillId="16" borderId="0" xfId="10" applyNumberFormat="1" applyFill="1"/>
    <xf numFmtId="2" fontId="4" fillId="0" borderId="0" xfId="10" applyNumberFormat="1" applyBorder="1"/>
    <xf numFmtId="167" fontId="0" fillId="16" borderId="0" xfId="0" applyNumberFormat="1" applyFill="1" applyBorder="1"/>
    <xf numFmtId="167" fontId="0" fillId="16" borderId="0" xfId="0" applyNumberFormat="1" applyFill="1"/>
    <xf numFmtId="2" fontId="4" fillId="16" borderId="0" xfId="10" applyNumberFormat="1" applyFill="1"/>
    <xf numFmtId="2" fontId="4" fillId="16" borderId="0" xfId="10" applyNumberFormat="1" applyFill="1" applyBorder="1"/>
    <xf numFmtId="169" fontId="15" fillId="0" borderId="0" xfId="17" applyNumberFormat="1" applyFont="1" applyFill="1" applyBorder="1" applyAlignment="1">
      <alignment horizontal="right"/>
    </xf>
    <xf numFmtId="165" fontId="4" fillId="0" borderId="0" xfId="10" applyNumberFormat="1" applyFill="1" applyBorder="1"/>
    <xf numFmtId="168" fontId="4" fillId="0" borderId="0" xfId="10" applyNumberFormat="1" applyFill="1" applyBorder="1"/>
    <xf numFmtId="2" fontId="0" fillId="0" borderId="0" xfId="0" applyNumberFormat="1" applyFill="1"/>
    <xf numFmtId="170" fontId="5" fillId="0" borderId="0" xfId="0" applyNumberFormat="1" applyFont="1"/>
    <xf numFmtId="170" fontId="4" fillId="0" borderId="0" xfId="0" applyNumberFormat="1" applyFont="1"/>
    <xf numFmtId="170" fontId="3" fillId="2" borderId="1" xfId="0" applyNumberFormat="1" applyFont="1" applyFill="1" applyBorder="1" applyAlignment="1">
      <alignment horizontal="left"/>
    </xf>
    <xf numFmtId="170" fontId="3" fillId="2" borderId="4" xfId="0" applyNumberFormat="1" applyFont="1" applyFill="1" applyBorder="1" applyAlignment="1">
      <alignment horizontal="left"/>
    </xf>
    <xf numFmtId="170" fontId="21" fillId="3" borderId="3" xfId="1" applyNumberFormat="1" applyFont="1" applyBorder="1" applyAlignment="1">
      <alignment horizontal="left" wrapText="1"/>
    </xf>
    <xf numFmtId="170" fontId="4" fillId="0" borderId="0" xfId="0" applyNumberFormat="1" applyFont="1" applyFill="1"/>
    <xf numFmtId="170" fontId="0" fillId="0" borderId="0" xfId="0" applyNumberFormat="1" applyFill="1"/>
    <xf numFmtId="170" fontId="0" fillId="0" borderId="0" xfId="0" applyNumberFormat="1"/>
    <xf numFmtId="170" fontId="21" fillId="3" borderId="3" xfId="1" applyNumberFormat="1" applyFont="1" applyBorder="1" applyAlignment="1">
      <alignment horizontal="center" wrapText="1"/>
    </xf>
    <xf numFmtId="170" fontId="0" fillId="0" borderId="0" xfId="0" applyNumberFormat="1" applyFill="1" applyAlignment="1">
      <alignment wrapText="1"/>
    </xf>
    <xf numFmtId="170" fontId="0" fillId="0" borderId="0" xfId="0" applyNumberFormat="1" applyFill="1" applyAlignment="1"/>
    <xf numFmtId="170" fontId="4" fillId="0" borderId="0" xfId="10" applyNumberFormat="1" applyFont="1"/>
    <xf numFmtId="170" fontId="4" fillId="0" borderId="0" xfId="10" applyNumberFormat="1"/>
    <xf numFmtId="170" fontId="5" fillId="0" borderId="0" xfId="10" applyNumberFormat="1" applyFont="1"/>
    <xf numFmtId="170" fontId="3" fillId="2" borderId="1" xfId="10" applyNumberFormat="1" applyFont="1" applyFill="1" applyBorder="1" applyAlignment="1">
      <alignment horizontal="left"/>
    </xf>
    <xf numFmtId="170" fontId="3" fillId="2" borderId="4" xfId="10" applyNumberFormat="1" applyFont="1" applyFill="1" applyBorder="1" applyAlignment="1">
      <alignment horizontal="left"/>
    </xf>
    <xf numFmtId="170" fontId="4" fillId="0" borderId="0" xfId="10" applyNumberFormat="1" applyFont="1" applyFill="1"/>
    <xf numFmtId="170" fontId="4" fillId="0" borderId="0" xfId="10" applyNumberFormat="1" applyFill="1"/>
    <xf numFmtId="170" fontId="4" fillId="0" borderId="0" xfId="10" applyNumberFormat="1" applyFill="1" applyAlignment="1"/>
    <xf numFmtId="0" fontId="21" fillId="13" borderId="1" xfId="2" applyFont="1" applyFill="1" applyBorder="1" applyAlignment="1">
      <alignment horizontal="center" wrapText="1"/>
    </xf>
    <xf numFmtId="0" fontId="1" fillId="0" borderId="0" xfId="0" applyFont="1" applyFill="1"/>
    <xf numFmtId="0" fontId="4" fillId="19" borderId="0" xfId="9" applyFont="1" applyFill="1"/>
    <xf numFmtId="0" fontId="0" fillId="19" borderId="0" xfId="0" applyFill="1"/>
  </cellXfs>
  <cellStyles count="28">
    <cellStyle name="20% - Énfasis5" xfId="1" builtinId="46"/>
    <cellStyle name="40% - Énfasis3" xfId="2" builtinId="39"/>
    <cellStyle name="60% - Énfasis2" xfId="3" builtinId="36"/>
    <cellStyle name="Bueno" xfId="7" builtinId="26"/>
    <cellStyle name="Cálculo" xfId="5" builtinId="22"/>
    <cellStyle name="Comma 2" xfId="6" xr:uid="{00000000-0005-0000-0000-000005000000}"/>
    <cellStyle name="Énfasis2" xfId="4" builtinId="33"/>
    <cellStyle name="Entrada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Porcentaje" xfId="17" builtinId="5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19050</xdr:rowOff>
    </xdr:from>
    <xdr:to>
      <xdr:col>2</xdr:col>
      <xdr:colOff>285750</xdr:colOff>
      <xdr:row>32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19</xdr:row>
      <xdr:rowOff>142875</xdr:rowOff>
    </xdr:from>
    <xdr:to>
      <xdr:col>27</xdr:col>
      <xdr:colOff>209550</xdr:colOff>
      <xdr:row>30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30</xdr:row>
      <xdr:rowOff>152400</xdr:rowOff>
    </xdr:from>
    <xdr:to>
      <xdr:col>27</xdr:col>
      <xdr:colOff>257175</xdr:colOff>
      <xdr:row>41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20</xdr:row>
      <xdr:rowOff>142875</xdr:rowOff>
    </xdr:from>
    <xdr:to>
      <xdr:col>18</xdr:col>
      <xdr:colOff>247650</xdr:colOff>
      <xdr:row>39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8</xdr:col>
      <xdr:colOff>552450</xdr:colOff>
      <xdr:row>32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32</xdr:row>
      <xdr:rowOff>38100</xdr:rowOff>
    </xdr:from>
    <xdr:to>
      <xdr:col>8</xdr:col>
      <xdr:colOff>552450</xdr:colOff>
      <xdr:row>45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44</xdr:row>
      <xdr:rowOff>142875</xdr:rowOff>
    </xdr:from>
    <xdr:to>
      <xdr:col>8</xdr:col>
      <xdr:colOff>552450</xdr:colOff>
      <xdr:row>57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123825</xdr:rowOff>
    </xdr:from>
    <xdr:to>
      <xdr:col>8</xdr:col>
      <xdr:colOff>552450</xdr:colOff>
      <xdr:row>67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66</xdr:row>
      <xdr:rowOff>104775</xdr:rowOff>
    </xdr:from>
    <xdr:to>
      <xdr:col>8</xdr:col>
      <xdr:colOff>552450</xdr:colOff>
      <xdr:row>75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301625</xdr:colOff>
      <xdr:row>0</xdr:row>
      <xdr:rowOff>127000</xdr:rowOff>
    </xdr:from>
    <xdr:to>
      <xdr:col>10</xdr:col>
      <xdr:colOff>361565</xdr:colOff>
      <xdr:row>15</xdr:row>
      <xdr:rowOff>37798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6BBE7-C808-4DC9-8390-41A372908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03500" y="127000"/>
          <a:ext cx="3076190" cy="24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zoomScale="90" zoomScaleNormal="90" workbookViewId="0">
      <selection activeCell="C11" sqref="C11:C12"/>
    </sheetView>
  </sheetViews>
  <sheetFormatPr baseColWidth="10" defaultColWidth="8.88671875" defaultRowHeight="13.2"/>
  <cols>
    <col min="1" max="1" width="3" bestFit="1" customWidth="1"/>
    <col min="2" max="2" width="18.44140625" bestFit="1" customWidth="1"/>
    <col min="3" max="3" width="41.109375" bestFit="1" customWidth="1"/>
    <col min="4" max="5" width="13.33203125" customWidth="1"/>
    <col min="6" max="6" width="15.109375" customWidth="1"/>
    <col min="7" max="11" width="13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>
      <c r="P1" s="36" t="s">
        <v>118</v>
      </c>
      <c r="Q1" s="1" t="s">
        <v>119</v>
      </c>
      <c r="R1" s="1" t="s">
        <v>120</v>
      </c>
      <c r="S1" s="1" t="s">
        <v>140</v>
      </c>
    </row>
    <row r="2" spans="1:19" ht="15.6">
      <c r="C2" s="10"/>
      <c r="D2" s="77" t="s">
        <v>47</v>
      </c>
      <c r="E2" s="77" t="s">
        <v>48</v>
      </c>
      <c r="F2" s="77" t="s">
        <v>49</v>
      </c>
      <c r="G2" s="77" t="s">
        <v>50</v>
      </c>
      <c r="H2" s="77" t="s">
        <v>51</v>
      </c>
      <c r="I2" s="77" t="s">
        <v>52</v>
      </c>
      <c r="J2" s="77" t="s">
        <v>53</v>
      </c>
      <c r="K2" s="77" t="s">
        <v>54</v>
      </c>
      <c r="L2" s="47"/>
      <c r="M2" s="9"/>
      <c r="P2" s="11"/>
      <c r="Q2" s="72" t="s">
        <v>194</v>
      </c>
      <c r="R2" s="20" t="s">
        <v>97</v>
      </c>
      <c r="S2" s="20" t="s">
        <v>141</v>
      </c>
    </row>
    <row r="3" spans="1:19" ht="26.4">
      <c r="C3" s="12"/>
      <c r="D3" s="78" t="s">
        <v>55</v>
      </c>
      <c r="E3" s="78" t="s">
        <v>56</v>
      </c>
      <c r="F3" s="78" t="s">
        <v>213</v>
      </c>
      <c r="G3" s="78" t="s">
        <v>57</v>
      </c>
      <c r="H3" s="78" t="s">
        <v>58</v>
      </c>
      <c r="I3" s="78" t="s">
        <v>59</v>
      </c>
      <c r="J3" s="78" t="s">
        <v>60</v>
      </c>
      <c r="K3" s="78" t="s">
        <v>111</v>
      </c>
      <c r="L3" s="70" t="s">
        <v>61</v>
      </c>
      <c r="M3" s="9"/>
    </row>
    <row r="4" spans="1:19">
      <c r="C4" s="13" t="s">
        <v>62</v>
      </c>
      <c r="D4" s="10"/>
      <c r="E4" s="10"/>
      <c r="F4" s="10"/>
      <c r="G4" s="12"/>
      <c r="H4" s="12"/>
      <c r="I4" s="12"/>
      <c r="J4" s="12"/>
      <c r="K4" s="12"/>
      <c r="L4" s="12"/>
      <c r="M4" s="9"/>
    </row>
    <row r="5" spans="1:19" ht="14.4">
      <c r="B5" s="79" t="s">
        <v>63</v>
      </c>
      <c r="C5" s="73" t="s">
        <v>64</v>
      </c>
      <c r="D5" s="96">
        <v>8098.3580000000002</v>
      </c>
      <c r="E5" s="95">
        <v>7899.4970000000003</v>
      </c>
      <c r="F5" s="95">
        <v>5378.5119999999997</v>
      </c>
      <c r="G5" s="74">
        <v>10775.148999999999</v>
      </c>
      <c r="H5" s="74">
        <v>5026.6000000000004</v>
      </c>
      <c r="I5" s="74">
        <v>0</v>
      </c>
      <c r="J5" s="74">
        <v>0</v>
      </c>
      <c r="K5" s="74">
        <v>0</v>
      </c>
      <c r="L5" s="75">
        <f>SUM(D5:K5)</f>
        <v>37178.115999999995</v>
      </c>
      <c r="M5" s="9"/>
      <c r="P5" s="14"/>
    </row>
    <row r="6" spans="1:19" ht="14.4">
      <c r="B6" s="79" t="s">
        <v>65</v>
      </c>
      <c r="C6" s="73" t="s">
        <v>66</v>
      </c>
      <c r="D6" s="97">
        <v>6462.6710000000003</v>
      </c>
      <c r="E6" s="93">
        <v>13291.728999999999</v>
      </c>
      <c r="F6" s="93">
        <v>39959.980000000003</v>
      </c>
      <c r="G6" s="74">
        <v>0</v>
      </c>
      <c r="H6" s="74">
        <v>113.01900000000001</v>
      </c>
      <c r="I6" s="74">
        <v>7.0000000000000001E-3</v>
      </c>
      <c r="J6" s="74">
        <v>0.153</v>
      </c>
      <c r="K6" s="74">
        <v>1167.52</v>
      </c>
      <c r="L6" s="75">
        <f>SUM(D6:K6)</f>
        <v>60995.078999999998</v>
      </c>
      <c r="M6" s="9"/>
    </row>
    <row r="7" spans="1:19" ht="14.4">
      <c r="B7" s="79" t="s">
        <v>67</v>
      </c>
      <c r="C7" s="73" t="s">
        <v>68</v>
      </c>
      <c r="D7" s="97">
        <v>-1147.069</v>
      </c>
      <c r="E7" s="93">
        <v>-2516.3310000000001</v>
      </c>
      <c r="F7" s="93">
        <v>-14830.662</v>
      </c>
      <c r="G7" s="76">
        <v>0</v>
      </c>
      <c r="H7" s="76">
        <v>-72.403999999999996</v>
      </c>
      <c r="I7" s="76">
        <v>0</v>
      </c>
      <c r="J7" s="76">
        <v>-0.129</v>
      </c>
      <c r="K7" s="76">
        <v>-1126.8040000000001</v>
      </c>
      <c r="L7" s="75">
        <f>SUM(D7:K7)</f>
        <v>-19693.399000000001</v>
      </c>
      <c r="M7" s="9"/>
      <c r="P7" s="14"/>
    </row>
    <row r="8" spans="1:19" ht="14.4">
      <c r="B8" s="172" t="s">
        <v>207</v>
      </c>
      <c r="C8" s="101" t="s">
        <v>208</v>
      </c>
      <c r="D8" s="103">
        <f t="shared" ref="D8:L8" si="0">SUM(D5:D7)</f>
        <v>13413.960000000001</v>
      </c>
      <c r="E8" s="104">
        <f t="shared" si="0"/>
        <v>18674.894999999997</v>
      </c>
      <c r="F8" s="104">
        <f t="shared" si="0"/>
        <v>30507.830000000005</v>
      </c>
      <c r="G8" s="104">
        <f t="shared" si="0"/>
        <v>10775.148999999999</v>
      </c>
      <c r="H8" s="104">
        <f t="shared" si="0"/>
        <v>5067.2150000000001</v>
      </c>
      <c r="I8" s="104">
        <f t="shared" si="0"/>
        <v>7.0000000000000001E-3</v>
      </c>
      <c r="J8" s="104">
        <f t="shared" si="0"/>
        <v>2.3999999999999994E-2</v>
      </c>
      <c r="K8" s="104">
        <f t="shared" si="0"/>
        <v>40.715999999999894</v>
      </c>
      <c r="L8" s="105">
        <f t="shared" si="0"/>
        <v>78479.795999999988</v>
      </c>
      <c r="M8" s="9"/>
    </row>
    <row r="9" spans="1:19">
      <c r="B9" s="71"/>
      <c r="C9" s="13" t="s">
        <v>69</v>
      </c>
      <c r="D9" s="12"/>
      <c r="E9" s="12"/>
      <c r="F9" s="12"/>
      <c r="G9" s="12"/>
      <c r="H9" s="12"/>
      <c r="I9" s="12"/>
      <c r="J9" s="12"/>
      <c r="K9" s="12"/>
      <c r="L9" s="102"/>
      <c r="M9" s="9"/>
    </row>
    <row r="10" spans="1:19">
      <c r="B10" s="79" t="s">
        <v>70</v>
      </c>
      <c r="C10" s="107" t="s">
        <v>71</v>
      </c>
      <c r="D10" s="81">
        <v>-57.637999999999998</v>
      </c>
      <c r="E10" s="81">
        <v>-792.98</v>
      </c>
      <c r="F10" s="81">
        <v>-1848.605</v>
      </c>
      <c r="G10" s="81">
        <v>0</v>
      </c>
      <c r="H10" s="81">
        <v>-4.2830000000000004</v>
      </c>
      <c r="I10" s="81">
        <v>-1.52</v>
      </c>
      <c r="J10" s="82">
        <v>0</v>
      </c>
      <c r="K10" s="82">
        <v>0</v>
      </c>
      <c r="L10" s="83">
        <f>SUM(D10:K10)</f>
        <v>-2705.0259999999998</v>
      </c>
      <c r="M10" s="9"/>
    </row>
    <row r="11" spans="1:19" ht="14.4">
      <c r="B11" s="79" t="s">
        <v>54</v>
      </c>
      <c r="C11" s="108" t="s">
        <v>72</v>
      </c>
      <c r="D11" s="93">
        <v>-9598.1200000000008</v>
      </c>
      <c r="E11" s="93">
        <v>-5635.5439999999999</v>
      </c>
      <c r="F11" s="93">
        <v>-1224.6089999999999</v>
      </c>
      <c r="G11" s="93">
        <v>-10775.148999999999</v>
      </c>
      <c r="H11" s="93">
        <v>-1255.692</v>
      </c>
      <c r="I11" s="86">
        <v>-32.948999999999998</v>
      </c>
      <c r="J11" s="86">
        <v>1737.559</v>
      </c>
      <c r="K11" s="93">
        <v>11581.04</v>
      </c>
      <c r="L11" s="83">
        <f>SUM(D11:K11)</f>
        <v>-15203.463999999996</v>
      </c>
      <c r="M11" s="9"/>
    </row>
    <row r="12" spans="1:19">
      <c r="B12" s="79" t="s">
        <v>73</v>
      </c>
      <c r="C12" s="108" t="s">
        <v>74</v>
      </c>
      <c r="D12" s="81">
        <v>-161.39599999999999</v>
      </c>
      <c r="E12" s="81">
        <v>-301.30099999999999</v>
      </c>
      <c r="F12" s="81">
        <v>-49.649000000000001</v>
      </c>
      <c r="G12" s="81">
        <v>0</v>
      </c>
      <c r="H12" s="81">
        <v>-140.20699999999999</v>
      </c>
      <c r="I12" s="81">
        <v>-1.569</v>
      </c>
      <c r="J12" s="81">
        <v>658.74300000000005</v>
      </c>
      <c r="K12" s="81">
        <v>0</v>
      </c>
      <c r="L12" s="83">
        <f>SUM(D12:K12)</f>
        <v>4.6210000000000946</v>
      </c>
      <c r="M12" s="9"/>
    </row>
    <row r="13" spans="1:19">
      <c r="B13" s="79" t="s">
        <v>75</v>
      </c>
      <c r="C13" s="108" t="s">
        <v>76</v>
      </c>
      <c r="D13" s="84"/>
      <c r="E13" s="85"/>
      <c r="F13" s="86">
        <v>-31736.460999999999</v>
      </c>
      <c r="G13" s="85"/>
      <c r="H13" s="85"/>
      <c r="I13" s="85"/>
      <c r="J13" s="85"/>
      <c r="K13" s="85"/>
      <c r="L13" s="83">
        <f>SUM(D13:K13)</f>
        <v>-31736.460999999999</v>
      </c>
      <c r="M13" s="9"/>
    </row>
    <row r="14" spans="1:19" ht="14.4">
      <c r="B14" s="71"/>
      <c r="C14" s="101" t="s">
        <v>77</v>
      </c>
      <c r="D14" s="106">
        <f t="shared" ref="D14:L14" si="1">SUM(D10:D13)</f>
        <v>-9817.1540000000023</v>
      </c>
      <c r="E14" s="104">
        <f t="shared" si="1"/>
        <v>-6729.8249999999998</v>
      </c>
      <c r="F14" s="104">
        <f t="shared" si="1"/>
        <v>-34859.324000000001</v>
      </c>
      <c r="G14" s="104">
        <f t="shared" si="1"/>
        <v>-10775.148999999999</v>
      </c>
      <c r="H14" s="104">
        <f t="shared" si="1"/>
        <v>-1400.1819999999998</v>
      </c>
      <c r="I14" s="104">
        <f t="shared" si="1"/>
        <v>-36.038000000000004</v>
      </c>
      <c r="J14" s="104">
        <f t="shared" si="1"/>
        <v>2396.3020000000001</v>
      </c>
      <c r="K14" s="104">
        <f t="shared" si="1"/>
        <v>11581.04</v>
      </c>
      <c r="L14" s="105">
        <f t="shared" si="1"/>
        <v>-49640.33</v>
      </c>
      <c r="M14" s="9"/>
    </row>
    <row r="15" spans="1:19">
      <c r="B15" s="71"/>
      <c r="C15" s="13" t="s">
        <v>78</v>
      </c>
      <c r="D15" s="12"/>
      <c r="E15" s="12"/>
      <c r="F15" s="12"/>
      <c r="G15" s="12"/>
      <c r="H15" s="12"/>
      <c r="I15" s="12"/>
      <c r="J15" s="12"/>
      <c r="K15" s="12"/>
      <c r="L15" s="102"/>
      <c r="M15" s="9"/>
    </row>
    <row r="16" spans="1:19" ht="14.4">
      <c r="A16" s="9"/>
      <c r="B16" s="79" t="s">
        <v>79</v>
      </c>
      <c r="C16" s="109" t="s">
        <v>80</v>
      </c>
      <c r="D16" s="88">
        <v>356.55500000000001</v>
      </c>
      <c r="E16" s="93">
        <v>5159.7929999999997</v>
      </c>
      <c r="F16" s="88">
        <v>2289.2930000000001</v>
      </c>
      <c r="G16" s="90">
        <v>0</v>
      </c>
      <c r="H16" s="88">
        <v>1293.9269999999999</v>
      </c>
      <c r="I16" s="88">
        <v>0</v>
      </c>
      <c r="J16" s="88">
        <v>865.48500000000001</v>
      </c>
      <c r="K16" s="88">
        <v>2871.7420000000002</v>
      </c>
      <c r="L16" s="91">
        <f t="shared" ref="L16:L23" si="2">SUM(D16:K16)</f>
        <v>12836.795</v>
      </c>
      <c r="M16" s="9"/>
    </row>
    <row r="17" spans="1:14">
      <c r="A17" s="9"/>
      <c r="B17" s="79" t="s">
        <v>81</v>
      </c>
      <c r="C17" s="110" t="s">
        <v>82</v>
      </c>
      <c r="D17" s="88">
        <v>56.924999999999997</v>
      </c>
      <c r="E17" s="88">
        <v>1751.73</v>
      </c>
      <c r="F17" s="88">
        <v>854.81</v>
      </c>
      <c r="G17" s="90">
        <v>0</v>
      </c>
      <c r="H17" s="88">
        <v>67.406000000000006</v>
      </c>
      <c r="I17" s="88">
        <v>1.2170000000000001</v>
      </c>
      <c r="J17" s="88">
        <v>254.64599999999999</v>
      </c>
      <c r="K17" s="88">
        <v>2527.3910000000001</v>
      </c>
      <c r="L17" s="91">
        <f t="shared" si="2"/>
        <v>5514.125</v>
      </c>
      <c r="M17" s="9"/>
    </row>
    <row r="18" spans="1:14">
      <c r="A18" s="9"/>
      <c r="B18" s="79" t="s">
        <v>83</v>
      </c>
      <c r="C18" s="110" t="s">
        <v>84</v>
      </c>
      <c r="D18" s="88">
        <v>1896.9860000000001</v>
      </c>
      <c r="E18" s="88">
        <v>4437.1610000000001</v>
      </c>
      <c r="F18" s="88">
        <v>2016.1110000000001</v>
      </c>
      <c r="G18" s="90">
        <v>0</v>
      </c>
      <c r="H18" s="88">
        <v>721.67100000000005</v>
      </c>
      <c r="I18" s="88">
        <v>117.19199999999999</v>
      </c>
      <c r="J18" s="88">
        <v>633.58299999999997</v>
      </c>
      <c r="K18" s="88">
        <v>4088.444</v>
      </c>
      <c r="L18" s="91">
        <f t="shared" si="2"/>
        <v>13911.147999999999</v>
      </c>
      <c r="M18" s="9"/>
    </row>
    <row r="19" spans="1:14">
      <c r="A19" s="9"/>
      <c r="B19" s="79" t="s">
        <v>85</v>
      </c>
      <c r="C19" s="110" t="s">
        <v>86</v>
      </c>
      <c r="D19" s="88">
        <v>44.1</v>
      </c>
      <c r="E19" s="88">
        <v>201.20599999999999</v>
      </c>
      <c r="F19" s="88">
        <v>797.37199999999996</v>
      </c>
      <c r="G19" s="90">
        <v>0</v>
      </c>
      <c r="H19" s="88">
        <v>63.085999999999999</v>
      </c>
      <c r="I19" s="88">
        <v>1E-3</v>
      </c>
      <c r="J19" s="88">
        <v>15.574</v>
      </c>
      <c r="K19" s="88">
        <v>19.386000000000003</v>
      </c>
      <c r="L19" s="91">
        <f t="shared" si="2"/>
        <v>1140.7249999999999</v>
      </c>
      <c r="M19" s="9"/>
    </row>
    <row r="20" spans="1:14" ht="14.4">
      <c r="A20" s="9"/>
      <c r="B20" s="79" t="s">
        <v>87</v>
      </c>
      <c r="C20" s="110" t="s">
        <v>88</v>
      </c>
      <c r="D20" s="88">
        <v>0.55600000000000005</v>
      </c>
      <c r="E20" s="88">
        <v>21.248999999999999</v>
      </c>
      <c r="F20" s="93">
        <v>14851.249</v>
      </c>
      <c r="G20" s="90">
        <v>0</v>
      </c>
      <c r="H20" s="88">
        <v>130.685</v>
      </c>
      <c r="I20" s="88">
        <v>0</v>
      </c>
      <c r="J20" s="88">
        <v>0</v>
      </c>
      <c r="K20" s="88">
        <v>265.97199999999998</v>
      </c>
      <c r="L20" s="91">
        <f t="shared" si="2"/>
        <v>15269.710999999999</v>
      </c>
      <c r="M20" s="9"/>
    </row>
    <row r="21" spans="1:14">
      <c r="A21" s="9"/>
      <c r="B21" s="79" t="s">
        <v>89</v>
      </c>
      <c r="C21" s="111" t="s">
        <v>90</v>
      </c>
      <c r="D21" s="89">
        <f>IF((SUM(D16:D20,D22:D23)-SUM(D10:D12))&gt;D8,0,(D8-SUM(D16:D20,D22:D23)+SUM(D10:D12)))</f>
        <v>1189.2309999999979</v>
      </c>
      <c r="E21" s="89">
        <f>IF((SUM(E16:E20,E22:E23)-SUM(E10:E12))&gt;E8,0,(E8-SUM(E16:E20,E22:E23)+SUM(E10:E12)))</f>
        <v>0</v>
      </c>
      <c r="F21" s="89">
        <v>392.53200000000402</v>
      </c>
      <c r="G21" s="89">
        <f>IF((SUM(G16:G20,G22:G23)-SUM(G10:G12))&gt;G8,0,(G8-SUM(G16:G20,G22:G23)+SUM(G10:G12)))</f>
        <v>0</v>
      </c>
      <c r="H21" s="89">
        <f>IF((SUM(H16:H20,H22:H23)-SUM(H10:H12))&gt;H8,0,(H8-SUM(H16:H20,H22:H23)+SUM(H10:H12)))</f>
        <v>1390.2580000000007</v>
      </c>
      <c r="I21" s="89">
        <f>IF((SUM(I16:I20,I22:I23)-SUM(I10:I12))&gt;I8,0,(I8-SUM(I16:I20,I22:I23)+SUM(I10:I12)))</f>
        <v>0</v>
      </c>
      <c r="J21" s="89">
        <f>IF((SUM(J16:J20,J22:J23)-SUM(J10:J12))&gt;J8,0,(J8-SUM(J16:J20,J22:J23)+SUM(J10:J12)))</f>
        <v>627.03800000000001</v>
      </c>
      <c r="K21" s="89">
        <v>650</v>
      </c>
      <c r="L21" s="92">
        <f t="shared" si="2"/>
        <v>4249.0590000000029</v>
      </c>
      <c r="M21" s="9"/>
    </row>
    <row r="22" spans="1:14">
      <c r="A22" s="9"/>
      <c r="B22" s="79" t="s">
        <v>109</v>
      </c>
      <c r="C22" s="110" t="s">
        <v>91</v>
      </c>
      <c r="D22" s="88">
        <v>52.453000000000003</v>
      </c>
      <c r="E22" s="88">
        <v>633.82299999999998</v>
      </c>
      <c r="F22" s="88">
        <v>4072.5079999999998</v>
      </c>
      <c r="G22" s="90"/>
      <c r="H22" s="88">
        <v>0</v>
      </c>
      <c r="I22" s="88">
        <v>0</v>
      </c>
      <c r="J22" s="88">
        <v>0</v>
      </c>
      <c r="K22" s="88">
        <v>0</v>
      </c>
      <c r="L22" s="91">
        <f t="shared" si="2"/>
        <v>4758.7839999999997</v>
      </c>
      <c r="M22" s="9"/>
    </row>
    <row r="23" spans="1:14">
      <c r="A23" s="9"/>
      <c r="B23" s="79" t="s">
        <v>110</v>
      </c>
      <c r="C23" s="110" t="s">
        <v>92</v>
      </c>
      <c r="D23" s="88">
        <v>0</v>
      </c>
      <c r="E23" s="88">
        <v>0</v>
      </c>
      <c r="F23" s="88">
        <v>2111.0920000000001</v>
      </c>
      <c r="G23" s="90"/>
      <c r="H23" s="88">
        <v>0</v>
      </c>
      <c r="I23" s="88">
        <v>0</v>
      </c>
      <c r="J23" s="88">
        <v>0</v>
      </c>
      <c r="K23" s="88">
        <v>0</v>
      </c>
      <c r="L23" s="91">
        <f t="shared" si="2"/>
        <v>2111.0920000000001</v>
      </c>
      <c r="M23" s="9"/>
    </row>
    <row r="24" spans="1:14" ht="14.4">
      <c r="A24" s="9"/>
      <c r="B24" s="172" t="s">
        <v>112</v>
      </c>
      <c r="C24" s="101" t="s">
        <v>209</v>
      </c>
      <c r="D24" s="99">
        <f t="shared" ref="D24:L24" si="3">SUM(D16:D23)</f>
        <v>3596.8059999999982</v>
      </c>
      <c r="E24" s="98">
        <f t="shared" si="3"/>
        <v>12204.962</v>
      </c>
      <c r="F24" s="98">
        <f t="shared" si="3"/>
        <v>27384.967000000001</v>
      </c>
      <c r="G24" s="98">
        <f t="shared" si="3"/>
        <v>0</v>
      </c>
      <c r="H24" s="98">
        <f t="shared" si="3"/>
        <v>3667.0330000000004</v>
      </c>
      <c r="I24" s="98">
        <f t="shared" si="3"/>
        <v>118.41</v>
      </c>
      <c r="J24" s="98">
        <f t="shared" si="3"/>
        <v>2396.326</v>
      </c>
      <c r="K24" s="99">
        <f t="shared" si="3"/>
        <v>10422.934999999999</v>
      </c>
      <c r="L24" s="100">
        <f t="shared" si="3"/>
        <v>59791.438999999998</v>
      </c>
      <c r="M24" s="9"/>
      <c r="N24" s="187"/>
    </row>
    <row r="25" spans="1:14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14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4.4">
      <c r="A27" s="9"/>
      <c r="C27" s="93" t="s">
        <v>195</v>
      </c>
      <c r="D27" s="93"/>
      <c r="E27" s="93"/>
      <c r="F27" s="14"/>
      <c r="G27" s="14"/>
      <c r="H27" s="14"/>
      <c r="I27" s="14"/>
      <c r="J27" s="14"/>
      <c r="K27" s="14"/>
      <c r="L27" s="14"/>
      <c r="M27" s="14"/>
    </row>
    <row r="28" spans="1:14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4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4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>
      <c r="A36" s="9"/>
      <c r="D36" s="37" t="s">
        <v>47</v>
      </c>
      <c r="E36" s="37" t="s">
        <v>48</v>
      </c>
      <c r="F36" s="37" t="s">
        <v>49</v>
      </c>
      <c r="G36" s="42"/>
      <c r="H36" s="42"/>
      <c r="I36" s="42"/>
      <c r="J36" s="42"/>
      <c r="K36" s="42"/>
      <c r="L36" s="42"/>
      <c r="M36" s="42"/>
    </row>
    <row r="37" spans="1:14">
      <c r="A37" s="9"/>
      <c r="C37" s="38" t="s">
        <v>154</v>
      </c>
      <c r="D37" s="39">
        <v>0.75</v>
      </c>
      <c r="E37" s="39">
        <v>0.5</v>
      </c>
      <c r="F37" s="39">
        <v>0.8</v>
      </c>
      <c r="G37" s="43"/>
      <c r="H37" s="43"/>
      <c r="I37" s="43"/>
      <c r="J37" s="43"/>
      <c r="K37" s="43"/>
      <c r="L37" s="43"/>
      <c r="M37" s="43"/>
    </row>
    <row r="38" spans="1:14">
      <c r="A38" s="9"/>
      <c r="C38" s="40" t="s">
        <v>155</v>
      </c>
      <c r="D38" s="41">
        <v>0.25</v>
      </c>
      <c r="E38" s="41">
        <v>0.5</v>
      </c>
      <c r="F38" s="41">
        <v>0.2</v>
      </c>
      <c r="G38" s="43"/>
      <c r="H38" s="43"/>
      <c r="I38" s="43"/>
      <c r="J38" s="43"/>
      <c r="K38" s="43"/>
      <c r="L38" s="43"/>
      <c r="M38" s="43"/>
    </row>
    <row r="39" spans="1:14">
      <c r="A39" s="9"/>
      <c r="C39" s="42"/>
      <c r="D39" s="43"/>
    </row>
    <row r="40" spans="1:14">
      <c r="A40" s="9"/>
      <c r="C40" s="42"/>
      <c r="D40" s="43"/>
    </row>
    <row r="41" spans="1:14" ht="26.4">
      <c r="A41" s="9"/>
      <c r="B41" s="47" t="s">
        <v>130</v>
      </c>
      <c r="C41" s="120" t="s">
        <v>157</v>
      </c>
      <c r="D41" s="78" t="s">
        <v>55</v>
      </c>
      <c r="E41" s="78" t="s">
        <v>56</v>
      </c>
      <c r="F41" s="78" t="s">
        <v>189</v>
      </c>
      <c r="G41" s="78" t="s">
        <v>57</v>
      </c>
      <c r="H41" s="78" t="s">
        <v>58</v>
      </c>
      <c r="I41" s="78" t="s">
        <v>59</v>
      </c>
      <c r="J41" s="78" t="s">
        <v>60</v>
      </c>
      <c r="K41" s="78" t="s">
        <v>111</v>
      </c>
      <c r="L41" s="48"/>
    </row>
    <row r="42" spans="1:14">
      <c r="A42" s="9"/>
      <c r="B42" s="79" t="s">
        <v>79</v>
      </c>
      <c r="C42" s="109" t="s">
        <v>131</v>
      </c>
      <c r="D42" s="112"/>
      <c r="E42" s="114"/>
      <c r="F42" s="114"/>
      <c r="G42" s="114"/>
      <c r="H42" s="114"/>
      <c r="I42" s="114"/>
      <c r="J42" s="114"/>
      <c r="K42" s="115"/>
      <c r="L42" s="11"/>
      <c r="N42" s="109" t="s">
        <v>134</v>
      </c>
    </row>
    <row r="43" spans="1:14">
      <c r="A43" s="9"/>
      <c r="B43" s="79" t="s">
        <v>79</v>
      </c>
      <c r="C43" s="110" t="s">
        <v>132</v>
      </c>
      <c r="D43" s="113"/>
      <c r="E43" s="80"/>
      <c r="F43" s="80"/>
      <c r="G43" s="80"/>
      <c r="H43" s="80"/>
      <c r="I43" s="80"/>
      <c r="J43" s="80"/>
      <c r="K43" s="116"/>
      <c r="L43" s="11"/>
      <c r="N43" s="110" t="s">
        <v>135</v>
      </c>
    </row>
    <row r="44" spans="1:14" ht="14.4">
      <c r="A44" s="9"/>
      <c r="B44" s="79" t="s">
        <v>79</v>
      </c>
      <c r="C44" s="110" t="s">
        <v>133</v>
      </c>
      <c r="D44" s="113"/>
      <c r="E44" s="93">
        <v>1</v>
      </c>
      <c r="F44" s="80"/>
      <c r="G44" s="80"/>
      <c r="H44" s="80"/>
      <c r="I44" s="80"/>
      <c r="J44" s="80"/>
      <c r="K44" s="116"/>
      <c r="L44" s="11"/>
      <c r="N44" s="110" t="s">
        <v>90</v>
      </c>
    </row>
    <row r="45" spans="1:14">
      <c r="A45" s="9"/>
      <c r="B45" s="79"/>
      <c r="C45" s="110"/>
      <c r="D45" s="113"/>
      <c r="E45" s="80"/>
      <c r="F45" s="80"/>
      <c r="G45" s="80"/>
      <c r="H45" s="80"/>
      <c r="I45" s="80"/>
      <c r="J45" s="80"/>
      <c r="K45" s="116"/>
      <c r="L45" s="11"/>
      <c r="N45" s="110"/>
    </row>
    <row r="46" spans="1:14">
      <c r="A46" s="9"/>
      <c r="B46" s="79" t="s">
        <v>81</v>
      </c>
      <c r="C46" s="110" t="s">
        <v>136</v>
      </c>
      <c r="D46" s="113"/>
      <c r="E46" s="80"/>
      <c r="F46" s="80"/>
      <c r="G46" s="80"/>
      <c r="H46" s="80"/>
      <c r="I46" s="80"/>
      <c r="J46" s="80"/>
      <c r="K46" s="116"/>
      <c r="L46" s="11"/>
      <c r="N46" s="110" t="s">
        <v>138</v>
      </c>
    </row>
    <row r="47" spans="1:14">
      <c r="A47" s="9"/>
      <c r="B47" s="79" t="s">
        <v>81</v>
      </c>
      <c r="C47" s="110" t="s">
        <v>137</v>
      </c>
      <c r="D47" s="113"/>
      <c r="E47" s="80"/>
      <c r="F47" s="80"/>
      <c r="G47" s="80"/>
      <c r="H47" s="80"/>
      <c r="I47" s="80"/>
      <c r="J47" s="80"/>
      <c r="K47" s="116"/>
      <c r="L47" s="11"/>
      <c r="N47" s="110" t="s">
        <v>139</v>
      </c>
    </row>
    <row r="48" spans="1:14">
      <c r="A48" s="9"/>
      <c r="B48" s="79"/>
      <c r="C48" s="110"/>
      <c r="D48" s="113"/>
      <c r="E48" s="80"/>
      <c r="F48" s="80"/>
      <c r="G48" s="80"/>
      <c r="H48" s="80"/>
      <c r="I48" s="80"/>
      <c r="J48" s="80"/>
      <c r="K48" s="116"/>
      <c r="L48" s="11"/>
      <c r="N48" s="110"/>
    </row>
    <row r="49" spans="1:14" ht="14.4">
      <c r="A49" s="9"/>
      <c r="B49" s="79" t="s">
        <v>87</v>
      </c>
      <c r="C49" s="111" t="s">
        <v>136</v>
      </c>
      <c r="D49" s="117"/>
      <c r="E49" s="87"/>
      <c r="F49" s="94">
        <v>1</v>
      </c>
      <c r="G49" s="87"/>
      <c r="H49" s="87"/>
      <c r="I49" s="87"/>
      <c r="J49" s="87"/>
      <c r="K49" s="118"/>
      <c r="L49" s="11"/>
      <c r="N49" s="111" t="s">
        <v>138</v>
      </c>
    </row>
    <row r="50" spans="1:14">
      <c r="A50" s="9"/>
    </row>
    <row r="51" spans="1:14">
      <c r="A51" s="9"/>
    </row>
    <row r="52" spans="1:14">
      <c r="A52" s="9"/>
      <c r="C52" s="124" t="s">
        <v>144</v>
      </c>
      <c r="D52" s="126" t="s">
        <v>145</v>
      </c>
      <c r="E52" s="125" t="s">
        <v>146</v>
      </c>
    </row>
    <row r="53" spans="1:14">
      <c r="A53" s="9"/>
      <c r="B53" s="36" t="s">
        <v>158</v>
      </c>
      <c r="C53" s="119" t="s">
        <v>147</v>
      </c>
      <c r="D53" s="119" t="s">
        <v>148</v>
      </c>
      <c r="E53" s="122" t="s">
        <v>146</v>
      </c>
    </row>
    <row r="54" spans="1:14">
      <c r="A54" s="9"/>
      <c r="B54" s="79" t="s">
        <v>79</v>
      </c>
      <c r="C54" s="121">
        <v>1</v>
      </c>
      <c r="D54" s="121"/>
      <c r="E54" s="121"/>
    </row>
    <row r="55" spans="1:14">
      <c r="A55" s="9"/>
      <c r="B55" s="79" t="s">
        <v>87</v>
      </c>
      <c r="C55" s="121">
        <v>1</v>
      </c>
      <c r="D55" s="121"/>
      <c r="E55" s="121"/>
    </row>
    <row r="56" spans="1:14">
      <c r="A56" s="9"/>
      <c r="B56" s="79" t="s">
        <v>89</v>
      </c>
      <c r="C56" s="121">
        <v>1</v>
      </c>
      <c r="D56" s="121"/>
      <c r="E56" s="121"/>
    </row>
    <row r="57" spans="1:14">
      <c r="A57" s="9"/>
      <c r="B57" s="79" t="s">
        <v>54</v>
      </c>
      <c r="C57" s="123">
        <v>1</v>
      </c>
      <c r="D57" s="123"/>
      <c r="E57" s="123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I22" sqref="I22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  <c r="I1" s="17" t="s">
        <v>203</v>
      </c>
    </row>
    <row r="2" spans="2:22" ht="31.2">
      <c r="B2" s="20" t="str">
        <f>EnergyBalance!B16</f>
        <v>RSD</v>
      </c>
      <c r="C2" s="20" t="str">
        <f>EnergyBalance!C16</f>
        <v>Residential</v>
      </c>
      <c r="D2" s="34" t="str">
        <f>"Demand Technologies"</f>
        <v>Demand Technologies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I2" s="20" t="s">
        <v>128</v>
      </c>
      <c r="N2" s="191" t="s">
        <v>14</v>
      </c>
      <c r="O2" s="191"/>
      <c r="P2" s="192"/>
      <c r="Q2" s="192"/>
      <c r="R2" s="192"/>
      <c r="S2" s="192"/>
      <c r="T2" s="192"/>
      <c r="U2" s="192"/>
      <c r="V2" s="192"/>
    </row>
    <row r="3" spans="2:22">
      <c r="N3" s="193" t="s">
        <v>7</v>
      </c>
      <c r="O3" s="194" t="s">
        <v>30</v>
      </c>
      <c r="P3" s="193" t="s">
        <v>0</v>
      </c>
      <c r="Q3" s="193" t="s">
        <v>3</v>
      </c>
      <c r="R3" s="193" t="s">
        <v>4</v>
      </c>
      <c r="S3" s="193" t="s">
        <v>8</v>
      </c>
      <c r="T3" s="193" t="s">
        <v>9</v>
      </c>
      <c r="U3" s="193" t="s">
        <v>10</v>
      </c>
      <c r="V3" s="193" t="s">
        <v>12</v>
      </c>
    </row>
    <row r="4" spans="2:22" s="9" customFormat="1" ht="22.2" thickBot="1">
      <c r="B4" s="18"/>
      <c r="C4" s="18"/>
      <c r="D4" s="18"/>
      <c r="E4" s="18"/>
      <c r="F4" s="18"/>
      <c r="N4" s="195" t="s">
        <v>40</v>
      </c>
      <c r="O4" s="195" t="s">
        <v>31</v>
      </c>
      <c r="P4" s="195" t="s">
        <v>26</v>
      </c>
      <c r="Q4" s="195" t="s">
        <v>27</v>
      </c>
      <c r="R4" s="195" t="s">
        <v>4</v>
      </c>
      <c r="S4" s="195" t="s">
        <v>43</v>
      </c>
      <c r="T4" s="195" t="s">
        <v>44</v>
      </c>
      <c r="U4" s="195" t="s">
        <v>28</v>
      </c>
      <c r="V4" s="195" t="s">
        <v>29</v>
      </c>
    </row>
    <row r="5" spans="2:22" s="9" customFormat="1" ht="15.6">
      <c r="B5" s="18"/>
      <c r="C5" s="18"/>
      <c r="D5" s="18"/>
      <c r="E5" s="18"/>
      <c r="F5" s="18"/>
      <c r="N5" s="196" t="s">
        <v>105</v>
      </c>
      <c r="O5" s="197"/>
      <c r="P5" s="196" t="str">
        <f>LEFT($N$5,1)&amp;LEFT(B2,1)&amp;EnergyBalance!$C$44</f>
        <v>DROT</v>
      </c>
      <c r="Q5" s="196" t="str">
        <f>LEFT($D$2,6)&amp;" "&amp;$C$2&amp; " Sector - "&amp;EnergyBalance!$N$44</f>
        <v>Demand Residential Sector - Other</v>
      </c>
      <c r="R5" s="196" t="str">
        <f>$E$2</f>
        <v>PJ</v>
      </c>
      <c r="S5" s="196"/>
      <c r="T5" s="196"/>
      <c r="U5" s="196"/>
      <c r="V5" s="196"/>
    </row>
    <row r="6" spans="2:22">
      <c r="N6" s="198" t="s">
        <v>143</v>
      </c>
      <c r="O6" s="198"/>
      <c r="P6" s="198" t="str">
        <f>$B$2&amp;EnergyBalance!$C$52</f>
        <v>RSDCO2</v>
      </c>
      <c r="Q6" s="198" t="str">
        <f>$C$2&amp;" "&amp;EnergyBalance!$C$53</f>
        <v>Residential Carbon dioxide</v>
      </c>
      <c r="R6" s="198" t="str">
        <f>EnergyBalance!$S$2</f>
        <v>kt</v>
      </c>
      <c r="S6" s="198"/>
      <c r="T6" s="198"/>
      <c r="U6" s="198"/>
      <c r="V6" s="198"/>
    </row>
    <row r="8" spans="2:22">
      <c r="D8" s="7" t="s">
        <v>13</v>
      </c>
      <c r="E8" s="7"/>
      <c r="F8" s="7"/>
      <c r="H8" s="7"/>
      <c r="I8" s="8"/>
      <c r="J8" s="6"/>
      <c r="K8" s="25"/>
      <c r="N8" s="191" t="s">
        <v>15</v>
      </c>
      <c r="O8" s="191"/>
      <c r="P8" s="198"/>
      <c r="Q8" s="198"/>
      <c r="R8" s="198"/>
      <c r="S8" s="198"/>
      <c r="T8" s="198"/>
      <c r="U8" s="198"/>
      <c r="V8" s="198"/>
    </row>
    <row r="9" spans="2:22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K9" s="159" t="s">
        <v>202</v>
      </c>
      <c r="L9" s="159" t="s">
        <v>129</v>
      </c>
      <c r="N9" s="193" t="s">
        <v>11</v>
      </c>
      <c r="O9" s="194" t="s">
        <v>30</v>
      </c>
      <c r="P9" s="193" t="s">
        <v>1</v>
      </c>
      <c r="Q9" s="193" t="s">
        <v>2</v>
      </c>
      <c r="R9" s="193" t="s">
        <v>16</v>
      </c>
      <c r="S9" s="193" t="s">
        <v>17</v>
      </c>
      <c r="T9" s="193" t="s">
        <v>18</v>
      </c>
      <c r="U9" s="193" t="s">
        <v>19</v>
      </c>
      <c r="V9" s="193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K10" s="27"/>
      <c r="L10" s="27" t="s">
        <v>142</v>
      </c>
      <c r="N10" s="195" t="s">
        <v>41</v>
      </c>
      <c r="O10" s="195" t="s">
        <v>31</v>
      </c>
      <c r="P10" s="195" t="s">
        <v>21</v>
      </c>
      <c r="Q10" s="195" t="s">
        <v>22</v>
      </c>
      <c r="R10" s="195" t="s">
        <v>23</v>
      </c>
      <c r="S10" s="195" t="s">
        <v>24</v>
      </c>
      <c r="T10" s="195" t="s">
        <v>46</v>
      </c>
      <c r="U10" s="195" t="s">
        <v>45</v>
      </c>
      <c r="V10" s="195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195" t="s">
        <v>103</v>
      </c>
      <c r="O11" s="195"/>
      <c r="P11" s="195"/>
      <c r="Q11" s="195"/>
      <c r="R11" s="195"/>
      <c r="S11" s="195"/>
      <c r="T11" s="195"/>
      <c r="U11" s="195"/>
      <c r="V11" s="195"/>
    </row>
    <row r="12" spans="2:22">
      <c r="B12" t="str">
        <f>P12</f>
        <v>ROTEGAS</v>
      </c>
      <c r="C12" t="str">
        <f>$B$2&amp;RIGHT(B12,3)</f>
        <v>RSDGAS</v>
      </c>
      <c r="D12" t="str">
        <f>$P$5</f>
        <v>DROT</v>
      </c>
      <c r="E12" s="128">
        <f>EnergyBalance!E16/$G$12*1.01</f>
        <v>5485.6746631578944</v>
      </c>
      <c r="F12" s="133">
        <v>1</v>
      </c>
      <c r="G12" s="133">
        <v>0.95</v>
      </c>
      <c r="H12" s="84"/>
      <c r="I12" s="133">
        <v>0.24</v>
      </c>
      <c r="J12" s="84">
        <v>10</v>
      </c>
      <c r="N12" s="196" t="s">
        <v>123</v>
      </c>
      <c r="O12" s="197"/>
      <c r="P12" s="197" t="str">
        <f>LEFT(EnergyBalance!$B$16)&amp;EnergyBalance!$C$44&amp;$H$2&amp;EnergyBalance!E2</f>
        <v>ROTEGAS</v>
      </c>
      <c r="Q12" s="201" t="str">
        <f>$D$2&amp;" "&amp;$C$2&amp; " Sector - "&amp;" "&amp;$H$1&amp;" "&amp;EnergyBalance!$N$44&amp;" - "&amp;EnergyBalance!$E$3</f>
        <v>Demand Technologies Residential Sector -  Existing Other - Natural Gas</v>
      </c>
      <c r="R12" s="197" t="str">
        <f>$E$2</f>
        <v>PJ</v>
      </c>
      <c r="S12" s="197" t="str">
        <f>$E$2&amp;"a"</f>
        <v>PJa</v>
      </c>
      <c r="T12" s="197"/>
      <c r="U12" s="197"/>
      <c r="V12" s="197"/>
    </row>
    <row r="13" spans="2:22">
      <c r="D13" t="str">
        <f>$P$6</f>
        <v>RSDCO2</v>
      </c>
      <c r="E13" s="14"/>
      <c r="F13" s="28"/>
      <c r="G13" s="28"/>
      <c r="I13" s="28"/>
      <c r="L13" s="84">
        <f>56.1/F12</f>
        <v>56.1</v>
      </c>
      <c r="N13" s="196"/>
      <c r="O13" s="197"/>
      <c r="P13" s="197" t="str">
        <f>LEFT(EnergyBalance!$B$16)&amp;EnergyBalance!$C$44&amp;$I$2&amp;EnergyBalance!E2</f>
        <v>ROTNGAS</v>
      </c>
      <c r="Q13" s="201" t="str">
        <f>$D$2&amp;" "&amp;$C$2&amp; " Sector - "&amp;" "&amp;$I$1&amp;" "&amp;EnergyBalance!$N$44&amp;" - "&amp;EnergyBalance!$E$3</f>
        <v>Demand Technologies Residential Sector -  New Other - Natural Gas</v>
      </c>
      <c r="R13" s="197" t="str">
        <f>$E$2</f>
        <v>PJ</v>
      </c>
      <c r="S13" s="197" t="str">
        <f>$E$2&amp;"a"</f>
        <v>PJa</v>
      </c>
      <c r="T13" s="197"/>
      <c r="U13" s="197"/>
      <c r="V13" s="197"/>
    </row>
    <row r="14" spans="2:2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2"/>
      <c r="F14" s="136">
        <v>1.2</v>
      </c>
      <c r="G14" s="136">
        <v>0.95</v>
      </c>
      <c r="H14" s="156">
        <v>12</v>
      </c>
      <c r="I14" s="136">
        <f>H14*0.02</f>
        <v>0.24</v>
      </c>
      <c r="J14" s="156">
        <v>20</v>
      </c>
      <c r="K14" s="137">
        <v>2006</v>
      </c>
      <c r="N14" s="9"/>
      <c r="O14" s="9"/>
      <c r="P14" s="9"/>
      <c r="Q14" s="35"/>
      <c r="R14" s="9"/>
      <c r="S14" s="9"/>
      <c r="T14" s="9"/>
      <c r="U14" s="9"/>
      <c r="V14" s="9"/>
    </row>
    <row r="15" spans="2:22">
      <c r="B15" s="11"/>
      <c r="D15" t="str">
        <f>$P$6</f>
        <v>RSDCO2</v>
      </c>
      <c r="E15" s="32"/>
      <c r="F15" s="33"/>
      <c r="G15" s="33"/>
      <c r="H15" s="11"/>
      <c r="I15" s="33"/>
      <c r="J15" s="11"/>
      <c r="K15" s="32"/>
      <c r="L15" s="183">
        <f>56.1/F14</f>
        <v>46.75</v>
      </c>
      <c r="N15" s="9"/>
      <c r="O15" s="9"/>
      <c r="P15" s="9"/>
      <c r="Q15" s="35"/>
      <c r="R15" s="9"/>
      <c r="S15" s="9"/>
      <c r="T15" s="9"/>
      <c r="U15" s="9"/>
      <c r="V15" s="9"/>
    </row>
    <row r="16" spans="2:22">
      <c r="N16" s="9"/>
      <c r="O16" s="9"/>
      <c r="P16" s="9"/>
      <c r="Q16" s="9"/>
      <c r="R16" s="9"/>
      <c r="S16" s="9"/>
      <c r="T16" s="9"/>
      <c r="U16" s="9"/>
      <c r="V16" s="9"/>
    </row>
    <row r="17" spans="2:22">
      <c r="N17" s="9"/>
      <c r="O17" s="9"/>
      <c r="P17" s="9"/>
      <c r="Q17" s="9"/>
      <c r="R17" s="9"/>
      <c r="S17" s="9"/>
      <c r="T17" s="9"/>
      <c r="U17" s="9"/>
      <c r="V17" s="9"/>
    </row>
    <row r="18" spans="2:22">
      <c r="I18" s="25"/>
      <c r="N18" s="9"/>
      <c r="O18" s="9"/>
      <c r="P18" s="9"/>
      <c r="Q18" s="9"/>
      <c r="R18" s="9"/>
      <c r="S18" s="9"/>
      <c r="T18" s="9"/>
      <c r="U18" s="9"/>
      <c r="V18" s="9"/>
    </row>
    <row r="19" spans="2:22">
      <c r="I19" s="25"/>
      <c r="N19" s="9"/>
      <c r="O19" s="9"/>
      <c r="P19" s="9"/>
      <c r="Q19" s="9"/>
      <c r="R19" s="9"/>
      <c r="S19" s="9"/>
      <c r="T19" s="9"/>
      <c r="U19" s="9"/>
      <c r="V19" s="9"/>
    </row>
    <row r="20" spans="2:22">
      <c r="N20" s="9"/>
      <c r="O20" s="9"/>
      <c r="P20" s="9"/>
      <c r="Q20" s="9"/>
      <c r="R20" s="9"/>
      <c r="S20" s="9"/>
      <c r="T20" s="9"/>
      <c r="U20" s="9"/>
      <c r="V20" s="9"/>
    </row>
    <row r="21" spans="2:22">
      <c r="N21" s="9"/>
      <c r="O21" s="9"/>
      <c r="P21" s="9"/>
      <c r="Q21" s="9"/>
      <c r="R21" s="9"/>
      <c r="S21" s="9"/>
      <c r="T21" s="9"/>
      <c r="U21" s="9"/>
      <c r="V21" s="9"/>
    </row>
    <row r="22" spans="2:22">
      <c r="N22" s="9"/>
      <c r="O22" s="9"/>
      <c r="P22" s="9"/>
      <c r="Q22" s="9"/>
      <c r="R22" s="9"/>
      <c r="S22" s="9"/>
      <c r="T22" s="9"/>
      <c r="U22" s="9"/>
      <c r="V22" s="9"/>
    </row>
    <row r="23" spans="2:22">
      <c r="B23" s="84"/>
      <c r="C23" s="1" t="s">
        <v>196</v>
      </c>
    </row>
    <row r="24" spans="2:22">
      <c r="B24" s="129"/>
      <c r="C24" s="1" t="s">
        <v>197</v>
      </c>
      <c r="K24" s="1"/>
    </row>
    <row r="25" spans="2:22">
      <c r="K25" s="1"/>
      <c r="L25" s="1"/>
      <c r="M25" s="1"/>
    </row>
    <row r="26" spans="2:22">
      <c r="K26" s="1"/>
      <c r="L26" s="1"/>
      <c r="M26" s="1"/>
    </row>
    <row r="27" spans="2:22">
      <c r="K27" s="1"/>
      <c r="L27" s="1"/>
      <c r="M27" s="1"/>
    </row>
    <row r="28" spans="2:2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workbookViewId="0">
      <selection activeCell="F12" sqref="F12"/>
    </sheetView>
  </sheetViews>
  <sheetFormatPr baseColWidth="10" defaultColWidth="8.88671875" defaultRowHeight="13.2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0.88671875" bestFit="1" customWidth="1"/>
    <col min="6" max="9" width="11.33203125" customWidth="1"/>
    <col min="10" max="10" width="2" bestFit="1" customWidth="1"/>
    <col min="11" max="11" width="12.109375" bestFit="1" customWidth="1"/>
    <col min="12" max="12" width="7" bestFit="1" customWidth="1"/>
    <col min="13" max="13" width="2" bestFit="1" customWidth="1"/>
    <col min="14" max="14" width="12.88671875" customWidth="1"/>
    <col min="15" max="15" width="13.664062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7" ht="15.6">
      <c r="B2" s="20" t="s">
        <v>105</v>
      </c>
      <c r="C2" s="20"/>
      <c r="D2" s="20"/>
      <c r="E2" s="20" t="str">
        <f>EnergyBalance!R2</f>
        <v>PJ</v>
      </c>
      <c r="G2" s="20" t="str">
        <f>EnergyBalance!Q2</f>
        <v>M€2005</v>
      </c>
    </row>
    <row r="5" spans="2:17">
      <c r="C5" s="5" t="s">
        <v>13</v>
      </c>
      <c r="D5" s="5"/>
      <c r="E5" s="1"/>
      <c r="P5" s="5" t="s">
        <v>13</v>
      </c>
      <c r="Q5" s="1"/>
    </row>
    <row r="6" spans="2:17">
      <c r="B6" s="4" t="s">
        <v>102</v>
      </c>
      <c r="C6" s="4" t="s">
        <v>0</v>
      </c>
      <c r="D6" s="4" t="s">
        <v>192</v>
      </c>
      <c r="E6" s="174">
        <v>2005</v>
      </c>
      <c r="F6" s="174">
        <v>2006</v>
      </c>
      <c r="G6" s="174">
        <v>2010</v>
      </c>
      <c r="H6" s="174">
        <v>2015</v>
      </c>
      <c r="I6" s="174">
        <v>2020</v>
      </c>
      <c r="N6" s="4" t="s">
        <v>102</v>
      </c>
      <c r="O6" s="4" t="s">
        <v>0</v>
      </c>
      <c r="P6" s="4" t="s">
        <v>177</v>
      </c>
      <c r="Q6" s="4">
        <v>2005</v>
      </c>
    </row>
    <row r="7" spans="2:17" ht="21">
      <c r="B7" s="27" t="s">
        <v>103</v>
      </c>
      <c r="C7" s="27" t="s">
        <v>104</v>
      </c>
      <c r="D7" s="27" t="s">
        <v>193</v>
      </c>
      <c r="E7" s="160" t="s">
        <v>36</v>
      </c>
      <c r="F7" s="160"/>
      <c r="G7" s="160"/>
      <c r="H7" s="160"/>
      <c r="I7" s="160"/>
      <c r="K7" s="142" t="s">
        <v>176</v>
      </c>
      <c r="L7" s="210" t="s">
        <v>214</v>
      </c>
      <c r="N7" s="27" t="s">
        <v>103</v>
      </c>
      <c r="O7" s="27" t="s">
        <v>104</v>
      </c>
      <c r="P7" s="27"/>
      <c r="Q7" s="27"/>
    </row>
    <row r="8" spans="2:17" ht="13.8" thickBot="1">
      <c r="B8" s="26" t="s">
        <v>114</v>
      </c>
      <c r="C8" s="26"/>
      <c r="D8" s="26"/>
      <c r="E8" s="24" t="str">
        <f>E2</f>
        <v>PJ</v>
      </c>
      <c r="F8" s="24"/>
      <c r="G8" s="24"/>
      <c r="H8" s="24"/>
      <c r="I8" s="24"/>
      <c r="K8" s="143"/>
      <c r="L8" s="143"/>
      <c r="N8" s="26" t="s">
        <v>114</v>
      </c>
      <c r="O8" s="26"/>
      <c r="P8" s="26"/>
      <c r="Q8" s="26"/>
    </row>
    <row r="9" spans="2:17">
      <c r="B9" s="11" t="s">
        <v>35</v>
      </c>
      <c r="C9" s="11" t="str">
        <f>DemTechs_RSD!$P$5</f>
        <v>DROT</v>
      </c>
      <c r="D9" s="42" t="s">
        <v>97</v>
      </c>
      <c r="E9" s="128">
        <f>EnergyBalance!E16</f>
        <v>5159.7929999999997</v>
      </c>
      <c r="F9" s="165"/>
      <c r="G9" s="165"/>
      <c r="H9" s="165"/>
      <c r="I9" s="165"/>
      <c r="K9" s="135"/>
      <c r="L9" s="137"/>
      <c r="N9" s="1" t="s">
        <v>178</v>
      </c>
      <c r="O9" s="1" t="str">
        <f>DemTechs_ELC!$N$5</f>
        <v>TPSELC</v>
      </c>
      <c r="P9" s="61" t="s">
        <v>179</v>
      </c>
      <c r="Q9" s="130">
        <v>0.3</v>
      </c>
    </row>
    <row r="10" spans="2:17">
      <c r="B10" s="11" t="s">
        <v>35</v>
      </c>
      <c r="C10" s="11" t="str">
        <f>DemTechs_TRA!$P$5</f>
        <v>DTD1</v>
      </c>
      <c r="D10" s="42" t="s">
        <v>97</v>
      </c>
      <c r="E10" s="128">
        <f>EnergyBalance!F20</f>
        <v>14851.249</v>
      </c>
      <c r="F10" s="147"/>
      <c r="G10" s="147"/>
      <c r="H10" s="147"/>
      <c r="I10" s="147"/>
      <c r="K10" s="137"/>
      <c r="L10" s="137"/>
      <c r="N10" s="1" t="s">
        <v>178</v>
      </c>
      <c r="O10" s="42" t="str">
        <f>DemTechs_ELC!$N$5</f>
        <v>TPSELC</v>
      </c>
      <c r="P10" s="61" t="s">
        <v>180</v>
      </c>
      <c r="Q10" s="130">
        <v>0.2</v>
      </c>
    </row>
    <row r="11" spans="2:17">
      <c r="B11" s="46" t="s">
        <v>35</v>
      </c>
      <c r="C11" s="46" t="str">
        <f>DemTechs_ELC!N5</f>
        <v>TPSELC</v>
      </c>
      <c r="D11" s="62" t="s">
        <v>97</v>
      </c>
      <c r="E11" s="166">
        <f>EnergyBalance!K24</f>
        <v>10422.934999999999</v>
      </c>
      <c r="F11" s="166">
        <f>$E$11*(1+$K$11)^(F6-$E$6)</f>
        <v>10527.164349999999</v>
      </c>
      <c r="G11" s="166">
        <f>$E$11*(1+$K$11)^(G6-$E$6)</f>
        <v>10954.609436539042</v>
      </c>
      <c r="H11" s="166">
        <f>$E$11*(1+$K$11)^(H6-$E$6)</f>
        <v>11513.404612722834</v>
      </c>
      <c r="I11" s="166">
        <f>$E$11*(1+$K$11)^(I6-$E$6)</f>
        <v>12100.703958839395</v>
      </c>
      <c r="K11" s="175">
        <v>0.01</v>
      </c>
      <c r="L11" s="175">
        <v>0.05</v>
      </c>
      <c r="N11" s="1" t="s">
        <v>178</v>
      </c>
      <c r="O11" s="42" t="str">
        <f>DemTechs_ELC!$N$5</f>
        <v>TPSELC</v>
      </c>
      <c r="P11" s="61" t="s">
        <v>181</v>
      </c>
      <c r="Q11" s="130">
        <v>0.27</v>
      </c>
    </row>
    <row r="12" spans="2:17">
      <c r="N12" s="62" t="s">
        <v>178</v>
      </c>
      <c r="O12" s="62" t="str">
        <f>DemTechs_ELC!$N$5</f>
        <v>TPSELC</v>
      </c>
      <c r="P12" s="63" t="s">
        <v>182</v>
      </c>
      <c r="Q12" s="141">
        <v>0.23</v>
      </c>
    </row>
    <row r="13" spans="2:17">
      <c r="E13" s="56"/>
    </row>
    <row r="14" spans="2:17">
      <c r="E14" s="14"/>
    </row>
    <row r="16" spans="2:17">
      <c r="E16" s="14"/>
    </row>
    <row r="22" spans="2:3">
      <c r="B22" s="84"/>
      <c r="C22" s="1" t="s">
        <v>196</v>
      </c>
    </row>
    <row r="23" spans="2:3">
      <c r="B23" s="129"/>
      <c r="C23" s="1" t="s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9"/>
  <sheetViews>
    <sheetView zoomScale="60" zoomScaleNormal="60" workbookViewId="0">
      <selection activeCell="AF33" sqref="AF33"/>
    </sheetView>
  </sheetViews>
  <sheetFormatPr baseColWidth="10" defaultColWidth="8.88671875" defaultRowHeight="13.2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3" max="23" width="5.44140625" customWidth="1"/>
  </cols>
  <sheetData>
    <row r="2" spans="2:15" ht="17.399999999999999">
      <c r="B2" s="144" t="s">
        <v>215</v>
      </c>
      <c r="M2" s="144"/>
    </row>
    <row r="4" spans="2:15" ht="17.399999999999999">
      <c r="B4" s="144" t="s">
        <v>198</v>
      </c>
    </row>
    <row r="6" spans="2:15">
      <c r="B6" s="47" t="s">
        <v>210</v>
      </c>
    </row>
    <row r="11" spans="2:15">
      <c r="M11" s="146"/>
      <c r="N11" s="146"/>
      <c r="O11" s="9"/>
    </row>
    <row r="12" spans="2:15">
      <c r="M12" s="9"/>
      <c r="N12" s="16"/>
      <c r="O12" s="9"/>
    </row>
    <row r="13" spans="2:15">
      <c r="M13" s="9"/>
      <c r="N13" s="16"/>
      <c r="O13" s="9"/>
    </row>
    <row r="14" spans="2:15">
      <c r="M14" s="9"/>
      <c r="N14" s="16"/>
      <c r="O14" s="9"/>
    </row>
    <row r="15" spans="2:15">
      <c r="M15" s="9"/>
      <c r="N15" s="16"/>
      <c r="O15" s="9"/>
    </row>
    <row r="16" spans="2:15">
      <c r="M16" s="9"/>
      <c r="N16" s="16"/>
      <c r="O16" s="9"/>
    </row>
    <row r="17" spans="2:27" ht="17.399999999999999">
      <c r="B17" s="144" t="s">
        <v>216</v>
      </c>
      <c r="M17" s="9"/>
      <c r="N17" s="9"/>
      <c r="O17" s="9"/>
    </row>
    <row r="19" spans="2:27">
      <c r="D19" s="145" t="s">
        <v>199</v>
      </c>
      <c r="E19" s="145"/>
      <c r="F19" s="145"/>
      <c r="G19" s="145"/>
      <c r="H19" s="145"/>
      <c r="I19" s="145"/>
      <c r="N19" s="145" t="s">
        <v>200</v>
      </c>
      <c r="O19" s="145"/>
      <c r="P19" s="145"/>
      <c r="Q19" s="145"/>
      <c r="X19" s="145" t="s">
        <v>201</v>
      </c>
      <c r="Y19" s="145"/>
      <c r="Z19" s="145"/>
      <c r="AA19" s="14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4"/>
  <sheetViews>
    <sheetView zoomScaleNormal="100" workbookViewId="0">
      <selection activeCell="I15" sqref="I15"/>
    </sheetView>
  </sheetViews>
  <sheetFormatPr baseColWidth="10" defaultColWidth="8.88671875" defaultRowHeight="13.2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11.1093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0"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0" ht="21.6" thickBot="1">
      <c r="C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</row>
    <row r="5" spans="2:20">
      <c r="K5" s="196" t="s">
        <v>93</v>
      </c>
      <c r="L5" s="197"/>
      <c r="M5" s="196" t="str">
        <f>C2</f>
        <v>GAS</v>
      </c>
      <c r="N5" s="196" t="str">
        <f>D2</f>
        <v>Natural Gas</v>
      </c>
      <c r="O5" s="196" t="str">
        <f>$E$2</f>
        <v>PJ</v>
      </c>
      <c r="P5" s="196"/>
      <c r="Q5" s="196"/>
      <c r="R5" s="196"/>
      <c r="S5" s="196"/>
    </row>
    <row r="7" spans="2:20">
      <c r="F7" s="7" t="s">
        <v>13</v>
      </c>
      <c r="H7" s="7"/>
      <c r="K7" s="191" t="s">
        <v>15</v>
      </c>
      <c r="L7" s="191"/>
      <c r="M7" s="198"/>
      <c r="N7" s="198"/>
      <c r="O7" s="198"/>
      <c r="P7" s="198"/>
      <c r="Q7" s="198"/>
      <c r="R7" s="198"/>
      <c r="S7" s="198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0" s="9" customFormat="1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0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</row>
    <row r="11" spans="2:20" s="9" customFormat="1">
      <c r="B11" s="16" t="str">
        <f>M11</f>
        <v>MINGAS1</v>
      </c>
      <c r="C11" s="16"/>
      <c r="D11" s="16" t="str">
        <f>$M$5</f>
        <v>GAS</v>
      </c>
      <c r="E11" s="16"/>
      <c r="F11" s="16"/>
      <c r="G11" s="132">
        <v>15000</v>
      </c>
      <c r="H11" s="134">
        <v>3.6</v>
      </c>
      <c r="I11" s="127">
        <f>EnergyBalance!$E$5*EnergyBalance!E37</f>
        <v>3949.7485000000001</v>
      </c>
      <c r="K11" s="196" t="str">
        <f>EnergyBalance!$B$5</f>
        <v>MIN</v>
      </c>
      <c r="L11" s="197"/>
      <c r="M11" s="197" t="str">
        <f>$K$11&amp;$C$2&amp;1</f>
        <v>MINGAS1</v>
      </c>
      <c r="N11" s="200" t="str">
        <f>"Domestic Supply of "&amp;$D$2&amp; " Step "&amp;RIGHT(M11,1)</f>
        <v>Domestic Supply of Natural Gas Step 1</v>
      </c>
      <c r="O11" s="197" t="str">
        <f>$E$2</f>
        <v>PJ</v>
      </c>
      <c r="P11" s="197"/>
      <c r="Q11" s="197"/>
      <c r="R11" s="197"/>
      <c r="S11" s="197"/>
    </row>
    <row r="12" spans="2:20">
      <c r="B12" s="16" t="str">
        <f>M12</f>
        <v>MINGAS2</v>
      </c>
      <c r="C12" s="16"/>
      <c r="D12" s="16" t="str">
        <f>$M$5</f>
        <v>GAS</v>
      </c>
      <c r="E12" s="16"/>
      <c r="F12" s="16"/>
      <c r="G12" s="132">
        <v>20000</v>
      </c>
      <c r="H12" s="134">
        <v>4.1399999999999997</v>
      </c>
      <c r="I12" s="127">
        <f>EnergyBalance!$E$5*EnergyBalance!E38</f>
        <v>3949.7485000000001</v>
      </c>
      <c r="J12" s="9"/>
      <c r="K12" s="197"/>
      <c r="L12" s="197"/>
      <c r="M12" s="197" t="str">
        <f>$K$11&amp;$C$2&amp;2</f>
        <v>MINGAS2</v>
      </c>
      <c r="N12" s="200" t="str">
        <f>"Domestic Supply of "&amp;$D$2&amp; " Step "&amp;RIGHT(M12,1)</f>
        <v>Domestic Supply of Natural Gas Step 2</v>
      </c>
      <c r="O12" s="197" t="str">
        <f>$E$2</f>
        <v>PJ</v>
      </c>
      <c r="P12" s="197"/>
      <c r="Q12" s="197"/>
      <c r="R12" s="197"/>
      <c r="S12" s="197"/>
      <c r="T12" s="9"/>
    </row>
    <row r="13" spans="2:20">
      <c r="B13" s="16" t="str">
        <f>M13</f>
        <v>MINGAS3</v>
      </c>
      <c r="C13" s="16"/>
      <c r="D13" s="16" t="str">
        <f>$M$5</f>
        <v>GAS</v>
      </c>
      <c r="E13" s="16"/>
      <c r="F13" s="16"/>
      <c r="G13" s="132">
        <v>30000</v>
      </c>
      <c r="H13" s="134">
        <v>5.4</v>
      </c>
      <c r="I13" s="132">
        <v>5000</v>
      </c>
      <c r="K13" s="197"/>
      <c r="L13" s="197"/>
      <c r="M13" s="197" t="str">
        <f>$K$11&amp;$C$2&amp;3</f>
        <v>MINGAS3</v>
      </c>
      <c r="N13" s="200" t="str">
        <f>"Domestic Supply of "&amp;$D$2&amp; " Step "&amp;RIGHT(M13,1)</f>
        <v>Domestic Supply of Natural Gas Step 3</v>
      </c>
      <c r="O13" s="197" t="str">
        <f>$E$2</f>
        <v>PJ</v>
      </c>
      <c r="P13" s="197"/>
      <c r="Q13" s="197"/>
      <c r="R13" s="197"/>
      <c r="S13" s="197"/>
    </row>
    <row r="14" spans="2:20">
      <c r="B14" s="16" t="str">
        <f>M14</f>
        <v>IMPGAS1</v>
      </c>
      <c r="C14" s="16"/>
      <c r="D14" s="16" t="str">
        <f>$M$5</f>
        <v>GAS</v>
      </c>
      <c r="E14" s="16">
        <v>2005</v>
      </c>
      <c r="F14" s="211" t="s">
        <v>206</v>
      </c>
      <c r="G14" s="15"/>
      <c r="H14" s="134">
        <v>4.5</v>
      </c>
      <c r="I14" s="132">
        <v>1000</v>
      </c>
      <c r="K14" s="197" t="str">
        <f>EnergyBalance!$B$6</f>
        <v>IMP</v>
      </c>
      <c r="L14" s="197"/>
      <c r="M14" s="197" t="str">
        <f>$K$14&amp;$C$2&amp;1</f>
        <v>IMPGAS1</v>
      </c>
      <c r="N14" s="200" t="str">
        <f>"Import of "&amp;$D$2&amp; " Step "&amp;RIGHT(M14,1)</f>
        <v>Import of Natural Gas Step 1</v>
      </c>
      <c r="O14" s="197" t="str">
        <f>$E$2</f>
        <v>PJ</v>
      </c>
      <c r="P14" s="197"/>
      <c r="Q14" s="197"/>
      <c r="R14" s="197"/>
      <c r="S14" s="197"/>
    </row>
    <row r="15" spans="2:20" s="9" customFormat="1">
      <c r="B15" s="16" t="str">
        <f>M15</f>
        <v>EXPGAS1</v>
      </c>
      <c r="C15" s="16" t="str">
        <f>$M$5</f>
        <v>GAS</v>
      </c>
      <c r="D15" s="16"/>
      <c r="E15" s="16">
        <v>2005</v>
      </c>
      <c r="F15" s="16" t="s">
        <v>206</v>
      </c>
      <c r="G15"/>
      <c r="H15" s="134">
        <v>4.5</v>
      </c>
      <c r="I15" s="128">
        <f>-EnergyBalance!E7</f>
        <v>2516.3310000000001</v>
      </c>
      <c r="J15"/>
      <c r="K15" s="197" t="str">
        <f>EnergyBalance!B7</f>
        <v>EXP</v>
      </c>
      <c r="L15" s="197"/>
      <c r="M15" s="197" t="str">
        <f>$K$15&amp;$C$2&amp;1</f>
        <v>EXPGAS1</v>
      </c>
      <c r="N15" s="200" t="str">
        <f>"Export of "&amp;$D$2&amp; " Step "&amp;RIGHT(M15,1)</f>
        <v>Export of Natural Gas Step 1</v>
      </c>
      <c r="O15" s="197" t="str">
        <f>$E$2</f>
        <v>PJ</v>
      </c>
      <c r="P15" s="197"/>
      <c r="Q15" s="197"/>
      <c r="R15" s="197"/>
      <c r="S15" s="197"/>
      <c r="T15"/>
    </row>
    <row r="16" spans="2:20" s="9" customFormat="1">
      <c r="B16" s="16"/>
      <c r="C16" s="16"/>
      <c r="E16" s="16"/>
      <c r="F16" s="16"/>
      <c r="G16" s="15"/>
      <c r="I16" s="23"/>
    </row>
    <row r="17" spans="2:20" s="9" customFormat="1">
      <c r="F17" s="16"/>
    </row>
    <row r="18" spans="2:20" s="9" customFormat="1"/>
    <row r="19" spans="2:20" s="9" customFormat="1">
      <c r="B19"/>
      <c r="C19"/>
      <c r="D19"/>
      <c r="E19"/>
      <c r="F19"/>
      <c r="G19"/>
      <c r="H19"/>
    </row>
    <row r="20" spans="2:20"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2:20">
      <c r="B22" s="132"/>
      <c r="C22" s="1" t="s">
        <v>196</v>
      </c>
      <c r="I22" s="9"/>
    </row>
    <row r="23" spans="2:20" s="1" customFormat="1">
      <c r="B23" s="129"/>
      <c r="C23" s="1" t="s">
        <v>197</v>
      </c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2:20">
      <c r="I24" s="9"/>
      <c r="J24" s="1"/>
      <c r="T24" s="1"/>
    </row>
    <row r="25" spans="2:20">
      <c r="I25" s="9"/>
    </row>
    <row r="26" spans="2:20" s="9" customFormat="1">
      <c r="B26"/>
      <c r="C26"/>
      <c r="D26"/>
      <c r="E26"/>
      <c r="F26"/>
      <c r="G26"/>
      <c r="H26"/>
      <c r="J26"/>
      <c r="K26"/>
      <c r="L26"/>
      <c r="M26"/>
      <c r="N26"/>
      <c r="O26"/>
      <c r="P26"/>
      <c r="Q26"/>
      <c r="R26"/>
      <c r="S26"/>
      <c r="T26"/>
    </row>
    <row r="27" spans="2:20" s="9" customFormat="1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2:20" s="9" customFormat="1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2:20">
      <c r="J34" s="9"/>
      <c r="T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34"/>
  <sheetViews>
    <sheetView topLeftCell="A3" zoomScaleNormal="100" workbookViewId="0">
      <selection activeCell="H20" sqref="H20"/>
    </sheetView>
  </sheetViews>
  <sheetFormatPr baseColWidth="10" defaultColWidth="8.88671875"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5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5" ht="15.6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5"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5" ht="21.6" thickBot="1">
      <c r="C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  <c r="V4" s="9"/>
      <c r="W4" s="9"/>
    </row>
    <row r="5" spans="2:25">
      <c r="K5" s="196" t="s">
        <v>93</v>
      </c>
      <c r="L5" s="197"/>
      <c r="M5" s="196" t="str">
        <f>C2</f>
        <v>OIL</v>
      </c>
      <c r="N5" s="196" t="str">
        <f>D2</f>
        <v>Crude Oil</v>
      </c>
      <c r="O5" s="196" t="str">
        <f>$E$2</f>
        <v>PJ</v>
      </c>
      <c r="P5" s="196"/>
      <c r="Q5" s="196"/>
      <c r="R5" s="196"/>
      <c r="S5" s="196"/>
      <c r="U5" s="9"/>
      <c r="V5" s="9"/>
      <c r="W5" s="9"/>
      <c r="X5" s="9"/>
      <c r="Y5" s="9"/>
    </row>
    <row r="6" spans="2:25">
      <c r="U6" s="9"/>
      <c r="V6" s="9"/>
      <c r="W6" s="9"/>
      <c r="X6" s="9"/>
      <c r="Y6" s="9"/>
    </row>
    <row r="7" spans="2:25">
      <c r="F7" s="7" t="s">
        <v>13</v>
      </c>
      <c r="H7" s="7"/>
      <c r="K7" s="191" t="s">
        <v>15</v>
      </c>
      <c r="L7" s="191"/>
      <c r="M7" s="198"/>
      <c r="N7" s="198"/>
      <c r="O7" s="198"/>
      <c r="P7" s="198"/>
      <c r="Q7" s="198"/>
      <c r="R7" s="198"/>
      <c r="S7" s="198"/>
      <c r="X7" s="9"/>
      <c r="Y7" s="9"/>
    </row>
    <row r="8" spans="2:25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5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J9" s="9"/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5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  <c r="T10"/>
      <c r="X10"/>
      <c r="Y10"/>
    </row>
    <row r="11" spans="2:25" s="9" customFormat="1">
      <c r="B11" s="16" t="str">
        <f>M11</f>
        <v>MINOIL1</v>
      </c>
      <c r="C11" s="16"/>
      <c r="D11" s="16" t="str">
        <f>$M$5</f>
        <v>OIL</v>
      </c>
      <c r="E11" s="16"/>
      <c r="F11" s="16"/>
      <c r="G11" s="132">
        <v>24000</v>
      </c>
      <c r="H11" s="134">
        <v>6.4</v>
      </c>
      <c r="I11" s="127">
        <f>EnergyBalance!$F$5*EnergyBalance!F37</f>
        <v>4302.8095999999996</v>
      </c>
      <c r="K11" s="196" t="str">
        <f>EnergyBalance!$B$5</f>
        <v>MIN</v>
      </c>
      <c r="L11" s="197"/>
      <c r="M11" s="197" t="str">
        <f>$K$11&amp;$C$2&amp;1</f>
        <v>MINOIL1</v>
      </c>
      <c r="N11" s="201" t="str">
        <f>"Domestic Supply of "&amp;$D$2&amp; " Step "&amp;RIGHT(M11,1)</f>
        <v>Domestic Supply of Crude Oil Step 1</v>
      </c>
      <c r="O11" s="197" t="str">
        <f>$E$2</f>
        <v>PJ</v>
      </c>
      <c r="P11" s="197"/>
      <c r="Q11" s="197"/>
      <c r="R11" s="197"/>
      <c r="S11" s="197"/>
    </row>
    <row r="12" spans="2:25" s="9" customFormat="1">
      <c r="B12" s="16" t="str">
        <f>M12</f>
        <v>MINOIL2</v>
      </c>
      <c r="C12" s="16"/>
      <c r="D12" s="16" t="str">
        <f>$M$5</f>
        <v>OIL</v>
      </c>
      <c r="E12" s="16"/>
      <c r="F12" s="16"/>
      <c r="G12" s="132">
        <v>6000</v>
      </c>
      <c r="H12" s="134">
        <v>7.36</v>
      </c>
      <c r="I12" s="127">
        <f>EnergyBalance!$F$5*EnergyBalance!F38</f>
        <v>1075.7023999999999</v>
      </c>
      <c r="K12" s="197"/>
      <c r="L12" s="197"/>
      <c r="M12" s="197" t="str">
        <f>$K$11&amp;$C$2&amp;2</f>
        <v>MINOIL2</v>
      </c>
      <c r="N12" s="201" t="str">
        <f>"Domestic Supply of "&amp;$D$2&amp; " Step "&amp;RIGHT(M12,1)</f>
        <v>Domestic Supply of Crude Oil Step 2</v>
      </c>
      <c r="O12" s="197" t="str">
        <f>$E$2</f>
        <v>PJ</v>
      </c>
      <c r="P12" s="197"/>
      <c r="Q12" s="197"/>
      <c r="R12" s="197"/>
      <c r="S12" s="197"/>
    </row>
    <row r="13" spans="2:25">
      <c r="B13" s="16" t="str">
        <f>M13</f>
        <v>MINOIL3</v>
      </c>
      <c r="C13" s="16"/>
      <c r="D13" s="16" t="str">
        <f>$M$5</f>
        <v>OIL</v>
      </c>
      <c r="E13" s="16"/>
      <c r="F13" s="16"/>
      <c r="G13" s="132">
        <v>40000</v>
      </c>
      <c r="H13" s="134">
        <v>9.6</v>
      </c>
      <c r="I13" s="132"/>
      <c r="K13" s="197"/>
      <c r="L13" s="197"/>
      <c r="M13" s="197" t="str">
        <f>$K$11&amp;$C$2&amp;3</f>
        <v>MINOIL3</v>
      </c>
      <c r="N13" s="201" t="str">
        <f>"Domestic Supply of "&amp;$D$2&amp; " Step "&amp;RIGHT(M13,1)</f>
        <v>Domestic Supply of Crude Oil Step 3</v>
      </c>
      <c r="O13" s="197" t="str">
        <f>$E$2</f>
        <v>PJ</v>
      </c>
      <c r="P13" s="197"/>
      <c r="Q13" s="197"/>
      <c r="R13" s="197"/>
      <c r="S13" s="197"/>
      <c r="T13" s="9"/>
      <c r="U13" s="9"/>
      <c r="V13" s="9"/>
      <c r="W13" s="9"/>
      <c r="X13" s="9"/>
      <c r="Y13" s="9"/>
    </row>
    <row r="14" spans="2:25">
      <c r="B14" s="16" t="str">
        <f>M14</f>
        <v>IMPOIL1</v>
      </c>
      <c r="C14" s="16"/>
      <c r="D14" s="16" t="str">
        <f>$M$5</f>
        <v>OIL</v>
      </c>
      <c r="E14" s="16">
        <v>2005</v>
      </c>
      <c r="F14" s="211" t="s">
        <v>206</v>
      </c>
      <c r="G14" s="15"/>
      <c r="H14" s="134">
        <v>8</v>
      </c>
      <c r="I14" s="132">
        <v>1000</v>
      </c>
      <c r="K14" s="197" t="str">
        <f>EnergyBalance!$B$6</f>
        <v>IMP</v>
      </c>
      <c r="L14" s="197"/>
      <c r="M14" s="197" t="str">
        <f>$K$14&amp;$C$2&amp;1</f>
        <v>IMPOIL1</v>
      </c>
      <c r="N14" s="201" t="str">
        <f>"Import of "&amp;$D$2&amp; " Step "&amp;RIGHT(M14,1)</f>
        <v>Import of Crude Oil Step 1</v>
      </c>
      <c r="O14" s="197" t="str">
        <f>$E$2</f>
        <v>PJ</v>
      </c>
      <c r="P14" s="197"/>
      <c r="Q14" s="197"/>
      <c r="R14" s="197"/>
      <c r="S14" s="197"/>
      <c r="U14" s="9"/>
      <c r="V14" s="9"/>
      <c r="W14" s="9"/>
      <c r="X14" s="9"/>
      <c r="Y14" s="9"/>
    </row>
    <row r="15" spans="2:25">
      <c r="B15" s="16" t="str">
        <f>M15</f>
        <v>EXPOIL1</v>
      </c>
      <c r="C15" s="16" t="str">
        <f>$M$5</f>
        <v>OIL</v>
      </c>
      <c r="D15" s="16"/>
      <c r="E15">
        <v>2005</v>
      </c>
      <c r="F15" s="16" t="s">
        <v>206</v>
      </c>
      <c r="G15" s="9"/>
      <c r="H15" s="134">
        <v>8</v>
      </c>
      <c r="I15" s="128">
        <f>-EnergyBalance!F7</f>
        <v>14830.662</v>
      </c>
      <c r="K15" s="197" t="str">
        <f>EnergyBalance!B7</f>
        <v>EXP</v>
      </c>
      <c r="L15" s="197"/>
      <c r="M15" s="197" t="str">
        <f>$K$15&amp;$C$2&amp;1</f>
        <v>EXPOIL1</v>
      </c>
      <c r="N15" s="201" t="str">
        <f>"Export of "&amp;$D$2&amp; " Step "&amp;RIGHT(M15,1)</f>
        <v>Export of Crude Oil Step 1</v>
      </c>
      <c r="O15" s="197" t="str">
        <f>$E$2</f>
        <v>PJ</v>
      </c>
      <c r="P15" s="197"/>
      <c r="Q15" s="197"/>
      <c r="R15" s="197"/>
      <c r="S15" s="197"/>
      <c r="X15" s="9"/>
      <c r="Y15" s="9"/>
    </row>
    <row r="16" spans="2:25" s="9" customFormat="1">
      <c r="F16" s="16"/>
      <c r="I16" s="23"/>
      <c r="T16"/>
      <c r="V16"/>
      <c r="W16"/>
      <c r="X16"/>
      <c r="Y16"/>
    </row>
    <row r="17" spans="2:25" s="9" customFormat="1">
      <c r="F17" s="16"/>
      <c r="H17" s="190"/>
      <c r="U17"/>
      <c r="V17"/>
      <c r="W17"/>
      <c r="X17"/>
      <c r="Y17"/>
    </row>
    <row r="18" spans="2:25" s="9" customFormat="1">
      <c r="B18"/>
      <c r="C18"/>
      <c r="D18"/>
      <c r="G18"/>
      <c r="H18"/>
      <c r="U18"/>
      <c r="V18" s="1"/>
      <c r="W18" s="1"/>
      <c r="X18"/>
      <c r="Y18"/>
    </row>
    <row r="19" spans="2:25" s="9" customFormat="1">
      <c r="B19"/>
      <c r="C19"/>
      <c r="D19"/>
      <c r="E19"/>
      <c r="F19"/>
      <c r="G19"/>
      <c r="H19"/>
      <c r="I19"/>
      <c r="U19" s="1"/>
      <c r="V19"/>
      <c r="W19"/>
      <c r="X19" s="1"/>
      <c r="Y19" s="1"/>
    </row>
    <row r="20" spans="2:25" s="9" customFormat="1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2:25" s="9" customFormat="1">
      <c r="B21"/>
      <c r="C21"/>
      <c r="D21"/>
      <c r="E21"/>
      <c r="F21"/>
      <c r="G21"/>
      <c r="H21"/>
      <c r="I21"/>
      <c r="J21"/>
      <c r="U21"/>
      <c r="V21"/>
      <c r="W21"/>
      <c r="X21"/>
      <c r="Y21"/>
    </row>
    <row r="22" spans="2:25" s="9" customFormat="1">
      <c r="B22" s="212"/>
      <c r="C22" s="1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2:25">
      <c r="B23" s="213"/>
      <c r="C23" s="1"/>
      <c r="T23" s="9"/>
    </row>
    <row r="24" spans="2:25">
      <c r="J24" s="1"/>
    </row>
    <row r="27" spans="2:25">
      <c r="J27" s="9"/>
    </row>
    <row r="28" spans="2:25">
      <c r="J28" s="9"/>
    </row>
    <row r="29" spans="2:25">
      <c r="J29" s="9"/>
    </row>
    <row r="30" spans="2:25">
      <c r="J30" s="9"/>
    </row>
    <row r="31" spans="2:25">
      <c r="J31" s="9"/>
    </row>
    <row r="32" spans="2:25">
      <c r="J32" s="9"/>
    </row>
    <row r="33" spans="10:10">
      <c r="J33" s="9"/>
    </row>
    <row r="34" spans="10:10">
      <c r="J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P11" sqref="P11"/>
    </sheetView>
  </sheetViews>
  <sheetFormatPr baseColWidth="10" defaultColWidth="8.88671875" defaultRowHeight="13.2"/>
  <cols>
    <col min="1" max="1" width="2" style="49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9" customWidth="1"/>
    <col min="10" max="10" width="2.5546875" style="49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9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0">
      <c r="H3" s="19"/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0" ht="21.6" thickBot="1">
      <c r="B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</row>
    <row r="5" spans="2:20">
      <c r="K5" s="196" t="s">
        <v>93</v>
      </c>
      <c r="L5" s="197"/>
      <c r="M5" s="196" t="str">
        <f>C2</f>
        <v>RNW</v>
      </c>
      <c r="N5" s="196" t="str">
        <f>D2</f>
        <v>Renewable Energies</v>
      </c>
      <c r="O5" s="196" t="str">
        <f>$E$2</f>
        <v>PJ</v>
      </c>
      <c r="P5" s="196"/>
      <c r="Q5" s="196"/>
      <c r="R5" s="196"/>
      <c r="S5" s="196"/>
    </row>
    <row r="7" spans="2:20">
      <c r="F7" s="7" t="s">
        <v>13</v>
      </c>
      <c r="H7" s="7"/>
      <c r="I7"/>
      <c r="K7" s="191" t="s">
        <v>15</v>
      </c>
      <c r="L7" s="191"/>
      <c r="M7" s="198"/>
      <c r="N7" s="198"/>
      <c r="O7" s="198"/>
      <c r="P7" s="198"/>
      <c r="Q7" s="198"/>
      <c r="R7" s="198"/>
      <c r="S7" s="198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0" s="51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  <c r="T10" s="49"/>
    </row>
    <row r="11" spans="2:20" s="51" customFormat="1">
      <c r="B11" s="16" t="str">
        <f>M11</f>
        <v>MINRNW1</v>
      </c>
      <c r="C11" s="16"/>
      <c r="D11" s="16" t="str">
        <f>$M$5</f>
        <v>RNW</v>
      </c>
      <c r="E11" s="16"/>
      <c r="F11" s="16"/>
      <c r="G11" s="21"/>
      <c r="H11" s="45"/>
      <c r="I11" s="9"/>
      <c r="K11" s="196" t="str">
        <f>EnergyBalance!$B$5</f>
        <v>MIN</v>
      </c>
      <c r="L11" s="197"/>
      <c r="M11" s="197" t="str">
        <f>$K$11&amp;$C$2&amp;1</f>
        <v>MINRNW1</v>
      </c>
      <c r="N11" s="200" t="str">
        <f>"Domestic Supply of "&amp;$D$2&amp; " Step "&amp;RIGHT(M11,1)</f>
        <v>Domestic Supply of Renewable Energies Step 1</v>
      </c>
      <c r="O11" s="197" t="str">
        <f>$E$2</f>
        <v>PJ</v>
      </c>
      <c r="P11" s="197"/>
      <c r="Q11" s="197"/>
      <c r="R11" s="197"/>
      <c r="S11" s="197"/>
    </row>
    <row r="12" spans="2:20" s="51" customFormat="1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49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51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4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50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84"/>
      <c r="C23" s="1" t="s">
        <v>196</v>
      </c>
      <c r="D23"/>
      <c r="E23"/>
      <c r="F23"/>
      <c r="G23"/>
      <c r="H23"/>
      <c r="I23" s="49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29"/>
      <c r="C24" s="1" t="s">
        <v>197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>
      <c r="I26" s="51"/>
      <c r="J26" s="51"/>
      <c r="T26" s="51"/>
    </row>
    <row r="30" spans="2:20">
      <c r="I30" s="52"/>
      <c r="J30" s="52"/>
    </row>
    <row r="31" spans="2:20">
      <c r="I31" s="52"/>
      <c r="J31" s="52"/>
    </row>
    <row r="32" spans="2:20">
      <c r="I32" s="52"/>
      <c r="J32" s="52"/>
    </row>
    <row r="33" spans="9:10">
      <c r="I33" s="52"/>
      <c r="J33" s="52"/>
    </row>
    <row r="34" spans="9:10">
      <c r="I34" s="52"/>
      <c r="J34" s="52"/>
    </row>
    <row r="35" spans="9:10">
      <c r="I35" s="52"/>
      <c r="J35" s="52"/>
    </row>
    <row r="36" spans="9:10">
      <c r="I36" s="52"/>
      <c r="J36" s="52"/>
    </row>
    <row r="37" spans="9:10">
      <c r="I37" s="52"/>
      <c r="J37" s="52"/>
    </row>
    <row r="38" spans="9:10">
      <c r="I38" s="52"/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B21" sqref="B21:D21"/>
    </sheetView>
  </sheetViews>
  <sheetFormatPr baseColWidth="10" defaultColWidth="8.88671875" defaultRowHeight="13.2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4.6640625" customWidth="1"/>
    <col min="6" max="6" width="8.44140625" bestFit="1" customWidth="1"/>
    <col min="7" max="7" width="7.6640625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151</v>
      </c>
      <c r="F1" s="17" t="s">
        <v>119</v>
      </c>
      <c r="G1" s="17" t="s">
        <v>126</v>
      </c>
    </row>
    <row r="2" spans="2:17" ht="15.6">
      <c r="B2" s="20"/>
      <c r="C2" s="20"/>
      <c r="D2" s="20" t="s">
        <v>149</v>
      </c>
      <c r="E2" s="20" t="str">
        <f>EnergyBalance!R2</f>
        <v>PJ</v>
      </c>
      <c r="F2" s="20" t="str">
        <f>EnergyBalance!Q2</f>
        <v>M€2005</v>
      </c>
      <c r="G2" s="20" t="s">
        <v>127</v>
      </c>
      <c r="I2" s="191" t="s">
        <v>14</v>
      </c>
      <c r="J2" s="191"/>
      <c r="K2" s="192"/>
      <c r="L2" s="192"/>
      <c r="M2" s="192"/>
      <c r="N2" s="192"/>
      <c r="O2" s="192"/>
      <c r="P2" s="192"/>
      <c r="Q2" s="192"/>
    </row>
    <row r="3" spans="2:17">
      <c r="I3" s="193" t="s">
        <v>7</v>
      </c>
      <c r="J3" s="194" t="s">
        <v>30</v>
      </c>
      <c r="K3" s="193" t="s">
        <v>0</v>
      </c>
      <c r="L3" s="193" t="s">
        <v>3</v>
      </c>
      <c r="M3" s="193" t="s">
        <v>4</v>
      </c>
      <c r="N3" s="193" t="s">
        <v>8</v>
      </c>
      <c r="O3" s="193" t="s">
        <v>9</v>
      </c>
      <c r="P3" s="193" t="s">
        <v>10</v>
      </c>
      <c r="Q3" s="193" t="s">
        <v>12</v>
      </c>
    </row>
    <row r="4" spans="2:17" s="9" customFormat="1" ht="22.2" thickBot="1">
      <c r="B4" s="18"/>
      <c r="C4" s="18"/>
      <c r="D4" s="18"/>
      <c r="E4" s="18"/>
      <c r="G4"/>
      <c r="I4" s="195" t="s">
        <v>40</v>
      </c>
      <c r="J4" s="195" t="s">
        <v>31</v>
      </c>
      <c r="K4" s="195" t="s">
        <v>26</v>
      </c>
      <c r="L4" s="195" t="s">
        <v>27</v>
      </c>
      <c r="M4" s="195" t="s">
        <v>4</v>
      </c>
      <c r="N4" s="195" t="s">
        <v>43</v>
      </c>
      <c r="O4" s="195" t="s">
        <v>44</v>
      </c>
      <c r="P4" s="195" t="s">
        <v>28</v>
      </c>
      <c r="Q4" s="195" t="s">
        <v>29</v>
      </c>
    </row>
    <row r="5" spans="2:17">
      <c r="B5" s="11"/>
      <c r="C5" s="11"/>
      <c r="D5" s="11"/>
      <c r="E5" s="22"/>
      <c r="F5" s="22"/>
      <c r="I5" s="197" t="s">
        <v>93</v>
      </c>
      <c r="J5" s="197"/>
      <c r="K5" s="197" t="str">
        <f>EnergyBalance!$B$16&amp;EnergyBalance!$E$2</f>
        <v>RSDGAS</v>
      </c>
      <c r="L5" s="200" t="str">
        <f>EnergyBalance!$C$16&amp;" "&amp;EnergyBalance!$E$3</f>
        <v>Residential Natural Gas</v>
      </c>
      <c r="M5" s="197" t="str">
        <f t="shared" ref="M5:M9" si="0">$E$2</f>
        <v>PJ</v>
      </c>
      <c r="N5" s="197"/>
      <c r="O5" s="197"/>
      <c r="P5" s="197"/>
      <c r="Q5" s="197"/>
    </row>
    <row r="6" spans="2:17">
      <c r="B6" s="11"/>
      <c r="C6" s="11"/>
      <c r="D6" s="11"/>
      <c r="E6" s="22"/>
      <c r="F6" s="22"/>
      <c r="I6" s="198"/>
      <c r="J6" s="198"/>
      <c r="K6" s="198" t="str">
        <f>EnergyBalance!$B$20&amp;EnergyBalance!$F$2</f>
        <v>TRAOIL</v>
      </c>
      <c r="L6" s="198" t="str">
        <f>EnergyBalance!$C$20&amp;" "&amp;EnergyBalance!$F$3</f>
        <v>Transport Crude Oil</v>
      </c>
      <c r="M6" s="198" t="str">
        <f t="shared" si="0"/>
        <v>PJ</v>
      </c>
      <c r="N6" s="197"/>
      <c r="O6" s="197"/>
      <c r="P6" s="197"/>
      <c r="Q6" s="197"/>
    </row>
    <row r="7" spans="2:17">
      <c r="B7" s="11"/>
      <c r="C7" s="11"/>
      <c r="D7" s="11"/>
      <c r="E7" s="22"/>
      <c r="F7" s="22"/>
      <c r="I7" s="197"/>
      <c r="J7" s="197"/>
      <c r="K7" s="197" t="str">
        <f>Con_ELC!$B$2&amp;EnergyBalance!$E$2</f>
        <v>ELCGAS</v>
      </c>
      <c r="L7" s="200" t="str">
        <f>Con_ELC!$C$2&amp;" "&amp;EnergyBalance!$E$3</f>
        <v>Electricity Plants Natural Gas</v>
      </c>
      <c r="M7" s="197" t="str">
        <f t="shared" si="0"/>
        <v>PJ</v>
      </c>
      <c r="N7" s="197"/>
      <c r="O7" s="197"/>
      <c r="P7" s="197"/>
      <c r="Q7" s="197"/>
    </row>
    <row r="8" spans="2:17">
      <c r="B8" s="11"/>
      <c r="C8" s="11"/>
      <c r="D8" s="11"/>
      <c r="E8" s="22"/>
      <c r="F8" s="22"/>
      <c r="I8" s="197"/>
      <c r="J8" s="197"/>
      <c r="K8" s="197" t="str">
        <f>Con_ELC!$B$2&amp;EnergyBalance!$F$2</f>
        <v>ELCOIL</v>
      </c>
      <c r="L8" s="200" t="str">
        <f>Con_ELC!$C$2&amp;" "&amp;EnergyBalance!$F$3</f>
        <v>Electricity Plants Crude Oil</v>
      </c>
      <c r="M8" s="197" t="str">
        <f t="shared" si="0"/>
        <v>PJ</v>
      </c>
      <c r="N8" s="197"/>
      <c r="O8" s="197"/>
      <c r="P8" s="197"/>
      <c r="Q8" s="197"/>
    </row>
    <row r="9" spans="2:17">
      <c r="B9" s="11"/>
      <c r="C9" s="11"/>
      <c r="D9" s="11"/>
      <c r="E9" s="22"/>
      <c r="F9" s="22"/>
      <c r="I9" s="197"/>
      <c r="J9" s="197"/>
      <c r="K9" s="197" t="str">
        <f>Con_ELC!$B$2&amp;EnergyBalance!$H$2</f>
        <v>ELCRNW</v>
      </c>
      <c r="L9" s="200" t="str">
        <f>Con_ELC!$C$2&amp;" "&amp;EnergyBalance!$H$3</f>
        <v>Electricity Plants Renewable Energies</v>
      </c>
      <c r="M9" s="197" t="str">
        <f t="shared" si="0"/>
        <v>PJ</v>
      </c>
      <c r="N9" s="197"/>
      <c r="O9" s="197"/>
      <c r="P9" s="197"/>
      <c r="Q9" s="197"/>
    </row>
    <row r="10" spans="2:17">
      <c r="B10" s="11"/>
      <c r="C10" s="11"/>
      <c r="D10" s="11"/>
      <c r="E10" s="22"/>
      <c r="F10" s="22"/>
      <c r="I10" s="197"/>
      <c r="J10" s="197"/>
      <c r="N10" s="197"/>
      <c r="O10" s="197"/>
      <c r="P10" s="197"/>
      <c r="Q10" s="197"/>
    </row>
    <row r="11" spans="2:17">
      <c r="B11" s="11"/>
      <c r="C11" s="11"/>
      <c r="D11" s="11"/>
      <c r="E11" s="22"/>
      <c r="F11" s="22"/>
      <c r="I11" s="197"/>
      <c r="J11" s="197"/>
      <c r="K11" s="197"/>
      <c r="L11" s="200"/>
      <c r="M11" s="197"/>
      <c r="N11" s="197"/>
      <c r="O11" s="197"/>
      <c r="P11" s="197"/>
      <c r="Q11" s="197"/>
    </row>
    <row r="12" spans="2:17">
      <c r="K12" s="52"/>
      <c r="L12" s="54"/>
    </row>
    <row r="13" spans="2:17">
      <c r="D13" s="7" t="s">
        <v>13</v>
      </c>
      <c r="E13" s="7"/>
      <c r="F13" s="7"/>
      <c r="I13" s="191" t="s">
        <v>15</v>
      </c>
      <c r="J13" s="191"/>
      <c r="K13" s="198"/>
      <c r="L13" s="198"/>
      <c r="M13" s="198"/>
      <c r="N13" s="198"/>
      <c r="O13" s="198"/>
      <c r="P13" s="198"/>
      <c r="Q13" s="198"/>
    </row>
    <row r="14" spans="2:17">
      <c r="B14" s="29" t="s">
        <v>1</v>
      </c>
      <c r="C14" s="29" t="s">
        <v>5</v>
      </c>
      <c r="D14" s="29" t="s">
        <v>6</v>
      </c>
      <c r="E14" s="164" t="s">
        <v>204</v>
      </c>
      <c r="F14" s="164" t="s">
        <v>108</v>
      </c>
      <c r="G14" s="164" t="s">
        <v>101</v>
      </c>
      <c r="I14" s="193" t="s">
        <v>11</v>
      </c>
      <c r="J14" s="194" t="s">
        <v>30</v>
      </c>
      <c r="K14" s="193" t="s">
        <v>1</v>
      </c>
      <c r="L14" s="193" t="s">
        <v>2</v>
      </c>
      <c r="M14" s="193" t="s">
        <v>16</v>
      </c>
      <c r="N14" s="193" t="s">
        <v>17</v>
      </c>
      <c r="O14" s="193" t="s">
        <v>18</v>
      </c>
      <c r="P14" s="193" t="s">
        <v>19</v>
      </c>
      <c r="Q14" s="193" t="s">
        <v>20</v>
      </c>
    </row>
    <row r="15" spans="2:17" ht="21.6" thickBot="1">
      <c r="B15" s="27" t="s">
        <v>42</v>
      </c>
      <c r="C15" s="27" t="s">
        <v>32</v>
      </c>
      <c r="D15" s="27" t="s">
        <v>33</v>
      </c>
      <c r="E15" s="27" t="s">
        <v>34</v>
      </c>
      <c r="F15" s="160" t="s">
        <v>113</v>
      </c>
      <c r="G15" s="27" t="s">
        <v>211</v>
      </c>
      <c r="I15" s="195" t="s">
        <v>41</v>
      </c>
      <c r="J15" s="195" t="s">
        <v>31</v>
      </c>
      <c r="K15" s="195" t="s">
        <v>21</v>
      </c>
      <c r="L15" s="195" t="s">
        <v>22</v>
      </c>
      <c r="M15" s="195" t="s">
        <v>23</v>
      </c>
      <c r="N15" s="195" t="s">
        <v>24</v>
      </c>
      <c r="O15" s="195" t="s">
        <v>46</v>
      </c>
      <c r="P15" s="195" t="s">
        <v>45</v>
      </c>
      <c r="Q15" s="195" t="s">
        <v>25</v>
      </c>
    </row>
    <row r="16" spans="2:17" ht="13.8" thickBot="1">
      <c r="B16" s="26" t="s">
        <v>114</v>
      </c>
      <c r="C16" s="26"/>
      <c r="D16" s="26"/>
      <c r="E16" s="24" t="str">
        <f>E2&amp;"a"</f>
        <v>PJa</v>
      </c>
      <c r="F16" s="24"/>
      <c r="G16" s="24" t="s">
        <v>115</v>
      </c>
      <c r="I16" s="195" t="s">
        <v>103</v>
      </c>
      <c r="J16" s="199"/>
      <c r="K16" s="199"/>
      <c r="L16" s="199"/>
      <c r="M16" s="199"/>
      <c r="N16" s="199"/>
      <c r="O16" s="199"/>
      <c r="P16" s="199"/>
      <c r="Q16" s="199"/>
    </row>
    <row r="17" spans="2:17">
      <c r="B17" t="str">
        <f t="shared" ref="B17:B18" si="1">K17</f>
        <v>FTE-RSDGAS</v>
      </c>
      <c r="C17" t="str">
        <f t="shared" ref="C17:C18" si="2">RIGHT(D17,3)</f>
        <v>GAS</v>
      </c>
      <c r="D17" t="str">
        <f>$K$5</f>
        <v>RSDGAS</v>
      </c>
      <c r="E17" s="23"/>
      <c r="F17" s="131">
        <v>1</v>
      </c>
      <c r="G17" s="132">
        <v>30</v>
      </c>
      <c r="I17" s="196" t="s">
        <v>150</v>
      </c>
      <c r="J17" s="197"/>
      <c r="K17" s="197" t="str">
        <f t="shared" ref="K17:K18" si="3">"FT"&amp;$G$2&amp;"-"&amp;K5</f>
        <v>FTE-RSDGAS</v>
      </c>
      <c r="L17" s="200" t="str">
        <f>$D$2&amp;" "&amp;$G$1&amp;" "&amp;EnergyBalance!$C$16&amp; " Sector- "&amp;EnergyBalance!$E$3</f>
        <v>Sector Fuel Existing Residential Sector- Natural Gas</v>
      </c>
      <c r="M17" s="197" t="str">
        <f t="shared" ref="M17:M21" si="4">$E$2</f>
        <v>PJ</v>
      </c>
      <c r="N17" s="197" t="str">
        <f t="shared" ref="N17:N21" si="5">$E$2&amp;"a"</f>
        <v>PJa</v>
      </c>
      <c r="O17" s="197"/>
      <c r="P17" s="197"/>
      <c r="Q17" s="197"/>
    </row>
    <row r="18" spans="2:17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80"/>
      <c r="F18" s="131">
        <v>1</v>
      </c>
      <c r="G18" s="132">
        <v>30</v>
      </c>
      <c r="I18" s="197"/>
      <c r="J18" s="197"/>
      <c r="K18" s="197" t="str">
        <f t="shared" si="3"/>
        <v>FTE-TRAOIL</v>
      </c>
      <c r="L18" s="200" t="str">
        <f>$D$2&amp;" "&amp;$G$1&amp;" "&amp;EnergyBalance!$C$20&amp; " Sector- "&amp;EnergyBalance!$F$3</f>
        <v>Sector Fuel Existing Transport Sector- Crude Oil</v>
      </c>
      <c r="M18" s="197" t="str">
        <f t="shared" si="4"/>
        <v>PJ</v>
      </c>
      <c r="N18" s="197" t="str">
        <f t="shared" si="5"/>
        <v>PJa</v>
      </c>
      <c r="O18" s="197"/>
      <c r="P18" s="197"/>
      <c r="Q18" s="197"/>
    </row>
    <row r="19" spans="2:17">
      <c r="B19" t="str">
        <f>K19</f>
        <v>FTE-ELCGAS</v>
      </c>
      <c r="C19" t="str">
        <f>RIGHT(D19,3)</f>
        <v>GAS</v>
      </c>
      <c r="D19" s="49" t="str">
        <f>K7</f>
        <v>ELCGAS</v>
      </c>
      <c r="E19" s="22"/>
      <c r="F19" s="131">
        <v>1</v>
      </c>
      <c r="G19" s="132">
        <v>30</v>
      </c>
      <c r="I19" s="197"/>
      <c r="J19" s="197"/>
      <c r="K19" s="197" t="str">
        <f>"FT"&amp;$G$2&amp;"-"&amp;K7</f>
        <v>FTE-ELCGAS</v>
      </c>
      <c r="L19" s="200" t="str">
        <f>$D$2&amp;" Technology"&amp;" "&amp;$G$1&amp;" "&amp;L7</f>
        <v>Sector Fuel Technology Existing Electricity Plants Natural Gas</v>
      </c>
      <c r="M19" s="197" t="str">
        <f t="shared" si="4"/>
        <v>PJ</v>
      </c>
      <c r="N19" s="197" t="str">
        <f t="shared" si="5"/>
        <v>PJa</v>
      </c>
      <c r="O19" s="197"/>
      <c r="P19" s="197"/>
      <c r="Q19" s="197"/>
    </row>
    <row r="20" spans="2:17">
      <c r="B20" t="str">
        <f>K20</f>
        <v>FTE-ELCOIL</v>
      </c>
      <c r="C20" t="str">
        <f>RIGHT(D20,3)</f>
        <v>OIL</v>
      </c>
      <c r="D20" s="49" t="str">
        <f>K8</f>
        <v>ELCOIL</v>
      </c>
      <c r="E20" s="22"/>
      <c r="F20" s="131">
        <v>1</v>
      </c>
      <c r="G20" s="132">
        <v>30</v>
      </c>
      <c r="I20" s="197"/>
      <c r="J20" s="197"/>
      <c r="K20" s="197" t="str">
        <f>"FT"&amp;$G$2&amp;"-"&amp;K8</f>
        <v>FTE-ELCOIL</v>
      </c>
      <c r="L20" s="201" t="str">
        <f>$D$2&amp;" Technology"&amp;" "&amp;$G$1&amp;" "&amp;L8</f>
        <v>Sector Fuel Technology Existing Electricity Plants Crude Oil</v>
      </c>
      <c r="M20" s="197" t="str">
        <f t="shared" si="4"/>
        <v>PJ</v>
      </c>
      <c r="N20" s="197" t="str">
        <f t="shared" si="5"/>
        <v>PJa</v>
      </c>
      <c r="O20" s="197"/>
      <c r="P20" s="197"/>
      <c r="Q20" s="197"/>
    </row>
    <row r="21" spans="2:17">
      <c r="B21" t="str">
        <f>K21</f>
        <v>FTE-ELCRNW</v>
      </c>
      <c r="C21" t="str">
        <f>RIGHT(D21,3)</f>
        <v>RNW</v>
      </c>
      <c r="D21" s="49" t="str">
        <f>K9</f>
        <v>ELCRNW</v>
      </c>
      <c r="E21" s="22"/>
      <c r="F21" s="131">
        <v>1</v>
      </c>
      <c r="G21" s="132">
        <v>30</v>
      </c>
      <c r="I21" s="197"/>
      <c r="J21" s="197"/>
      <c r="K21" s="197" t="str">
        <f>"FT"&amp;$G$2&amp;"-"&amp;K9</f>
        <v>FTE-ELCRNW</v>
      </c>
      <c r="L21" s="200" t="str">
        <f>$D$2&amp;" Technology"&amp;" "&amp;$G$1&amp;" "&amp;L9</f>
        <v>Sector Fuel Technology Existing Electricity Plants Renewable Energies</v>
      </c>
      <c r="M21" s="197" t="str">
        <f t="shared" si="4"/>
        <v>PJ</v>
      </c>
      <c r="N21" s="197" t="str">
        <f t="shared" si="5"/>
        <v>PJa</v>
      </c>
      <c r="O21" s="197"/>
      <c r="P21" s="197"/>
      <c r="Q21" s="197"/>
    </row>
    <row r="22" spans="2:17">
      <c r="D22" s="49"/>
      <c r="E22" s="22"/>
      <c r="F22" s="131">
        <v>1</v>
      </c>
      <c r="G22" s="132">
        <v>30</v>
      </c>
      <c r="I22" s="197"/>
      <c r="J22" s="197"/>
      <c r="O22" s="197"/>
      <c r="P22" s="197"/>
      <c r="Q22" s="197"/>
    </row>
    <row r="23" spans="2:17">
      <c r="I23" s="202"/>
      <c r="J23" s="203"/>
      <c r="K23" s="197"/>
      <c r="L23" s="200"/>
      <c r="M23" s="197"/>
      <c r="N23" s="197"/>
      <c r="O23" s="197"/>
      <c r="P23" s="197"/>
      <c r="Q23" s="197"/>
    </row>
    <row r="24" spans="2:17">
      <c r="E24" s="9"/>
      <c r="I24" s="50"/>
      <c r="J24" s="49"/>
      <c r="O24" s="9"/>
      <c r="P24" s="9"/>
      <c r="Q24" s="9"/>
    </row>
    <row r="25" spans="2:17">
      <c r="I25" s="49"/>
      <c r="J25" s="49"/>
      <c r="O25" s="9"/>
      <c r="P25" s="9"/>
      <c r="Q25" s="9"/>
    </row>
    <row r="26" spans="2:17">
      <c r="B26" s="84"/>
      <c r="C26" s="1" t="s">
        <v>196</v>
      </c>
      <c r="I26" s="57"/>
      <c r="J26" s="53"/>
      <c r="O26" s="9"/>
      <c r="P26" s="9"/>
      <c r="Q26" s="9"/>
    </row>
    <row r="27" spans="2:17">
      <c r="B27" s="129"/>
      <c r="C27" s="1" t="s">
        <v>197</v>
      </c>
      <c r="I27" s="58"/>
      <c r="J27" s="58"/>
      <c r="O27" s="58"/>
      <c r="P27" s="58"/>
      <c r="Q27" s="9"/>
    </row>
    <row r="28" spans="2:17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abSelected="1" topLeftCell="A7" zoomScaleNormal="100" workbookViewId="0">
      <selection activeCell="B16" sqref="B16:D16"/>
    </sheetView>
  </sheetViews>
  <sheetFormatPr baseColWidth="10" defaultColWidth="8.88671875" defaultRowHeight="13.2"/>
  <cols>
    <col min="1" max="1" width="3" style="49" customWidth="1"/>
    <col min="2" max="2" width="16.44140625" style="49" customWidth="1"/>
    <col min="3" max="3" width="12.109375" style="49" bestFit="1" customWidth="1"/>
    <col min="4" max="4" width="11.33203125" style="49" bestFit="1" customWidth="1"/>
    <col min="5" max="5" width="12" style="49" bestFit="1" customWidth="1"/>
    <col min="6" max="6" width="13.109375" style="49" customWidth="1"/>
    <col min="7" max="7" width="10" style="49" customWidth="1"/>
    <col min="8" max="8" width="8.109375" style="49" customWidth="1"/>
    <col min="9" max="9" width="9.6640625" style="49" customWidth="1"/>
    <col min="10" max="10" width="7.109375" style="49" bestFit="1" customWidth="1"/>
    <col min="11" max="11" width="9.33203125" style="49" customWidth="1"/>
    <col min="12" max="12" width="7.88671875" style="49" customWidth="1"/>
    <col min="13" max="13" width="7" style="49" bestFit="1" customWidth="1"/>
    <col min="14" max="14" width="9.5546875" style="49" customWidth="1"/>
    <col min="15" max="15" width="15.109375" style="49" customWidth="1"/>
    <col min="16" max="16" width="11.6640625" style="49" customWidth="1"/>
    <col min="17" max="17" width="2.33203125" style="52" customWidth="1"/>
    <col min="18" max="18" width="13.44140625" style="52" customWidth="1"/>
    <col min="19" max="19" width="2" style="52" customWidth="1"/>
    <col min="20" max="20" width="12.6640625" bestFit="1" customWidth="1"/>
    <col min="21" max="21" width="7.44140625" bestFit="1" customWidth="1"/>
    <col min="22" max="22" width="14.109375" customWidth="1"/>
    <col min="23" max="23" width="5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49"/>
  </cols>
  <sheetData>
    <row r="1" spans="2:28" ht="28.8">
      <c r="B1" s="44" t="s">
        <v>94</v>
      </c>
      <c r="C1" s="17" t="s">
        <v>96</v>
      </c>
      <c r="D1" s="17" t="s">
        <v>152</v>
      </c>
      <c r="E1" s="44" t="s">
        <v>23</v>
      </c>
      <c r="F1" s="44" t="s">
        <v>159</v>
      </c>
      <c r="G1" s="44" t="s">
        <v>99</v>
      </c>
      <c r="I1" s="44" t="s">
        <v>126</v>
      </c>
      <c r="J1" s="44" t="s">
        <v>203</v>
      </c>
    </row>
    <row r="2" spans="2:28" ht="31.2">
      <c r="B2" s="20" t="str">
        <f>EnergyBalance!B11</f>
        <v>ELC</v>
      </c>
      <c r="C2" s="34" t="str">
        <f>EnergyBalance!C11</f>
        <v>Electricity Plants</v>
      </c>
      <c r="D2" s="34" t="s">
        <v>160</v>
      </c>
      <c r="E2" s="20" t="str">
        <f>EnergyBalance!R2</f>
        <v>PJ</v>
      </c>
      <c r="F2" s="20" t="s">
        <v>161</v>
      </c>
      <c r="G2" s="20" t="str">
        <f>EnergyBalance!Q2</f>
        <v>M€2005</v>
      </c>
      <c r="I2" s="20" t="s">
        <v>127</v>
      </c>
      <c r="J2" s="20" t="s">
        <v>128</v>
      </c>
      <c r="T2" s="191" t="s">
        <v>14</v>
      </c>
      <c r="U2" s="191"/>
      <c r="V2" s="192"/>
      <c r="W2" s="192"/>
      <c r="X2" s="192"/>
      <c r="Y2" s="192"/>
      <c r="Z2" s="192"/>
      <c r="AA2" s="192"/>
      <c r="AB2" s="192"/>
    </row>
    <row r="3" spans="2:28">
      <c r="T3" s="193" t="s">
        <v>7</v>
      </c>
      <c r="U3" s="194" t="s">
        <v>30</v>
      </c>
      <c r="V3" s="193" t="s">
        <v>0</v>
      </c>
      <c r="W3" s="193" t="s">
        <v>3</v>
      </c>
      <c r="X3" s="193" t="s">
        <v>4</v>
      </c>
      <c r="Y3" s="193" t="s">
        <v>8</v>
      </c>
      <c r="Z3" s="193" t="s">
        <v>9</v>
      </c>
      <c r="AA3" s="193" t="s">
        <v>10</v>
      </c>
      <c r="AB3" s="193" t="s">
        <v>12</v>
      </c>
    </row>
    <row r="4" spans="2:28" s="51" customFormat="1" ht="22.2" thickBot="1">
      <c r="B4" s="60" t="s">
        <v>167</v>
      </c>
      <c r="C4" s="17" t="s">
        <v>174</v>
      </c>
      <c r="D4" s="17" t="s">
        <v>168</v>
      </c>
      <c r="E4" s="17" t="s">
        <v>169</v>
      </c>
      <c r="F4" s="17" t="s">
        <v>188</v>
      </c>
      <c r="H4" s="18"/>
      <c r="Q4" s="52"/>
      <c r="R4" s="52"/>
      <c r="S4" s="52"/>
      <c r="T4" s="195" t="s">
        <v>40</v>
      </c>
      <c r="U4" s="195" t="s">
        <v>31</v>
      </c>
      <c r="V4" s="195" t="s">
        <v>26</v>
      </c>
      <c r="W4" s="195" t="s">
        <v>27</v>
      </c>
      <c r="X4" s="195" t="s">
        <v>4</v>
      </c>
      <c r="Y4" s="195" t="s">
        <v>43</v>
      </c>
      <c r="Z4" s="195" t="s">
        <v>44</v>
      </c>
      <c r="AA4" s="195" t="s">
        <v>28</v>
      </c>
      <c r="AB4" s="195" t="s">
        <v>29</v>
      </c>
    </row>
    <row r="5" spans="2:28" s="51" customFormat="1" ht="15.6">
      <c r="B5" s="59" t="s">
        <v>173</v>
      </c>
      <c r="C5" s="20" t="s">
        <v>172</v>
      </c>
      <c r="D5" s="20" t="s">
        <v>171</v>
      </c>
      <c r="E5" s="20" t="s">
        <v>170</v>
      </c>
      <c r="F5" s="20" t="s">
        <v>128</v>
      </c>
      <c r="H5" s="18"/>
      <c r="Q5" s="52"/>
      <c r="R5" s="52"/>
      <c r="S5" s="52"/>
      <c r="T5" s="196" t="s">
        <v>93</v>
      </c>
      <c r="U5" s="197"/>
      <c r="V5" s="196" t="str">
        <f>EnergyBalance!$K$2</f>
        <v>ELC</v>
      </c>
      <c r="W5" s="196" t="str">
        <f>EnergyBalance!$K$3</f>
        <v>Electricity</v>
      </c>
      <c r="X5" s="196" t="str">
        <f>$E$2</f>
        <v>PJ</v>
      </c>
      <c r="Y5" s="196"/>
      <c r="Z5" s="196" t="s">
        <v>183</v>
      </c>
      <c r="AA5" s="208"/>
      <c r="AB5" s="196" t="s">
        <v>54</v>
      </c>
    </row>
    <row r="6" spans="2:28">
      <c r="T6" s="198" t="s">
        <v>143</v>
      </c>
      <c r="U6" s="198"/>
      <c r="V6" s="198" t="str">
        <f>$B$2&amp;EnergyBalance!$C$52</f>
        <v>ELCCO2</v>
      </c>
      <c r="W6" s="198" t="str">
        <f>$C$2&amp;" "&amp;EnergyBalance!$C$53</f>
        <v>Electricity Plants Carbon dioxide</v>
      </c>
      <c r="X6" s="198" t="str">
        <f>EnergyBalance!$S$2</f>
        <v>kt</v>
      </c>
      <c r="Y6" s="198"/>
      <c r="Z6" s="198"/>
      <c r="AA6" s="198"/>
      <c r="AB6" s="198"/>
    </row>
    <row r="7" spans="2:28">
      <c r="T7" s="2"/>
      <c r="U7" s="2"/>
    </row>
    <row r="8" spans="2:28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48"/>
      <c r="Q8" s="51"/>
      <c r="R8" s="49"/>
      <c r="T8" s="191" t="s">
        <v>15</v>
      </c>
      <c r="U8" s="191"/>
      <c r="V8" s="192"/>
      <c r="W8" s="192"/>
      <c r="X8" s="192"/>
      <c r="Y8" s="192"/>
      <c r="Z8" s="192"/>
      <c r="AA8" s="192"/>
      <c r="AB8" s="192"/>
    </row>
    <row r="9" spans="2:28" ht="25.5" customHeight="1">
      <c r="B9" s="29" t="s">
        <v>1</v>
      </c>
      <c r="C9" s="29" t="s">
        <v>5</v>
      </c>
      <c r="D9" s="29" t="s">
        <v>6</v>
      </c>
      <c r="E9" s="159" t="s">
        <v>204</v>
      </c>
      <c r="F9" s="159" t="s">
        <v>205</v>
      </c>
      <c r="G9" s="158" t="s">
        <v>108</v>
      </c>
      <c r="H9" s="158" t="s">
        <v>124</v>
      </c>
      <c r="I9" s="158" t="s">
        <v>106</v>
      </c>
      <c r="J9" s="158" t="s">
        <v>107</v>
      </c>
      <c r="K9" s="158" t="s">
        <v>163</v>
      </c>
      <c r="L9" s="159" t="s">
        <v>101</v>
      </c>
      <c r="M9" s="159" t="s">
        <v>202</v>
      </c>
      <c r="N9" s="159" t="s">
        <v>129</v>
      </c>
      <c r="O9" s="159" t="s">
        <v>212</v>
      </c>
      <c r="P9" s="159" t="s">
        <v>184</v>
      </c>
      <c r="Q9" s="55"/>
      <c r="R9" s="176" t="s">
        <v>175</v>
      </c>
      <c r="S9" s="66"/>
      <c r="T9" s="193" t="s">
        <v>11</v>
      </c>
      <c r="U9" s="194" t="s">
        <v>30</v>
      </c>
      <c r="V9" s="193" t="s">
        <v>1</v>
      </c>
      <c r="W9" s="193" t="s">
        <v>2</v>
      </c>
      <c r="X9" s="193" t="s">
        <v>16</v>
      </c>
      <c r="Y9" s="193" t="s">
        <v>17</v>
      </c>
      <c r="Z9" s="193" t="s">
        <v>18</v>
      </c>
      <c r="AA9" s="193" t="s">
        <v>19</v>
      </c>
      <c r="AB9" s="193" t="s">
        <v>20</v>
      </c>
    </row>
    <row r="10" spans="2:28" ht="23.4" customHeight="1" thickBot="1">
      <c r="B10" s="27" t="s">
        <v>42</v>
      </c>
      <c r="C10" s="27" t="s">
        <v>32</v>
      </c>
      <c r="D10" s="27" t="s">
        <v>33</v>
      </c>
      <c r="E10" s="160" t="s">
        <v>34</v>
      </c>
      <c r="F10" s="161" t="s">
        <v>186</v>
      </c>
      <c r="G10" s="160" t="s">
        <v>113</v>
      </c>
      <c r="H10" s="161" t="s">
        <v>125</v>
      </c>
      <c r="I10" s="160" t="s">
        <v>122</v>
      </c>
      <c r="J10" s="160" t="s">
        <v>121</v>
      </c>
      <c r="K10" s="160" t="s">
        <v>165</v>
      </c>
      <c r="L10" s="27" t="s">
        <v>211</v>
      </c>
      <c r="M10" s="160"/>
      <c r="N10" s="160" t="s">
        <v>142</v>
      </c>
      <c r="O10" s="160" t="s">
        <v>166</v>
      </c>
      <c r="P10" s="160" t="s">
        <v>185</v>
      </c>
      <c r="Q10" s="51"/>
      <c r="R10" s="157" t="s">
        <v>164</v>
      </c>
      <c r="S10" s="67"/>
      <c r="T10" s="195" t="s">
        <v>41</v>
      </c>
      <c r="U10" s="195" t="s">
        <v>31</v>
      </c>
      <c r="V10" s="195" t="s">
        <v>21</v>
      </c>
      <c r="W10" s="195" t="s">
        <v>22</v>
      </c>
      <c r="X10" s="195" t="s">
        <v>23</v>
      </c>
      <c r="Y10" s="195" t="s">
        <v>24</v>
      </c>
      <c r="Z10" s="195" t="s">
        <v>46</v>
      </c>
      <c r="AA10" s="195" t="s">
        <v>45</v>
      </c>
      <c r="AB10" s="195" t="s">
        <v>25</v>
      </c>
    </row>
    <row r="11" spans="2:28" ht="21.6" thickBot="1">
      <c r="B11" s="26" t="s">
        <v>114</v>
      </c>
      <c r="C11" s="26"/>
      <c r="D11" s="26"/>
      <c r="E11" s="24" t="str">
        <f>$F$2</f>
        <v>GW</v>
      </c>
      <c r="F11" s="162" t="str">
        <f>$F$2</f>
        <v>GW</v>
      </c>
      <c r="G11" s="24"/>
      <c r="H11" s="162"/>
      <c r="I11" s="24" t="str">
        <f>$G$2&amp;"/"&amp;$F$2</f>
        <v>M€2005/GW</v>
      </c>
      <c r="J11" s="24" t="str">
        <f>$G$2&amp;"/"&amp;$F$2</f>
        <v>M€2005/GW</v>
      </c>
      <c r="K11" s="24" t="str">
        <f>$G$2&amp;"/"&amp;$E$2</f>
        <v>M€2005/PJ</v>
      </c>
      <c r="L11" s="24" t="s">
        <v>115</v>
      </c>
      <c r="M11" s="24"/>
      <c r="N11" s="24" t="str">
        <f>EnergyBalance!$S$2</f>
        <v>kt</v>
      </c>
      <c r="O11" s="24" t="str">
        <f>$E$2&amp;"/"&amp;$F$2</f>
        <v>PJ/GW</v>
      </c>
      <c r="P11" s="24"/>
      <c r="Q11" s="51"/>
      <c r="R11" s="64" t="s">
        <v>187</v>
      </c>
      <c r="S11" s="67"/>
      <c r="T11" s="195" t="s">
        <v>103</v>
      </c>
      <c r="U11" s="195"/>
      <c r="V11" s="195"/>
      <c r="W11" s="195"/>
      <c r="X11" s="195"/>
      <c r="Y11" s="195"/>
      <c r="Z11" s="195"/>
      <c r="AA11" s="195"/>
      <c r="AB11" s="195"/>
    </row>
    <row r="12" spans="2:28">
      <c r="B12" s="203" t="str">
        <f>V12</f>
        <v>ELCTEGAS00</v>
      </c>
      <c r="C12" s="49" t="str">
        <f>$B$2&amp;RIGHT(Sector_Fuels!$K$7,3)</f>
        <v>ELCGAS</v>
      </c>
      <c r="D12" s="49" t="str">
        <f>$V$5</f>
        <v>ELC</v>
      </c>
      <c r="E12" s="151">
        <f>(-EnergyBalance!E11*G12)/(H12*O12)</f>
        <v>103.62609445787447</v>
      </c>
      <c r="F12" s="151"/>
      <c r="G12" s="186">
        <v>0.4929</v>
      </c>
      <c r="H12" s="139">
        <v>0.85</v>
      </c>
      <c r="I12" s="138"/>
      <c r="J12" s="185">
        <v>35</v>
      </c>
      <c r="K12" s="139">
        <v>0.4</v>
      </c>
      <c r="L12" s="138">
        <v>20</v>
      </c>
      <c r="N12" s="56"/>
      <c r="O12" s="181">
        <v>31.536000000000001</v>
      </c>
      <c r="P12" s="139">
        <v>1</v>
      </c>
      <c r="Q12" s="51"/>
      <c r="R12" s="65"/>
      <c r="S12" s="67"/>
      <c r="T12" s="197" t="s">
        <v>162</v>
      </c>
      <c r="U12" s="197"/>
      <c r="V12" s="197" t="str">
        <f>$B$2&amp;$C$5&amp;$I$2&amp;RIGHT(Sector_Fuels!$K$7,3)&amp;"00"</f>
        <v>ELCTEGAS00</v>
      </c>
      <c r="W12" s="201" t="str">
        <f>$D$2&amp;" "&amp;$I$1&amp;RIGHT(V12,2)&amp;" - "&amp;EnergyBalance!E3</f>
        <v>Power Plants Existing00 - Natural Gas</v>
      </c>
      <c r="X12" s="197" t="str">
        <f t="shared" ref="X12:X16" si="0">$E$2</f>
        <v>PJ</v>
      </c>
      <c r="Y12" s="197" t="str">
        <f t="shared" ref="Y12:Y16" si="1">$F$2</f>
        <v>GW</v>
      </c>
      <c r="Z12" s="196"/>
      <c r="AA12" s="197"/>
      <c r="AB12" s="197"/>
    </row>
    <row r="13" spans="2:28">
      <c r="D13" s="49" t="str">
        <f>$V$6</f>
        <v>ELCCO2</v>
      </c>
      <c r="E13" s="151"/>
      <c r="F13" s="151"/>
      <c r="G13" s="185"/>
      <c r="H13" s="139"/>
      <c r="I13" s="138"/>
      <c r="J13" s="185"/>
      <c r="K13" s="139"/>
      <c r="L13" s="138"/>
      <c r="N13" s="154">
        <f>56.1/G12</f>
        <v>113.81618989653074</v>
      </c>
      <c r="P13" s="149"/>
      <c r="Q13" s="51"/>
      <c r="R13" s="65"/>
      <c r="S13" s="68"/>
      <c r="T13" s="197"/>
      <c r="U13" s="197"/>
      <c r="V13" s="197" t="str">
        <f>$B$2&amp;$C$5&amp;$I$2&amp;RIGHT(Sector_Fuels!$K$8,3)&amp;"00"</f>
        <v>ELCTEOIL00</v>
      </c>
      <c r="W13" s="201" t="str">
        <f>$D$2&amp;" "&amp;$I$1&amp;RIGHT(V13,2)&amp;" - "&amp;EnergyBalance!F3</f>
        <v>Power Plants Existing00 - Crude Oil</v>
      </c>
      <c r="X13" s="197" t="str">
        <f t="shared" si="0"/>
        <v>PJ</v>
      </c>
      <c r="Y13" s="197" t="str">
        <f t="shared" si="1"/>
        <v>GW</v>
      </c>
      <c r="Z13" s="197"/>
      <c r="AA13" s="197"/>
      <c r="AB13" s="197"/>
    </row>
    <row r="14" spans="2:28">
      <c r="B14" s="49" t="str">
        <f>V13</f>
        <v>ELCTEOIL00</v>
      </c>
      <c r="C14" s="49" t="str">
        <f>$B$2&amp;RIGHT(Sector_Fuels!$K$8,3)</f>
        <v>ELCOIL</v>
      </c>
      <c r="D14" s="49" t="str">
        <f>$V$5</f>
        <v>ELC</v>
      </c>
      <c r="E14" s="151">
        <f>((-EnergyBalance!F11*G14)/(H14*O14))</f>
        <v>11.421204897484106</v>
      </c>
      <c r="F14" s="151"/>
      <c r="G14" s="186">
        <v>0.25</v>
      </c>
      <c r="H14" s="153">
        <v>0.85</v>
      </c>
      <c r="I14" s="140"/>
      <c r="J14" s="186">
        <v>20</v>
      </c>
      <c r="K14" s="153">
        <v>0.2</v>
      </c>
      <c r="L14" s="140">
        <v>30</v>
      </c>
      <c r="M14" s="150"/>
      <c r="N14" s="56"/>
      <c r="O14" s="181">
        <v>31.536000000000001</v>
      </c>
      <c r="P14" s="139">
        <v>1</v>
      </c>
      <c r="Q14" s="51"/>
      <c r="R14" s="65">
        <f>E12*H12*O12</f>
        <v>2777.7596376000001</v>
      </c>
      <c r="S14" s="68"/>
      <c r="T14" s="197"/>
      <c r="U14" s="197"/>
      <c r="V14" s="197" t="str">
        <f>$B$2&amp;$E$5&amp;$I$2&amp;RIGHT(Sector_Fuels!$K$9,3)&amp;"00"</f>
        <v>ELCRERNW00</v>
      </c>
      <c r="W14" s="201" t="str">
        <f>$D$2&amp;" "&amp;$I$1&amp;RIGHT(V14,2)&amp;" - "&amp;EnergyBalance!H3</f>
        <v>Power Plants Existing00 - Renewable Energies</v>
      </c>
      <c r="X14" s="197" t="str">
        <f t="shared" si="0"/>
        <v>PJ</v>
      </c>
      <c r="Y14" s="197" t="str">
        <f t="shared" si="1"/>
        <v>GW</v>
      </c>
      <c r="Z14" s="197"/>
      <c r="AA14" s="197"/>
      <c r="AB14" s="197"/>
    </row>
    <row r="15" spans="2:28">
      <c r="D15" s="49" t="str">
        <f>$V$6</f>
        <v>ELCCO2</v>
      </c>
      <c r="E15" s="152"/>
      <c r="F15" s="152"/>
      <c r="G15" s="186"/>
      <c r="H15" s="153"/>
      <c r="I15" s="140"/>
      <c r="J15" s="186"/>
      <c r="K15" s="153"/>
      <c r="L15" s="140"/>
      <c r="M15" s="150"/>
      <c r="N15" s="154">
        <f>76.4/G14</f>
        <v>305.60000000000002</v>
      </c>
      <c r="O15" s="53"/>
      <c r="P15" s="182"/>
      <c r="Q15" s="51"/>
      <c r="R15" s="65"/>
      <c r="S15" s="68"/>
      <c r="T15" s="197"/>
      <c r="U15" s="197"/>
      <c r="V15" s="197" t="str">
        <f>$B$2&amp;$C$5&amp;$J$2&amp;RIGHT(Sector_Fuels!$K$7,3)&amp;"00"</f>
        <v>ELCTNGAS00</v>
      </c>
      <c r="W15" s="201" t="str">
        <f>$D$2&amp;" "&amp;$J$1&amp;RIGHT(V15,2)&amp;" - "&amp;EnergyBalance!E3</f>
        <v>Power Plants New00 - Natural Gas</v>
      </c>
      <c r="X15" s="197" t="str">
        <f t="shared" si="0"/>
        <v>PJ</v>
      </c>
      <c r="Y15" s="197" t="str">
        <f t="shared" si="1"/>
        <v>GW</v>
      </c>
      <c r="Z15" s="197"/>
      <c r="AA15" s="197"/>
      <c r="AB15" s="197"/>
    </row>
    <row r="16" spans="2:28">
      <c r="B16" s="49" t="str">
        <f>V14</f>
        <v>ELCRERNW00</v>
      </c>
      <c r="C16" s="49" t="str">
        <f>$B$2&amp;RIGHT(Sector_Fuels!$K$9,3)</f>
        <v>ELCRNW</v>
      </c>
      <c r="D16" s="49" t="str">
        <f>$V$5</f>
        <v>ELC</v>
      </c>
      <c r="E16" s="151">
        <f>(-EnergyBalance!H11*G16)/(H16*O16)</f>
        <v>88.483849145949605</v>
      </c>
      <c r="F16" s="151">
        <f>E16</f>
        <v>88.483849145949605</v>
      </c>
      <c r="G16" s="185">
        <v>1</v>
      </c>
      <c r="H16" s="139">
        <v>0.45</v>
      </c>
      <c r="I16" s="138"/>
      <c r="J16" s="185">
        <v>70</v>
      </c>
      <c r="K16" s="139"/>
      <c r="L16" s="155"/>
      <c r="N16" s="56"/>
      <c r="O16" s="181">
        <v>31.536000000000001</v>
      </c>
      <c r="P16" s="139">
        <v>0.5</v>
      </c>
      <c r="Q16" s="51"/>
      <c r="R16" s="65">
        <f>E14*H14*O14</f>
        <v>306.15224999999992</v>
      </c>
      <c r="S16" s="68"/>
      <c r="T16" s="197"/>
      <c r="U16" s="197"/>
      <c r="V16" s="197" t="str">
        <f>$B$2&amp;$C$5&amp;$J$2&amp;RIGHT(Sector_Fuels!$K$8,3)&amp;"00"</f>
        <v>ELCTNOIL00</v>
      </c>
      <c r="W16" s="201" t="str">
        <f>$D$2&amp;" "&amp;$J$1&amp;RIGHT(V16,2)&amp;" - "&amp;EnergyBalance!F3</f>
        <v>Power Plants New00 - Crude Oil</v>
      </c>
      <c r="X16" s="197" t="str">
        <f t="shared" si="0"/>
        <v>PJ</v>
      </c>
      <c r="Y16" s="197" t="str">
        <f t="shared" si="1"/>
        <v>GW</v>
      </c>
      <c r="Z16" s="196"/>
      <c r="AA16" s="197"/>
      <c r="AB16" s="197"/>
    </row>
    <row r="17" spans="2:28">
      <c r="B17" s="49" t="str">
        <f>V15</f>
        <v>ELCTNGAS00</v>
      </c>
      <c r="C17" s="49" t="str">
        <f>$B$2&amp;RIGHT(Sector_Fuels!$K$7,3)</f>
        <v>ELCGAS</v>
      </c>
      <c r="D17" s="49" t="str">
        <f>$V$5</f>
        <v>ELC</v>
      </c>
      <c r="G17" s="138">
        <v>0.52</v>
      </c>
      <c r="H17" s="139">
        <v>0.85</v>
      </c>
      <c r="I17" s="138">
        <v>750</v>
      </c>
      <c r="J17" s="185">
        <v>30</v>
      </c>
      <c r="K17" s="139">
        <v>0.35</v>
      </c>
      <c r="L17" s="138">
        <v>30</v>
      </c>
      <c r="M17" s="154">
        <v>2006</v>
      </c>
      <c r="N17" s="56"/>
      <c r="O17" s="181">
        <v>31.536000000000001</v>
      </c>
      <c r="P17" s="139">
        <v>1</v>
      </c>
      <c r="Q17" s="51"/>
      <c r="R17" s="65"/>
      <c r="S17" s="68"/>
      <c r="T17" s="197"/>
      <c r="U17" s="197"/>
      <c r="Z17" s="197"/>
      <c r="AA17" s="197"/>
      <c r="AB17" s="197"/>
    </row>
    <row r="18" spans="2:28">
      <c r="D18" s="49" t="str">
        <f>$V$6</f>
        <v>ELCCO2</v>
      </c>
      <c r="G18" s="138"/>
      <c r="H18" s="138"/>
      <c r="I18" s="138"/>
      <c r="J18" s="185"/>
      <c r="K18" s="139"/>
      <c r="L18" s="138"/>
      <c r="M18" s="56"/>
      <c r="N18" s="154">
        <f>56.1/G17</f>
        <v>107.88461538461539</v>
      </c>
      <c r="P18" s="149"/>
      <c r="Q18" s="49"/>
      <c r="R18" s="65">
        <f>E16*H16*O16</f>
        <v>1255.692</v>
      </c>
      <c r="S18" s="68"/>
      <c r="T18" s="197"/>
      <c r="U18" s="197"/>
      <c r="Z18" s="197"/>
      <c r="AA18" s="197"/>
      <c r="AB18" s="197"/>
    </row>
    <row r="19" spans="2:28">
      <c r="B19" s="49" t="str">
        <f>V16</f>
        <v>ELCTNOIL00</v>
      </c>
      <c r="C19" s="49" t="str">
        <f>$B$2&amp;RIGHT(Sector_Fuels!$K$8,3)</f>
        <v>ELCOIL</v>
      </c>
      <c r="D19" s="49" t="str">
        <f>$V$5</f>
        <v>ELC</v>
      </c>
      <c r="G19" s="139">
        <v>0.3</v>
      </c>
      <c r="H19" s="139">
        <v>0.85</v>
      </c>
      <c r="I19" s="140">
        <v>250</v>
      </c>
      <c r="J19" s="186">
        <v>15</v>
      </c>
      <c r="K19" s="153">
        <v>0.2</v>
      </c>
      <c r="L19" s="138">
        <v>40</v>
      </c>
      <c r="M19" s="154">
        <v>2005</v>
      </c>
      <c r="N19" s="56"/>
      <c r="O19" s="181">
        <v>31.536000000000001</v>
      </c>
      <c r="P19" s="139">
        <v>1</v>
      </c>
      <c r="Q19" s="178"/>
      <c r="R19" s="179"/>
      <c r="S19" s="68"/>
      <c r="T19" s="197"/>
      <c r="U19" s="197"/>
      <c r="AA19" s="197"/>
      <c r="AB19" s="197"/>
    </row>
    <row r="20" spans="2:28">
      <c r="D20" s="49" t="str">
        <f>$V$6</f>
        <v>ELCCO2</v>
      </c>
      <c r="G20" s="138"/>
      <c r="H20" s="138"/>
      <c r="I20" s="138"/>
      <c r="J20" s="138"/>
      <c r="K20" s="138"/>
      <c r="L20" s="138"/>
      <c r="M20" s="51"/>
      <c r="N20" s="154">
        <f>76.4/G19</f>
        <v>254.66666666666669</v>
      </c>
      <c r="Q20" s="49"/>
      <c r="R20" s="49"/>
      <c r="S20" s="68"/>
      <c r="T20" s="9"/>
      <c r="U20" s="9"/>
      <c r="V20" s="9"/>
      <c r="W20" s="9"/>
      <c r="X20" s="9"/>
      <c r="Y20" s="9"/>
      <c r="Z20" s="9"/>
      <c r="AA20" s="9"/>
      <c r="AB20" s="9"/>
    </row>
    <row r="21" spans="2:28">
      <c r="Q21" s="49"/>
      <c r="R21" s="49"/>
    </row>
    <row r="22" spans="2:28">
      <c r="Q22" s="49"/>
      <c r="R22" s="49"/>
    </row>
    <row r="23" spans="2:28">
      <c r="Q23" s="49"/>
      <c r="R23" s="49"/>
    </row>
    <row r="24" spans="2:28">
      <c r="Q24" s="49"/>
      <c r="R24" s="49"/>
    </row>
    <row r="25" spans="2:28">
      <c r="Q25" s="49"/>
      <c r="R25" s="49"/>
    </row>
    <row r="27" spans="2:28">
      <c r="R27" s="177"/>
    </row>
    <row r="28" spans="2:28">
      <c r="R28" s="188"/>
    </row>
    <row r="29" spans="2:28">
      <c r="R29" s="177"/>
    </row>
    <row r="30" spans="2:28">
      <c r="R30" s="189"/>
      <c r="T30" s="9"/>
      <c r="U30" s="9"/>
      <c r="V30" s="9"/>
      <c r="W30" s="35"/>
      <c r="X30" s="9"/>
      <c r="Y30" s="9"/>
      <c r="Z30" s="16"/>
    </row>
    <row r="31" spans="2:28">
      <c r="B31" s="84"/>
      <c r="C31" s="1" t="s">
        <v>196</v>
      </c>
      <c r="T31" s="9"/>
      <c r="U31" s="9"/>
      <c r="V31" s="9"/>
      <c r="W31" s="35"/>
      <c r="X31" s="9"/>
      <c r="Y31" s="9"/>
      <c r="Z31" s="9"/>
    </row>
    <row r="32" spans="2:28">
      <c r="B32" s="129"/>
      <c r="C32" s="1" t="s">
        <v>197</v>
      </c>
      <c r="R32" s="177"/>
      <c r="T32" s="9"/>
      <c r="U32" s="9"/>
      <c r="V32" s="9"/>
      <c r="W32" s="35"/>
      <c r="X32" s="9"/>
      <c r="Y32" s="9"/>
      <c r="Z32" s="9"/>
    </row>
    <row r="33" spans="20:27">
      <c r="T33" s="9"/>
      <c r="U33" s="9"/>
      <c r="V33" s="9"/>
      <c r="W33" s="35"/>
      <c r="X33" s="9"/>
      <c r="Y33" s="9"/>
      <c r="Z33" s="9"/>
    </row>
    <row r="34" spans="20:27">
      <c r="T34" s="9"/>
      <c r="U34" s="9"/>
      <c r="V34" s="9"/>
      <c r="W34" s="35"/>
      <c r="X34" s="9"/>
      <c r="Y34" s="9"/>
      <c r="Z34" s="16"/>
      <c r="AA34" s="196"/>
    </row>
    <row r="35" spans="20:27">
      <c r="T35" s="9"/>
      <c r="U35" s="9"/>
      <c r="V35" s="9"/>
      <c r="W35" s="9"/>
      <c r="X35" s="9"/>
      <c r="Y35" s="9"/>
      <c r="Z35" s="16"/>
    </row>
    <row r="36" spans="20:27">
      <c r="T36" s="9"/>
      <c r="U36" s="9"/>
      <c r="V36" s="9"/>
      <c r="W36" s="9"/>
      <c r="X36" s="9"/>
      <c r="Y36" s="9"/>
      <c r="Z36" s="9"/>
    </row>
    <row r="37" spans="20:27">
      <c r="T37" s="9"/>
      <c r="U37" s="9"/>
      <c r="V37" s="9"/>
      <c r="W37" s="9"/>
      <c r="X37" s="9"/>
      <c r="Y37" s="9"/>
      <c r="Z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N6" sqref="N6"/>
    </sheetView>
  </sheetViews>
  <sheetFormatPr baseColWidth="10" defaultColWidth="8.88671875" defaultRowHeight="13.2"/>
  <cols>
    <col min="1" max="1" width="3" style="49" customWidth="1"/>
    <col min="2" max="2" width="12.109375" style="49" bestFit="1" customWidth="1"/>
    <col min="3" max="3" width="15" style="49" customWidth="1"/>
    <col min="4" max="4" width="13.88671875" style="49" bestFit="1" customWidth="1"/>
    <col min="5" max="5" width="12.33203125" style="49" customWidth="1"/>
    <col min="6" max="6" width="12.109375" style="49" bestFit="1" customWidth="1"/>
    <col min="7" max="7" width="7.5546875" style="49" customWidth="1"/>
    <col min="8" max="8" width="9.109375" style="49" bestFit="1" customWidth="1"/>
    <col min="9" max="9" width="9.44140625" style="49" customWidth="1"/>
    <col min="10" max="10" width="8.109375" style="49" customWidth="1"/>
    <col min="11" max="11" width="2.6640625" style="49" customWidth="1"/>
    <col min="12" max="12" width="12.6640625" style="49" bestFit="1" customWidth="1"/>
    <col min="13" max="13" width="7.109375" style="49" customWidth="1"/>
    <col min="14" max="14" width="11.44140625" style="49" bestFit="1" customWidth="1"/>
    <col min="15" max="15" width="41.5546875" style="49" bestFit="1" customWidth="1"/>
    <col min="16" max="16" width="6.44140625" style="49" customWidth="1"/>
    <col min="17" max="17" width="11.6640625" style="49" customWidth="1"/>
    <col min="18" max="18" width="14.33203125" style="49" customWidth="1"/>
    <col min="19" max="19" width="13.6640625" style="49" bestFit="1" customWidth="1"/>
    <col min="20" max="20" width="8.44140625" style="49" customWidth="1"/>
    <col min="21" max="16384" width="8.88671875" style="49"/>
  </cols>
  <sheetData>
    <row r="1" spans="2:20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</row>
    <row r="2" spans="2:20" ht="31.2">
      <c r="B2" s="20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L2" s="204" t="s">
        <v>14</v>
      </c>
      <c r="M2" s="204"/>
      <c r="N2" s="202"/>
      <c r="O2" s="202"/>
      <c r="P2" s="202"/>
      <c r="Q2" s="202"/>
      <c r="R2" s="202"/>
      <c r="S2" s="202"/>
      <c r="T2" s="202"/>
    </row>
    <row r="3" spans="2:20">
      <c r="L3" s="205" t="s">
        <v>7</v>
      </c>
      <c r="M3" s="206" t="s">
        <v>30</v>
      </c>
      <c r="N3" s="205" t="s">
        <v>0</v>
      </c>
      <c r="O3" s="205" t="s">
        <v>3</v>
      </c>
      <c r="P3" s="205" t="s">
        <v>4</v>
      </c>
      <c r="Q3" s="205" t="s">
        <v>8</v>
      </c>
      <c r="R3" s="205" t="s">
        <v>9</v>
      </c>
      <c r="S3" s="205" t="s">
        <v>10</v>
      </c>
      <c r="T3" s="205" t="s">
        <v>12</v>
      </c>
    </row>
    <row r="4" spans="2:20" s="51" customFormat="1" ht="22.2" thickBot="1">
      <c r="B4" s="18"/>
      <c r="C4" s="18"/>
      <c r="D4" s="18"/>
      <c r="E4" s="18"/>
      <c r="F4" s="18"/>
      <c r="L4" s="195" t="s">
        <v>40</v>
      </c>
      <c r="M4" s="195" t="s">
        <v>31</v>
      </c>
      <c r="N4" s="195" t="s">
        <v>26</v>
      </c>
      <c r="O4" s="195" t="s">
        <v>27</v>
      </c>
      <c r="P4" s="195" t="s">
        <v>4</v>
      </c>
      <c r="Q4" s="195" t="s">
        <v>43</v>
      </c>
      <c r="R4" s="195" t="s">
        <v>44</v>
      </c>
      <c r="S4" s="195" t="s">
        <v>28</v>
      </c>
      <c r="T4" s="195" t="s">
        <v>29</v>
      </c>
    </row>
    <row r="5" spans="2:20" s="51" customFormat="1" ht="15.6">
      <c r="B5" s="18"/>
      <c r="C5" s="18"/>
      <c r="D5" s="18"/>
      <c r="E5" s="18"/>
      <c r="F5" s="18"/>
      <c r="L5" s="207" t="s">
        <v>105</v>
      </c>
      <c r="M5" s="208"/>
      <c r="N5" s="207" t="str">
        <f>B2&amp;EnergyBalance!K2</f>
        <v>TPSELC</v>
      </c>
      <c r="O5" s="207" t="str">
        <f>LEFT($D$2,6)&amp;" "&amp;$C$2&amp;" - "&amp;EnergyBalance!K2</f>
        <v>Demand Total Primary Supply - ELC</v>
      </c>
      <c r="P5" s="207" t="str">
        <f>$E$2</f>
        <v>PJ</v>
      </c>
      <c r="Q5" s="207"/>
      <c r="R5" s="207"/>
      <c r="S5" s="207"/>
      <c r="T5" s="207"/>
    </row>
    <row r="8" spans="2:20">
      <c r="D8" s="7" t="s">
        <v>13</v>
      </c>
      <c r="E8" s="7"/>
      <c r="F8" s="7"/>
      <c r="H8" s="7"/>
      <c r="I8" s="8"/>
      <c r="J8" s="6"/>
      <c r="L8" s="204" t="s">
        <v>15</v>
      </c>
      <c r="M8" s="204"/>
      <c r="N8" s="203"/>
      <c r="O8" s="203"/>
      <c r="P8" s="203"/>
      <c r="Q8" s="203"/>
      <c r="R8" s="203"/>
      <c r="S8" s="203"/>
      <c r="T8" s="203"/>
    </row>
    <row r="9" spans="2:20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L9" s="205" t="s">
        <v>11</v>
      </c>
      <c r="M9" s="206" t="s">
        <v>30</v>
      </c>
      <c r="N9" s="205" t="s">
        <v>1</v>
      </c>
      <c r="O9" s="205" t="s">
        <v>2</v>
      </c>
      <c r="P9" s="205" t="s">
        <v>16</v>
      </c>
      <c r="Q9" s="205" t="s">
        <v>17</v>
      </c>
      <c r="R9" s="205" t="s">
        <v>18</v>
      </c>
      <c r="S9" s="205" t="s">
        <v>19</v>
      </c>
      <c r="T9" s="205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L10" s="195" t="s">
        <v>41</v>
      </c>
      <c r="M10" s="195" t="s">
        <v>31</v>
      </c>
      <c r="N10" s="195" t="s">
        <v>21</v>
      </c>
      <c r="O10" s="195" t="s">
        <v>22</v>
      </c>
      <c r="P10" s="195" t="s">
        <v>23</v>
      </c>
      <c r="Q10" s="195" t="s">
        <v>24</v>
      </c>
      <c r="R10" s="195" t="s">
        <v>46</v>
      </c>
      <c r="S10" s="195" t="s">
        <v>45</v>
      </c>
      <c r="T10" s="195" t="s">
        <v>25</v>
      </c>
    </row>
    <row r="11" spans="2:20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195" t="s">
        <v>103</v>
      </c>
      <c r="M11" s="195"/>
      <c r="N11" s="195"/>
      <c r="O11" s="195"/>
      <c r="P11" s="195"/>
      <c r="Q11" s="195"/>
      <c r="R11" s="195"/>
      <c r="S11" s="195"/>
      <c r="T11" s="195"/>
    </row>
    <row r="12" spans="2:20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39">
        <v>1</v>
      </c>
      <c r="G12" s="139">
        <v>0.95</v>
      </c>
      <c r="H12" s="138">
        <v>10</v>
      </c>
      <c r="I12" s="139">
        <f>H12*0.02</f>
        <v>0.2</v>
      </c>
      <c r="J12" s="138">
        <v>20</v>
      </c>
      <c r="L12" s="207" t="s">
        <v>123</v>
      </c>
      <c r="M12" s="208"/>
      <c r="N12" s="208" t="str">
        <f>LEFT(L12,1)&amp;B2&amp;RIGHT(O12,3)</f>
        <v>DTPSELC</v>
      </c>
      <c r="O12" s="209" t="str">
        <f>$D$2&amp;" "&amp;$C$2&amp;" - "&amp;EnergyBalance!K2</f>
        <v>Demand Technology Total Primary Supply - ELC</v>
      </c>
      <c r="P12" s="208" t="str">
        <f>$E$2</f>
        <v>PJ</v>
      </c>
      <c r="Q12" s="208" t="str">
        <f>$E$2&amp;"a"</f>
        <v>PJa</v>
      </c>
      <c r="R12" s="208"/>
      <c r="S12" s="208"/>
      <c r="T12" s="208"/>
    </row>
    <row r="13" spans="2:20">
      <c r="D13" s="51"/>
      <c r="E13" s="155"/>
      <c r="F13" s="168"/>
      <c r="G13" s="168"/>
      <c r="H13" s="51"/>
      <c r="I13" s="168"/>
      <c r="J13" s="51"/>
      <c r="L13" s="61"/>
      <c r="M13" s="51"/>
      <c r="N13" s="51"/>
      <c r="O13" s="167"/>
      <c r="P13" s="51"/>
      <c r="Q13" s="51"/>
      <c r="R13" s="51"/>
      <c r="S13" s="51"/>
      <c r="T13" s="51"/>
    </row>
    <row r="14" spans="2:20">
      <c r="B14" s="53"/>
      <c r="D14" s="53"/>
      <c r="E14" s="150"/>
      <c r="F14" s="169"/>
      <c r="G14" s="169"/>
      <c r="H14" s="52"/>
      <c r="I14" s="169"/>
      <c r="J14" s="52"/>
      <c r="L14" s="51"/>
      <c r="M14" s="51"/>
      <c r="N14" s="51"/>
      <c r="O14" s="170"/>
      <c r="P14" s="51"/>
      <c r="Q14" s="51"/>
      <c r="R14" s="51"/>
      <c r="S14" s="51"/>
      <c r="T14" s="51"/>
    </row>
    <row r="15" spans="2:20">
      <c r="B15" s="53"/>
      <c r="E15" s="150"/>
      <c r="F15" s="169"/>
      <c r="G15" s="169"/>
      <c r="H15" s="52"/>
      <c r="I15" s="169"/>
      <c r="J15" s="52"/>
      <c r="L15" s="51"/>
      <c r="M15" s="51"/>
      <c r="N15" s="51"/>
      <c r="O15" s="170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48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48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38"/>
      <c r="C23" s="50" t="s">
        <v>196</v>
      </c>
    </row>
    <row r="24" spans="2:20">
      <c r="B24" s="171"/>
      <c r="C24" s="50" t="s">
        <v>197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I12" sqref="I12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8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" t="s">
        <v>190</v>
      </c>
      <c r="H1" s="17" t="s">
        <v>126</v>
      </c>
      <c r="I1" s="17" t="s">
        <v>203</v>
      </c>
    </row>
    <row r="2" spans="2:22" ht="31.2">
      <c r="B2" s="20" t="str">
        <f>EnergyBalance!B20</f>
        <v>TRA</v>
      </c>
      <c r="C2" s="20" t="str">
        <f>EnergyBalance!C20</f>
        <v>Transport</v>
      </c>
      <c r="D2" s="34" t="s">
        <v>153</v>
      </c>
      <c r="E2" s="20" t="str">
        <f>EnergyBalance!R2</f>
        <v>PJ</v>
      </c>
      <c r="F2" s="20" t="str">
        <f>EnergyBalance!Q2</f>
        <v>M€2005</v>
      </c>
      <c r="G2" s="69" t="s">
        <v>191</v>
      </c>
      <c r="H2" s="20" t="s">
        <v>127</v>
      </c>
      <c r="I2" s="20" t="s">
        <v>128</v>
      </c>
      <c r="N2" s="191" t="s">
        <v>14</v>
      </c>
      <c r="O2" s="191"/>
      <c r="P2" s="192"/>
      <c r="Q2" s="192"/>
      <c r="R2" s="192"/>
      <c r="S2" s="192"/>
      <c r="T2" s="192"/>
      <c r="U2" s="192"/>
      <c r="V2" s="192"/>
    </row>
    <row r="3" spans="2:22">
      <c r="N3" s="193" t="s">
        <v>7</v>
      </c>
      <c r="O3" s="194" t="s">
        <v>30</v>
      </c>
      <c r="P3" s="193" t="s">
        <v>0</v>
      </c>
      <c r="Q3" s="193" t="s">
        <v>3</v>
      </c>
      <c r="R3" s="193" t="s">
        <v>4</v>
      </c>
      <c r="S3" s="193" t="s">
        <v>8</v>
      </c>
      <c r="T3" s="193" t="s">
        <v>9</v>
      </c>
      <c r="U3" s="193" t="s">
        <v>10</v>
      </c>
      <c r="V3" s="193" t="s">
        <v>12</v>
      </c>
    </row>
    <row r="4" spans="2:22" s="9" customFormat="1" ht="22.2" thickBot="1">
      <c r="B4" s="18"/>
      <c r="C4" s="18"/>
      <c r="D4" s="18"/>
      <c r="E4" s="18"/>
      <c r="F4" s="18"/>
      <c r="L4" s="58"/>
      <c r="N4" s="195" t="s">
        <v>40</v>
      </c>
      <c r="O4" s="195" t="s">
        <v>31</v>
      </c>
      <c r="P4" s="195" t="s">
        <v>26</v>
      </c>
      <c r="Q4" s="195" t="s">
        <v>27</v>
      </c>
      <c r="R4" s="195" t="s">
        <v>4</v>
      </c>
      <c r="S4" s="195" t="s">
        <v>43</v>
      </c>
      <c r="T4" s="195" t="s">
        <v>44</v>
      </c>
      <c r="U4" s="195" t="s">
        <v>28</v>
      </c>
      <c r="V4" s="195" t="s">
        <v>29</v>
      </c>
    </row>
    <row r="5" spans="2:22" s="9" customFormat="1" ht="15.6">
      <c r="B5" s="18"/>
      <c r="C5" s="18"/>
      <c r="D5" s="18"/>
      <c r="E5" s="18"/>
      <c r="F5" s="18"/>
      <c r="L5" s="58"/>
      <c r="N5" s="196" t="s">
        <v>105</v>
      </c>
      <c r="O5" s="197"/>
      <c r="P5" s="196" t="str">
        <f>LEFT($N$5,1)&amp;LEFT($B$2,1)&amp;EnergyBalance!$C$49</f>
        <v>DTD1</v>
      </c>
      <c r="Q5" s="196" t="str">
        <f>LEFT($D$2,6)&amp;" "&amp;$C$2&amp; " Sector - "&amp;EnergyBalance!$N$49</f>
        <v>Demand Transport Sector - Demand 1</v>
      </c>
      <c r="R5" s="196" t="str">
        <f>$E$2</f>
        <v>PJ</v>
      </c>
      <c r="S5" s="196"/>
      <c r="T5" s="196"/>
      <c r="U5" s="196"/>
      <c r="V5" s="196"/>
    </row>
    <row r="6" spans="2:22">
      <c r="N6" s="198" t="s">
        <v>143</v>
      </c>
      <c r="O6" s="198"/>
      <c r="P6" s="198" t="str">
        <f>$B$2&amp;EnergyBalance!$C$52</f>
        <v>TRACO2</v>
      </c>
      <c r="Q6" s="198" t="str">
        <f>$C$2&amp;" "&amp;EnergyBalance!$C$53</f>
        <v>Transport Carbon dioxide</v>
      </c>
      <c r="R6" s="198" t="str">
        <f>EnergyBalance!$S$2</f>
        <v>kt</v>
      </c>
      <c r="S6" s="198"/>
      <c r="T6" s="198"/>
      <c r="U6" s="198"/>
      <c r="V6" s="198"/>
    </row>
    <row r="8" spans="2:22">
      <c r="D8" s="7" t="s">
        <v>13</v>
      </c>
      <c r="E8" s="7"/>
      <c r="F8" s="7"/>
      <c r="H8" s="7"/>
      <c r="I8" s="8"/>
      <c r="J8" s="6"/>
      <c r="K8" s="25"/>
      <c r="L8"/>
      <c r="N8" s="191" t="s">
        <v>15</v>
      </c>
      <c r="O8" s="191"/>
      <c r="P8" s="198"/>
      <c r="Q8" s="198"/>
      <c r="R8" s="198"/>
      <c r="S8" s="198"/>
      <c r="T8" s="198"/>
      <c r="U8" s="198"/>
      <c r="V8" s="198"/>
    </row>
    <row r="9" spans="2:22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K9" s="159" t="s">
        <v>202</v>
      </c>
      <c r="L9" s="159" t="s">
        <v>129</v>
      </c>
      <c r="N9" s="193" t="s">
        <v>11</v>
      </c>
      <c r="O9" s="194" t="s">
        <v>30</v>
      </c>
      <c r="P9" s="193" t="s">
        <v>1</v>
      </c>
      <c r="Q9" s="193" t="s">
        <v>2</v>
      </c>
      <c r="R9" s="193" t="s">
        <v>16</v>
      </c>
      <c r="S9" s="193" t="s">
        <v>17</v>
      </c>
      <c r="T9" s="193" t="s">
        <v>18</v>
      </c>
      <c r="U9" s="193" t="s">
        <v>19</v>
      </c>
      <c r="V9" s="193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K10" s="27"/>
      <c r="L10" s="27" t="s">
        <v>142</v>
      </c>
      <c r="N10" s="195" t="s">
        <v>41</v>
      </c>
      <c r="O10" s="195" t="s">
        <v>31</v>
      </c>
      <c r="P10" s="195" t="s">
        <v>21</v>
      </c>
      <c r="Q10" s="195" t="s">
        <v>22</v>
      </c>
      <c r="R10" s="195" t="s">
        <v>23</v>
      </c>
      <c r="S10" s="195" t="s">
        <v>24</v>
      </c>
      <c r="T10" s="195" t="s">
        <v>46</v>
      </c>
      <c r="U10" s="195" t="s">
        <v>45</v>
      </c>
      <c r="V10" s="195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196" t="s">
        <v>123</v>
      </c>
      <c r="O11" s="197"/>
      <c r="P11" s="197" t="str">
        <f>LEFT($B$2)&amp;EnergyBalance!$C$44&amp;$H$2&amp;EnergyBalance!F2</f>
        <v>TOTEOIL</v>
      </c>
      <c r="Q11" s="201" t="str">
        <f>$D$2&amp;" "&amp;$C$2&amp; " Sector - "&amp;" "&amp;$H$1&amp;" "&amp;EnergyBalance!$N$40&amp;" - "&amp;EnergyBalance!$F$3</f>
        <v>Demand Technologies Transport Sector -  Existing  - Crude Oil</v>
      </c>
      <c r="R11" s="197" t="str">
        <f>$E$2</f>
        <v>PJ</v>
      </c>
      <c r="S11" s="197" t="str">
        <f>$E$2&amp;"a"</f>
        <v>PJa</v>
      </c>
      <c r="T11" s="197"/>
      <c r="U11" s="197"/>
      <c r="V11" s="197"/>
    </row>
    <row r="12" spans="2:22">
      <c r="B12" t="str">
        <f>P11</f>
        <v>TOTEOIL</v>
      </c>
      <c r="C12" t="str">
        <f>$B$2&amp;RIGHT(B12,3)</f>
        <v>TRAOIL</v>
      </c>
      <c r="D12" t="str">
        <f>$P$5</f>
        <v>DTD1</v>
      </c>
      <c r="E12" s="128">
        <f>EnergyBalance!F20/G12*1.01</f>
        <v>16666.401655555557</v>
      </c>
      <c r="F12" s="133">
        <v>1</v>
      </c>
      <c r="G12" s="133">
        <v>0.9</v>
      </c>
      <c r="H12" s="84"/>
      <c r="I12" s="133">
        <v>0.2</v>
      </c>
      <c r="J12" s="84">
        <v>10</v>
      </c>
      <c r="L12"/>
      <c r="N12" s="198"/>
      <c r="O12" s="198"/>
      <c r="P12" s="197" t="str">
        <f>LEFT($B$2)&amp;EnergyBalance!$C$44&amp;$I$2&amp;EnergyBalance!F2</f>
        <v>TOTNOIL</v>
      </c>
      <c r="Q12" s="201" t="str">
        <f>$D$2&amp;" "&amp;$C$2&amp; " Sector - "&amp;" "&amp;$I$1&amp;" "&amp;EnergyBalance!$N$40&amp;" - "&amp;EnergyBalance!$F$3</f>
        <v>Demand Technologies Transport Sector -  New  - Crude Oil</v>
      </c>
      <c r="R12" s="197" t="str">
        <f>$E$2</f>
        <v>PJ</v>
      </c>
      <c r="S12" s="197" t="str">
        <f>$E$2&amp;"a"</f>
        <v>PJa</v>
      </c>
      <c r="T12" s="198"/>
      <c r="U12" s="198"/>
      <c r="V12" s="198"/>
    </row>
    <row r="13" spans="2:22">
      <c r="D13" t="str">
        <f>$P$6</f>
        <v>TRACO2</v>
      </c>
      <c r="E13" s="14"/>
      <c r="F13" s="28"/>
      <c r="G13" s="28"/>
      <c r="I13" s="28"/>
      <c r="L13" s="184">
        <f>65/F12</f>
        <v>65</v>
      </c>
      <c r="N13" s="9"/>
      <c r="O13" s="9"/>
      <c r="P13" s="9"/>
      <c r="Q13" s="35"/>
      <c r="R13" s="16"/>
      <c r="S13" s="16"/>
      <c r="T13" s="9"/>
      <c r="U13" s="16"/>
      <c r="V13" s="9"/>
    </row>
    <row r="14" spans="2:2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2"/>
      <c r="F14" s="136">
        <v>1.1000000000000001</v>
      </c>
      <c r="G14" s="136">
        <v>0.9</v>
      </c>
      <c r="H14" s="156">
        <v>10</v>
      </c>
      <c r="I14" s="136">
        <f>H14*0.02</f>
        <v>0.2</v>
      </c>
      <c r="J14" s="156">
        <v>15</v>
      </c>
      <c r="K14" s="137">
        <v>2006</v>
      </c>
      <c r="L14"/>
      <c r="N14" s="9"/>
      <c r="O14" s="9"/>
      <c r="P14" s="9"/>
      <c r="Q14" s="35"/>
      <c r="R14" s="16"/>
      <c r="S14" s="16"/>
      <c r="T14" s="9"/>
      <c r="U14" s="16"/>
      <c r="V14" s="9"/>
    </row>
    <row r="15" spans="2:22">
      <c r="B15" s="11"/>
      <c r="D15" t="str">
        <f>$P$6</f>
        <v>TRACO2</v>
      </c>
      <c r="E15" s="32"/>
      <c r="F15" s="33"/>
      <c r="G15" s="33"/>
      <c r="H15" s="11"/>
      <c r="I15" s="33"/>
      <c r="J15" s="11"/>
      <c r="K15" s="32"/>
      <c r="L15" s="183">
        <f>65/F14</f>
        <v>59.090909090909086</v>
      </c>
      <c r="N15" s="9"/>
      <c r="O15" s="9"/>
      <c r="P15" s="9"/>
      <c r="Q15" s="35"/>
      <c r="R15" s="16"/>
      <c r="S15" s="16"/>
      <c r="T15" s="9"/>
      <c r="U15" s="16"/>
      <c r="V15" s="9"/>
    </row>
    <row r="16" spans="2:22">
      <c r="L16"/>
    </row>
    <row r="17" spans="1:2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>
      <c r="N21" s="9"/>
      <c r="O21" s="9"/>
      <c r="P21" s="9"/>
      <c r="Q21" s="9"/>
      <c r="R21" s="9"/>
      <c r="S21" s="9"/>
      <c r="T21" s="9"/>
      <c r="U21" s="9"/>
      <c r="V21" s="9"/>
    </row>
    <row r="23" spans="1:22">
      <c r="B23" s="84"/>
      <c r="C23" s="1" t="s">
        <v>196</v>
      </c>
      <c r="K23" s="1"/>
      <c r="L23" s="15"/>
    </row>
    <row r="24" spans="1:22">
      <c r="B24" s="129"/>
      <c r="C24" s="1" t="s">
        <v>197</v>
      </c>
      <c r="K24" s="1"/>
      <c r="L24" s="15"/>
      <c r="M24" s="1"/>
    </row>
    <row r="25" spans="1:22">
      <c r="A25" s="11"/>
      <c r="K25" s="1"/>
      <c r="L25" s="15"/>
      <c r="M25" s="1"/>
    </row>
    <row r="26" spans="1:22" s="11" customFormat="1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/>
      <c r="O26"/>
      <c r="P26"/>
      <c r="Q26"/>
      <c r="R26"/>
      <c r="S26"/>
      <c r="T26"/>
      <c r="U26"/>
      <c r="V26"/>
    </row>
    <row r="27" spans="1:22">
      <c r="E27" s="1"/>
      <c r="M27" s="1"/>
    </row>
    <row r="28" spans="1:22">
      <c r="E28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EnergyBalance</vt:lpstr>
      <vt:lpstr>RES&amp;OBJ</vt:lpstr>
      <vt:lpstr>Pri_GAS</vt:lpstr>
      <vt:lpstr>Pri_OIL</vt:lpstr>
      <vt:lpstr>Pri_RNW</vt:lpstr>
      <vt:lpstr>Sector_Fuels</vt:lpstr>
      <vt:lpstr>Con_ELC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2022-06-21T20:00:58Z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650401115417480</vt:r8>
  </property>
</Properties>
</file>