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34A28AE1-ACD8-4C24-A8C8-D9D0BA749E04}" xr6:coauthVersionLast="47" xr6:coauthVersionMax="47" xr10:uidLastSave="{00000000-0000-0000-0000-000000000000}"/>
  <bookViews>
    <workbookView xWindow="-108" yWindow="-108" windowWidth="23256" windowHeight="12456" tabRatio="900" activeTab="7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Sector_Fuels" sheetId="140" r:id="rId7"/>
    <sheet name="Con_ELC" sheetId="143" r:id="rId8"/>
    <sheet name="DemTechs_TPS" sheetId="145" r:id="rId9"/>
    <sheet name="DemTechs_ELC" sheetId="146" r:id="rId10"/>
    <sheet name="DemTechs_TRA" sheetId="141" r:id="rId11"/>
    <sheet name="DemTechs_RSD" sheetId="138" r:id="rId12"/>
    <sheet name="Demands" sheetId="134" r:id="rId13"/>
  </sheets>
  <externalReferences>
    <externalReference r:id="rId1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4" i="143"/>
  <c r="N22" i="143"/>
  <c r="N20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8" i="143"/>
  <c r="F18" i="143" s="1"/>
  <c r="E14" i="143"/>
  <c r="R14" i="143" s="1"/>
  <c r="E12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6" i="143"/>
  <c r="Y17" i="143"/>
  <c r="Y18" i="143"/>
  <c r="I15" i="136"/>
  <c r="I15" i="132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8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E2" i="132"/>
  <c r="G10" i="132" s="1"/>
  <c r="G2" i="132"/>
  <c r="H10" i="132"/>
  <c r="K11" i="137"/>
  <c r="M11" i="137" s="1"/>
  <c r="B11" i="137" s="1"/>
  <c r="K11" i="136"/>
  <c r="K11" i="132"/>
  <c r="M11" i="132" s="1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K15" i="132"/>
  <c r="K14" i="132"/>
  <c r="D2" i="132"/>
  <c r="N5" i="132" s="1"/>
  <c r="C2" i="132"/>
  <c r="M15" i="132" s="1"/>
  <c r="M22" i="140"/>
  <c r="X16" i="143"/>
  <c r="O11" i="136"/>
  <c r="I10" i="132"/>
  <c r="O12" i="132"/>
  <c r="O5" i="137"/>
  <c r="M5" i="136"/>
  <c r="D12" i="136" s="1"/>
  <c r="O13" i="132"/>
  <c r="O11" i="132"/>
  <c r="O5" i="132"/>
  <c r="O14" i="137"/>
  <c r="O15" i="137"/>
  <c r="M14" i="136"/>
  <c r="B14" i="136" s="1"/>
  <c r="I10" i="136"/>
  <c r="I11" i="146"/>
  <c r="E11" i="146"/>
  <c r="H11" i="146"/>
  <c r="C9" i="134"/>
  <c r="D12" i="145"/>
  <c r="E11" i="145"/>
  <c r="P12" i="145"/>
  <c r="P11" i="141"/>
  <c r="B12" i="141" s="1"/>
  <c r="C12" i="141" s="1"/>
  <c r="Q6" i="138"/>
  <c r="K18" i="140"/>
  <c r="B18" i="140" s="1"/>
  <c r="M20" i="140"/>
  <c r="M9" i="140"/>
  <c r="N21" i="140"/>
  <c r="M19" i="140"/>
  <c r="M17" i="140"/>
  <c r="M5" i="140"/>
  <c r="N17" i="140"/>
  <c r="N18" i="140"/>
  <c r="D21" i="143"/>
  <c r="X17" i="143"/>
  <c r="D16" i="143"/>
  <c r="D23" i="143"/>
  <c r="D18" i="143"/>
  <c r="K9" i="140"/>
  <c r="K21" i="140" s="1"/>
  <c r="B21" i="140" s="1"/>
  <c r="D14" i="143"/>
  <c r="L10" i="140"/>
  <c r="L22" i="140" s="1"/>
  <c r="F12" i="134"/>
  <c r="X14" i="143"/>
  <c r="X12" i="143"/>
  <c r="X5" i="143"/>
  <c r="X13" i="143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2" i="132"/>
  <c r="B12" i="132" s="1"/>
  <c r="M18" i="140"/>
  <c r="M8" i="140"/>
  <c r="M21" i="140"/>
  <c r="N19" i="140"/>
  <c r="N22" i="140"/>
  <c r="M7" i="140"/>
  <c r="N20" i="140"/>
  <c r="Q12" i="141"/>
  <c r="Q6" i="141"/>
  <c r="I10" i="142"/>
  <c r="P5" i="145"/>
  <c r="Q12" i="145"/>
  <c r="N5" i="136"/>
  <c r="D12" i="143"/>
  <c r="D19" i="143"/>
  <c r="H12" i="134"/>
  <c r="M11" i="142"/>
  <c r="N11" i="142" s="1"/>
  <c r="E11" i="141"/>
  <c r="H11" i="141"/>
  <c r="R12" i="141"/>
  <c r="R11" i="141"/>
  <c r="S11" i="141"/>
  <c r="Q5" i="141"/>
  <c r="S12" i="141"/>
  <c r="N5" i="146"/>
  <c r="O10" i="134" s="1"/>
  <c r="D14" i="136"/>
  <c r="D15" i="138"/>
  <c r="D13" i="138"/>
  <c r="C18" i="143" l="1"/>
  <c r="K22" i="140"/>
  <c r="B22" i="140" s="1"/>
  <c r="D22" i="140"/>
  <c r="C22" i="140" s="1"/>
  <c r="B15" i="132"/>
  <c r="N15" i="132"/>
  <c r="B11" i="132"/>
  <c r="N11" i="132"/>
  <c r="D11" i="137"/>
  <c r="D12" i="137"/>
  <c r="D13" i="137"/>
  <c r="C15" i="137"/>
  <c r="O15" i="136"/>
  <c r="M15" i="136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K19" i="140" s="1"/>
  <c r="B19" i="140" s="1"/>
  <c r="H11" i="145"/>
  <c r="V14" i="143"/>
  <c r="S12" i="138"/>
  <c r="R18" i="143"/>
  <c r="D14" i="138"/>
  <c r="N11" i="137"/>
  <c r="M13" i="132"/>
  <c r="K8" i="140"/>
  <c r="V17" i="143" s="1"/>
  <c r="W17" i="143" s="1"/>
  <c r="K11" i="143"/>
  <c r="V6" i="143"/>
  <c r="S13" i="138"/>
  <c r="O15" i="132"/>
  <c r="M14" i="132"/>
  <c r="B14" i="132" s="1"/>
  <c r="L14" i="133"/>
  <c r="D21" i="140"/>
  <c r="C21" i="140" s="1"/>
  <c r="R12" i="138"/>
  <c r="R13" i="138"/>
  <c r="M12" i="137"/>
  <c r="M13" i="137"/>
  <c r="B13" i="137" s="1"/>
  <c r="Q12" i="138"/>
  <c r="W6" i="143"/>
  <c r="O5" i="136"/>
  <c r="M15" i="137"/>
  <c r="B15" i="137" s="1"/>
  <c r="O14" i="132"/>
  <c r="O12" i="136"/>
  <c r="G10" i="137"/>
  <c r="C14" i="138"/>
  <c r="D12" i="138"/>
  <c r="B11" i="142"/>
  <c r="C23" i="143"/>
  <c r="V18" i="143"/>
  <c r="B23" i="143" s="1"/>
  <c r="V15" i="143"/>
  <c r="C19" i="143"/>
  <c r="L9" i="140"/>
  <c r="L21" i="140" s="1"/>
  <c r="D13" i="136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O11" i="134"/>
  <c r="D12" i="146"/>
  <c r="D17" i="143"/>
  <c r="V16" i="143"/>
  <c r="M10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C12" i="143"/>
  <c r="N14" i="136"/>
  <c r="P5" i="141"/>
  <c r="D20" i="140" l="1"/>
  <c r="C20" i="140" s="1"/>
  <c r="B21" i="143"/>
  <c r="K20" i="140"/>
  <c r="B20" i="140" s="1"/>
  <c r="W18" i="143"/>
  <c r="B13" i="132"/>
  <c r="N13" i="132"/>
  <c r="V12" i="143"/>
  <c r="D19" i="140"/>
  <c r="C19" i="140" s="1"/>
  <c r="N13" i="137"/>
  <c r="B18" i="143"/>
  <c r="W15" i="143"/>
  <c r="N12" i="137"/>
  <c r="B12" i="137"/>
  <c r="N15" i="137"/>
  <c r="C14" i="143"/>
  <c r="V13" i="143"/>
  <c r="D24" i="143"/>
  <c r="D22" i="143"/>
  <c r="D20" i="143"/>
  <c r="D15" i="143"/>
  <c r="N13" i="136"/>
  <c r="C21" i="143"/>
  <c r="B16" i="143"/>
  <c r="W14" i="143"/>
  <c r="D11" i="132"/>
  <c r="D13" i="132"/>
  <c r="C15" i="132"/>
  <c r="D14" i="132"/>
  <c r="D12" i="132"/>
  <c r="N11" i="136"/>
  <c r="B11" i="136"/>
  <c r="C11" i="134"/>
  <c r="D14" i="141"/>
  <c r="D12" i="141"/>
  <c r="W16" i="143"/>
  <c r="B19" i="143"/>
  <c r="B14" i="143" l="1"/>
  <c r="W13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<sst xmlns="http://schemas.openxmlformats.org/spreadsheetml/2006/main" count="880" uniqueCount="218">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</sst>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6.4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4.4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4.4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4.4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4.4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4.4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4.4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4.4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4.4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193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4.4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4.4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>
      <c r="A50" s="9"/>
    </row>
    <row r="51" spans="1:14">
      <c r="A51" s="9"/>
    </row>
    <row r="52" spans="1:14">
      <c r="A52" s="9"/>
      <c r="C52" s="125" t="s">
        <v>144</v>
      </c>
      <c r="D52" s="127" t="s">
        <v>145</v>
      </c>
      <c r="E52" s="126" t="s">
        <v>146</v>
      </c>
    </row>
    <row r="53" spans="1:14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>
      <c r="A54" s="9"/>
      <c r="B54" s="80" t="s">
        <v>79</v>
      </c>
      <c r="C54" s="122">
        <v>1</v>
      </c>
      <c r="D54" s="122"/>
      <c r="E54" s="122"/>
    </row>
    <row r="55" spans="1:14">
      <c r="A55" s="9"/>
      <c r="B55" s="80" t="s">
        <v>87</v>
      </c>
      <c r="C55" s="122">
        <v>1</v>
      </c>
      <c r="D55" s="122"/>
      <c r="E55" s="122"/>
    </row>
    <row r="56" spans="1:14">
      <c r="A56" s="9"/>
      <c r="B56" s="80" t="s">
        <v>89</v>
      </c>
      <c r="C56" s="122">
        <v>1</v>
      </c>
      <c r="D56" s="122"/>
      <c r="E56" s="122"/>
    </row>
    <row r="57" spans="1:14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0" sqref="J10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10" t="s">
        <v>14</v>
      </c>
      <c r="M2" s="210"/>
      <c r="N2" s="208"/>
      <c r="O2" s="208"/>
      <c r="P2" s="208"/>
      <c r="Q2" s="208"/>
      <c r="R2" s="208"/>
      <c r="S2" s="208"/>
      <c r="T2" s="208"/>
    </row>
    <row r="3" spans="2:20">
      <c r="L3" s="211" t="s">
        <v>7</v>
      </c>
      <c r="M3" s="212" t="s">
        <v>30</v>
      </c>
      <c r="N3" s="211" t="s">
        <v>0</v>
      </c>
      <c r="O3" s="211" t="s">
        <v>3</v>
      </c>
      <c r="P3" s="211" t="s">
        <v>4</v>
      </c>
      <c r="Q3" s="211" t="s">
        <v>8</v>
      </c>
      <c r="R3" s="211" t="s">
        <v>9</v>
      </c>
      <c r="S3" s="211" t="s">
        <v>10</v>
      </c>
      <c r="T3" s="211" t="s">
        <v>12</v>
      </c>
    </row>
    <row r="4" spans="2:20" s="51" customFormat="1" ht="22.2" thickBot="1">
      <c r="B4" s="18"/>
      <c r="C4" s="18"/>
      <c r="D4" s="18"/>
      <c r="E4" s="18"/>
      <c r="F4" s="18"/>
      <c r="L4" s="201" t="s">
        <v>40</v>
      </c>
      <c r="M4" s="201" t="s">
        <v>31</v>
      </c>
      <c r="N4" s="201" t="s">
        <v>26</v>
      </c>
      <c r="O4" s="201" t="s">
        <v>27</v>
      </c>
      <c r="P4" s="201" t="s">
        <v>4</v>
      </c>
      <c r="Q4" s="201" t="s">
        <v>43</v>
      </c>
      <c r="R4" s="201" t="s">
        <v>44</v>
      </c>
      <c r="S4" s="201" t="s">
        <v>28</v>
      </c>
      <c r="T4" s="201" t="s">
        <v>29</v>
      </c>
    </row>
    <row r="5" spans="2:20" s="51" customFormat="1" ht="15.6">
      <c r="B5" s="18"/>
      <c r="C5" s="18"/>
      <c r="D5" s="18"/>
      <c r="E5" s="18"/>
      <c r="F5" s="18"/>
      <c r="L5" s="213" t="s">
        <v>105</v>
      </c>
      <c r="M5" s="214"/>
      <c r="N5" s="213" t="str">
        <f>B2&amp;EnergyBalance!K2</f>
        <v>TPSELC</v>
      </c>
      <c r="O5" s="213" t="str">
        <f>LEFT($D$2,6)&amp;" "&amp;$C$2&amp;" - "&amp;EnergyBalance!K2</f>
        <v>Demand Total Primary Supply - ELC</v>
      </c>
      <c r="P5" s="213" t="str">
        <f>$E$2</f>
        <v>PJ</v>
      </c>
      <c r="Q5" s="213"/>
      <c r="R5" s="213"/>
      <c r="S5" s="213"/>
      <c r="T5" s="213"/>
    </row>
    <row r="8" spans="2:20">
      <c r="D8" s="7" t="s">
        <v>13</v>
      </c>
      <c r="E8" s="7"/>
      <c r="F8" s="7"/>
      <c r="H8" s="7"/>
      <c r="I8" s="8"/>
      <c r="J8" s="6"/>
      <c r="L8" s="210" t="s">
        <v>15</v>
      </c>
      <c r="M8" s="210"/>
      <c r="N8" s="209"/>
      <c r="O8" s="209"/>
      <c r="P8" s="209"/>
      <c r="Q8" s="209"/>
      <c r="R8" s="209"/>
      <c r="S8" s="209"/>
      <c r="T8" s="209"/>
    </row>
    <row r="9" spans="2:20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11" t="s">
        <v>11</v>
      </c>
      <c r="M9" s="212" t="s">
        <v>30</v>
      </c>
      <c r="N9" s="211" t="s">
        <v>1</v>
      </c>
      <c r="O9" s="211" t="s">
        <v>2</v>
      </c>
      <c r="P9" s="211" t="s">
        <v>16</v>
      </c>
      <c r="Q9" s="211" t="s">
        <v>17</v>
      </c>
      <c r="R9" s="211" t="s">
        <v>18</v>
      </c>
      <c r="S9" s="211" t="s">
        <v>19</v>
      </c>
      <c r="T9" s="21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8" t="s">
        <v>125</v>
      </c>
      <c r="H10" s="27" t="s">
        <v>122</v>
      </c>
      <c r="I10" s="27" t="s">
        <v>121</v>
      </c>
      <c r="J10" s="27" t="s">
        <v>212</v>
      </c>
      <c r="L10" s="201" t="s">
        <v>41</v>
      </c>
      <c r="M10" s="201" t="s">
        <v>31</v>
      </c>
      <c r="N10" s="201" t="s">
        <v>21</v>
      </c>
      <c r="O10" s="201" t="s">
        <v>22</v>
      </c>
      <c r="P10" s="201" t="s">
        <v>23</v>
      </c>
      <c r="Q10" s="201" t="s">
        <v>24</v>
      </c>
      <c r="R10" s="201" t="s">
        <v>46</v>
      </c>
      <c r="S10" s="201" t="s">
        <v>45</v>
      </c>
      <c r="T10" s="201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01" t="s">
        <v>103</v>
      </c>
      <c r="M11" s="201"/>
      <c r="N11" s="201"/>
      <c r="O11" s="201"/>
      <c r="P11" s="201"/>
      <c r="Q11" s="201"/>
      <c r="R11" s="201"/>
      <c r="S11" s="201"/>
      <c r="T11" s="201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13" t="s">
        <v>123</v>
      </c>
      <c r="M12" s="214"/>
      <c r="N12" s="214" t="str">
        <f>LEFT(L12,1)&amp;B2&amp;RIGHT(O12,3)</f>
        <v>DTPSELC</v>
      </c>
      <c r="O12" s="215" t="str">
        <f>$D$2&amp;" "&amp;$C$2&amp;" - "&amp;EnergyBalance!K2</f>
        <v>Demand Technology Total Primary Supply - ELC</v>
      </c>
      <c r="P12" s="214" t="str">
        <f>$E$2</f>
        <v>PJ</v>
      </c>
      <c r="Q12" s="214" t="str">
        <f>$E$2&amp;"a"</f>
        <v>PJa</v>
      </c>
      <c r="R12" s="214"/>
      <c r="S12" s="214"/>
      <c r="T12" s="214"/>
    </row>
    <row r="13" spans="2:20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9"/>
      <c r="C23" s="50" t="s">
        <v>197</v>
      </c>
    </row>
    <row r="24" spans="2:20">
      <c r="B24" s="174"/>
      <c r="C24" s="50" t="s">
        <v>198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197" t="s">
        <v>14</v>
      </c>
      <c r="O2" s="197"/>
      <c r="P2" s="198"/>
      <c r="Q2" s="198"/>
      <c r="R2" s="198"/>
      <c r="S2" s="198"/>
      <c r="T2" s="198"/>
      <c r="U2" s="198"/>
      <c r="V2" s="198"/>
    </row>
    <row r="3" spans="2:22">
      <c r="N3" s="199" t="s">
        <v>7</v>
      </c>
      <c r="O3" s="200" t="s">
        <v>30</v>
      </c>
      <c r="P3" s="199" t="s">
        <v>0</v>
      </c>
      <c r="Q3" s="199" t="s">
        <v>3</v>
      </c>
      <c r="R3" s="199" t="s">
        <v>4</v>
      </c>
      <c r="S3" s="199" t="s">
        <v>8</v>
      </c>
      <c r="T3" s="199" t="s">
        <v>9</v>
      </c>
      <c r="U3" s="199" t="s">
        <v>10</v>
      </c>
      <c r="V3" s="199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202" t="s">
        <v>105</v>
      </c>
      <c r="O5" s="203"/>
      <c r="P5" s="202" t="str">
        <f>LEFT($N$5,1)&amp;LEFT($B$2,1)&amp;EnergyBalance!$C$49</f>
        <v>DTD1</v>
      </c>
      <c r="Q5" s="202" t="str">
        <f>LEFT($D$2,6)&amp;" "&amp;$C$2&amp; " Sector - "&amp;EnergyBalance!$N$49</f>
        <v>Demand Transport Sector - Demand 1</v>
      </c>
      <c r="R5" s="202" t="str">
        <f>$E$2</f>
        <v>PJ</v>
      </c>
      <c r="S5" s="202"/>
      <c r="T5" s="202"/>
      <c r="U5" s="202"/>
      <c r="V5" s="202"/>
    </row>
    <row r="6" spans="2:22">
      <c r="N6" s="204" t="s">
        <v>143</v>
      </c>
      <c r="O6" s="204"/>
      <c r="P6" s="204" t="str">
        <f>$B$2&amp;EnergyBalance!$C$52</f>
        <v>TRACO2</v>
      </c>
      <c r="Q6" s="204" t="str">
        <f>$C$2&amp;" "&amp;EnergyBalance!$C$53</f>
        <v>Transport Carbon dioxide</v>
      </c>
      <c r="R6" s="204" t="str">
        <f>EnergyBalance!$S$2</f>
        <v>kt</v>
      </c>
      <c r="S6" s="204"/>
      <c r="T6" s="204"/>
      <c r="U6" s="204"/>
      <c r="V6" s="204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7" t="s">
        <v>15</v>
      </c>
      <c r="O8" s="197"/>
      <c r="P8" s="204"/>
      <c r="Q8" s="204"/>
      <c r="R8" s="204"/>
      <c r="S8" s="204"/>
      <c r="T8" s="204"/>
      <c r="U8" s="204"/>
      <c r="V8" s="204"/>
    </row>
    <row r="9" spans="2:2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199" t="s">
        <v>11</v>
      </c>
      <c r="O9" s="200" t="s">
        <v>30</v>
      </c>
      <c r="P9" s="199" t="s">
        <v>1</v>
      </c>
      <c r="Q9" s="199" t="s">
        <v>2</v>
      </c>
      <c r="R9" s="199" t="s">
        <v>16</v>
      </c>
      <c r="S9" s="199" t="s">
        <v>17</v>
      </c>
      <c r="T9" s="199" t="s">
        <v>18</v>
      </c>
      <c r="U9" s="199" t="s">
        <v>19</v>
      </c>
      <c r="V9" s="199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8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02" t="s">
        <v>123</v>
      </c>
      <c r="O11" s="203"/>
      <c r="P11" s="203" t="str">
        <f>LEFT($B$2)&amp;EnergyBalance!$C$44&amp;$H$2&amp;EnergyBalance!F2</f>
        <v>TOTEOIL</v>
      </c>
      <c r="Q11" s="207" t="str">
        <f>$D$2&amp;" "&amp;$C$2&amp; " Sector - "&amp;" "&amp;$H$1&amp;" "&amp;EnergyBalance!$N$40&amp;" - "&amp;EnergyBalance!$F$3</f>
        <v>Demand Technologies Transport Sector -  Existing  - Crude Oil</v>
      </c>
      <c r="R11" s="203" t="str">
        <f>$E$2</f>
        <v>PJ</v>
      </c>
      <c r="S11" s="203" t="str">
        <f>$E$2&amp;"a"</f>
        <v>PJa</v>
      </c>
      <c r="T11" s="203"/>
      <c r="U11" s="203"/>
      <c r="V11" s="203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04"/>
      <c r="O12" s="204"/>
      <c r="P12" s="203" t="str">
        <f>LEFT($B$2)&amp;EnergyBalance!$C$44&amp;$I$2&amp;EnergyBalance!F2</f>
        <v>TOTNOIL</v>
      </c>
      <c r="Q12" s="207" t="str">
        <f>$D$2&amp;" "&amp;$C$2&amp; " Sector - "&amp;" "&amp;$I$1&amp;" "&amp;EnergyBalance!$N$40&amp;" - "&amp;EnergyBalance!$F$3</f>
        <v>Demand Technologies Transport Sector -  New  - Crude Oil</v>
      </c>
      <c r="R12" s="203" t="str">
        <f>$E$2</f>
        <v>PJ</v>
      </c>
      <c r="S12" s="203" t="str">
        <f>$E$2&amp;"a"</f>
        <v>PJa</v>
      </c>
      <c r="T12" s="204"/>
      <c r="U12" s="204"/>
      <c r="V12" s="204"/>
    </row>
    <row r="13" spans="2:22">
      <c r="D13" t="str">
        <f>$P$6</f>
        <v>TRACO2</v>
      </c>
      <c r="E13" s="14"/>
      <c r="F13" s="28"/>
      <c r="G13" s="28"/>
      <c r="I13" s="28"/>
      <c r="L13" s="190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9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5"/>
      <c r="C23" s="1" t="s">
        <v>197</v>
      </c>
      <c r="K23" s="1"/>
      <c r="L23" s="15"/>
    </row>
    <row r="24" spans="1:22">
      <c r="B24" s="130"/>
      <c r="C24" s="1" t="s">
        <v>198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7" t="s">
        <v>14</v>
      </c>
      <c r="O2" s="197"/>
      <c r="P2" s="198"/>
      <c r="Q2" s="198"/>
      <c r="R2" s="198"/>
      <c r="S2" s="198"/>
      <c r="T2" s="198"/>
      <c r="U2" s="198"/>
      <c r="V2" s="198"/>
    </row>
    <row r="3" spans="2:22">
      <c r="N3" s="199" t="s">
        <v>7</v>
      </c>
      <c r="O3" s="200" t="s">
        <v>30</v>
      </c>
      <c r="P3" s="199" t="s">
        <v>0</v>
      </c>
      <c r="Q3" s="199" t="s">
        <v>3</v>
      </c>
      <c r="R3" s="199" t="s">
        <v>4</v>
      </c>
      <c r="S3" s="199" t="s">
        <v>8</v>
      </c>
      <c r="T3" s="199" t="s">
        <v>9</v>
      </c>
      <c r="U3" s="199" t="s">
        <v>10</v>
      </c>
      <c r="V3" s="199" t="s">
        <v>12</v>
      </c>
    </row>
    <row r="4" spans="2:22" s="9" customFormat="1" ht="22.2" thickBot="1">
      <c r="B4" s="18"/>
      <c r="C4" s="18"/>
      <c r="D4" s="18"/>
      <c r="E4" s="18"/>
      <c r="F4" s="18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s="9" customFormat="1" ht="15.6">
      <c r="B5" s="18"/>
      <c r="C5" s="18"/>
      <c r="D5" s="18"/>
      <c r="E5" s="18"/>
      <c r="F5" s="18"/>
      <c r="N5" s="202" t="s">
        <v>105</v>
      </c>
      <c r="O5" s="203"/>
      <c r="P5" s="202" t="str">
        <f>LEFT($N$5,1)&amp;LEFT(B2,1)&amp;EnergyBalance!$C$44</f>
        <v>DROT</v>
      </c>
      <c r="Q5" s="202" t="str">
        <f>LEFT($D$2,6)&amp;" "&amp;$C$2&amp; " Sector - "&amp;EnergyBalance!$N$44</f>
        <v>Demand Residential Sector - Other</v>
      </c>
      <c r="R5" s="202" t="str">
        <f>$E$2</f>
        <v>PJ</v>
      </c>
      <c r="S5" s="202"/>
      <c r="T5" s="202"/>
      <c r="U5" s="202"/>
      <c r="V5" s="202"/>
    </row>
    <row r="6" spans="2:22">
      <c r="N6" s="204" t="s">
        <v>143</v>
      </c>
      <c r="O6" s="204"/>
      <c r="P6" s="204" t="str">
        <f>$B$2&amp;EnergyBalance!$C$52</f>
        <v>RSDCO2</v>
      </c>
      <c r="Q6" s="204" t="str">
        <f>$C$2&amp;" "&amp;EnergyBalance!$C$53</f>
        <v>Residential Carbon dioxide</v>
      </c>
      <c r="R6" s="204" t="str">
        <f>EnergyBalance!$S$2</f>
        <v>kt</v>
      </c>
      <c r="S6" s="204"/>
      <c r="T6" s="204"/>
      <c r="U6" s="204"/>
      <c r="V6" s="204"/>
    </row>
    <row r="8" spans="2:22">
      <c r="D8" s="7" t="s">
        <v>13</v>
      </c>
      <c r="E8" s="7"/>
      <c r="F8" s="7"/>
      <c r="H8" s="7"/>
      <c r="I8" s="8"/>
      <c r="J8" s="6"/>
      <c r="K8" s="25"/>
      <c r="N8" s="197" t="s">
        <v>15</v>
      </c>
      <c r="O8" s="197"/>
      <c r="P8" s="204"/>
      <c r="Q8" s="204"/>
      <c r="R8" s="204"/>
      <c r="S8" s="204"/>
      <c r="T8" s="204"/>
      <c r="U8" s="204"/>
      <c r="V8" s="204"/>
    </row>
    <row r="9" spans="2:2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199" t="s">
        <v>11</v>
      </c>
      <c r="O9" s="200" t="s">
        <v>30</v>
      </c>
      <c r="P9" s="199" t="s">
        <v>1</v>
      </c>
      <c r="Q9" s="199" t="s">
        <v>2</v>
      </c>
      <c r="R9" s="199" t="s">
        <v>16</v>
      </c>
      <c r="S9" s="199" t="s">
        <v>17</v>
      </c>
      <c r="T9" s="199" t="s">
        <v>18</v>
      </c>
      <c r="U9" s="199" t="s">
        <v>19</v>
      </c>
      <c r="V9" s="199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8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01" t="s">
        <v>103</v>
      </c>
      <c r="O11" s="201"/>
      <c r="P11" s="201"/>
      <c r="Q11" s="201"/>
      <c r="R11" s="201"/>
      <c r="S11" s="201"/>
      <c r="T11" s="201"/>
      <c r="U11" s="201"/>
      <c r="V11" s="201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02" t="s">
        <v>123</v>
      </c>
      <c r="O12" s="203"/>
      <c r="P12" s="203" t="str">
        <f>LEFT(EnergyBalance!$B$16)&amp;EnergyBalance!$C$44&amp;$H$2&amp;EnergyBalance!E2</f>
        <v>ROTEGAS</v>
      </c>
      <c r="Q12" s="207" t="str">
        <f>$D$2&amp;" "&amp;$C$2&amp; " Sector - "&amp;" "&amp;$H$1&amp;" "&amp;EnergyBalance!$N$44&amp;" - "&amp;EnergyBalance!$E$3</f>
        <v>Demand Technologies Residential Sector -  Existing Other - Natural Gas</v>
      </c>
      <c r="R12" s="203" t="str">
        <f>$E$2</f>
        <v>PJ</v>
      </c>
      <c r="S12" s="203" t="str">
        <f>$E$2&amp;"a"</f>
        <v>PJa</v>
      </c>
      <c r="T12" s="203"/>
      <c r="U12" s="203"/>
      <c r="V12" s="203"/>
    </row>
    <row r="13" spans="2:2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02"/>
      <c r="O13" s="203"/>
      <c r="P13" s="203" t="str">
        <f>LEFT(EnergyBalance!$B$16)&amp;EnergyBalance!$C$44&amp;$I$2&amp;EnergyBalance!E2</f>
        <v>ROTNGAS</v>
      </c>
      <c r="Q13" s="207" t="str">
        <f>$D$2&amp;" "&amp;$C$2&amp; " Sector - "&amp;" "&amp;$I$1&amp;" "&amp;EnergyBalance!$N$44&amp;" - "&amp;EnergyBalance!$E$3</f>
        <v>Demand Technologies Residential Sector -  New Other - Natural Gas</v>
      </c>
      <c r="R13" s="203" t="str">
        <f>$E$2</f>
        <v>PJ</v>
      </c>
      <c r="S13" s="203" t="str">
        <f>$E$2&amp;"a"</f>
        <v>PJa</v>
      </c>
      <c r="T13" s="203"/>
      <c r="U13" s="203"/>
      <c r="V13" s="203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9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5"/>
      <c r="C23" s="1" t="s">
        <v>197</v>
      </c>
    </row>
    <row r="24" spans="2:22">
      <c r="B24" s="130"/>
      <c r="C24" s="1" t="s">
        <v>198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193</v>
      </c>
      <c r="E6" s="179">
        <v>2005</v>
      </c>
      <c r="F6" s="179">
        <v>2006</v>
      </c>
      <c r="G6" s="179">
        <v>2010</v>
      </c>
      <c r="H6" s="179">
        <v>2015</v>
      </c>
      <c r="I6" s="179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16" t="s">
        <v>215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0"/>
      <c r="L11" s="180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1">
        <v>0.01</v>
      </c>
      <c r="L12" s="181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5"/>
      <c r="C22" s="1" t="s">
        <v>197</v>
      </c>
    </row>
    <row r="23" spans="2:3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5" t="s">
        <v>216</v>
      </c>
      <c r="M2" s="145"/>
    </row>
    <row r="4" spans="2:15" ht="17.399999999999999">
      <c r="B4" s="145" t="s">
        <v>199</v>
      </c>
    </row>
    <row r="6" spans="2:15">
      <c r="B6" s="47" t="s">
        <v>211</v>
      </c>
    </row>
    <row r="11" spans="2:15">
      <c r="M11" s="147"/>
      <c r="N11" s="147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5" t="s">
        <v>217</v>
      </c>
      <c r="M17" s="9"/>
      <c r="N17" s="9"/>
      <c r="O17" s="9"/>
    </row>
    <row r="19" spans="2:27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Normal="100" workbookViewId="0">
      <selection activeCell="H16" sqref="H16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197" t="s">
        <v>14</v>
      </c>
      <c r="L2" s="197"/>
      <c r="M2" s="198"/>
      <c r="N2" s="198"/>
      <c r="O2" s="198"/>
      <c r="P2" s="198"/>
      <c r="Q2" s="198"/>
      <c r="R2" s="198"/>
      <c r="S2" s="198"/>
    </row>
    <row r="3" spans="2:20">
      <c r="K3" s="199" t="s">
        <v>7</v>
      </c>
      <c r="L3" s="200" t="s">
        <v>30</v>
      </c>
      <c r="M3" s="199" t="s">
        <v>0</v>
      </c>
      <c r="N3" s="199" t="s">
        <v>3</v>
      </c>
      <c r="O3" s="199" t="s">
        <v>4</v>
      </c>
      <c r="P3" s="199" t="s">
        <v>8</v>
      </c>
      <c r="Q3" s="199" t="s">
        <v>9</v>
      </c>
      <c r="R3" s="199" t="s">
        <v>10</v>
      </c>
      <c r="S3" s="199" t="s">
        <v>12</v>
      </c>
    </row>
    <row r="4" spans="2:20" ht="21.6" thickBot="1">
      <c r="C4" s="1"/>
      <c r="K4" s="201" t="s">
        <v>40</v>
      </c>
      <c r="L4" s="201" t="s">
        <v>31</v>
      </c>
      <c r="M4" s="201" t="s">
        <v>26</v>
      </c>
      <c r="N4" s="201" t="s">
        <v>27</v>
      </c>
      <c r="O4" s="201" t="s">
        <v>4</v>
      </c>
      <c r="P4" s="201" t="s">
        <v>43</v>
      </c>
      <c r="Q4" s="201" t="s">
        <v>44</v>
      </c>
      <c r="R4" s="201" t="s">
        <v>28</v>
      </c>
      <c r="S4" s="201" t="s">
        <v>29</v>
      </c>
    </row>
    <row r="5" spans="2:20">
      <c r="K5" s="202" t="s">
        <v>93</v>
      </c>
      <c r="L5" s="203"/>
      <c r="M5" s="202" t="str">
        <f>C2</f>
        <v>COA</v>
      </c>
      <c r="N5" s="202" t="str">
        <f>D2</f>
        <v>Solid Fuels</v>
      </c>
      <c r="O5" s="202" t="str">
        <f>$E$2</f>
        <v>PJ</v>
      </c>
      <c r="P5" s="202"/>
      <c r="Q5" s="202"/>
      <c r="R5" s="202"/>
      <c r="S5" s="202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7" t="s">
        <v>15</v>
      </c>
      <c r="L7" s="197"/>
      <c r="M7" s="204"/>
      <c r="N7" s="204"/>
      <c r="O7" s="204"/>
      <c r="P7" s="204"/>
      <c r="Q7" s="204"/>
      <c r="R7" s="204"/>
      <c r="S7" s="20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199" t="s">
        <v>11</v>
      </c>
      <c r="L8" s="200" t="s">
        <v>30</v>
      </c>
      <c r="M8" s="199" t="s">
        <v>1</v>
      </c>
      <c r="N8" s="199" t="s">
        <v>2</v>
      </c>
      <c r="O8" s="199" t="s">
        <v>16</v>
      </c>
      <c r="P8" s="199" t="s">
        <v>17</v>
      </c>
      <c r="Q8" s="199" t="s">
        <v>18</v>
      </c>
      <c r="R8" s="199" t="s">
        <v>19</v>
      </c>
      <c r="S8" s="199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01" t="s">
        <v>41</v>
      </c>
      <c r="L9" s="201" t="s">
        <v>31</v>
      </c>
      <c r="M9" s="201" t="s">
        <v>21</v>
      </c>
      <c r="N9" s="201" t="s">
        <v>22</v>
      </c>
      <c r="O9" s="201" t="s">
        <v>23</v>
      </c>
      <c r="P9" s="201" t="s">
        <v>24</v>
      </c>
      <c r="Q9" s="201" t="s">
        <v>46</v>
      </c>
      <c r="R9" s="201" t="s">
        <v>45</v>
      </c>
      <c r="S9" s="201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01" t="s">
        <v>103</v>
      </c>
      <c r="L10" s="205"/>
      <c r="M10" s="205"/>
      <c r="N10" s="205"/>
      <c r="O10" s="205"/>
      <c r="P10" s="205"/>
      <c r="Q10" s="205"/>
      <c r="R10" s="205"/>
      <c r="S10" s="205"/>
    </row>
    <row r="11" spans="2:20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02" t="str">
        <f>EnergyBalance!$B$5</f>
        <v>MIN</v>
      </c>
      <c r="L11" s="203"/>
      <c r="M11" s="203" t="str">
        <f>$K$11&amp;$C$2&amp;1</f>
        <v>MINCOA1</v>
      </c>
      <c r="N11" s="206" t="str">
        <f>"Domestic Supply of "&amp;$D$2&amp; " Step "&amp;RIGHT(M11,1)</f>
        <v>Domestic Supply of Solid Fuels Step 1</v>
      </c>
      <c r="O11" s="203" t="str">
        <f>$E$2</f>
        <v>PJ</v>
      </c>
      <c r="P11" s="203"/>
      <c r="Q11" s="203"/>
      <c r="R11" s="203"/>
      <c r="S11" s="203"/>
    </row>
    <row r="12" spans="2:20" s="9" customFormat="1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03"/>
      <c r="L12" s="203"/>
      <c r="M12" s="203" t="str">
        <f>$K$11&amp;$C$2&amp;2</f>
        <v>MINCOA2</v>
      </c>
      <c r="N12" s="206" t="str">
        <f>"Domestic Supply of "&amp;$D$2&amp; " Step "&amp;RIGHT(M12,1)</f>
        <v>Domestic Supply of Solid Fuels Step 2</v>
      </c>
      <c r="O12" s="203" t="str">
        <f>$E$2</f>
        <v>PJ</v>
      </c>
      <c r="P12" s="203"/>
      <c r="Q12" s="203"/>
      <c r="R12" s="203"/>
      <c r="S12" s="203"/>
    </row>
    <row r="13" spans="2:20" s="9" customFormat="1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03"/>
      <c r="L13" s="203"/>
      <c r="M13" s="203" t="str">
        <f>$K$11&amp;$C$2&amp;3</f>
        <v>MINCOA3</v>
      </c>
      <c r="N13" s="206" t="str">
        <f>"Domestic Supply of "&amp;$D$2&amp; " Step "&amp;RIGHT(M13,1)</f>
        <v>Domestic Supply of Solid Fuels Step 3</v>
      </c>
      <c r="O13" s="203" t="str">
        <f>$E$2</f>
        <v>PJ</v>
      </c>
      <c r="P13" s="203"/>
      <c r="Q13" s="203"/>
      <c r="R13" s="203"/>
      <c r="S13" s="203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03" t="str">
        <f>EnergyBalance!$B$6</f>
        <v>IMP</v>
      </c>
      <c r="L14" s="203"/>
      <c r="M14" s="203" t="str">
        <f>$K$14&amp;$C$2&amp;1</f>
        <v>IMPCOA1</v>
      </c>
      <c r="N14" s="206" t="str">
        <f>"Import of "&amp;$D$2&amp; " Step "&amp;RIGHT(M14,1)</f>
        <v>Import of Solid Fuels Step 1</v>
      </c>
      <c r="O14" s="203" t="str">
        <f>$E$2</f>
        <v>PJ</v>
      </c>
      <c r="P14" s="203"/>
      <c r="Q14" s="203"/>
      <c r="R14" s="203"/>
      <c r="S14" s="203"/>
    </row>
    <row r="15" spans="2:20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03" t="str">
        <f>EnergyBalance!B7</f>
        <v>EXP</v>
      </c>
      <c r="L15" s="203"/>
      <c r="M15" s="203" t="str">
        <f>$K$15&amp;$C$2&amp;1</f>
        <v>EXPCOA1</v>
      </c>
      <c r="N15" s="206" t="str">
        <f>"Export of "&amp;$D$2&amp; " Step "&amp;RIGHT(M15,1)</f>
        <v>Export of Solid Fuels Step 1</v>
      </c>
      <c r="O15" s="203" t="str">
        <f>$E$2</f>
        <v>PJ</v>
      </c>
      <c r="P15" s="203"/>
      <c r="Q15" s="203"/>
      <c r="R15" s="203"/>
      <c r="S15" s="203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33"/>
      <c r="C20" s="1" t="s">
        <v>197</v>
      </c>
      <c r="D20"/>
      <c r="E20"/>
      <c r="F20"/>
      <c r="G20"/>
      <c r="H20"/>
      <c r="I20"/>
    </row>
    <row r="21" spans="2:20" s="9" customFormat="1">
      <c r="B21" s="130"/>
      <c r="C21" s="1" t="s">
        <v>198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H20" sqref="H20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7" t="s">
        <v>14</v>
      </c>
      <c r="L2" s="197"/>
      <c r="M2" s="198"/>
      <c r="N2" s="198"/>
      <c r="O2" s="198"/>
      <c r="P2" s="198"/>
      <c r="Q2" s="198"/>
      <c r="R2" s="198"/>
      <c r="S2" s="198"/>
    </row>
    <row r="3" spans="2:20">
      <c r="K3" s="199" t="s">
        <v>7</v>
      </c>
      <c r="L3" s="200" t="s">
        <v>30</v>
      </c>
      <c r="M3" s="199" t="s">
        <v>0</v>
      </c>
      <c r="N3" s="199" t="s">
        <v>3</v>
      </c>
      <c r="O3" s="199" t="s">
        <v>4</v>
      </c>
      <c r="P3" s="199" t="s">
        <v>8</v>
      </c>
      <c r="Q3" s="199" t="s">
        <v>9</v>
      </c>
      <c r="R3" s="199" t="s">
        <v>10</v>
      </c>
      <c r="S3" s="199" t="s">
        <v>12</v>
      </c>
    </row>
    <row r="4" spans="2:20" ht="21.6" thickBot="1">
      <c r="C4" s="1"/>
      <c r="K4" s="201" t="s">
        <v>40</v>
      </c>
      <c r="L4" s="201" t="s">
        <v>31</v>
      </c>
      <c r="M4" s="201" t="s">
        <v>26</v>
      </c>
      <c r="N4" s="201" t="s">
        <v>27</v>
      </c>
      <c r="O4" s="201" t="s">
        <v>4</v>
      </c>
      <c r="P4" s="201" t="s">
        <v>43</v>
      </c>
      <c r="Q4" s="201" t="s">
        <v>44</v>
      </c>
      <c r="R4" s="201" t="s">
        <v>28</v>
      </c>
      <c r="S4" s="201" t="s">
        <v>29</v>
      </c>
    </row>
    <row r="5" spans="2:20">
      <c r="K5" s="202" t="s">
        <v>93</v>
      </c>
      <c r="L5" s="203"/>
      <c r="M5" s="202" t="str">
        <f>C2</f>
        <v>GAS</v>
      </c>
      <c r="N5" s="202" t="str">
        <f>D2</f>
        <v>Natural Gas</v>
      </c>
      <c r="O5" s="202" t="str">
        <f>$E$2</f>
        <v>PJ</v>
      </c>
      <c r="P5" s="202"/>
      <c r="Q5" s="202"/>
      <c r="R5" s="202"/>
      <c r="S5" s="202"/>
    </row>
    <row r="7" spans="2:20">
      <c r="F7" s="7" t="s">
        <v>13</v>
      </c>
      <c r="H7" s="7"/>
      <c r="K7" s="197" t="s">
        <v>15</v>
      </c>
      <c r="L7" s="197"/>
      <c r="M7" s="204"/>
      <c r="N7" s="204"/>
      <c r="O7" s="204"/>
      <c r="P7" s="204"/>
      <c r="Q7" s="204"/>
      <c r="R7" s="204"/>
      <c r="S7" s="20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199" t="s">
        <v>11</v>
      </c>
      <c r="L8" s="200" t="s">
        <v>30</v>
      </c>
      <c r="M8" s="199" t="s">
        <v>1</v>
      </c>
      <c r="N8" s="199" t="s">
        <v>2</v>
      </c>
      <c r="O8" s="199" t="s">
        <v>16</v>
      </c>
      <c r="P8" s="199" t="s">
        <v>17</v>
      </c>
      <c r="Q8" s="199" t="s">
        <v>18</v>
      </c>
      <c r="R8" s="199" t="s">
        <v>19</v>
      </c>
      <c r="S8" s="199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01" t="s">
        <v>41</v>
      </c>
      <c r="L9" s="201" t="s">
        <v>31</v>
      </c>
      <c r="M9" s="201" t="s">
        <v>21</v>
      </c>
      <c r="N9" s="201" t="s">
        <v>22</v>
      </c>
      <c r="O9" s="201" t="s">
        <v>23</v>
      </c>
      <c r="P9" s="201" t="s">
        <v>24</v>
      </c>
      <c r="Q9" s="201" t="s">
        <v>46</v>
      </c>
      <c r="R9" s="201" t="s">
        <v>45</v>
      </c>
      <c r="S9" s="201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01" t="s">
        <v>103</v>
      </c>
      <c r="L10" s="205"/>
      <c r="M10" s="205"/>
      <c r="N10" s="205"/>
      <c r="O10" s="205"/>
      <c r="P10" s="205"/>
      <c r="Q10" s="205"/>
      <c r="R10" s="205"/>
      <c r="S10" s="205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02" t="str">
        <f>EnergyBalance!$B$5</f>
        <v>MIN</v>
      </c>
      <c r="L11" s="203"/>
      <c r="M11" s="203" t="str">
        <f>$K$11&amp;$C$2&amp;1</f>
        <v>MINGAS1</v>
      </c>
      <c r="N11" s="206" t="str">
        <f>"Domestic Supply of "&amp;$D$2&amp; " Step "&amp;RIGHT(M11,1)</f>
        <v>Domestic Supply of Natural Gas Step 1</v>
      </c>
      <c r="O11" s="203" t="str">
        <f>$E$2</f>
        <v>PJ</v>
      </c>
      <c r="P11" s="203"/>
      <c r="Q11" s="203"/>
      <c r="R11" s="203"/>
      <c r="S11" s="203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03"/>
      <c r="L12" s="203"/>
      <c r="M12" s="203" t="str">
        <f>$K$11&amp;$C$2&amp;2</f>
        <v>MINGAS2</v>
      </c>
      <c r="N12" s="206" t="str">
        <f>"Domestic Supply of "&amp;$D$2&amp; " Step "&amp;RIGHT(M12,1)</f>
        <v>Domestic Supply of Natural Gas Step 2</v>
      </c>
      <c r="O12" s="203" t="str">
        <f>$E$2</f>
        <v>PJ</v>
      </c>
      <c r="P12" s="203"/>
      <c r="Q12" s="203"/>
      <c r="R12" s="203"/>
      <c r="S12" s="203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0</v>
      </c>
      <c r="K13" s="203"/>
      <c r="L13" s="203"/>
      <c r="M13" s="203" t="str">
        <f>$K$11&amp;$C$2&amp;3</f>
        <v>MINGAS3</v>
      </c>
      <c r="N13" s="206" t="str">
        <f>"Domestic Supply of "&amp;$D$2&amp; " Step "&amp;RIGHT(M13,1)</f>
        <v>Domestic Supply of Natural Gas Step 3</v>
      </c>
      <c r="O13" s="203" t="str">
        <f>$E$2</f>
        <v>PJ</v>
      </c>
      <c r="P13" s="203"/>
      <c r="Q13" s="203"/>
      <c r="R13" s="203"/>
      <c r="S13" s="203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03" t="str">
        <f>EnergyBalance!$B$6</f>
        <v>IMP</v>
      </c>
      <c r="L14" s="203"/>
      <c r="M14" s="203" t="str">
        <f>$K$14&amp;$C$2&amp;1</f>
        <v>IMPGAS1</v>
      </c>
      <c r="N14" s="206" t="str">
        <f>"Import of "&amp;$D$2&amp; " Step "&amp;RIGHT(M14,1)</f>
        <v>Import of Natural Gas Step 1</v>
      </c>
      <c r="O14" s="203" t="str">
        <f>$E$2</f>
        <v>PJ</v>
      </c>
      <c r="P14" s="203"/>
      <c r="Q14" s="203"/>
      <c r="R14" s="203"/>
      <c r="S14" s="203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03" t="str">
        <f>EnergyBalance!B7</f>
        <v>EXP</v>
      </c>
      <c r="L15" s="203"/>
      <c r="M15" s="203" t="str">
        <f>$K$15&amp;$C$2&amp;1</f>
        <v>EXPGAS1</v>
      </c>
      <c r="N15" s="206" t="str">
        <f>"Export of "&amp;$D$2&amp; " Step "&amp;RIGHT(M15,1)</f>
        <v>Export of Natural Gas Step 1</v>
      </c>
      <c r="O15" s="203" t="str">
        <f>$E$2</f>
        <v>PJ</v>
      </c>
      <c r="P15" s="203"/>
      <c r="Q15" s="203"/>
      <c r="R15" s="203"/>
      <c r="S15" s="203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3"/>
      <c r="C22" s="1" t="s">
        <v>197</v>
      </c>
      <c r="I22" s="9"/>
    </row>
    <row r="23" spans="2:20" s="1" customFormat="1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7" t="s">
        <v>14</v>
      </c>
      <c r="L2" s="197"/>
      <c r="M2" s="198"/>
      <c r="N2" s="198"/>
      <c r="O2" s="198"/>
      <c r="P2" s="198"/>
      <c r="Q2" s="198"/>
      <c r="R2" s="198"/>
      <c r="S2" s="198"/>
    </row>
    <row r="3" spans="2:25">
      <c r="K3" s="199" t="s">
        <v>7</v>
      </c>
      <c r="L3" s="200" t="s">
        <v>30</v>
      </c>
      <c r="M3" s="199" t="s">
        <v>0</v>
      </c>
      <c r="N3" s="199" t="s">
        <v>3</v>
      </c>
      <c r="O3" s="199" t="s">
        <v>4</v>
      </c>
      <c r="P3" s="199" t="s">
        <v>8</v>
      </c>
      <c r="Q3" s="199" t="s">
        <v>9</v>
      </c>
      <c r="R3" s="199" t="s">
        <v>10</v>
      </c>
      <c r="S3" s="199" t="s">
        <v>12</v>
      </c>
    </row>
    <row r="4" spans="2:25" ht="21.6" thickBot="1">
      <c r="C4" s="1"/>
      <c r="K4" s="201" t="s">
        <v>40</v>
      </c>
      <c r="L4" s="201" t="s">
        <v>31</v>
      </c>
      <c r="M4" s="201" t="s">
        <v>26</v>
      </c>
      <c r="N4" s="201" t="s">
        <v>27</v>
      </c>
      <c r="O4" s="201" t="s">
        <v>4</v>
      </c>
      <c r="P4" s="201" t="s">
        <v>43</v>
      </c>
      <c r="Q4" s="201" t="s">
        <v>44</v>
      </c>
      <c r="R4" s="201" t="s">
        <v>28</v>
      </c>
      <c r="S4" s="201" t="s">
        <v>29</v>
      </c>
      <c r="V4" s="9"/>
      <c r="W4" s="9"/>
    </row>
    <row r="5" spans="2:25">
      <c r="K5" s="202" t="s">
        <v>93</v>
      </c>
      <c r="L5" s="203"/>
      <c r="M5" s="202" t="str">
        <f>C2</f>
        <v>OIL</v>
      </c>
      <c r="N5" s="202" t="str">
        <f>D2</f>
        <v>Crude Oil</v>
      </c>
      <c r="O5" s="202" t="str">
        <f>$E$2</f>
        <v>PJ</v>
      </c>
      <c r="P5" s="202"/>
      <c r="Q5" s="202"/>
      <c r="R5" s="202"/>
      <c r="S5" s="202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7" t="s">
        <v>15</v>
      </c>
      <c r="L7" s="197"/>
      <c r="M7" s="204"/>
      <c r="N7" s="204"/>
      <c r="O7" s="204"/>
      <c r="P7" s="204"/>
      <c r="Q7" s="204"/>
      <c r="R7" s="204"/>
      <c r="S7" s="204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199" t="s">
        <v>11</v>
      </c>
      <c r="L8" s="200" t="s">
        <v>30</v>
      </c>
      <c r="M8" s="199" t="s">
        <v>1</v>
      </c>
      <c r="N8" s="199" t="s">
        <v>2</v>
      </c>
      <c r="O8" s="199" t="s">
        <v>16</v>
      </c>
      <c r="P8" s="199" t="s">
        <v>17</v>
      </c>
      <c r="Q8" s="199" t="s">
        <v>18</v>
      </c>
      <c r="R8" s="199" t="s">
        <v>19</v>
      </c>
      <c r="S8" s="199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01" t="s">
        <v>41</v>
      </c>
      <c r="L9" s="201" t="s">
        <v>31</v>
      </c>
      <c r="M9" s="201" t="s">
        <v>21</v>
      </c>
      <c r="N9" s="201" t="s">
        <v>22</v>
      </c>
      <c r="O9" s="201" t="s">
        <v>23</v>
      </c>
      <c r="P9" s="201" t="s">
        <v>24</v>
      </c>
      <c r="Q9" s="201" t="s">
        <v>46</v>
      </c>
      <c r="R9" s="201" t="s">
        <v>45</v>
      </c>
      <c r="S9" s="201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01" t="s">
        <v>103</v>
      </c>
      <c r="L10" s="205"/>
      <c r="M10" s="205"/>
      <c r="N10" s="205"/>
      <c r="O10" s="205"/>
      <c r="P10" s="205"/>
      <c r="Q10" s="205"/>
      <c r="R10" s="205"/>
      <c r="S10" s="205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02" t="str">
        <f>EnergyBalance!$B$5</f>
        <v>MIN</v>
      </c>
      <c r="L11" s="203"/>
      <c r="M11" s="203" t="str">
        <f>$K$11&amp;$C$2&amp;1</f>
        <v>MINOIL1</v>
      </c>
      <c r="N11" s="207" t="str">
        <f>"Domestic Supply of "&amp;$D$2&amp; " Step "&amp;RIGHT(M11,1)</f>
        <v>Domestic Supply of Crude Oil Step 1</v>
      </c>
      <c r="O11" s="203" t="str">
        <f>$E$2</f>
        <v>PJ</v>
      </c>
      <c r="P11" s="203"/>
      <c r="Q11" s="203"/>
      <c r="R11" s="203"/>
      <c r="S11" s="203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03"/>
      <c r="L12" s="203"/>
      <c r="M12" s="203" t="str">
        <f>$K$11&amp;$C$2&amp;2</f>
        <v>MINOIL2</v>
      </c>
      <c r="N12" s="207" t="str">
        <f>"Domestic Supply of "&amp;$D$2&amp; " Step "&amp;RIGHT(M12,1)</f>
        <v>Domestic Supply of Crude Oil Step 2</v>
      </c>
      <c r="O12" s="203" t="str">
        <f>$E$2</f>
        <v>PJ</v>
      </c>
      <c r="P12" s="203"/>
      <c r="Q12" s="203"/>
      <c r="R12" s="203"/>
      <c r="S12" s="203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03"/>
      <c r="L13" s="203"/>
      <c r="M13" s="203" t="str">
        <f>$K$11&amp;$C$2&amp;3</f>
        <v>MINOIL3</v>
      </c>
      <c r="N13" s="207" t="str">
        <f>"Domestic Supply of "&amp;$D$2&amp; " Step "&amp;RIGHT(M13,1)</f>
        <v>Domestic Supply of Crude Oil Step 3</v>
      </c>
      <c r="O13" s="203" t="str">
        <f>$E$2</f>
        <v>PJ</v>
      </c>
      <c r="P13" s="203"/>
      <c r="Q13" s="203"/>
      <c r="R13" s="203"/>
      <c r="S13" s="203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03" t="str">
        <f>EnergyBalance!$B$6</f>
        <v>IMP</v>
      </c>
      <c r="L14" s="203"/>
      <c r="M14" s="203" t="str">
        <f>$K$14&amp;$C$2&amp;1</f>
        <v>IMPOIL1</v>
      </c>
      <c r="N14" s="207" t="str">
        <f>"Import of "&amp;$D$2&amp; " Step "&amp;RIGHT(M14,1)</f>
        <v>Import of Crude Oil Step 1</v>
      </c>
      <c r="O14" s="203" t="str">
        <f>$E$2</f>
        <v>PJ</v>
      </c>
      <c r="P14" s="203"/>
      <c r="Q14" s="203"/>
      <c r="R14" s="203"/>
      <c r="S14" s="203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03" t="str">
        <f>EnergyBalance!B7</f>
        <v>EXP</v>
      </c>
      <c r="L15" s="203"/>
      <c r="M15" s="203" t="str">
        <f>$K$15&amp;$C$2&amp;1</f>
        <v>EXPOIL1</v>
      </c>
      <c r="N15" s="207" t="str">
        <f>"Export of "&amp;$D$2&amp; " Step "&amp;RIGHT(M15,1)</f>
        <v>Export of Crude Oil Step 1</v>
      </c>
      <c r="O15" s="203" t="str">
        <f>$E$2</f>
        <v>PJ</v>
      </c>
      <c r="P15" s="203"/>
      <c r="Q15" s="203"/>
      <c r="R15" s="203"/>
      <c r="S15" s="203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6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30"/>
      <c r="C23" s="1" t="s">
        <v>198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7" t="s">
        <v>14</v>
      </c>
      <c r="L2" s="197"/>
      <c r="M2" s="198"/>
      <c r="N2" s="198"/>
      <c r="O2" s="198"/>
      <c r="P2" s="198"/>
      <c r="Q2" s="198"/>
      <c r="R2" s="198"/>
      <c r="S2" s="198"/>
    </row>
    <row r="3" spans="2:20">
      <c r="H3" s="19"/>
      <c r="K3" s="199" t="s">
        <v>7</v>
      </c>
      <c r="L3" s="200" t="s">
        <v>30</v>
      </c>
      <c r="M3" s="199" t="s">
        <v>0</v>
      </c>
      <c r="N3" s="199" t="s">
        <v>3</v>
      </c>
      <c r="O3" s="199" t="s">
        <v>4</v>
      </c>
      <c r="P3" s="199" t="s">
        <v>8</v>
      </c>
      <c r="Q3" s="199" t="s">
        <v>9</v>
      </c>
      <c r="R3" s="199" t="s">
        <v>10</v>
      </c>
      <c r="S3" s="199" t="s">
        <v>12</v>
      </c>
    </row>
    <row r="4" spans="2:20" ht="21.6" thickBot="1">
      <c r="B4" s="1"/>
      <c r="K4" s="201" t="s">
        <v>40</v>
      </c>
      <c r="L4" s="201" t="s">
        <v>31</v>
      </c>
      <c r="M4" s="201" t="s">
        <v>26</v>
      </c>
      <c r="N4" s="201" t="s">
        <v>27</v>
      </c>
      <c r="O4" s="201" t="s">
        <v>4</v>
      </c>
      <c r="P4" s="201" t="s">
        <v>43</v>
      </c>
      <c r="Q4" s="201" t="s">
        <v>44</v>
      </c>
      <c r="R4" s="201" t="s">
        <v>28</v>
      </c>
      <c r="S4" s="201" t="s">
        <v>29</v>
      </c>
    </row>
    <row r="5" spans="2:20">
      <c r="K5" s="202" t="s">
        <v>93</v>
      </c>
      <c r="L5" s="203"/>
      <c r="M5" s="202" t="str">
        <f>C2</f>
        <v>RNW</v>
      </c>
      <c r="N5" s="202" t="str">
        <f>D2</f>
        <v>Renewable Energies</v>
      </c>
      <c r="O5" s="202" t="str">
        <f>$E$2</f>
        <v>PJ</v>
      </c>
      <c r="P5" s="202"/>
      <c r="Q5" s="202"/>
      <c r="R5" s="202"/>
      <c r="S5" s="202"/>
    </row>
    <row r="7" spans="2:20">
      <c r="F7" s="7" t="s">
        <v>13</v>
      </c>
      <c r="H7" s="7"/>
      <c r="I7"/>
      <c r="K7" s="197" t="s">
        <v>15</v>
      </c>
      <c r="L7" s="197"/>
      <c r="M7" s="204"/>
      <c r="N7" s="204"/>
      <c r="O7" s="204"/>
      <c r="P7" s="204"/>
      <c r="Q7" s="204"/>
      <c r="R7" s="204"/>
      <c r="S7" s="20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199" t="s">
        <v>11</v>
      </c>
      <c r="L8" s="200" t="s">
        <v>30</v>
      </c>
      <c r="M8" s="199" t="s">
        <v>1</v>
      </c>
      <c r="N8" s="199" t="s">
        <v>2</v>
      </c>
      <c r="O8" s="199" t="s">
        <v>16</v>
      </c>
      <c r="P8" s="199" t="s">
        <v>17</v>
      </c>
      <c r="Q8" s="199" t="s">
        <v>18</v>
      </c>
      <c r="R8" s="199" t="s">
        <v>19</v>
      </c>
      <c r="S8" s="199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01" t="s">
        <v>41</v>
      </c>
      <c r="L9" s="201" t="s">
        <v>31</v>
      </c>
      <c r="M9" s="201" t="s">
        <v>21</v>
      </c>
      <c r="N9" s="201" t="s">
        <v>22</v>
      </c>
      <c r="O9" s="201" t="s">
        <v>23</v>
      </c>
      <c r="P9" s="201" t="s">
        <v>24</v>
      </c>
      <c r="Q9" s="201" t="s">
        <v>46</v>
      </c>
      <c r="R9" s="201" t="s">
        <v>45</v>
      </c>
      <c r="S9" s="201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01" t="s">
        <v>103</v>
      </c>
      <c r="L10" s="205"/>
      <c r="M10" s="205"/>
      <c r="N10" s="205"/>
      <c r="O10" s="205"/>
      <c r="P10" s="205"/>
      <c r="Q10" s="205"/>
      <c r="R10" s="205"/>
      <c r="S10" s="205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02" t="str">
        <f>EnergyBalance!$B$5</f>
        <v>MIN</v>
      </c>
      <c r="L11" s="203"/>
      <c r="M11" s="203" t="str">
        <f>$K$11&amp;$C$2&amp;1</f>
        <v>MINRNW1</v>
      </c>
      <c r="N11" s="206" t="str">
        <f>"Domestic Supply of "&amp;$D$2&amp; " Step "&amp;RIGHT(M11,1)</f>
        <v>Domestic Supply of Renewable Energies Step 1</v>
      </c>
      <c r="O11" s="203" t="str">
        <f>$E$2</f>
        <v>PJ</v>
      </c>
      <c r="P11" s="203"/>
      <c r="Q11" s="203"/>
      <c r="R11" s="203"/>
      <c r="S11" s="203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N24" sqref="N24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s="9" customFormat="1" ht="22.2" thickBot="1">
      <c r="B4" s="18"/>
      <c r="C4" s="18"/>
      <c r="D4" s="18"/>
      <c r="E4" s="18"/>
      <c r="G4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>
      <c r="B5" s="11"/>
      <c r="C5" s="11"/>
      <c r="D5" s="11"/>
      <c r="E5" s="22"/>
      <c r="F5" s="22"/>
      <c r="I5" s="203" t="s">
        <v>93</v>
      </c>
      <c r="J5" s="203"/>
      <c r="K5" s="203" t="str">
        <f>EnergyBalance!$B$16&amp;EnergyBalance!$E$2</f>
        <v>RSDGAS</v>
      </c>
      <c r="L5" s="206" t="str">
        <f>EnergyBalance!$C$16&amp;" "&amp;EnergyBalance!$E$3</f>
        <v>Residential Natural Gas</v>
      </c>
      <c r="M5" s="203" t="str">
        <f t="shared" ref="M5:M10" si="0">$E$2</f>
        <v>PJ</v>
      </c>
      <c r="N5" s="203"/>
      <c r="O5" s="203"/>
      <c r="P5" s="203"/>
      <c r="Q5" s="203"/>
    </row>
    <row r="6" spans="2:17">
      <c r="B6" s="11"/>
      <c r="C6" s="11"/>
      <c r="D6" s="11"/>
      <c r="E6" s="22"/>
      <c r="F6" s="22"/>
      <c r="I6" s="204"/>
      <c r="J6" s="204"/>
      <c r="K6" s="204" t="str">
        <f>EnergyBalance!$B$20&amp;EnergyBalance!$F$2</f>
        <v>TRAOIL</v>
      </c>
      <c r="L6" s="204" t="str">
        <f>EnergyBalance!$C$20&amp;" "&amp;EnergyBalance!$F$3</f>
        <v>Transport Crude Oil</v>
      </c>
      <c r="M6" s="204" t="str">
        <f t="shared" si="0"/>
        <v>PJ</v>
      </c>
      <c r="N6" s="203"/>
      <c r="O6" s="203"/>
      <c r="P6" s="203"/>
      <c r="Q6" s="203"/>
    </row>
    <row r="7" spans="2:17">
      <c r="B7" s="11"/>
      <c r="C7" s="11"/>
      <c r="D7" s="11"/>
      <c r="E7" s="22"/>
      <c r="F7" s="22"/>
      <c r="I7" s="203"/>
      <c r="J7" s="203"/>
      <c r="K7" s="203" t="str">
        <f>Con_ELC!$B$2&amp;EnergyBalance!$D$2</f>
        <v>ELCCOA</v>
      </c>
      <c r="L7" s="206" t="str">
        <f>Con_ELC!$C$2&amp;" "&amp;EnergyBalance!$D$3</f>
        <v>Electricity Plants Solid Fuels</v>
      </c>
      <c r="M7" s="203" t="str">
        <f t="shared" si="0"/>
        <v>PJ</v>
      </c>
      <c r="N7" s="203"/>
      <c r="O7" s="203"/>
      <c r="P7" s="203"/>
      <c r="Q7" s="203"/>
    </row>
    <row r="8" spans="2:17">
      <c r="B8" s="11"/>
      <c r="C8" s="11"/>
      <c r="D8" s="11"/>
      <c r="E8" s="22"/>
      <c r="F8" s="22"/>
      <c r="I8" s="203"/>
      <c r="J8" s="203"/>
      <c r="K8" s="203" t="str">
        <f>Con_ELC!$B$2&amp;EnergyBalance!$E$2</f>
        <v>ELCGAS</v>
      </c>
      <c r="L8" s="206" t="str">
        <f>Con_ELC!$C$2&amp;" "&amp;EnergyBalance!$E$3</f>
        <v>Electricity Plants Natural Gas</v>
      </c>
      <c r="M8" s="203" t="str">
        <f t="shared" si="0"/>
        <v>PJ</v>
      </c>
      <c r="N8" s="203"/>
      <c r="O8" s="203"/>
      <c r="P8" s="203"/>
      <c r="Q8" s="203"/>
    </row>
    <row r="9" spans="2:17">
      <c r="B9" s="11"/>
      <c r="C9" s="11"/>
      <c r="D9" s="11"/>
      <c r="E9" s="22"/>
      <c r="F9" s="22"/>
      <c r="I9" s="203"/>
      <c r="J9" s="203"/>
      <c r="K9" s="203" t="str">
        <f>Con_ELC!$B$2&amp;EnergyBalance!$F$2</f>
        <v>ELCOIL</v>
      </c>
      <c r="L9" s="206" t="str">
        <f>Con_ELC!$C$2&amp;" "&amp;EnergyBalance!$F$3</f>
        <v>Electricity Plants Crude Oil</v>
      </c>
      <c r="M9" s="203" t="str">
        <f t="shared" si="0"/>
        <v>PJ</v>
      </c>
      <c r="N9" s="203"/>
      <c r="O9" s="203"/>
      <c r="P9" s="203"/>
      <c r="Q9" s="203"/>
    </row>
    <row r="10" spans="2:17">
      <c r="B10" s="11"/>
      <c r="C10" s="11"/>
      <c r="D10" s="11"/>
      <c r="E10" s="22"/>
      <c r="F10" s="22"/>
      <c r="I10" s="203"/>
      <c r="J10" s="203"/>
      <c r="K10" s="203" t="str">
        <f>Con_ELC!$B$2&amp;EnergyBalance!$H$2</f>
        <v>ELCRNW</v>
      </c>
      <c r="L10" s="206" t="str">
        <f>Con_ELC!$C$2&amp;" "&amp;EnergyBalance!$H$3</f>
        <v>Electricity Plants Renewable Energies</v>
      </c>
      <c r="M10" s="203" t="str">
        <f t="shared" si="0"/>
        <v>PJ</v>
      </c>
      <c r="N10" s="203"/>
      <c r="O10" s="203"/>
      <c r="P10" s="203"/>
      <c r="Q10" s="203"/>
    </row>
    <row r="11" spans="2:17">
      <c r="B11" s="11"/>
      <c r="C11" s="11"/>
      <c r="D11" s="11"/>
      <c r="E11" s="22"/>
      <c r="F11" s="22"/>
      <c r="I11" s="203"/>
      <c r="J11" s="203"/>
      <c r="K11" s="203"/>
      <c r="L11" s="206"/>
      <c r="M11" s="203"/>
      <c r="N11" s="203"/>
      <c r="O11" s="203"/>
      <c r="P11" s="203"/>
      <c r="Q11" s="203"/>
    </row>
    <row r="12" spans="2:17">
      <c r="K12" s="52"/>
      <c r="L12" s="54"/>
    </row>
    <row r="13" spans="2:17">
      <c r="D13" s="7" t="s">
        <v>13</v>
      </c>
      <c r="E13" s="7"/>
      <c r="F13" s="7"/>
      <c r="I13" s="197" t="s">
        <v>15</v>
      </c>
      <c r="J13" s="197"/>
      <c r="K13" s="204"/>
      <c r="L13" s="204"/>
      <c r="M13" s="204"/>
      <c r="N13" s="204"/>
      <c r="O13" s="204"/>
      <c r="P13" s="204"/>
      <c r="Q13" s="204"/>
    </row>
    <row r="14" spans="2:17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199" t="s">
        <v>11</v>
      </c>
      <c r="J14" s="200" t="s">
        <v>30</v>
      </c>
      <c r="K14" s="199" t="s">
        <v>1</v>
      </c>
      <c r="L14" s="199" t="s">
        <v>2</v>
      </c>
      <c r="M14" s="199" t="s">
        <v>16</v>
      </c>
      <c r="N14" s="199" t="s">
        <v>17</v>
      </c>
      <c r="O14" s="199" t="s">
        <v>18</v>
      </c>
      <c r="P14" s="199" t="s">
        <v>19</v>
      </c>
      <c r="Q14" s="199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01" t="s">
        <v>41</v>
      </c>
      <c r="J15" s="201" t="s">
        <v>31</v>
      </c>
      <c r="K15" s="201" t="s">
        <v>21</v>
      </c>
      <c r="L15" s="201" t="s">
        <v>22</v>
      </c>
      <c r="M15" s="201" t="s">
        <v>23</v>
      </c>
      <c r="N15" s="201" t="s">
        <v>24</v>
      </c>
      <c r="O15" s="201" t="s">
        <v>46</v>
      </c>
      <c r="P15" s="201" t="s">
        <v>45</v>
      </c>
      <c r="Q15" s="201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01" t="s">
        <v>103</v>
      </c>
      <c r="J16" s="205"/>
      <c r="K16" s="205"/>
      <c r="L16" s="205"/>
      <c r="M16" s="205"/>
      <c r="N16" s="205"/>
      <c r="O16" s="205"/>
      <c r="P16" s="205"/>
      <c r="Q16" s="205"/>
    </row>
    <row r="17" spans="2:17">
      <c r="B17" t="str">
        <f t="shared" ref="B17:B22" si="1">K17</f>
        <v>FTE-RSDGAS</v>
      </c>
      <c r="C17" t="str">
        <f t="shared" ref="C17:C22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02" t="s">
        <v>150</v>
      </c>
      <c r="J17" s="203"/>
      <c r="K17" s="203" t="str">
        <f t="shared" ref="K17:K22" si="3">"FT"&amp;$G$2&amp;"-"&amp;K5</f>
        <v>FTE-RSDGAS</v>
      </c>
      <c r="L17" s="206" t="str">
        <f>$D$2&amp;" "&amp;$G$1&amp;" "&amp;EnergyBalance!$C$16&amp; " Sector- "&amp;EnergyBalance!$E$3</f>
        <v>Sector Fuel Existing Residential Sector- Natural Gas</v>
      </c>
      <c r="M17" s="203" t="str">
        <f t="shared" ref="M17:M22" si="4">$E$2</f>
        <v>PJ</v>
      </c>
      <c r="N17" s="203" t="str">
        <f t="shared" ref="N17:N22" si="5">$E$2&amp;"a"</f>
        <v>PJa</v>
      </c>
      <c r="O17" s="203"/>
      <c r="P17" s="203"/>
      <c r="Q17" s="203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6"/>
      <c r="F18" s="132">
        <v>1</v>
      </c>
      <c r="G18" s="133">
        <v>30</v>
      </c>
      <c r="I18" s="203"/>
      <c r="J18" s="203"/>
      <c r="K18" s="203" t="str">
        <f t="shared" si="3"/>
        <v>FTE-TRAOIL</v>
      </c>
      <c r="L18" s="206" t="str">
        <f>$D$2&amp;" "&amp;$G$1&amp;" "&amp;EnergyBalance!$C$20&amp; " Sector- "&amp;EnergyBalance!$F$3</f>
        <v>Sector Fuel Existing Transport Sector- Crude Oil</v>
      </c>
      <c r="M18" s="203" t="str">
        <f t="shared" si="4"/>
        <v>PJ</v>
      </c>
      <c r="N18" s="203" t="str">
        <f t="shared" si="5"/>
        <v>PJa</v>
      </c>
      <c r="O18" s="203"/>
      <c r="P18" s="203"/>
      <c r="Q18" s="203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03"/>
      <c r="J19" s="203"/>
      <c r="K19" s="203" t="str">
        <f t="shared" si="3"/>
        <v>FTE-ELCCOA</v>
      </c>
      <c r="L19" s="206" t="str">
        <f>$D$2&amp;" Technology"&amp;" "&amp;$G$1&amp;" "&amp;L7</f>
        <v>Sector Fuel Technology Existing Electricity Plants Solid Fuels</v>
      </c>
      <c r="M19" s="203" t="str">
        <f t="shared" si="4"/>
        <v>PJ</v>
      </c>
      <c r="N19" s="203" t="str">
        <f t="shared" si="5"/>
        <v>PJa</v>
      </c>
      <c r="O19" s="203"/>
      <c r="P19" s="203"/>
      <c r="Q19" s="203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03"/>
      <c r="J20" s="203"/>
      <c r="K20" s="203" t="str">
        <f t="shared" si="3"/>
        <v>FTE-ELCGAS</v>
      </c>
      <c r="L20" s="206" t="str">
        <f>$D$2&amp;" Technology"&amp;" "&amp;$G$1&amp;" "&amp;L8</f>
        <v>Sector Fuel Technology Existing Electricity Plants Natural Gas</v>
      </c>
      <c r="M20" s="203" t="str">
        <f t="shared" si="4"/>
        <v>PJ</v>
      </c>
      <c r="N20" s="203" t="str">
        <f t="shared" si="5"/>
        <v>PJa</v>
      </c>
      <c r="O20" s="203"/>
      <c r="P20" s="203"/>
      <c r="Q20" s="203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03"/>
      <c r="J21" s="203"/>
      <c r="K21" s="203" t="str">
        <f t="shared" si="3"/>
        <v>FTE-ELCOIL</v>
      </c>
      <c r="L21" s="207" t="str">
        <f>$D$2&amp;" Technology"&amp;" "&amp;$G$1&amp;" "&amp;L9</f>
        <v>Sector Fuel Technology Existing Electricity Plants Crude Oil</v>
      </c>
      <c r="M21" s="203" t="str">
        <f t="shared" si="4"/>
        <v>PJ</v>
      </c>
      <c r="N21" s="203" t="str">
        <f t="shared" si="5"/>
        <v>PJa</v>
      </c>
      <c r="O21" s="203"/>
      <c r="P21" s="203"/>
      <c r="Q21" s="203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03"/>
      <c r="J22" s="203"/>
      <c r="K22" s="203" t="str">
        <f t="shared" si="3"/>
        <v>FTE-ELCRNW</v>
      </c>
      <c r="L22" s="206" t="str">
        <f>$D$2&amp;" Technology"&amp;" "&amp;$G$1&amp;" "&amp;L10</f>
        <v>Sector Fuel Technology Existing Electricity Plants Renewable Energies</v>
      </c>
      <c r="M22" s="203" t="str">
        <f t="shared" si="4"/>
        <v>PJ</v>
      </c>
      <c r="N22" s="203" t="str">
        <f t="shared" si="5"/>
        <v>PJa</v>
      </c>
      <c r="O22" s="203"/>
      <c r="P22" s="203"/>
      <c r="Q22" s="203"/>
    </row>
    <row r="23" spans="2:17">
      <c r="D23" s="49"/>
      <c r="E23" s="22"/>
      <c r="F23" s="132">
        <v>1</v>
      </c>
      <c r="G23" s="133">
        <v>30</v>
      </c>
      <c r="I23" s="208"/>
      <c r="J23" s="209"/>
      <c r="K23" s="203"/>
      <c r="L23" s="206"/>
      <c r="M23" s="203"/>
      <c r="N23" s="203"/>
      <c r="O23" s="203"/>
      <c r="P23" s="203"/>
      <c r="Q23" s="203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5"/>
      <c r="C26" s="1" t="s">
        <v>197</v>
      </c>
      <c r="I26" s="57"/>
      <c r="J26" s="53"/>
      <c r="O26" s="9"/>
      <c r="P26" s="9"/>
      <c r="Q26" s="9"/>
    </row>
    <row r="27" spans="2:17">
      <c r="B27" s="130"/>
      <c r="C27" s="1" t="s">
        <v>198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abSelected="1" zoomScaleNormal="100" workbookViewId="0">
      <selection activeCell="W20" sqref="W20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7" t="s">
        <v>14</v>
      </c>
      <c r="U2" s="197"/>
      <c r="V2" s="198"/>
      <c r="W2" s="198"/>
      <c r="X2" s="198"/>
      <c r="Y2" s="198"/>
      <c r="Z2" s="198"/>
      <c r="AA2" s="198"/>
      <c r="AB2" s="198"/>
    </row>
    <row r="3" spans="2:28">
      <c r="T3" s="199" t="s">
        <v>7</v>
      </c>
      <c r="U3" s="200" t="s">
        <v>30</v>
      </c>
      <c r="V3" s="199" t="s">
        <v>0</v>
      </c>
      <c r="W3" s="199" t="s">
        <v>3</v>
      </c>
      <c r="X3" s="199" t="s">
        <v>4</v>
      </c>
      <c r="Y3" s="199" t="s">
        <v>8</v>
      </c>
      <c r="Z3" s="199" t="s">
        <v>9</v>
      </c>
      <c r="AA3" s="199" t="s">
        <v>10</v>
      </c>
      <c r="AB3" s="199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01" t="s">
        <v>40</v>
      </c>
      <c r="U4" s="201" t="s">
        <v>31</v>
      </c>
      <c r="V4" s="201" t="s">
        <v>26</v>
      </c>
      <c r="W4" s="201" t="s">
        <v>27</v>
      </c>
      <c r="X4" s="201" t="s">
        <v>4</v>
      </c>
      <c r="Y4" s="201" t="s">
        <v>43</v>
      </c>
      <c r="Z4" s="201" t="s">
        <v>44</v>
      </c>
      <c r="AA4" s="201" t="s">
        <v>28</v>
      </c>
      <c r="AB4" s="201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02" t="s">
        <v>93</v>
      </c>
      <c r="U5" s="203"/>
      <c r="V5" s="202" t="str">
        <f>EnergyBalance!$K$2</f>
        <v>ELC</v>
      </c>
      <c r="W5" s="202" t="str">
        <f>EnergyBalance!$K$3</f>
        <v>Electricity</v>
      </c>
      <c r="X5" s="202" t="str">
        <f>$E$2</f>
        <v>PJ</v>
      </c>
      <c r="Y5" s="202"/>
      <c r="Z5" s="202" t="s">
        <v>183</v>
      </c>
      <c r="AA5" s="214"/>
      <c r="AB5" s="202" t="s">
        <v>54</v>
      </c>
    </row>
    <row r="6" spans="2:28">
      <c r="T6" s="204" t="s">
        <v>143</v>
      </c>
      <c r="U6" s="204"/>
      <c r="V6" s="204" t="str">
        <f>$B$2&amp;EnergyBalance!$C$52</f>
        <v>ELCCO2</v>
      </c>
      <c r="W6" s="204" t="str">
        <f>$C$2&amp;" "&amp;EnergyBalance!$C$53</f>
        <v>Electricity Plants Carbon dioxide</v>
      </c>
      <c r="X6" s="204" t="str">
        <f>EnergyBalance!$S$2</f>
        <v>kt</v>
      </c>
      <c r="Y6" s="204"/>
      <c r="Z6" s="204"/>
      <c r="AA6" s="204"/>
      <c r="AB6" s="204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197" t="s">
        <v>15</v>
      </c>
      <c r="U8" s="197"/>
      <c r="V8" s="198"/>
      <c r="W8" s="198"/>
      <c r="X8" s="198"/>
      <c r="Y8" s="198"/>
      <c r="Z8" s="198"/>
      <c r="AA8" s="198"/>
      <c r="AB8" s="198"/>
    </row>
    <row r="9" spans="2:28" ht="25.5" customHeight="1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2" t="s">
        <v>175</v>
      </c>
      <c r="S9" s="67"/>
      <c r="T9" s="199" t="s">
        <v>11</v>
      </c>
      <c r="U9" s="200" t="s">
        <v>30</v>
      </c>
      <c r="V9" s="199" t="s">
        <v>1</v>
      </c>
      <c r="W9" s="199" t="s">
        <v>2</v>
      </c>
      <c r="X9" s="199" t="s">
        <v>16</v>
      </c>
      <c r="Y9" s="199" t="s">
        <v>17</v>
      </c>
      <c r="Z9" s="199" t="s">
        <v>18</v>
      </c>
      <c r="AA9" s="199" t="s">
        <v>19</v>
      </c>
      <c r="AB9" s="199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01" t="s">
        <v>41</v>
      </c>
      <c r="U10" s="201" t="s">
        <v>31</v>
      </c>
      <c r="V10" s="201" t="s">
        <v>21</v>
      </c>
      <c r="W10" s="201" t="s">
        <v>22</v>
      </c>
      <c r="X10" s="201" t="s">
        <v>23</v>
      </c>
      <c r="Y10" s="201" t="s">
        <v>24</v>
      </c>
      <c r="Z10" s="201" t="s">
        <v>46</v>
      </c>
      <c r="AA10" s="201" t="s">
        <v>45</v>
      </c>
      <c r="AB10" s="201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01" t="s">
        <v>103</v>
      </c>
      <c r="U11" s="201"/>
      <c r="V11" s="201"/>
      <c r="W11" s="201"/>
      <c r="X11" s="201"/>
      <c r="Y11" s="201"/>
      <c r="Z11" s="201"/>
      <c r="AA11" s="201"/>
      <c r="AB11" s="201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191">
        <v>0.38400000000000001</v>
      </c>
      <c r="H12" s="140">
        <v>0.85</v>
      </c>
      <c r="I12" s="139"/>
      <c r="J12" s="191">
        <v>40</v>
      </c>
      <c r="K12" s="140">
        <v>0.5</v>
      </c>
      <c r="L12" s="139">
        <v>30</v>
      </c>
      <c r="O12" s="187">
        <v>31.536000000000001</v>
      </c>
      <c r="P12" s="140">
        <v>1</v>
      </c>
      <c r="Q12" s="51"/>
      <c r="R12" s="66">
        <f>E12*$H12*$O12</f>
        <v>3685.6780800000001</v>
      </c>
      <c r="S12" s="68"/>
      <c r="T12" s="203" t="s">
        <v>162</v>
      </c>
      <c r="U12" s="203"/>
      <c r="V12" s="203" t="str">
        <f>$B$2&amp;$C$5&amp;$I$2&amp;RIGHT(Sector_Fuels!$K$7,3)&amp;"00"</f>
        <v>ELCTECOA00</v>
      </c>
      <c r="W12" s="207" t="str">
        <f>$D$2&amp;" "&amp;$I$1&amp;RIGHT(V12,2)&amp;" - "&amp;EnergyBalance!D3</f>
        <v>Power Plants Existing00 - Solid Fuels</v>
      </c>
      <c r="X12" s="203" t="str">
        <f t="shared" ref="X12:X18" si="0">$E$2</f>
        <v>PJ</v>
      </c>
      <c r="Y12" s="203" t="str">
        <f t="shared" ref="Y12:Y18" si="1">$F$2</f>
        <v>GW</v>
      </c>
      <c r="Z12" s="202" t="s">
        <v>184</v>
      </c>
      <c r="AA12" s="203"/>
      <c r="AB12" s="203"/>
    </row>
    <row r="13" spans="2:28">
      <c r="D13" s="49" t="str">
        <f>$V$6</f>
        <v>ELCCO2</v>
      </c>
      <c r="E13" s="152"/>
      <c r="F13" s="152"/>
      <c r="G13" s="191"/>
      <c r="H13" s="140"/>
      <c r="I13" s="139"/>
      <c r="J13" s="191"/>
      <c r="K13" s="140"/>
      <c r="L13" s="139"/>
      <c r="N13" s="155">
        <f>99.8/G12</f>
        <v>259.89583333333331</v>
      </c>
      <c r="P13" s="150"/>
      <c r="Q13" s="51"/>
      <c r="R13" s="66"/>
      <c r="S13" s="69"/>
      <c r="T13" s="203"/>
      <c r="U13" s="203"/>
      <c r="V13" s="203" t="str">
        <f>$B$2&amp;$C$5&amp;$I$2&amp;RIGHT(Sector_Fuels!$K$8,3)&amp;"00"</f>
        <v>ELCTEGAS00</v>
      </c>
      <c r="W13" s="207" t="str">
        <f>$D$2&amp;" "&amp;$I$1&amp;RIGHT(V13,2)&amp;" - "&amp;EnergyBalance!E3</f>
        <v>Power Plants Existing00 - Natural Gas</v>
      </c>
      <c r="X13" s="203" t="str">
        <f t="shared" si="0"/>
        <v>PJ</v>
      </c>
      <c r="Y13" s="203" t="str">
        <f t="shared" si="1"/>
        <v>GW</v>
      </c>
      <c r="Z13" s="203"/>
      <c r="AA13" s="203"/>
      <c r="AB13" s="203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192">
        <v>0.4929</v>
      </c>
      <c r="H14" s="140">
        <v>0.85</v>
      </c>
      <c r="I14" s="139"/>
      <c r="J14" s="191">
        <v>35</v>
      </c>
      <c r="K14" s="140">
        <v>0.4</v>
      </c>
      <c r="L14" s="139">
        <v>20</v>
      </c>
      <c r="N14" s="56"/>
      <c r="O14" s="187">
        <v>31.536000000000001</v>
      </c>
      <c r="P14" s="140">
        <v>1</v>
      </c>
      <c r="Q14" s="51"/>
      <c r="R14" s="66">
        <f>E14*H14*O14</f>
        <v>2777.7596376000001</v>
      </c>
      <c r="S14" s="69"/>
      <c r="T14" s="203"/>
      <c r="U14" s="203"/>
      <c r="V14" s="203" t="str">
        <f>$B$2&amp;$C$5&amp;$I$2&amp;RIGHT(Sector_Fuels!$K$9,3)&amp;"00"</f>
        <v>ELCTEOIL00</v>
      </c>
      <c r="W14" s="207" t="str">
        <f>$D$2&amp;" "&amp;$I$1&amp;RIGHT(V14,2)&amp;" - "&amp;EnergyBalance!F3</f>
        <v>Power Plants Existing00 - Crude Oil</v>
      </c>
      <c r="X14" s="203" t="str">
        <f t="shared" si="0"/>
        <v>PJ</v>
      </c>
      <c r="Y14" s="203" t="str">
        <f t="shared" si="1"/>
        <v>GW</v>
      </c>
      <c r="Z14" s="203"/>
      <c r="AA14" s="203"/>
      <c r="AB14" s="203"/>
    </row>
    <row r="15" spans="2:28">
      <c r="D15" s="49" t="str">
        <f>$V$6</f>
        <v>ELCCO2</v>
      </c>
      <c r="E15" s="152"/>
      <c r="F15" s="152"/>
      <c r="G15" s="191"/>
      <c r="H15" s="140"/>
      <c r="I15" s="139"/>
      <c r="J15" s="191"/>
      <c r="K15" s="140"/>
      <c r="L15" s="139"/>
      <c r="N15" s="155">
        <f>56.1/G14</f>
        <v>113.81618989653074</v>
      </c>
      <c r="P15" s="150"/>
      <c r="Q15" s="51"/>
      <c r="R15" s="66"/>
      <c r="S15" s="69"/>
      <c r="T15" s="203"/>
      <c r="U15" s="203"/>
      <c r="V15" s="203" t="str">
        <f>$B$2&amp;$E$5&amp;$I$2&amp;RIGHT(Sector_Fuels!$K$10,3)&amp;"00"</f>
        <v>ELCRERNW00</v>
      </c>
      <c r="W15" s="207" t="str">
        <f>$D$2&amp;" "&amp;$I$1&amp;RIGHT(V15,2)&amp;" - "&amp;EnergyBalance!H3</f>
        <v>Power Plants Existing00 - Renewable Energies</v>
      </c>
      <c r="X15" s="203" t="str">
        <f t="shared" si="0"/>
        <v>PJ</v>
      </c>
      <c r="Y15" s="203" t="str">
        <f t="shared" si="1"/>
        <v>GW</v>
      </c>
      <c r="Z15" s="203"/>
      <c r="AA15" s="203"/>
      <c r="AB15" s="203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192">
        <v>0.25</v>
      </c>
      <c r="H16" s="154">
        <v>0.85</v>
      </c>
      <c r="I16" s="141"/>
      <c r="J16" s="192">
        <v>20</v>
      </c>
      <c r="K16" s="154">
        <v>0.2</v>
      </c>
      <c r="L16" s="141">
        <v>30</v>
      </c>
      <c r="M16" s="151"/>
      <c r="N16" s="56"/>
      <c r="O16" s="187">
        <v>31.536000000000001</v>
      </c>
      <c r="P16" s="140">
        <v>1</v>
      </c>
      <c r="Q16" s="51"/>
      <c r="R16" s="66">
        <f>E16*H16*O16</f>
        <v>306.15224999999992</v>
      </c>
      <c r="S16" s="69"/>
      <c r="T16" s="203"/>
      <c r="U16" s="203"/>
      <c r="V16" s="203" t="str">
        <f>$B$2&amp;$C$5&amp;$J$2&amp;RIGHT(Sector_Fuels!$K$7,3)&amp;"00"</f>
        <v>ELCTNCOA00</v>
      </c>
      <c r="W16" s="207" t="str">
        <f>$D$2&amp;" "&amp;$J$1&amp;RIGHT(V16,2)&amp;" - "&amp;EnergyBalance!D3</f>
        <v>Power Plants New00 - Solid Fuels</v>
      </c>
      <c r="X16" s="203" t="str">
        <f t="shared" si="0"/>
        <v>PJ</v>
      </c>
      <c r="Y16" s="203" t="str">
        <f t="shared" si="1"/>
        <v>GW</v>
      </c>
      <c r="Z16" s="202" t="s">
        <v>184</v>
      </c>
      <c r="AA16" s="203"/>
      <c r="AB16" s="203"/>
    </row>
    <row r="17" spans="2:28">
      <c r="D17" s="49" t="str">
        <f>$V$6</f>
        <v>ELCCO2</v>
      </c>
      <c r="E17" s="153"/>
      <c r="F17" s="153"/>
      <c r="G17" s="192"/>
      <c r="H17" s="154"/>
      <c r="I17" s="141"/>
      <c r="J17" s="192"/>
      <c r="K17" s="154"/>
      <c r="L17" s="141"/>
      <c r="M17" s="151"/>
      <c r="N17" s="155">
        <f>76.4/G16</f>
        <v>305.60000000000002</v>
      </c>
      <c r="O17" s="53"/>
      <c r="P17" s="188"/>
      <c r="Q17" s="51"/>
      <c r="R17" s="66"/>
      <c r="S17" s="69"/>
      <c r="T17" s="203"/>
      <c r="U17" s="203"/>
      <c r="V17" s="203" t="str">
        <f>$B$2&amp;$C$5&amp;$J$2&amp;RIGHT(Sector_Fuels!$K$8,3)&amp;"00"</f>
        <v>ELCTNGAS00</v>
      </c>
      <c r="W17" s="207" t="str">
        <f>$D$2&amp;" "&amp;$J$1&amp;RIGHT(V17,2)&amp;" - "&amp;EnergyBalance!E3</f>
        <v>Power Plants New00 - Natural Gas</v>
      </c>
      <c r="X17" s="203" t="str">
        <f t="shared" si="0"/>
        <v>PJ</v>
      </c>
      <c r="Y17" s="203" t="str">
        <f t="shared" si="1"/>
        <v>GW</v>
      </c>
      <c r="Z17" s="203"/>
      <c r="AA17" s="203"/>
      <c r="AB17" s="203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191">
        <v>1</v>
      </c>
      <c r="H18" s="140">
        <v>0.45</v>
      </c>
      <c r="I18" s="139"/>
      <c r="J18" s="191">
        <v>70</v>
      </c>
      <c r="K18" s="140"/>
      <c r="L18" s="156"/>
      <c r="N18" s="56"/>
      <c r="O18" s="187">
        <v>31.536000000000001</v>
      </c>
      <c r="P18" s="140">
        <v>0.5</v>
      </c>
      <c r="Q18" s="49"/>
      <c r="R18" s="66">
        <f>E18*H18*O18</f>
        <v>1255.692</v>
      </c>
      <c r="S18" s="69"/>
      <c r="T18" s="203"/>
      <c r="U18" s="203"/>
      <c r="V18" s="203" t="str">
        <f>$B$2&amp;$C$5&amp;$J$2&amp;RIGHT(Sector_Fuels!$K$9,3)&amp;"00"</f>
        <v>ELCTNOIL00</v>
      </c>
      <c r="W18" s="207" t="str">
        <f>$D$2&amp;" "&amp;$J$1&amp;RIGHT(V18,2)&amp;" - "&amp;EnergyBalance!F3</f>
        <v>Power Plants New00 - Crude Oil</v>
      </c>
      <c r="X18" s="203" t="str">
        <f t="shared" si="0"/>
        <v>PJ</v>
      </c>
      <c r="Y18" s="203" t="str">
        <f t="shared" si="1"/>
        <v>GW</v>
      </c>
      <c r="Z18" s="203"/>
      <c r="AA18" s="203"/>
      <c r="AB18" s="203"/>
    </row>
    <row r="19" spans="2:28">
      <c r="B19" s="49" t="str">
        <f>V16</f>
        <v>ELCTNCOA00</v>
      </c>
      <c r="C19" s="49" t="str">
        <f>$B$2&amp;RIGHT(Sector_Fuels!$K$7,3)</f>
        <v>ELCCOA</v>
      </c>
      <c r="D19" s="49" t="str">
        <f>$V$5</f>
        <v>ELC</v>
      </c>
      <c r="E19" s="56"/>
      <c r="F19" s="56"/>
      <c r="G19" s="140">
        <v>0.42</v>
      </c>
      <c r="H19" s="140">
        <v>0.85</v>
      </c>
      <c r="I19" s="139">
        <v>1650</v>
      </c>
      <c r="J19" s="191">
        <v>35</v>
      </c>
      <c r="K19" s="140">
        <v>0.4</v>
      </c>
      <c r="L19" s="139">
        <v>40</v>
      </c>
      <c r="M19" s="155">
        <v>2006</v>
      </c>
      <c r="N19" s="56"/>
      <c r="O19" s="187">
        <v>31.536000000000001</v>
      </c>
      <c r="P19" s="140">
        <v>1</v>
      </c>
      <c r="Q19" s="184"/>
      <c r="R19" s="185"/>
      <c r="S19" s="69"/>
      <c r="T19" s="203"/>
      <c r="U19" s="203"/>
      <c r="AA19" s="203"/>
      <c r="AB19" s="203"/>
    </row>
    <row r="20" spans="2:28">
      <c r="D20" s="49" t="str">
        <f>$V$6</f>
        <v>ELCCO2</v>
      </c>
      <c r="E20" s="56"/>
      <c r="F20" s="56"/>
      <c r="G20" s="140"/>
      <c r="H20" s="140"/>
      <c r="I20" s="139"/>
      <c r="J20" s="191"/>
      <c r="K20" s="140"/>
      <c r="L20" s="139"/>
      <c r="M20" s="56"/>
      <c r="N20" s="155">
        <f>99.8/G19</f>
        <v>237.61904761904762</v>
      </c>
      <c r="P20" s="150"/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B21" s="49" t="str">
        <f>V17</f>
        <v>ELCTNGAS00</v>
      </c>
      <c r="C21" s="49" t="str">
        <f>$B$2&amp;RIGHT(Sector_Fuels!$K$8,3)</f>
        <v>ELCGAS</v>
      </c>
      <c r="D21" s="49" t="str">
        <f>$V$5</f>
        <v>ELC</v>
      </c>
      <c r="G21" s="139">
        <v>0.52</v>
      </c>
      <c r="H21" s="140">
        <v>0.85</v>
      </c>
      <c r="I21" s="139">
        <v>750</v>
      </c>
      <c r="J21" s="191">
        <v>30</v>
      </c>
      <c r="K21" s="140">
        <v>0.35</v>
      </c>
      <c r="L21" s="139">
        <v>30</v>
      </c>
      <c r="M21" s="155">
        <v>2006</v>
      </c>
      <c r="N21" s="56"/>
      <c r="O21" s="187">
        <v>31.536000000000001</v>
      </c>
      <c r="P21" s="140">
        <v>1</v>
      </c>
      <c r="Q21" s="49"/>
      <c r="R21" s="49"/>
    </row>
    <row r="22" spans="2:28">
      <c r="D22" s="49" t="str">
        <f>$V$6</f>
        <v>ELCCO2</v>
      </c>
      <c r="G22" s="139"/>
      <c r="H22" s="139"/>
      <c r="I22" s="139"/>
      <c r="J22" s="191"/>
      <c r="K22" s="140"/>
      <c r="L22" s="139"/>
      <c r="M22" s="56"/>
      <c r="N22" s="155">
        <f>56.1/G21</f>
        <v>107.88461538461539</v>
      </c>
      <c r="P22" s="150"/>
      <c r="Q22" s="49"/>
      <c r="R22" s="49"/>
    </row>
    <row r="23" spans="2:28">
      <c r="B23" s="49" t="str">
        <f>V18</f>
        <v>ELCTNOIL00</v>
      </c>
      <c r="C23" s="49" t="str">
        <f>$B$2&amp;RIGHT(Sector_Fuels!$K$9,3)</f>
        <v>ELCOIL</v>
      </c>
      <c r="D23" s="49" t="str">
        <f>$V$5</f>
        <v>ELC</v>
      </c>
      <c r="G23" s="140">
        <v>0.3</v>
      </c>
      <c r="H23" s="140">
        <v>0.85</v>
      </c>
      <c r="I23" s="141">
        <v>250</v>
      </c>
      <c r="J23" s="192">
        <v>15</v>
      </c>
      <c r="K23" s="154">
        <v>0.2</v>
      </c>
      <c r="L23" s="139">
        <v>40</v>
      </c>
      <c r="M23" s="155">
        <v>2005</v>
      </c>
      <c r="N23" s="56"/>
      <c r="O23" s="187">
        <v>31.536000000000001</v>
      </c>
      <c r="P23" s="140">
        <v>1</v>
      </c>
      <c r="Q23" s="49"/>
      <c r="R23" s="49"/>
    </row>
    <row r="24" spans="2:28">
      <c r="D24" s="49" t="str">
        <f>$V$6</f>
        <v>ELCCO2</v>
      </c>
      <c r="G24" s="139"/>
      <c r="H24" s="139"/>
      <c r="I24" s="139"/>
      <c r="J24" s="139"/>
      <c r="K24" s="139"/>
      <c r="L24" s="139"/>
      <c r="M24" s="51"/>
      <c r="N24" s="155">
        <f>76.4/G23</f>
        <v>254.66666666666669</v>
      </c>
      <c r="Q24" s="49"/>
      <c r="R24" s="49"/>
    </row>
    <row r="25" spans="2:28">
      <c r="Q25" s="49"/>
      <c r="R25" s="49"/>
    </row>
    <row r="27" spans="2:28">
      <c r="R27" s="183"/>
    </row>
    <row r="28" spans="2:28">
      <c r="R28" s="194"/>
    </row>
    <row r="29" spans="2:28">
      <c r="R29" s="183"/>
    </row>
    <row r="30" spans="2:28">
      <c r="R30" s="195"/>
      <c r="T30" s="9"/>
      <c r="U30" s="9"/>
      <c r="V30" s="9"/>
      <c r="W30" s="35"/>
      <c r="X30" s="9"/>
      <c r="Y30" s="9"/>
      <c r="Z30" s="16"/>
    </row>
    <row r="31" spans="2:28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>
      <c r="B32" s="130"/>
      <c r="C32" s="1" t="s">
        <v>198</v>
      </c>
      <c r="R32" s="18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202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J10" sqref="J10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7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10" t="s">
        <v>14</v>
      </c>
      <c r="M2" s="210"/>
      <c r="N2" s="208"/>
      <c r="O2" s="208"/>
      <c r="P2" s="208"/>
      <c r="Q2" s="208"/>
      <c r="R2" s="208"/>
      <c r="S2" s="208"/>
      <c r="T2" s="208"/>
    </row>
    <row r="3" spans="2:20">
      <c r="G3" s="51"/>
      <c r="L3" s="211" t="s">
        <v>7</v>
      </c>
      <c r="M3" s="212" t="s">
        <v>30</v>
      </c>
      <c r="N3" s="211" t="s">
        <v>0</v>
      </c>
      <c r="O3" s="211" t="s">
        <v>3</v>
      </c>
      <c r="P3" s="211" t="s">
        <v>4</v>
      </c>
      <c r="Q3" s="211" t="s">
        <v>8</v>
      </c>
      <c r="R3" s="211" t="s">
        <v>9</v>
      </c>
      <c r="S3" s="211" t="s">
        <v>10</v>
      </c>
      <c r="T3" s="211" t="s">
        <v>12</v>
      </c>
    </row>
    <row r="4" spans="2:20" s="51" customFormat="1" ht="22.2" thickBot="1">
      <c r="B4" s="18"/>
      <c r="C4" s="18"/>
      <c r="D4" s="18"/>
      <c r="E4" s="18"/>
      <c r="F4" s="18"/>
      <c r="L4" s="201" t="s">
        <v>40</v>
      </c>
      <c r="M4" s="201" t="s">
        <v>31</v>
      </c>
      <c r="N4" s="201" t="s">
        <v>26</v>
      </c>
      <c r="O4" s="201" t="s">
        <v>27</v>
      </c>
      <c r="P4" s="201" t="s">
        <v>4</v>
      </c>
      <c r="Q4" s="201" t="s">
        <v>43</v>
      </c>
      <c r="R4" s="201" t="s">
        <v>44</v>
      </c>
      <c r="S4" s="201" t="s">
        <v>28</v>
      </c>
      <c r="T4" s="201" t="s">
        <v>29</v>
      </c>
    </row>
    <row r="5" spans="2:20" s="51" customFormat="1" ht="15.6">
      <c r="B5" s="18"/>
      <c r="C5" s="18"/>
      <c r="D5" s="18"/>
      <c r="E5" s="18"/>
      <c r="F5" s="18"/>
      <c r="L5" s="213" t="s">
        <v>105</v>
      </c>
      <c r="M5" s="214"/>
      <c r="N5" s="213" t="str">
        <f>B2&amp;EnergyBalance!D2</f>
        <v>TPSCOA</v>
      </c>
      <c r="O5" s="213" t="str">
        <f>LEFT($D$2,6)&amp;" "&amp;$C$2&amp;" - "&amp;EnergyBalance!D2</f>
        <v>Demand Total Primary Supply - COA</v>
      </c>
      <c r="P5" s="213" t="str">
        <f>$E$2</f>
        <v>PJ</v>
      </c>
      <c r="Q5" s="213"/>
      <c r="R5" s="213"/>
      <c r="S5" s="213"/>
      <c r="T5" s="213"/>
    </row>
    <row r="8" spans="2:20">
      <c r="D8" s="7" t="s">
        <v>13</v>
      </c>
      <c r="E8" s="7"/>
      <c r="F8" s="7"/>
      <c r="H8" s="7"/>
      <c r="I8" s="8"/>
      <c r="J8" s="6"/>
      <c r="L8" s="210" t="s">
        <v>15</v>
      </c>
      <c r="M8" s="210"/>
      <c r="N8" s="209"/>
      <c r="O8" s="209"/>
      <c r="P8" s="209"/>
      <c r="Q8" s="209"/>
      <c r="R8" s="209"/>
      <c r="S8" s="209"/>
      <c r="T8" s="209"/>
    </row>
    <row r="9" spans="2:20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11" t="s">
        <v>11</v>
      </c>
      <c r="M9" s="212" t="s">
        <v>30</v>
      </c>
      <c r="N9" s="211" t="s">
        <v>1</v>
      </c>
      <c r="O9" s="211" t="s">
        <v>2</v>
      </c>
      <c r="P9" s="211" t="s">
        <v>16</v>
      </c>
      <c r="Q9" s="211" t="s">
        <v>17</v>
      </c>
      <c r="R9" s="211" t="s">
        <v>18</v>
      </c>
      <c r="S9" s="211" t="s">
        <v>19</v>
      </c>
      <c r="T9" s="21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8" t="s">
        <v>125</v>
      </c>
      <c r="H10" s="27" t="s">
        <v>122</v>
      </c>
      <c r="I10" s="27" t="s">
        <v>121</v>
      </c>
      <c r="J10" s="27" t="s">
        <v>212</v>
      </c>
      <c r="L10" s="201" t="s">
        <v>41</v>
      </c>
      <c r="M10" s="201" t="s">
        <v>31</v>
      </c>
      <c r="N10" s="201" t="s">
        <v>21</v>
      </c>
      <c r="O10" s="201" t="s">
        <v>22</v>
      </c>
      <c r="P10" s="201" t="s">
        <v>23</v>
      </c>
      <c r="Q10" s="201" t="s">
        <v>24</v>
      </c>
      <c r="R10" s="201" t="s">
        <v>46</v>
      </c>
      <c r="S10" s="201" t="s">
        <v>45</v>
      </c>
      <c r="T10" s="201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01" t="s">
        <v>103</v>
      </c>
      <c r="M11" s="201"/>
      <c r="N11" s="201"/>
      <c r="O11" s="201"/>
      <c r="P11" s="201"/>
      <c r="Q11" s="201"/>
      <c r="R11" s="201"/>
      <c r="S11" s="201"/>
      <c r="T11" s="201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13" t="s">
        <v>123</v>
      </c>
      <c r="M12" s="214"/>
      <c r="N12" s="214" t="str">
        <f>LEFT(L12,1)&amp;B2&amp;RIGHT(O12,3)</f>
        <v>DTPSCOA</v>
      </c>
      <c r="O12" s="215" t="str">
        <f>$D$2&amp;" "&amp;$C$2&amp;" - "&amp;EnergyBalance!D2</f>
        <v>Demand Technology Total Primary Supply - COA</v>
      </c>
      <c r="P12" s="214" t="str">
        <f>$E$2</f>
        <v>PJ</v>
      </c>
      <c r="Q12" s="214" t="str">
        <f>$E$2&amp;"a"</f>
        <v>PJa</v>
      </c>
      <c r="R12" s="214"/>
      <c r="S12" s="214"/>
      <c r="T12" s="214"/>
    </row>
    <row r="13" spans="2:20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9"/>
      <c r="C23" s="50" t="s">
        <v>197</v>
      </c>
    </row>
    <row r="24" spans="2:20">
      <c r="B24" s="174"/>
      <c r="C24" s="50" t="s">
        <v>198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EnergyBalance</vt:lpstr>
      <vt:lpstr>RES&amp;OBJ</vt:lpstr>
      <vt:lpstr>Pri_COA</vt:lpstr>
      <vt:lpstr>Pri_GAS</vt:lpstr>
      <vt:lpstr>Pri_OIL</vt:lpstr>
      <vt:lpstr>Pri_RNW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2022-06-08T23:12:17Z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