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RMEN\Pictures\ModeloTIMESOG\SuppXLS\"/>
    </mc:Choice>
  </mc:AlternateContent>
  <xr:revisionPtr revIDLastSave="0" documentId="13_ncr:1_{50378C24-ADE3-4D33-AFC4-BB19F281B310}" xr6:coauthVersionLast="47" xr6:coauthVersionMax="47" xr10:uidLastSave="{00000000-0000-0000-0000-000000000000}"/>
  <bookViews>
    <workbookView xWindow="300" yWindow="45" windowWidth="20190" windowHeight="10875" activeTab="3" xr2:uid="{00000000-000D-0000-FFFF-FFFF00000000}"/>
  </bookViews>
  <sheets>
    <sheet name="Fuels" sheetId="7" r:id="rId1"/>
    <sheet name="Refineries_Base" sheetId="6" r:id="rId2"/>
    <sheet name="REF1-Cartagena" sheetId="8" r:id="rId3"/>
    <sheet name="REF2-Barranc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7" i="8" l="1"/>
  <c r="C25" i="8"/>
  <c r="K24" i="8"/>
  <c r="H27" i="8"/>
  <c r="A26" i="8" s="1"/>
  <c r="K25" i="8"/>
  <c r="H10" i="8" l="1"/>
  <c r="Q29" i="5"/>
  <c r="Q23" i="5"/>
  <c r="T150" i="5" a="1"/>
  <c r="T150" i="5" s="1"/>
  <c r="T143" i="5" a="1"/>
  <c r="T143" i="5" s="1"/>
  <c r="T136" i="5" a="1"/>
  <c r="T136" i="5" s="1"/>
  <c r="T129" i="5" a="1"/>
  <c r="T129" i="5" s="1"/>
  <c r="T122" i="5" a="1"/>
  <c r="T122" i="5" s="1"/>
  <c r="T115" i="5" a="1"/>
  <c r="T115" i="5" s="1"/>
  <c r="T108" i="5" a="1"/>
  <c r="T108" i="5" s="1"/>
  <c r="T101" i="5" a="1"/>
  <c r="T101" i="5" s="1"/>
  <c r="S101" i="8" a="1"/>
  <c r="S101" i="8" s="1"/>
  <c r="P29" i="8"/>
  <c r="S150" i="8" a="1"/>
  <c r="S150" i="8" s="1"/>
  <c r="S143" i="8" a="1"/>
  <c r="S143" i="8" s="1"/>
  <c r="S136" i="8" a="1"/>
  <c r="S136" i="8" s="1"/>
  <c r="S129" i="8" a="1"/>
  <c r="S129" i="8" s="1"/>
  <c r="S122" i="8" a="1"/>
  <c r="S122" i="8" s="1"/>
  <c r="S115" i="8" a="1"/>
  <c r="S115" i="8" s="1"/>
  <c r="S108" i="8" a="1"/>
  <c r="S108" i="8" s="1"/>
  <c r="W39" i="8"/>
  <c r="W46" i="8"/>
  <c r="W53" i="8"/>
  <c r="W60" i="8"/>
  <c r="AD61" i="8"/>
  <c r="AD68" i="8" s="1"/>
  <c r="AE61" i="8"/>
  <c r="AE67" i="8" s="1"/>
  <c r="AF61" i="8"/>
  <c r="AF65" i="8" s="1"/>
  <c r="AG61" i="8"/>
  <c r="AG68" i="8" s="1"/>
  <c r="AH61" i="8"/>
  <c r="AH65" i="8" s="1"/>
  <c r="AI61" i="8"/>
  <c r="AI65" i="8" s="1"/>
  <c r="AJ61" i="8"/>
  <c r="AJ68" i="8" s="1"/>
  <c r="W67" i="8"/>
  <c r="W74" i="8"/>
  <c r="W81" i="8"/>
  <c r="W88" i="8"/>
  <c r="H11" i="8"/>
  <c r="K28" i="8" s="1"/>
  <c r="H9" i="8"/>
  <c r="H8" i="8"/>
  <c r="H25" i="8" s="1"/>
  <c r="A25" i="8" s="1"/>
  <c r="H7" i="8"/>
  <c r="H24" i="8" s="1"/>
  <c r="A24" i="8" s="1"/>
  <c r="B24" i="8" s="1"/>
  <c r="B25" i="8" l="1"/>
  <c r="B26" i="8" s="1"/>
  <c r="B27" i="8" s="1"/>
  <c r="AF70" i="8"/>
  <c r="AE70" i="8"/>
  <c r="AD66" i="8"/>
  <c r="AE72" i="8"/>
  <c r="AE66" i="8"/>
  <c r="H14" i="8"/>
  <c r="AI71" i="8"/>
  <c r="AE69" i="8"/>
  <c r="AI70" i="8"/>
  <c r="AE68" i="8"/>
  <c r="AE65" i="8"/>
  <c r="AI72" i="8"/>
  <c r="AI68" i="8"/>
  <c r="AI66" i="8"/>
  <c r="AE71" i="8"/>
  <c r="AI69" i="8"/>
  <c r="AI67" i="8"/>
  <c r="AF69" i="8"/>
  <c r="AD71" i="8"/>
  <c r="AH68" i="8"/>
  <c r="AJ72" i="8"/>
  <c r="AJ71" i="8"/>
  <c r="AJ70" i="8"/>
  <c r="AJ69" i="8"/>
  <c r="AF72" i="8"/>
  <c r="AF71" i="8"/>
  <c r="AF67" i="8"/>
  <c r="AF68" i="8"/>
  <c r="AJ67" i="8"/>
  <c r="AJ66" i="8"/>
  <c r="AJ65" i="8"/>
  <c r="AF66" i="8"/>
  <c r="AH71" i="8"/>
  <c r="AH69" i="8"/>
  <c r="AD67" i="8"/>
  <c r="AD65" i="8"/>
  <c r="AD72" i="8"/>
  <c r="AD70" i="8"/>
  <c r="AG69" i="8"/>
  <c r="AH67" i="8"/>
  <c r="AD69" i="8"/>
  <c r="AH66" i="8"/>
  <c r="AH72" i="8"/>
  <c r="AH70" i="8"/>
  <c r="AG70" i="8"/>
  <c r="AG65" i="8"/>
  <c r="AG71" i="8"/>
  <c r="AG67" i="8"/>
  <c r="AG66" i="8"/>
  <c r="AG72" i="8"/>
  <c r="S88" i="8" a="1"/>
  <c r="S88" i="8" s="1"/>
  <c r="S81" i="8" a="1"/>
  <c r="S81" i="8" s="1"/>
  <c r="S74" i="8" a="1"/>
  <c r="S74" i="8" s="1"/>
  <c r="S67" i="8" a="1"/>
  <c r="S67" i="8" s="1"/>
  <c r="S60" i="8" a="1"/>
  <c r="S60" i="8" s="1"/>
  <c r="S53" i="8" a="1"/>
  <c r="S53" i="8" s="1"/>
  <c r="S46" i="8" a="1"/>
  <c r="S46" i="8" s="1"/>
  <c r="S39" i="8" a="1"/>
  <c r="S39" i="8" s="1"/>
  <c r="AM61" i="8"/>
  <c r="AM66" i="8" s="1"/>
  <c r="AL61" i="8"/>
  <c r="AL72" i="8" s="1"/>
  <c r="AK61" i="8"/>
  <c r="AK66" i="8" s="1"/>
  <c r="AL32" i="8"/>
  <c r="AL46" i="8" s="1"/>
  <c r="AK32" i="8"/>
  <c r="AK44" i="8" s="1"/>
  <c r="AJ32" i="8"/>
  <c r="AI32" i="8"/>
  <c r="AH32" i="8"/>
  <c r="AG32" i="8"/>
  <c r="AF32" i="8"/>
  <c r="AE32" i="8"/>
  <c r="AD32" i="8"/>
  <c r="AC32" i="8"/>
  <c r="K30" i="8"/>
  <c r="I27" i="8"/>
  <c r="H26" i="8"/>
  <c r="I25" i="8"/>
  <c r="T14" i="8"/>
  <c r="I11" i="8"/>
  <c r="I10" i="8"/>
  <c r="I9" i="8"/>
  <c r="I8" i="8"/>
  <c r="I7" i="8"/>
  <c r="Q30" i="5"/>
  <c r="L28" i="5"/>
  <c r="L24" i="5"/>
  <c r="I26" i="5"/>
  <c r="I25" i="5"/>
  <c r="A25" i="5" s="1"/>
  <c r="T88" i="5" a="1"/>
  <c r="T88" i="5" s="1"/>
  <c r="T81" i="5" a="1"/>
  <c r="T81" i="5" s="1"/>
  <c r="T74" i="5" a="1"/>
  <c r="T74" i="5" s="1"/>
  <c r="T67" i="5" a="1"/>
  <c r="T67" i="5" s="1"/>
  <c r="T60" i="5" a="1"/>
  <c r="T60" i="5" s="1"/>
  <c r="T53" i="5" a="1"/>
  <c r="T53" i="5" s="1"/>
  <c r="T46" i="5" a="1"/>
  <c r="T46" i="5" s="1"/>
  <c r="T39" i="5" a="1"/>
  <c r="T39" i="5" s="1"/>
  <c r="O41" i="7"/>
  <c r="H41" i="7" s="1"/>
  <c r="A40" i="7"/>
  <c r="O38" i="7"/>
  <c r="Q38" i="7" s="1"/>
  <c r="S38" i="7" s="1"/>
  <c r="H38" i="7" s="1"/>
  <c r="L38" i="7" s="1"/>
  <c r="I38" i="7"/>
  <c r="O37" i="7"/>
  <c r="Q37" i="7" s="1"/>
  <c r="S37" i="7" s="1"/>
  <c r="H37" i="7" s="1"/>
  <c r="L37" i="7" s="1"/>
  <c r="I37" i="7"/>
  <c r="H36" i="7"/>
  <c r="O35" i="7"/>
  <c r="Q35" i="7" s="1"/>
  <c r="S35" i="7" s="1"/>
  <c r="H35" i="7" s="1"/>
  <c r="O34" i="7"/>
  <c r="Q34" i="7" s="1"/>
  <c r="S34" i="7" s="1"/>
  <c r="H34" i="7" s="1"/>
  <c r="L34" i="7" s="1"/>
  <c r="I34" i="7"/>
  <c r="O33" i="7"/>
  <c r="Q33" i="7" s="1"/>
  <c r="S33" i="7" s="1"/>
  <c r="H33" i="7" s="1"/>
  <c r="L33" i="7" s="1"/>
  <c r="I33" i="7"/>
  <c r="O32" i="7"/>
  <c r="Q32" i="7" s="1"/>
  <c r="S32" i="7" s="1"/>
  <c r="H32" i="7" s="1"/>
  <c r="L32" i="7" s="1"/>
  <c r="I32" i="7"/>
  <c r="O31" i="7"/>
  <c r="Q31" i="7" s="1"/>
  <c r="S31" i="7" s="1"/>
  <c r="H31" i="7" s="1"/>
  <c r="L31" i="7" s="1"/>
  <c r="I31" i="7"/>
  <c r="O30" i="7"/>
  <c r="Q30" i="7" s="1"/>
  <c r="S30" i="7" s="1"/>
  <c r="H30" i="7" s="1"/>
  <c r="L30" i="7" s="1"/>
  <c r="I30" i="7"/>
  <c r="B30" i="7"/>
  <c r="O29" i="7"/>
  <c r="Q29" i="7" s="1"/>
  <c r="S29" i="7" s="1"/>
  <c r="H29" i="7" s="1"/>
  <c r="L29" i="7" s="1"/>
  <c r="I29" i="7"/>
  <c r="B29" i="7"/>
  <c r="O28" i="7"/>
  <c r="Q28" i="7" s="1"/>
  <c r="S28" i="7" s="1"/>
  <c r="H28" i="7" s="1"/>
  <c r="L28" i="7" s="1"/>
  <c r="I28" i="7"/>
  <c r="B28" i="7"/>
  <c r="O27" i="7"/>
  <c r="Q27" i="7" s="1"/>
  <c r="S27" i="7" s="1"/>
  <c r="H27" i="7" s="1"/>
  <c r="L27" i="7" s="1"/>
  <c r="I27" i="7"/>
  <c r="B27" i="7"/>
  <c r="O26" i="7"/>
  <c r="Q26" i="7" s="1"/>
  <c r="S26" i="7" s="1"/>
  <c r="H26" i="7" s="1"/>
  <c r="L26" i="7" s="1"/>
  <c r="I26" i="7"/>
  <c r="B26" i="7"/>
  <c r="O25" i="7"/>
  <c r="Q25" i="7" s="1"/>
  <c r="S25" i="7" s="1"/>
  <c r="H25" i="7" s="1"/>
  <c r="I25" i="7"/>
  <c r="I35" i="7" s="1"/>
  <c r="B25" i="7"/>
  <c r="B24" i="7"/>
  <c r="L23" i="7"/>
  <c r="B22" i="7"/>
  <c r="L17" i="7"/>
  <c r="L16" i="7"/>
  <c r="N15" i="7"/>
  <c r="M15" i="7" s="1"/>
  <c r="O15" i="7" s="1"/>
  <c r="L15" i="7"/>
  <c r="N14" i="7"/>
  <c r="M14" i="7" s="1"/>
  <c r="O14" i="7" s="1"/>
  <c r="L14" i="7"/>
  <c r="N13" i="7"/>
  <c r="M13" i="7" s="1"/>
  <c r="O13" i="7" s="1"/>
  <c r="L13" i="7"/>
  <c r="N12" i="7"/>
  <c r="M12" i="7" s="1"/>
  <c r="O12" i="7" s="1"/>
  <c r="L12" i="7"/>
  <c r="N11" i="7"/>
  <c r="M11" i="7" s="1"/>
  <c r="O11" i="7" s="1"/>
  <c r="L11" i="7"/>
  <c r="N10" i="7"/>
  <c r="M10" i="7" s="1"/>
  <c r="O10" i="7" s="1"/>
  <c r="L10" i="7"/>
  <c r="N9" i="7"/>
  <c r="M9" i="7" s="1"/>
  <c r="O9" i="7" s="1"/>
  <c r="L9" i="7"/>
  <c r="N8" i="7"/>
  <c r="M8" i="7" s="1"/>
  <c r="O8" i="7" s="1"/>
  <c r="L8" i="7"/>
  <c r="N7" i="7"/>
  <c r="M7" i="7" s="1"/>
  <c r="O7" i="7" s="1"/>
  <c r="L7" i="7"/>
  <c r="N6" i="7"/>
  <c r="M6" i="7" s="1"/>
  <c r="O6" i="7" s="1"/>
  <c r="L6" i="7"/>
  <c r="N5" i="7"/>
  <c r="M5" i="7" s="1"/>
  <c r="O5" i="7" s="1"/>
  <c r="L5" i="7"/>
  <c r="J26" i="5" l="1"/>
  <c r="A26" i="5"/>
  <c r="I26" i="8"/>
  <c r="A28" i="8"/>
  <c r="B28" i="8" s="1"/>
  <c r="S9" i="8"/>
  <c r="K26" i="8" s="1"/>
  <c r="P26" i="8" s="1"/>
  <c r="S7" i="8"/>
  <c r="M28" i="5"/>
  <c r="AG39" i="8"/>
  <c r="AG40" i="8"/>
  <c r="AG41" i="8"/>
  <c r="AG42" i="8"/>
  <c r="AG43" i="8"/>
  <c r="AG44" i="8"/>
  <c r="AG46" i="8"/>
  <c r="P30" i="8"/>
  <c r="AF46" i="8"/>
  <c r="AF39" i="8"/>
  <c r="AF40" i="8"/>
  <c r="AF41" i="8"/>
  <c r="AF42" i="8"/>
  <c r="AF43" i="8"/>
  <c r="AF44" i="8"/>
  <c r="AJ46" i="8"/>
  <c r="AJ39" i="8"/>
  <c r="AJ40" i="8"/>
  <c r="AJ41" i="8"/>
  <c r="AJ42" i="8"/>
  <c r="AJ43" i="8"/>
  <c r="AJ44" i="8"/>
  <c r="AC39" i="8"/>
  <c r="AC40" i="8"/>
  <c r="AC41" i="8"/>
  <c r="AC42" i="8"/>
  <c r="AC43" i="8"/>
  <c r="AC44" i="8"/>
  <c r="AC46" i="8"/>
  <c r="L26" i="8"/>
  <c r="AD39" i="8"/>
  <c r="AD40" i="8"/>
  <c r="AD41" i="8"/>
  <c r="AD42" i="8"/>
  <c r="AD43" i="8"/>
  <c r="AD44" i="8"/>
  <c r="AD46" i="8"/>
  <c r="AH39" i="8"/>
  <c r="AH40" i="8"/>
  <c r="AH41" i="8"/>
  <c r="AH42" i="8"/>
  <c r="AH43" i="8"/>
  <c r="AH44" i="8"/>
  <c r="AH46" i="8"/>
  <c r="L28" i="8"/>
  <c r="AE39" i="8"/>
  <c r="AE40" i="8"/>
  <c r="AE41" i="8"/>
  <c r="AE42" i="8"/>
  <c r="AE43" i="8"/>
  <c r="AE44" i="8"/>
  <c r="AE46" i="8"/>
  <c r="AI39" i="8"/>
  <c r="AI40" i="8"/>
  <c r="AI41" i="8"/>
  <c r="AI42" i="8"/>
  <c r="AI43" i="8"/>
  <c r="AI44" i="8"/>
  <c r="AI46" i="8"/>
  <c r="M24" i="5"/>
  <c r="N17" i="7"/>
  <c r="M17" i="7" s="1"/>
  <c r="O17" i="7" s="1"/>
  <c r="N16" i="7"/>
  <c r="M16" i="7" s="1"/>
  <c r="O16" i="7" s="1"/>
  <c r="S10" i="8"/>
  <c r="K27" i="8" s="1"/>
  <c r="AL39" i="8"/>
  <c r="AL65" i="8"/>
  <c r="AL43" i="8"/>
  <c r="AM69" i="8"/>
  <c r="AK70" i="8"/>
  <c r="S8" i="8"/>
  <c r="S12" i="8"/>
  <c r="AL40" i="8"/>
  <c r="AL44" i="8"/>
  <c r="AK67" i="8"/>
  <c r="AM70" i="8"/>
  <c r="AK71" i="8"/>
  <c r="AL41" i="8"/>
  <c r="AM67" i="8"/>
  <c r="AK68" i="8"/>
  <c r="AM71" i="8"/>
  <c r="AK72" i="8"/>
  <c r="AL42" i="8"/>
  <c r="AK65" i="8"/>
  <c r="AM68" i="8"/>
  <c r="AK69" i="8"/>
  <c r="AM72" i="8"/>
  <c r="H40" i="7"/>
  <c r="J7" i="8"/>
  <c r="J8" i="8"/>
  <c r="J9" i="8"/>
  <c r="J11" i="8"/>
  <c r="J10" i="8"/>
  <c r="Q14" i="8"/>
  <c r="S11" i="8"/>
  <c r="H28" i="8" s="1"/>
  <c r="I28" i="8" s="1"/>
  <c r="S13" i="8"/>
  <c r="AK39" i="8"/>
  <c r="AK41" i="8"/>
  <c r="AK43" i="8"/>
  <c r="AM65" i="8"/>
  <c r="AL67" i="8"/>
  <c r="AL69" i="8"/>
  <c r="AL71" i="8"/>
  <c r="AK46" i="8"/>
  <c r="AL66" i="8"/>
  <c r="L24" i="8"/>
  <c r="AK40" i="8"/>
  <c r="AK42" i="8"/>
  <c r="AL68" i="8"/>
  <c r="AL70" i="8"/>
  <c r="J25" i="5"/>
  <c r="I12" i="5"/>
  <c r="A28" i="5" s="1"/>
  <c r="I11" i="5"/>
  <c r="I10" i="5"/>
  <c r="I27" i="5" s="1"/>
  <c r="I9" i="5"/>
  <c r="I8" i="5"/>
  <c r="J8" i="5" s="1"/>
  <c r="I7" i="5"/>
  <c r="AE61" i="5"/>
  <c r="AE66" i="5" s="1"/>
  <c r="AF61" i="5"/>
  <c r="AF66" i="5" s="1"/>
  <c r="AG61" i="5"/>
  <c r="AG67" i="5" s="1"/>
  <c r="AH61" i="5"/>
  <c r="AH65" i="5" s="1"/>
  <c r="AI61" i="5"/>
  <c r="AI66" i="5" s="1"/>
  <c r="AJ61" i="5"/>
  <c r="AJ66" i="5" s="1"/>
  <c r="AK61" i="5"/>
  <c r="AK67" i="5" s="1"/>
  <c r="AL61" i="5"/>
  <c r="AL65" i="5" s="1"/>
  <c r="AM61" i="5"/>
  <c r="AM66" i="5" s="1"/>
  <c r="AN61" i="5"/>
  <c r="AN66" i="5" s="1"/>
  <c r="AM32" i="5"/>
  <c r="AM44" i="5" s="1"/>
  <c r="AL32" i="5"/>
  <c r="AL43" i="5" s="1"/>
  <c r="AK32" i="5"/>
  <c r="AK46" i="5" s="1"/>
  <c r="AJ32" i="5"/>
  <c r="AJ44" i="5" s="1"/>
  <c r="AI32" i="5"/>
  <c r="AI44" i="5" s="1"/>
  <c r="AH32" i="5"/>
  <c r="AH43" i="5" s="1"/>
  <c r="AG32" i="5"/>
  <c r="AG46" i="5" s="1"/>
  <c r="AF32" i="5"/>
  <c r="AF44" i="5" s="1"/>
  <c r="AE32" i="5"/>
  <c r="AE44" i="5" s="1"/>
  <c r="AD32" i="5"/>
  <c r="AD43" i="5" s="1"/>
  <c r="U14" i="5"/>
  <c r="J27" i="5" l="1"/>
  <c r="A27" i="5"/>
  <c r="P25" i="8"/>
  <c r="L101" i="8" a="1"/>
  <c r="L101" i="8" s="1"/>
  <c r="L39" i="8" a="1"/>
  <c r="L39" i="8" s="1"/>
  <c r="J10" i="5"/>
  <c r="L27" i="5"/>
  <c r="J11" i="5"/>
  <c r="I28" i="5"/>
  <c r="M39" i="5" a="1"/>
  <c r="M39" i="5" s="1"/>
  <c r="P28" i="8"/>
  <c r="L129" i="8" a="1"/>
  <c r="L129" i="8" s="1"/>
  <c r="L143" i="8" a="1"/>
  <c r="L143" i="8" s="1"/>
  <c r="L108" i="8" a="1"/>
  <c r="L108" i="8" s="1"/>
  <c r="L150" i="8" a="1"/>
  <c r="L150" i="8" s="1"/>
  <c r="L27" i="8"/>
  <c r="P27" i="8"/>
  <c r="L122" i="8" a="1"/>
  <c r="L122" i="8" s="1"/>
  <c r="L136" i="8" a="1"/>
  <c r="L136" i="8" s="1"/>
  <c r="L115" i="8" a="1"/>
  <c r="L115" i="8" s="1"/>
  <c r="K31" i="8"/>
  <c r="S14" i="8"/>
  <c r="L25" i="8"/>
  <c r="T10" i="5"/>
  <c r="R10" i="5" s="1"/>
  <c r="E27" i="5" s="1"/>
  <c r="T7" i="5"/>
  <c r="S7" i="5" s="1"/>
  <c r="I24" i="5" s="1"/>
  <c r="I14" i="5"/>
  <c r="J7" i="5"/>
  <c r="J9" i="5"/>
  <c r="T11" i="5"/>
  <c r="S11" i="5" s="1"/>
  <c r="D28" i="5" s="1"/>
  <c r="T8" i="5"/>
  <c r="R8" i="5" s="1"/>
  <c r="L25" i="5" s="1"/>
  <c r="T12" i="5"/>
  <c r="R12" i="5" s="1"/>
  <c r="T9" i="5"/>
  <c r="R9" i="5" s="1"/>
  <c r="L26" i="5" s="1"/>
  <c r="T13" i="5"/>
  <c r="AE39" i="5"/>
  <c r="AM39" i="5"/>
  <c r="AF41" i="5"/>
  <c r="AG42" i="5"/>
  <c r="AI43" i="5"/>
  <c r="AK44" i="5"/>
  <c r="AE65" i="5"/>
  <c r="AK65" i="5"/>
  <c r="AG65" i="5"/>
  <c r="AL72" i="5"/>
  <c r="AH72" i="5"/>
  <c r="AN71" i="5"/>
  <c r="AJ71" i="5"/>
  <c r="AF71" i="5"/>
  <c r="AL70" i="5"/>
  <c r="AH70" i="5"/>
  <c r="AN69" i="5"/>
  <c r="AJ69" i="5"/>
  <c r="AF69" i="5"/>
  <c r="AL68" i="5"/>
  <c r="AH68" i="5"/>
  <c r="AN67" i="5"/>
  <c r="AJ67" i="5"/>
  <c r="AF67" i="5"/>
  <c r="AL66" i="5"/>
  <c r="AH66" i="5"/>
  <c r="AF39" i="5"/>
  <c r="AG40" i="5"/>
  <c r="AI41" i="5"/>
  <c r="AK42" i="5"/>
  <c r="AJ43" i="5"/>
  <c r="AN65" i="5"/>
  <c r="AJ65" i="5"/>
  <c r="AF65" i="5"/>
  <c r="AK72" i="5"/>
  <c r="AG72" i="5"/>
  <c r="AM71" i="5"/>
  <c r="AI71" i="5"/>
  <c r="AE71" i="5"/>
  <c r="AK70" i="5"/>
  <c r="AG70" i="5"/>
  <c r="AM69" i="5"/>
  <c r="AI69" i="5"/>
  <c r="AE69" i="5"/>
  <c r="AK68" i="5"/>
  <c r="AG68" i="5"/>
  <c r="AM67" i="5"/>
  <c r="AI67" i="5"/>
  <c r="AE67" i="5"/>
  <c r="AK66" i="5"/>
  <c r="AG66" i="5"/>
  <c r="AI39" i="5"/>
  <c r="AK40" i="5"/>
  <c r="AJ41" i="5"/>
  <c r="AE43" i="5"/>
  <c r="AM43" i="5"/>
  <c r="AM65" i="5"/>
  <c r="AI65" i="5"/>
  <c r="AN72" i="5"/>
  <c r="AJ72" i="5"/>
  <c r="AF72" i="5"/>
  <c r="AL71" i="5"/>
  <c r="AH71" i="5"/>
  <c r="AN70" i="5"/>
  <c r="AJ70" i="5"/>
  <c r="AF70" i="5"/>
  <c r="AL69" i="5"/>
  <c r="AH69" i="5"/>
  <c r="AN68" i="5"/>
  <c r="AJ68" i="5"/>
  <c r="AF68" i="5"/>
  <c r="AL67" i="5"/>
  <c r="AH67" i="5"/>
  <c r="AJ39" i="5"/>
  <c r="AE41" i="5"/>
  <c r="AM41" i="5"/>
  <c r="AF43" i="5"/>
  <c r="AG44" i="5"/>
  <c r="AM72" i="5"/>
  <c r="AI72" i="5"/>
  <c r="AE72" i="5"/>
  <c r="AK71" i="5"/>
  <c r="AG71" i="5"/>
  <c r="AM70" i="5"/>
  <c r="AI70" i="5"/>
  <c r="AE70" i="5"/>
  <c r="AK69" i="5"/>
  <c r="AG69" i="5"/>
  <c r="AM68" i="5"/>
  <c r="AI68" i="5"/>
  <c r="AE68" i="5"/>
  <c r="AH40" i="5"/>
  <c r="AH42" i="5"/>
  <c r="AE46" i="5"/>
  <c r="AI46" i="5"/>
  <c r="AM46" i="5"/>
  <c r="AG39" i="5"/>
  <c r="AK39" i="5"/>
  <c r="AE40" i="5"/>
  <c r="AI40" i="5"/>
  <c r="AM40" i="5"/>
  <c r="AG41" i="5"/>
  <c r="AK41" i="5"/>
  <c r="AE42" i="5"/>
  <c r="AI42" i="5"/>
  <c r="AM42" i="5"/>
  <c r="AG43" i="5"/>
  <c r="AK43" i="5"/>
  <c r="AF46" i="5"/>
  <c r="AJ46" i="5"/>
  <c r="AD46" i="5"/>
  <c r="AH46" i="5"/>
  <c r="AL46" i="5"/>
  <c r="AD40" i="5"/>
  <c r="AL40" i="5"/>
  <c r="AD42" i="5"/>
  <c r="AL42" i="5"/>
  <c r="AD44" i="5"/>
  <c r="AH44" i="5"/>
  <c r="AL44" i="5"/>
  <c r="AD39" i="5"/>
  <c r="AH39" i="5"/>
  <c r="AL39" i="5"/>
  <c r="AF40" i="5"/>
  <c r="AJ40" i="5"/>
  <c r="AD41" i="5"/>
  <c r="AH41" i="5"/>
  <c r="AL41" i="5"/>
  <c r="AF42" i="5"/>
  <c r="AJ42" i="5"/>
  <c r="Q24" i="5" l="1"/>
  <c r="A24" i="5"/>
  <c r="B24" i="5" s="1"/>
  <c r="B25" i="5" s="1"/>
  <c r="B26" i="5" s="1"/>
  <c r="B27" i="5" s="1"/>
  <c r="B28" i="5" s="1"/>
  <c r="B31" i="5" s="1"/>
  <c r="Q25" i="5"/>
  <c r="M101" i="5" a="1"/>
  <c r="M101" i="5" s="1"/>
  <c r="J28" i="5"/>
  <c r="Q28" i="5"/>
  <c r="M26" i="5"/>
  <c r="Q26" i="5"/>
  <c r="M27" i="5"/>
  <c r="Q27" i="5"/>
  <c r="M88" i="5" a="1"/>
  <c r="M88" i="5" s="1"/>
  <c r="M60" i="5" a="1"/>
  <c r="M60" i="5" s="1"/>
  <c r="M81" i="5" a="1"/>
  <c r="M81" i="5" s="1"/>
  <c r="M53" i="5" a="1"/>
  <c r="M53" i="5" s="1"/>
  <c r="M74" i="5" a="1"/>
  <c r="M74" i="5" s="1"/>
  <c r="M46" i="5" a="1"/>
  <c r="M46" i="5" s="1"/>
  <c r="M67" i="5" a="1"/>
  <c r="M67" i="5" s="1"/>
  <c r="M150" i="5" a="1"/>
  <c r="M150" i="5" s="1"/>
  <c r="M136" i="5" a="1"/>
  <c r="M136" i="5" s="1"/>
  <c r="M122" i="5" a="1"/>
  <c r="M122" i="5" s="1"/>
  <c r="M108" i="5" a="1"/>
  <c r="M108" i="5" s="1"/>
  <c r="M143" i="5" a="1"/>
  <c r="M143" i="5" s="1"/>
  <c r="M129" i="5" a="1"/>
  <c r="M129" i="5" s="1"/>
  <c r="M115" i="5" a="1"/>
  <c r="M115" i="5" s="1"/>
  <c r="X88" i="5"/>
  <c r="K9" i="5"/>
  <c r="X67" i="5"/>
  <c r="X39" i="5"/>
  <c r="X53" i="5"/>
  <c r="L31" i="5"/>
  <c r="X74" i="5"/>
  <c r="X46" i="5"/>
  <c r="M25" i="5"/>
  <c r="X60" i="5"/>
  <c r="X81" i="5"/>
  <c r="J24" i="5"/>
  <c r="I31" i="5"/>
  <c r="P24" i="8"/>
  <c r="R14" i="8"/>
  <c r="M25" i="8"/>
  <c r="M27" i="8"/>
  <c r="M26" i="8"/>
  <c r="M24" i="8"/>
  <c r="M28" i="8"/>
  <c r="K11" i="5"/>
  <c r="K8" i="5"/>
  <c r="K10" i="5"/>
  <c r="K7" i="5"/>
  <c r="S14" i="5"/>
  <c r="R14" i="5"/>
  <c r="T14" i="5"/>
  <c r="N27" i="5" l="1"/>
  <c r="L88" i="8" a="1"/>
  <c r="L88" i="8" s="1"/>
  <c r="L60" i="8" a="1"/>
  <c r="L60" i="8" s="1"/>
  <c r="L81" i="8" a="1"/>
  <c r="L81" i="8" s="1"/>
  <c r="L53" i="8" a="1"/>
  <c r="L53" i="8" s="1"/>
  <c r="L74" i="8" a="1"/>
  <c r="L74" i="8" s="1"/>
  <c r="L46" i="8" a="1"/>
  <c r="L46" i="8" s="1"/>
  <c r="L67" i="8" a="1"/>
  <c r="L67" i="8" s="1"/>
  <c r="K24" i="5"/>
  <c r="K27" i="5"/>
  <c r="K26" i="5"/>
  <c r="K25" i="5"/>
  <c r="K28" i="5"/>
  <c r="N25" i="5"/>
  <c r="N28" i="5"/>
  <c r="N24" i="5"/>
  <c r="N26" i="5"/>
  <c r="I24" i="8"/>
  <c r="H31" i="8"/>
  <c r="J24" i="8" l="1"/>
  <c r="J25" i="8"/>
  <c r="J26" i="8"/>
  <c r="J27" i="8"/>
  <c r="J28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M19" authorId="0" shapeId="0" xr:uid="{96BD31BF-DB33-480B-98F3-8272779EB077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120,1 MJ/kg</t>
        </r>
      </text>
    </comment>
    <comment ref="A36" authorId="0" shapeId="0" xr:uid="{A777B4BD-EBD2-40CB-9BD3-6D82935BA25E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investing https://es.investing.com/currencies/usd-cop-historical-data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J37" authorId="0" shapeId="0" xr:uid="{0E4BF7C5-AFD1-4CED-9E3E-28D96BC13345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J99" authorId="0" shapeId="0" xr:uid="{370803C3-A091-4514-BAFE-DF6D300753D3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  <author>Maurizio Gargiulo</author>
  </authors>
  <commentList>
    <comment ref="I27" authorId="0" shapeId="0" xr:uid="{3D8F950F-0A38-404E-AFE4-052356B73912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Entre 2018-2019, considerando ademas declaracion</t>
        </r>
      </text>
    </comment>
    <comment ref="K37" authorId="1" shapeId="0" xr:uid="{02BAA6D3-94CC-4B61-8725-AF77C4220878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K99" authorId="1" shapeId="0" xr:uid="{680C63A7-4F7F-436E-9DA6-43619694ECA9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<sst xmlns="http://schemas.openxmlformats.org/spreadsheetml/2006/main" count="1539" uniqueCount="144">
  <si>
    <t>~TFM_INS</t>
  </si>
  <si>
    <t>TimeSlice</t>
  </si>
  <si>
    <t>LimType</t>
  </si>
  <si>
    <t>Attribute</t>
  </si>
  <si>
    <t>Year</t>
  </si>
  <si>
    <t>Other_Indexes</t>
  </si>
  <si>
    <t>AllRegions</t>
  </si>
  <si>
    <t>REG1</t>
  </si>
  <si>
    <t>Pset_Set</t>
  </si>
  <si>
    <t>Pset_PN</t>
  </si>
  <si>
    <t>Pset_PD</t>
  </si>
  <si>
    <t>Pset_CI</t>
  </si>
  <si>
    <t>Pset_CO</t>
  </si>
  <si>
    <t>Cset_Set</t>
  </si>
  <si>
    <t>Cset_CN</t>
  </si>
  <si>
    <t>Cset_CD</t>
  </si>
  <si>
    <t>TechName</t>
  </si>
  <si>
    <t>Comm-OUT</t>
  </si>
  <si>
    <t>UP</t>
  </si>
  <si>
    <t>GSL</t>
  </si>
  <si>
    <t>DSL</t>
  </si>
  <si>
    <t>KER</t>
  </si>
  <si>
    <t>LPG</t>
  </si>
  <si>
    <t>HFO</t>
  </si>
  <si>
    <t>RFG1</t>
  </si>
  <si>
    <t>REF1</t>
  </si>
  <si>
    <t>NRGO</t>
  </si>
  <si>
    <t>Share-O</t>
  </si>
  <si>
    <t>BASE</t>
  </si>
  <si>
    <t>Año cuando cambia</t>
  </si>
  <si>
    <t>LEAP</t>
  </si>
  <si>
    <t>LO</t>
  </si>
  <si>
    <t>Table Name:</t>
  </si>
  <si>
    <t>Unsaved_11113</t>
  </si>
  <si>
    <t>Commodity</t>
  </si>
  <si>
    <t>VAR_FOut</t>
  </si>
  <si>
    <t>CO2e-REF1</t>
  </si>
  <si>
    <t>REF2</t>
  </si>
  <si>
    <t>AVG</t>
  </si>
  <si>
    <t>RFG2</t>
  </si>
  <si>
    <t>Unsaved_115722</t>
  </si>
  <si>
    <t>~TFM_FILL</t>
  </si>
  <si>
    <t>Operation_Sum_Avg_Count</t>
  </si>
  <si>
    <t>Scenario Name</t>
  </si>
  <si>
    <t>A</t>
  </si>
  <si>
    <t>%Energía</t>
  </si>
  <si>
    <t>%Volumen</t>
  </si>
  <si>
    <t>kt/PJ</t>
  </si>
  <si>
    <t>PJ/UO</t>
  </si>
  <si>
    <t>TJ/UO</t>
  </si>
  <si>
    <t>UO/PJ(d)</t>
  </si>
  <si>
    <t>Commodity Name</t>
  </si>
  <si>
    <t>Exact Reference in UPME</t>
  </si>
  <si>
    <t>Original Unit</t>
  </si>
  <si>
    <t>Heat Value (PJ/UO)</t>
  </si>
  <si>
    <t>Emission Factor (kt CO2eq/PJ)</t>
  </si>
  <si>
    <t>UO</t>
  </si>
  <si>
    <t>F.E.</t>
  </si>
  <si>
    <t>Heating Value</t>
  </si>
  <si>
    <t>Units per day/PJ</t>
  </si>
  <si>
    <t>Natural Gas</t>
  </si>
  <si>
    <t>GAS</t>
  </si>
  <si>
    <t>Yes: Gas natural</t>
  </si>
  <si>
    <t>MPC</t>
  </si>
  <si>
    <t>Light Oil</t>
  </si>
  <si>
    <t>LOIL</t>
  </si>
  <si>
    <t>Yes: Petróleo</t>
  </si>
  <si>
    <t>Mbl</t>
  </si>
  <si>
    <t>kbl</t>
  </si>
  <si>
    <t>Medium Oil</t>
  </si>
  <si>
    <t>MOIL</t>
  </si>
  <si>
    <t>Heavy Oil</t>
  </si>
  <si>
    <t>HOIL</t>
  </si>
  <si>
    <t>Gasoline</t>
  </si>
  <si>
    <t>Yes: Gasolina Motor</t>
  </si>
  <si>
    <t>Diesel</t>
  </si>
  <si>
    <t>Yes: Diesel</t>
  </si>
  <si>
    <t>Kerosene</t>
  </si>
  <si>
    <t>Yes: Keroseno y Jet Fuel</t>
  </si>
  <si>
    <t>Yes: Gas licuado del Petróleo</t>
  </si>
  <si>
    <t>Fuel Oil</t>
  </si>
  <si>
    <t>Yes: Fuel Oil</t>
  </si>
  <si>
    <t>Avgas</t>
  </si>
  <si>
    <t>Yes: avgas</t>
  </si>
  <si>
    <t>Refinery Gas</t>
  </si>
  <si>
    <t>RFG</t>
  </si>
  <si>
    <t>Yes: Gas de Refinería</t>
  </si>
  <si>
    <t>Ethanol</t>
  </si>
  <si>
    <t>BDSL</t>
  </si>
  <si>
    <t>Yes: Alcohol Carburante</t>
  </si>
  <si>
    <t>Biodiesel</t>
  </si>
  <si>
    <t>ETH</t>
  </si>
  <si>
    <t xml:space="preserve">Yes: Biodiesel </t>
  </si>
  <si>
    <t>Electricity</t>
  </si>
  <si>
    <t>ELC</t>
  </si>
  <si>
    <t>Yes: Electricity - 2019</t>
  </si>
  <si>
    <t>Gwh</t>
  </si>
  <si>
    <t>-</t>
  </si>
  <si>
    <t>kt</t>
  </si>
  <si>
    <t>H2</t>
  </si>
  <si>
    <t>Escenario</t>
  </si>
  <si>
    <t>PCI</t>
  </si>
  <si>
    <t>F.E. CO2eq</t>
  </si>
  <si>
    <t>CAM1</t>
  </si>
  <si>
    <t>GU - Gas</t>
  </si>
  <si>
    <t>Energetico</t>
  </si>
  <si>
    <t>TJ/kbl*</t>
  </si>
  <si>
    <t>t/TJ</t>
  </si>
  <si>
    <t>Unidad/PJ</t>
  </si>
  <si>
    <r>
      <t xml:space="preserve">kb/d </t>
    </r>
    <r>
      <rPr>
        <sz val="11"/>
        <color theme="1"/>
        <rFont val="Calibri"/>
        <family val="2"/>
      </rPr>
      <t>→</t>
    </r>
    <r>
      <rPr>
        <sz val="12.65"/>
        <color theme="1"/>
        <rFont val="Calibri"/>
        <family val="2"/>
      </rPr>
      <t xml:space="preserve">  gal/d</t>
    </r>
  </si>
  <si>
    <t>CAM2</t>
  </si>
  <si>
    <t>LLO - Ligth</t>
  </si>
  <si>
    <t>MPC/TJ</t>
  </si>
  <si>
    <t>MPC/PJ</t>
  </si>
  <si>
    <t>MPC/d</t>
  </si>
  <si>
    <t>CAM3</t>
  </si>
  <si>
    <t>LLO - Heavy</t>
  </si>
  <si>
    <t>kbl/TJ</t>
  </si>
  <si>
    <t>kbl/PJ</t>
  </si>
  <si>
    <t>Kb/d</t>
  </si>
  <si>
    <t>CAM4</t>
  </si>
  <si>
    <t>PU - Ligth</t>
  </si>
  <si>
    <t>CAM5</t>
  </si>
  <si>
    <t>VMM - Medium</t>
  </si>
  <si>
    <t>CAM6</t>
  </si>
  <si>
    <t>VSM - Medium</t>
  </si>
  <si>
    <t>CAM7</t>
  </si>
  <si>
    <t>VIM - GAS</t>
  </si>
  <si>
    <t>pj/gwh</t>
  </si>
  <si>
    <r>
      <t xml:space="preserve">TRM (USD </t>
    </r>
    <r>
      <rPr>
        <sz val="11"/>
        <color theme="1"/>
        <rFont val="Calibri"/>
        <family val="2"/>
      </rPr>
      <t>→</t>
    </r>
    <r>
      <rPr>
        <sz val="12.65"/>
        <color theme="1"/>
        <rFont val="Calibri"/>
        <family val="2"/>
      </rPr>
      <t xml:space="preserve"> COP)</t>
    </r>
  </si>
  <si>
    <t>USD</t>
  </si>
  <si>
    <t>COP/USD</t>
  </si>
  <si>
    <t>GWh/año</t>
  </si>
  <si>
    <t>MUSD</t>
  </si>
  <si>
    <t>EMISIONES</t>
  </si>
  <si>
    <t>Kt CO2e/año</t>
  </si>
  <si>
    <t>COP</t>
  </si>
  <si>
    <t>Kb/d - Mpc/d</t>
  </si>
  <si>
    <t>(MPC/d) / (kb/d)</t>
  </si>
  <si>
    <t>Hidrogeno</t>
  </si>
  <si>
    <t>t/PJ</t>
  </si>
  <si>
    <t>Vol (base)</t>
  </si>
  <si>
    <t>Referencia</t>
  </si>
  <si>
    <t>Cumple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</si>
</sst>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\Te\x\t"/>
    <numFmt numFmtId="166" formatCode="0.0"/>
    <numFmt numFmtId="167" formatCode="0.0%"/>
    <numFmt numFmtId="168" formatCode="0.000"/>
    <numFmt numFmtId="169" formatCode="_-* #,##0.000_-;\-* #,##0.000_-;_-* &quot;-&quot;??_-;_-@_-"/>
    <numFmt numFmtId="170" formatCode="0.0000"/>
    <numFmt numFmtId="171" formatCode="_(* #,##0_);_(* \(#,##0\);_(* &quot;-&quot;??_);_(@_)"/>
    <numFmt numFmtId="172" formatCode="0.00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0"/>
      <color indexed="10"/>
      <name val="Arial"/>
      <family val="2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4"/>
      <color rgb="FF0000FF"/>
      <name val="Calibri"/>
      <family val="2"/>
    </font>
    <font>
      <sz val="14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1"/>
      <name val="Calibri"/>
      <family val="2"/>
    </font>
    <font>
      <sz val="12.65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4"/>
      <color theme="0" tint="-4.9989318521683403E-2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DashDotDot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5" fillId="0" borderId="0"/>
    <xf numFmtId="164" fontId="1" fillId="0" borderId="0" applyFont="0" applyFill="0" applyBorder="0" applyAlignment="0" applyProtection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191">
    <xf numFmtId="0" fontId="0" fillId="0" borderId="0" xfId="0"/>
    <xf numFmtId="0" fontId="3" fillId="0" borderId="0" xfId="0" applyFont="1"/>
    <xf numFmtId="0" fontId="5" fillId="0" borderId="0" xfId="2"/>
    <xf numFmtId="0" fontId="4" fillId="5" borderId="1" xfId="3" applyFont="1" applyFill="1" applyBorder="1" applyAlignment="1">
      <alignment horizontal="center" vertical="center"/>
    </xf>
    <xf numFmtId="0" fontId="4" fillId="5" borderId="2" xfId="3" applyFont="1" applyFill="1" applyBorder="1" applyAlignment="1">
      <alignment horizontal="center" vertical="center"/>
    </xf>
    <xf numFmtId="0" fontId="0" fillId="4" borderId="0" xfId="0" applyFill="1"/>
    <xf numFmtId="10" fontId="0" fillId="0" borderId="0" xfId="0" applyNumberFormat="1"/>
    <xf numFmtId="9" fontId="0" fillId="0" borderId="0" xfId="1" applyFont="1" applyBorder="1"/>
    <xf numFmtId="0" fontId="4" fillId="2" borderId="2" xfId="0" applyFont="1" applyFill="1" applyBorder="1"/>
    <xf numFmtId="0" fontId="4" fillId="3" borderId="2" xfId="0" applyFont="1" applyFill="1" applyBorder="1"/>
    <xf numFmtId="0" fontId="5" fillId="2" borderId="2" xfId="0" applyFont="1" applyFill="1" applyBorder="1"/>
    <xf numFmtId="0" fontId="0" fillId="6" borderId="0" xfId="0" applyFill="1"/>
    <xf numFmtId="0" fontId="0" fillId="6" borderId="0" xfId="0" applyFill="1" applyAlignment="1">
      <alignment horizontal="center" vertical="center"/>
    </xf>
    <xf numFmtId="9" fontId="0" fillId="0" borderId="0" xfId="1" applyFont="1"/>
    <xf numFmtId="9" fontId="0" fillId="4" borderId="0" xfId="1" applyFont="1" applyFill="1"/>
    <xf numFmtId="166" fontId="0" fillId="0" borderId="0" xfId="0" applyNumberFormat="1"/>
    <xf numFmtId="167" fontId="0" fillId="0" borderId="0" xfId="1" applyNumberFormat="1" applyFont="1"/>
    <xf numFmtId="9" fontId="0" fillId="0" borderId="0" xfId="0" applyNumberFormat="1"/>
    <xf numFmtId="0" fontId="5" fillId="0" borderId="0" xfId="5"/>
    <xf numFmtId="0" fontId="9" fillId="8" borderId="4" xfId="5" applyFont="1" applyFill="1" applyBorder="1"/>
    <xf numFmtId="0" fontId="4" fillId="2" borderId="4" xfId="0" applyFont="1" applyFill="1" applyBorder="1"/>
    <xf numFmtId="0" fontId="4" fillId="3" borderId="4" xfId="0" applyFont="1" applyFill="1" applyBorder="1"/>
    <xf numFmtId="0" fontId="5" fillId="2" borderId="4" xfId="0" applyFont="1" applyFill="1" applyBorder="1"/>
    <xf numFmtId="0" fontId="2" fillId="0" borderId="0" xfId="0" applyFont="1"/>
    <xf numFmtId="2" fontId="2" fillId="9" borderId="0" xfId="0" applyNumberFormat="1" applyFont="1" applyFill="1"/>
    <xf numFmtId="2" fontId="0" fillId="0" borderId="0" xfId="0" applyNumberFormat="1"/>
    <xf numFmtId="9" fontId="0" fillId="0" borderId="0" xfId="1" applyFont="1" applyFill="1"/>
    <xf numFmtId="169" fontId="0" fillId="0" borderId="0" xfId="4" applyNumberFormat="1" applyFont="1" applyFill="1"/>
    <xf numFmtId="0" fontId="8" fillId="0" borderId="0" xfId="0" applyFont="1"/>
    <xf numFmtId="0" fontId="0" fillId="0" borderId="7" xfId="0" applyBorder="1"/>
    <xf numFmtId="0" fontId="0" fillId="0" borderId="9" xfId="0" applyBorder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168" fontId="14" fillId="0" borderId="0" xfId="0" applyNumberFormat="1" applyFont="1" applyAlignment="1">
      <alignment horizontal="center" vertical="center" wrapText="1"/>
    </xf>
    <xf numFmtId="166" fontId="14" fillId="0" borderId="0" xfId="0" applyNumberFormat="1" applyFont="1" applyAlignment="1">
      <alignment horizontal="center" vertical="center" wrapText="1"/>
    </xf>
    <xf numFmtId="166" fontId="2" fillId="0" borderId="0" xfId="0" applyNumberFormat="1" applyFont="1" applyAlignment="1">
      <alignment horizontal="center" wrapText="1"/>
    </xf>
    <xf numFmtId="168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168" fontId="14" fillId="0" borderId="0" xfId="0" applyNumberFormat="1" applyFont="1" applyAlignment="1">
      <alignment vertical="center" wrapText="1"/>
    </xf>
    <xf numFmtId="166" fontId="14" fillId="0" borderId="0" xfId="0" applyNumberFormat="1" applyFont="1" applyAlignment="1">
      <alignment vertical="center" wrapText="1"/>
    </xf>
    <xf numFmtId="0" fontId="14" fillId="0" borderId="0" xfId="0" applyFont="1" applyAlignment="1">
      <alignment wrapText="1"/>
    </xf>
    <xf numFmtId="0" fontId="0" fillId="0" borderId="0" xfId="0" applyAlignment="1">
      <alignment horizontal="center" wrapText="1"/>
    </xf>
    <xf numFmtId="166" fontId="0" fillId="0" borderId="0" xfId="0" applyNumberFormat="1" applyAlignment="1">
      <alignment horizontal="center" wrapText="1"/>
    </xf>
    <xf numFmtId="168" fontId="0" fillId="0" borderId="0" xfId="0" applyNumberFormat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17" fontId="2" fillId="5" borderId="0" xfId="0" applyNumberFormat="1" applyFont="1" applyFill="1" applyAlignment="1">
      <alignment horizontal="center" wrapText="1"/>
    </xf>
    <xf numFmtId="0" fontId="0" fillId="4" borderId="0" xfId="0" applyFill="1" applyAlignment="1">
      <alignment wrapText="1"/>
    </xf>
    <xf numFmtId="0" fontId="1" fillId="0" borderId="0" xfId="6" applyAlignment="1">
      <alignment wrapText="1"/>
    </xf>
    <xf numFmtId="0" fontId="1" fillId="0" borderId="0" xfId="6" applyAlignment="1">
      <alignment horizontal="center" wrapText="1"/>
    </xf>
    <xf numFmtId="0" fontId="1" fillId="10" borderId="2" xfId="6" applyFill="1" applyBorder="1" applyAlignment="1">
      <alignment horizontal="center" vertical="center" wrapText="1"/>
    </xf>
    <xf numFmtId="2" fontId="0" fillId="0" borderId="0" xfId="0" applyNumberFormat="1" applyAlignment="1">
      <alignment wrapText="1"/>
    </xf>
    <xf numFmtId="0" fontId="11" fillId="4" borderId="2" xfId="6" applyFont="1" applyFill="1" applyBorder="1" applyAlignment="1">
      <alignment horizontal="center" vertical="center" wrapText="1"/>
    </xf>
    <xf numFmtId="0" fontId="2" fillId="0" borderId="10" xfId="6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11" fillId="0" borderId="2" xfId="6" applyFont="1" applyBorder="1" applyAlignment="1">
      <alignment horizontal="center" wrapText="1"/>
    </xf>
    <xf numFmtId="0" fontId="2" fillId="0" borderId="13" xfId="6" applyFont="1" applyBorder="1" applyAlignment="1">
      <alignment horizontal="center" vertical="center" wrapText="1"/>
    </xf>
    <xf numFmtId="2" fontId="1" fillId="0" borderId="0" xfId="6" applyNumberFormat="1" applyAlignment="1">
      <alignment wrapText="1"/>
    </xf>
    <xf numFmtId="170" fontId="2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2" xfId="6" applyBorder="1" applyAlignment="1">
      <alignment horizontal="center" wrapText="1"/>
    </xf>
    <xf numFmtId="1" fontId="0" fillId="0" borderId="0" xfId="0" applyNumberFormat="1" applyAlignment="1">
      <alignment wrapText="1"/>
    </xf>
    <xf numFmtId="0" fontId="1" fillId="10" borderId="0" xfId="6" applyFill="1" applyAlignment="1">
      <alignment horizontal="center" vertical="center" wrapText="1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16" xfId="0" applyFill="1" applyBorder="1" applyAlignment="1">
      <alignment horizontal="center" wrapText="1"/>
    </xf>
    <xf numFmtId="0" fontId="0" fillId="4" borderId="17" xfId="0" applyFill="1" applyBorder="1" applyAlignment="1">
      <alignment horizontal="center" wrapText="1"/>
    </xf>
    <xf numFmtId="0" fontId="1" fillId="4" borderId="11" xfId="0" applyFont="1" applyFill="1" applyBorder="1" applyAlignment="1">
      <alignment wrapText="1"/>
    </xf>
    <xf numFmtId="0" fontId="1" fillId="4" borderId="12" xfId="0" applyFont="1" applyFill="1" applyBorder="1" applyAlignment="1">
      <alignment wrapText="1"/>
    </xf>
    <xf numFmtId="0" fontId="1" fillId="4" borderId="0" xfId="0" applyFont="1" applyFill="1" applyAlignment="1">
      <alignment wrapText="1"/>
    </xf>
    <xf numFmtId="0" fontId="2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0" xfId="0" applyFont="1" applyAlignment="1">
      <alignment wrapText="1"/>
    </xf>
    <xf numFmtId="171" fontId="0" fillId="4" borderId="16" xfId="7" applyNumberFormat="1" applyFont="1" applyFill="1" applyBorder="1" applyAlignment="1">
      <alignment wrapText="1"/>
    </xf>
    <xf numFmtId="0" fontId="0" fillId="4" borderId="17" xfId="0" applyFill="1" applyBorder="1" applyAlignment="1">
      <alignment wrapText="1"/>
    </xf>
    <xf numFmtId="0" fontId="2" fillId="4" borderId="18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wrapText="1"/>
    </xf>
    <xf numFmtId="166" fontId="0" fillId="4" borderId="0" xfId="0" applyNumberFormat="1" applyFill="1" applyAlignment="1">
      <alignment wrapText="1"/>
    </xf>
    <xf numFmtId="166" fontId="0" fillId="4" borderId="19" xfId="0" applyNumberFormat="1" applyFill="1" applyBorder="1" applyAlignment="1">
      <alignment wrapText="1"/>
    </xf>
    <xf numFmtId="0" fontId="0" fillId="4" borderId="19" xfId="0" applyFill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19" xfId="0" applyBorder="1" applyAlignment="1">
      <alignment horizontal="center" wrapText="1"/>
    </xf>
    <xf numFmtId="2" fontId="0" fillId="0" borderId="19" xfId="0" applyNumberFormat="1" applyBorder="1" applyAlignment="1">
      <alignment wrapText="1"/>
    </xf>
    <xf numFmtId="0" fontId="0" fillId="0" borderId="11" xfId="0" applyBorder="1"/>
    <xf numFmtId="0" fontId="0" fillId="0" borderId="25" xfId="0" applyBorder="1"/>
    <xf numFmtId="0" fontId="0" fillId="0" borderId="12" xfId="0" applyBorder="1"/>
    <xf numFmtId="0" fontId="0" fillId="0" borderId="14" xfId="0" applyBorder="1"/>
    <xf numFmtId="0" fontId="12" fillId="4" borderId="0" xfId="0" applyFont="1" applyFill="1" applyAlignment="1">
      <alignment horizontal="center" vertical="center"/>
    </xf>
    <xf numFmtId="0" fontId="20" fillId="0" borderId="0" xfId="0" applyFont="1"/>
    <xf numFmtId="0" fontId="13" fillId="0" borderId="0" xfId="0" applyFont="1"/>
    <xf numFmtId="0" fontId="0" fillId="0" borderId="15" xfId="0" applyBorder="1"/>
    <xf numFmtId="0" fontId="0" fillId="0" borderId="0" xfId="0" applyAlignment="1">
      <alignment horizontal="center"/>
    </xf>
    <xf numFmtId="0" fontId="5" fillId="4" borderId="0" xfId="2" applyFill="1"/>
    <xf numFmtId="0" fontId="0" fillId="0" borderId="16" xfId="0" applyBorder="1"/>
    <xf numFmtId="0" fontId="0" fillId="0" borderId="26" xfId="0" applyBorder="1"/>
    <xf numFmtId="10" fontId="0" fillId="0" borderId="26" xfId="0" applyNumberFormat="1" applyBorder="1"/>
    <xf numFmtId="9" fontId="0" fillId="0" borderId="26" xfId="0" applyNumberFormat="1" applyBorder="1"/>
    <xf numFmtId="9" fontId="0" fillId="0" borderId="17" xfId="1" applyFont="1" applyFill="1" applyBorder="1"/>
    <xf numFmtId="0" fontId="2" fillId="5" borderId="0" xfId="0" applyFont="1" applyFill="1"/>
    <xf numFmtId="0" fontId="4" fillId="5" borderId="0" xfId="3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167" fontId="0" fillId="0" borderId="0" xfId="1" applyNumberFormat="1" applyFont="1" applyBorder="1"/>
    <xf numFmtId="167" fontId="0" fillId="0" borderId="0" xfId="0" applyNumberFormat="1"/>
    <xf numFmtId="9" fontId="0" fillId="5" borderId="0" xfId="1" applyFont="1" applyFill="1" applyBorder="1"/>
    <xf numFmtId="169" fontId="0" fillId="5" borderId="0" xfId="4" applyNumberFormat="1" applyFont="1" applyFill="1" applyBorder="1"/>
    <xf numFmtId="0" fontId="0" fillId="0" borderId="17" xfId="0" applyBorder="1"/>
    <xf numFmtId="0" fontId="0" fillId="0" borderId="14" xfId="0" applyBorder="1" applyAlignment="1">
      <alignment horizontal="right"/>
    </xf>
    <xf numFmtId="165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" fontId="0" fillId="0" borderId="22" xfId="0" applyNumberFormat="1" applyBorder="1" applyAlignment="1">
      <alignment horizontal="center"/>
    </xf>
    <xf numFmtId="9" fontId="0" fillId="0" borderId="7" xfId="1" applyFont="1" applyBorder="1" applyAlignment="1">
      <alignment horizontal="center"/>
    </xf>
    <xf numFmtId="1" fontId="0" fillId="0" borderId="23" xfId="0" applyNumberFormat="1" applyBorder="1" applyAlignment="1">
      <alignment horizontal="center"/>
    </xf>
    <xf numFmtId="9" fontId="0" fillId="0" borderId="0" xfId="1" applyFont="1" applyFill="1" applyBorder="1"/>
    <xf numFmtId="0" fontId="0" fillId="0" borderId="27" xfId="0" applyBorder="1"/>
    <xf numFmtId="10" fontId="2" fillId="0" borderId="6" xfId="0" applyNumberFormat="1" applyFont="1" applyBorder="1" applyAlignment="1">
      <alignment horizontal="center"/>
    </xf>
    <xf numFmtId="9" fontId="2" fillId="0" borderId="6" xfId="1" applyFont="1" applyBorder="1" applyAlignment="1">
      <alignment horizontal="center"/>
    </xf>
    <xf numFmtId="9" fontId="2" fillId="0" borderId="8" xfId="1" applyFont="1" applyBorder="1" applyAlignment="1">
      <alignment horizontal="center"/>
    </xf>
    <xf numFmtId="0" fontId="21" fillId="5" borderId="3" xfId="3" applyFont="1" applyFill="1" applyBorder="1" applyAlignment="1">
      <alignment horizontal="center" vertical="center"/>
    </xf>
    <xf numFmtId="9" fontId="2" fillId="0" borderId="0" xfId="1" applyFont="1" applyBorder="1" applyAlignment="1">
      <alignment horizontal="center"/>
    </xf>
    <xf numFmtId="10" fontId="2" fillId="0" borderId="0" xfId="0" applyNumberFormat="1" applyFont="1" applyAlignment="1">
      <alignment horizontal="center"/>
    </xf>
    <xf numFmtId="9" fontId="2" fillId="0" borderId="22" xfId="1" applyFont="1" applyBorder="1" applyAlignment="1">
      <alignment horizontal="center"/>
    </xf>
    <xf numFmtId="9" fontId="2" fillId="0" borderId="23" xfId="1" applyFont="1" applyBorder="1" applyAlignment="1">
      <alignment horizontal="center"/>
    </xf>
    <xf numFmtId="9" fontId="2" fillId="0" borderId="24" xfId="1" applyFont="1" applyBorder="1" applyAlignment="1">
      <alignment horizontal="center"/>
    </xf>
    <xf numFmtId="0" fontId="0" fillId="4" borderId="6" xfId="0" applyFill="1" applyBorder="1"/>
    <xf numFmtId="0" fontId="0" fillId="4" borderId="0" xfId="0" applyFill="1" applyAlignment="1">
      <alignment horizontal="center" vertical="center"/>
    </xf>
    <xf numFmtId="0" fontId="0" fillId="4" borderId="7" xfId="0" applyFill="1" applyBorder="1"/>
    <xf numFmtId="0" fontId="0" fillId="0" borderId="6" xfId="0" applyBorder="1"/>
    <xf numFmtId="0" fontId="0" fillId="0" borderId="0" xfId="0" applyAlignment="1">
      <alignment horizontal="center" vertical="center"/>
    </xf>
    <xf numFmtId="0" fontId="0" fillId="0" borderId="8" xfId="0" applyBorder="1"/>
    <xf numFmtId="0" fontId="0" fillId="0" borderId="27" xfId="0" applyBorder="1" applyAlignment="1">
      <alignment horizontal="center"/>
    </xf>
    <xf numFmtId="9" fontId="0" fillId="0" borderId="27" xfId="1" applyFont="1" applyBorder="1"/>
    <xf numFmtId="0" fontId="2" fillId="4" borderId="0" xfId="0" applyFont="1" applyFill="1"/>
    <xf numFmtId="0" fontId="2" fillId="0" borderId="27" xfId="0" applyFont="1" applyBorder="1"/>
    <xf numFmtId="0" fontId="0" fillId="11" borderId="20" xfId="0" applyFill="1" applyBorder="1"/>
    <xf numFmtId="0" fontId="2" fillId="11" borderId="5" xfId="0" applyFont="1" applyFill="1" applyBorder="1"/>
    <xf numFmtId="0" fontId="0" fillId="11" borderId="5" xfId="0" applyFill="1" applyBorder="1" applyAlignment="1">
      <alignment horizontal="center" vertical="center"/>
    </xf>
    <xf numFmtId="0" fontId="0" fillId="11" borderId="5" xfId="0" applyFill="1" applyBorder="1"/>
    <xf numFmtId="0" fontId="0" fillId="11" borderId="5" xfId="0" applyFill="1" applyBorder="1" applyAlignment="1">
      <alignment horizontal="center"/>
    </xf>
    <xf numFmtId="9" fontId="0" fillId="11" borderId="5" xfId="1" applyFont="1" applyFill="1" applyBorder="1"/>
    <xf numFmtId="0" fontId="0" fillId="11" borderId="21" xfId="0" applyFill="1" applyBorder="1"/>
    <xf numFmtId="0" fontId="0" fillId="11" borderId="6" xfId="0" applyFill="1" applyBorder="1"/>
    <xf numFmtId="0" fontId="2" fillId="11" borderId="0" xfId="0" applyFont="1" applyFill="1"/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0" fillId="11" borderId="0" xfId="0" applyFill="1" applyAlignment="1">
      <alignment horizontal="center"/>
    </xf>
    <xf numFmtId="9" fontId="0" fillId="11" borderId="0" xfId="1" applyFont="1" applyFill="1" applyBorder="1"/>
    <xf numFmtId="0" fontId="0" fillId="11" borderId="7" xfId="0" applyFill="1" applyBorder="1"/>
    <xf numFmtId="9" fontId="2" fillId="0" borderId="0" xfId="0" applyNumberFormat="1" applyFont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24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23" xfId="0" applyFill="1" applyBorder="1"/>
    <xf numFmtId="169" fontId="0" fillId="12" borderId="7" xfId="4" applyNumberFormat="1" applyFont="1" applyFill="1" applyBorder="1"/>
    <xf numFmtId="0" fontId="0" fillId="12" borderId="24" xfId="0" applyFill="1" applyBorder="1"/>
    <xf numFmtId="169" fontId="0" fillId="12" borderId="9" xfId="4" applyNumberFormat="1" applyFont="1" applyFill="1" applyBorder="1"/>
    <xf numFmtId="0" fontId="2" fillId="7" borderId="0" xfId="0" applyFont="1" applyFill="1" applyAlignment="1">
      <alignment horizontal="right"/>
    </xf>
    <xf numFmtId="0" fontId="2" fillId="7" borderId="0" xfId="0" applyFont="1" applyFill="1"/>
    <xf numFmtId="10" fontId="0" fillId="0" borderId="0" xfId="0" applyNumberFormat="1" applyAlignment="1">
      <alignment horizontal="center"/>
    </xf>
    <xf numFmtId="10" fontId="2" fillId="0" borderId="22" xfId="1" applyNumberFormat="1" applyFont="1" applyBorder="1" applyAlignment="1">
      <alignment horizontal="center"/>
    </xf>
    <xf numFmtId="10" fontId="2" fillId="0" borderId="23" xfId="1" applyNumberFormat="1" applyFont="1" applyBorder="1" applyAlignment="1">
      <alignment horizontal="center"/>
    </xf>
    <xf numFmtId="10" fontId="2" fillId="0" borderId="24" xfId="1" applyNumberFormat="1" applyFont="1" applyBorder="1" applyAlignment="1">
      <alignment horizontal="center"/>
    </xf>
    <xf numFmtId="10" fontId="2" fillId="0" borderId="8" xfId="1" applyNumberFormat="1" applyFont="1" applyBorder="1" applyAlignment="1">
      <alignment horizontal="center"/>
    </xf>
    <xf numFmtId="10" fontId="2" fillId="13" borderId="6" xfId="0" applyNumberFormat="1" applyFont="1" applyFill="1" applyBorder="1" applyAlignment="1">
      <alignment horizontal="center"/>
    </xf>
    <xf numFmtId="10" fontId="2" fillId="13" borderId="23" xfId="1" applyNumberFormat="1" applyFont="1" applyFill="1" applyBorder="1" applyAlignment="1">
      <alignment horizontal="center"/>
    </xf>
    <xf numFmtId="167" fontId="0" fillId="13" borderId="0" xfId="0" applyNumberFormat="1" applyFill="1"/>
    <xf numFmtId="10" fontId="2" fillId="13" borderId="22" xfId="1" applyNumberFormat="1" applyFont="1" applyFill="1" applyBorder="1" applyAlignment="1">
      <alignment horizontal="center"/>
    </xf>
    <xf numFmtId="10" fontId="0" fillId="0" borderId="0" xfId="1" applyNumberFormat="1" applyFont="1"/>
    <xf numFmtId="172" fontId="2" fillId="0" borderId="8" xfId="1" applyNumberFormat="1" applyFont="1" applyBorder="1" applyAlignment="1">
      <alignment horizontal="center"/>
    </xf>
    <xf numFmtId="10" fontId="2" fillId="4" borderId="6" xfId="0" applyNumberFormat="1" applyFont="1" applyFill="1" applyBorder="1" applyAlignment="1">
      <alignment horizontal="center"/>
    </xf>
    <xf numFmtId="10" fontId="2" fillId="14" borderId="23" xfId="1" applyNumberFormat="1" applyFont="1" applyFill="1" applyBorder="1" applyAlignment="1">
      <alignment horizontal="center"/>
    </xf>
    <xf numFmtId="10" fontId="22" fillId="0" borderId="6" xfId="0" applyNumberFormat="1" applyFont="1" applyBorder="1" applyAlignment="1">
      <alignment horizontal="center"/>
    </xf>
    <xf numFmtId="10" fontId="0" fillId="0" borderId="14" xfId="0" applyNumberFormat="1" applyBorder="1"/>
    <xf numFmtId="10" fontId="2" fillId="0" borderId="6" xfId="1" applyNumberFormat="1" applyFont="1" applyBorder="1" applyAlignment="1">
      <alignment horizontal="center"/>
    </xf>
    <xf numFmtId="0" fontId="0" fillId="4" borderId="11" xfId="0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  <xf numFmtId="0" fontId="4" fillId="5" borderId="1" xfId="3" applyFont="1" applyFill="1" applyBorder="1" applyAlignment="1">
      <alignment horizontal="center" vertical="center"/>
    </xf>
    <xf numFmtId="0" fontId="4" fillId="5" borderId="2" xfId="3" applyFont="1" applyFill="1" applyBorder="1" applyAlignment="1">
      <alignment horizontal="center" vertical="center"/>
    </xf>
    <xf numFmtId="0" fontId="4" fillId="5" borderId="3" xfId="3" applyFont="1" applyFill="1" applyBorder="1" applyAlignment="1">
      <alignment horizontal="center" vertical="center"/>
    </xf>
    <xf numFmtId="0" fontId="21" fillId="5" borderId="1" xfId="3" applyFont="1" applyFill="1" applyBorder="1" applyAlignment="1">
      <alignment horizontal="center" vertical="center"/>
    </xf>
    <xf numFmtId="0" fontId="21" fillId="5" borderId="2" xfId="3" applyFont="1" applyFill="1" applyBorder="1" applyAlignment="1">
      <alignment horizontal="center" vertical="center"/>
    </xf>
    <xf numFmtId="0" fontId="21" fillId="5" borderId="3" xfId="3" applyFont="1" applyFill="1" applyBorder="1" applyAlignment="1">
      <alignment horizontal="center" vertical="center"/>
    </xf>
  </cellXfs>
  <cellStyles count="8">
    <cellStyle name="Millares" xfId="4" builtinId="3"/>
    <cellStyle name="Millares 2" xfId="7" xr:uid="{E454BB4E-81C7-4617-80D4-83893550941C}"/>
    <cellStyle name="Normal" xfId="0" builtinId="0"/>
    <cellStyle name="Normal 10" xfId="2" xr:uid="{F4AA7C52-0FC6-462D-B900-71A8DE2FFD41}"/>
    <cellStyle name="Normal 2" xfId="3" xr:uid="{6ABAAE68-91B6-4113-A18C-D732EB5AAADA}"/>
    <cellStyle name="Normal 3" xfId="5" xr:uid="{E9726A9F-48AF-41EB-B666-BDAF224A54A7}"/>
    <cellStyle name="Normal 5" xfId="6" xr:uid="{6B744A9E-2CBB-4998-9C56-36213D4853B3}"/>
    <cellStyle name="Porcentaje" xfId="1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259080</xdr:colOff>
      <xdr:row>16</xdr:row>
      <xdr:rowOff>152400</xdr:rowOff>
    </xdr:from>
    <xdr:to>
      <xdr:col>27</xdr:col>
      <xdr:colOff>357228</xdr:colOff>
      <xdr:row>60</xdr:row>
      <xdr:rowOff>83036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90B4C41-4FE8-890E-97F3-889975573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02340" y="3147060"/>
          <a:ext cx="7116168" cy="80306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478972</xdr:colOff>
      <xdr:row>18</xdr:row>
      <xdr:rowOff>10886</xdr:rowOff>
    </xdr:from>
    <xdr:to>
      <xdr:col>33</xdr:col>
      <xdr:colOff>286224</xdr:colOff>
      <xdr:row>64</xdr:row>
      <xdr:rowOff>134276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9A0C314-700F-E0DB-88F0-DDD24E575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74486" y="3429000"/>
          <a:ext cx="7256891" cy="86833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E053F-10D3-4DB9-8557-CED2D368A413}">
  <dimension ref="A1:W44"/>
  <sheetViews>
    <sheetView showGridLines="0" topLeftCell="B23" zoomScale="115" zoomScaleNormal="115" workbookViewId="0">
      <selection activeCell="J19" sqref="J19:M19"/>
    </sheetView>
  </sheetViews>
  <sheetFormatPr baseColWidth="10" defaultRowHeight="15" x14ac:dyDescent="0.25"/>
  <cols>
    <col min="4" max="4" width="23.28515625" customWidth="1"/>
  </cols>
  <sheetData>
    <row r="1" spans="2:15" s="31" customFormat="1" x14ac:dyDescent="0.25"/>
    <row r="2" spans="2:15" s="31" customFormat="1" x14ac:dyDescent="0.25"/>
    <row r="3" spans="2:15" s="31" customFormat="1" x14ac:dyDescent="0.25">
      <c r="J3" s="32"/>
      <c r="K3" s="33"/>
      <c r="L3" s="33" t="s">
        <v>47</v>
      </c>
      <c r="M3" s="33" t="s">
        <v>48</v>
      </c>
      <c r="N3" s="33" t="s">
        <v>49</v>
      </c>
      <c r="O3" s="33" t="s">
        <v>50</v>
      </c>
    </row>
    <row r="4" spans="2:15" s="31" customFormat="1" ht="45" x14ac:dyDescent="0.25">
      <c r="B4" s="34" t="s">
        <v>34</v>
      </c>
      <c r="C4" s="34" t="s">
        <v>51</v>
      </c>
      <c r="D4" s="34" t="s">
        <v>52</v>
      </c>
      <c r="E4" s="34" t="s">
        <v>53</v>
      </c>
      <c r="F4" s="34" t="s">
        <v>54</v>
      </c>
      <c r="G4" s="34" t="s">
        <v>55</v>
      </c>
      <c r="J4" s="35" t="s">
        <v>56</v>
      </c>
      <c r="K4" s="36" t="s">
        <v>51</v>
      </c>
      <c r="L4" s="33" t="s">
        <v>57</v>
      </c>
      <c r="M4" s="33" t="s">
        <v>58</v>
      </c>
      <c r="N4" s="33" t="s">
        <v>58</v>
      </c>
      <c r="O4" s="36" t="s">
        <v>59</v>
      </c>
    </row>
    <row r="5" spans="2:15" s="31" customFormat="1" x14ac:dyDescent="0.25">
      <c r="B5" s="34" t="s">
        <v>60</v>
      </c>
      <c r="C5" s="34" t="s">
        <v>61</v>
      </c>
      <c r="D5" s="34" t="s">
        <v>62</v>
      </c>
      <c r="E5" s="34" t="s">
        <v>63</v>
      </c>
      <c r="F5" s="37">
        <v>1.0095573442026637E-3</v>
      </c>
      <c r="G5" s="38">
        <v>55.539114956987063</v>
      </c>
      <c r="J5" s="35" t="s">
        <v>63</v>
      </c>
      <c r="K5" s="36" t="s">
        <v>61</v>
      </c>
      <c r="L5" s="39">
        <f t="shared" ref="L5:L17" si="0">G5</f>
        <v>55.539114956987063</v>
      </c>
      <c r="M5" s="40">
        <f>N5/1000</f>
        <v>1.01E-3</v>
      </c>
      <c r="N5" s="41">
        <f>F25</f>
        <v>1.01</v>
      </c>
      <c r="O5" s="40">
        <f>(1/M5)/365</f>
        <v>2.7126000271260002</v>
      </c>
    </row>
    <row r="6" spans="2:15" s="31" customFormat="1" x14ac:dyDescent="0.25">
      <c r="B6" s="34" t="s">
        <v>64</v>
      </c>
      <c r="C6" s="34" t="s">
        <v>65</v>
      </c>
      <c r="D6" s="34" t="s">
        <v>66</v>
      </c>
      <c r="E6" s="34" t="s">
        <v>67</v>
      </c>
      <c r="F6" s="42">
        <v>6.0871741676095334</v>
      </c>
      <c r="G6" s="43">
        <v>77.841777688967127</v>
      </c>
      <c r="J6" s="35" t="s">
        <v>68</v>
      </c>
      <c r="K6" s="36" t="s">
        <v>65</v>
      </c>
      <c r="L6" s="39">
        <f t="shared" si="0"/>
        <v>77.841777688967127</v>
      </c>
      <c r="M6" s="40">
        <f t="shared" ref="M6:M17" si="1">N6/1000</f>
        <v>6.0899999999999999E-3</v>
      </c>
      <c r="N6" s="41">
        <f t="shared" ref="N6:N15" si="2">F26</f>
        <v>6.09</v>
      </c>
      <c r="O6" s="40">
        <f t="shared" ref="O6:O17" si="3">(1/M6)/365</f>
        <v>0.44987291090267001</v>
      </c>
    </row>
    <row r="7" spans="2:15" s="31" customFormat="1" x14ac:dyDescent="0.25">
      <c r="B7" s="34" t="s">
        <v>69</v>
      </c>
      <c r="C7" s="34" t="s">
        <v>70</v>
      </c>
      <c r="D7" s="34" t="s">
        <v>66</v>
      </c>
      <c r="E7" s="34" t="s">
        <v>67</v>
      </c>
      <c r="F7" s="42"/>
      <c r="G7" s="43"/>
      <c r="J7" s="35" t="s">
        <v>68</v>
      </c>
      <c r="K7" s="36" t="s">
        <v>70</v>
      </c>
      <c r="L7" s="39">
        <f t="shared" si="0"/>
        <v>0</v>
      </c>
      <c r="M7" s="40">
        <f t="shared" si="1"/>
        <v>6.0899999999999999E-3</v>
      </c>
      <c r="N7" s="41">
        <f t="shared" si="2"/>
        <v>6.09</v>
      </c>
      <c r="O7" s="40">
        <f t="shared" si="3"/>
        <v>0.44987291090267001</v>
      </c>
    </row>
    <row r="8" spans="2:15" s="31" customFormat="1" x14ac:dyDescent="0.25">
      <c r="B8" s="34" t="s">
        <v>71</v>
      </c>
      <c r="C8" s="34" t="s">
        <v>72</v>
      </c>
      <c r="D8" s="34" t="s">
        <v>66</v>
      </c>
      <c r="E8" s="34" t="s">
        <v>67</v>
      </c>
      <c r="F8" s="42"/>
      <c r="G8" s="43"/>
      <c r="J8" s="35" t="s">
        <v>68</v>
      </c>
      <c r="K8" s="36" t="s">
        <v>72</v>
      </c>
      <c r="L8" s="39">
        <f t="shared" si="0"/>
        <v>0</v>
      </c>
      <c r="M8" s="40">
        <f t="shared" si="1"/>
        <v>6.0899999999999999E-3</v>
      </c>
      <c r="N8" s="41">
        <f t="shared" si="2"/>
        <v>6.09</v>
      </c>
      <c r="O8" s="40">
        <f t="shared" si="3"/>
        <v>0.44987291090267001</v>
      </c>
    </row>
    <row r="9" spans="2:15" s="31" customFormat="1" x14ac:dyDescent="0.25">
      <c r="B9" s="34" t="s">
        <v>73</v>
      </c>
      <c r="C9" s="34" t="s">
        <v>19</v>
      </c>
      <c r="D9" s="34" t="s">
        <v>74</v>
      </c>
      <c r="E9" s="34" t="s">
        <v>67</v>
      </c>
      <c r="F9" s="37">
        <v>5.3308987344700309</v>
      </c>
      <c r="G9" s="38">
        <v>69.193827140333724</v>
      </c>
      <c r="J9" s="35" t="s">
        <v>68</v>
      </c>
      <c r="K9" s="36" t="s">
        <v>19</v>
      </c>
      <c r="L9" s="39">
        <f t="shared" si="0"/>
        <v>69.193827140333724</v>
      </c>
      <c r="M9" s="40">
        <f t="shared" si="1"/>
        <v>5.3299999999999997E-3</v>
      </c>
      <c r="N9" s="41">
        <f t="shared" si="2"/>
        <v>5.33</v>
      </c>
      <c r="O9" s="40">
        <f t="shared" si="3"/>
        <v>0.51401989256984248</v>
      </c>
    </row>
    <row r="10" spans="2:15" s="31" customFormat="1" x14ac:dyDescent="0.25">
      <c r="B10" s="34" t="s">
        <v>75</v>
      </c>
      <c r="C10" s="34" t="s">
        <v>20</v>
      </c>
      <c r="D10" s="34" t="s">
        <v>76</v>
      </c>
      <c r="E10" s="34" t="s">
        <v>67</v>
      </c>
      <c r="F10" s="37">
        <v>5.6708498400612823</v>
      </c>
      <c r="G10" s="38">
        <v>75.166375708662926</v>
      </c>
      <c r="J10" s="35" t="s">
        <v>68</v>
      </c>
      <c r="K10" s="36" t="s">
        <v>20</v>
      </c>
      <c r="L10" s="39">
        <f t="shared" si="0"/>
        <v>75.166375708662926</v>
      </c>
      <c r="M10" s="40">
        <f t="shared" si="1"/>
        <v>5.6699999999999997E-3</v>
      </c>
      <c r="N10" s="41">
        <f t="shared" si="2"/>
        <v>5.67</v>
      </c>
      <c r="O10" s="40">
        <f t="shared" si="3"/>
        <v>0.48319683022879367</v>
      </c>
    </row>
    <row r="11" spans="2:15" s="31" customFormat="1" x14ac:dyDescent="0.25">
      <c r="B11" s="34" t="s">
        <v>77</v>
      </c>
      <c r="C11" s="34" t="s">
        <v>21</v>
      </c>
      <c r="D11" s="34" t="s">
        <v>78</v>
      </c>
      <c r="E11" s="34" t="s">
        <v>67</v>
      </c>
      <c r="F11" s="37">
        <v>4.7117947967516214</v>
      </c>
      <c r="G11" s="38">
        <v>87.735056011523966</v>
      </c>
      <c r="J11" s="35" t="s">
        <v>68</v>
      </c>
      <c r="K11" s="36" t="s">
        <v>21</v>
      </c>
      <c r="L11" s="39">
        <f t="shared" si="0"/>
        <v>87.735056011523966</v>
      </c>
      <c r="M11" s="40">
        <f t="shared" si="1"/>
        <v>4.7099999999999998E-3</v>
      </c>
      <c r="N11" s="41">
        <f t="shared" si="2"/>
        <v>4.71</v>
      </c>
      <c r="O11" s="40">
        <f t="shared" si="3"/>
        <v>0.58168280836459885</v>
      </c>
    </row>
    <row r="12" spans="2:15" s="31" customFormat="1" ht="30" x14ac:dyDescent="0.25">
      <c r="B12" s="34" t="s">
        <v>22</v>
      </c>
      <c r="C12" s="34" t="s">
        <v>22</v>
      </c>
      <c r="D12" s="34" t="s">
        <v>79</v>
      </c>
      <c r="E12" s="34" t="s">
        <v>67</v>
      </c>
      <c r="F12" s="37">
        <v>4.0562660463586173</v>
      </c>
      <c r="G12" s="38">
        <v>47.28933824683137</v>
      </c>
      <c r="J12" s="35" t="s">
        <v>68</v>
      </c>
      <c r="K12" s="36" t="s">
        <v>22</v>
      </c>
      <c r="L12" s="39">
        <f t="shared" si="0"/>
        <v>47.28933824683137</v>
      </c>
      <c r="M12" s="40">
        <f t="shared" si="1"/>
        <v>4.0599999999999994E-3</v>
      </c>
      <c r="N12" s="41">
        <f t="shared" si="2"/>
        <v>4.0599999999999996</v>
      </c>
      <c r="O12" s="40">
        <f t="shared" si="3"/>
        <v>0.67480936635400512</v>
      </c>
    </row>
    <row r="13" spans="2:15" s="31" customFormat="1" x14ac:dyDescent="0.25">
      <c r="B13" s="34" t="s">
        <v>80</v>
      </c>
      <c r="C13" s="34" t="s">
        <v>23</v>
      </c>
      <c r="D13" s="34" t="s">
        <v>81</v>
      </c>
      <c r="E13" s="34" t="s">
        <v>67</v>
      </c>
      <c r="F13" s="37">
        <v>5.4608206169323079</v>
      </c>
      <c r="G13" s="38">
        <v>78.281203343664757</v>
      </c>
      <c r="J13" s="35" t="s">
        <v>68</v>
      </c>
      <c r="K13" s="36" t="s">
        <v>23</v>
      </c>
      <c r="L13" s="39">
        <f t="shared" si="0"/>
        <v>78.281203343664757</v>
      </c>
      <c r="M13" s="40">
        <f t="shared" si="1"/>
        <v>5.4599999999999996E-3</v>
      </c>
      <c r="N13" s="41">
        <f t="shared" si="2"/>
        <v>5.46</v>
      </c>
      <c r="O13" s="40">
        <f t="shared" si="3"/>
        <v>0.50178132369913198</v>
      </c>
    </row>
    <row r="14" spans="2:15" s="31" customFormat="1" x14ac:dyDescent="0.25">
      <c r="B14" s="34" t="s">
        <v>82</v>
      </c>
      <c r="C14" s="34" t="s">
        <v>38</v>
      </c>
      <c r="D14" s="34" t="s">
        <v>83</v>
      </c>
      <c r="E14" s="34" t="s">
        <v>67</v>
      </c>
      <c r="F14" s="37">
        <v>4.7615165047769556</v>
      </c>
      <c r="G14" s="38">
        <v>56.337812381502502</v>
      </c>
      <c r="J14" s="35" t="s">
        <v>68</v>
      </c>
      <c r="K14" s="36" t="s">
        <v>38</v>
      </c>
      <c r="L14" s="39">
        <f t="shared" si="0"/>
        <v>56.337812381502502</v>
      </c>
      <c r="M14" s="40">
        <f t="shared" si="1"/>
        <v>4.7599999999999995E-3</v>
      </c>
      <c r="N14" s="41">
        <f t="shared" si="2"/>
        <v>4.76</v>
      </c>
      <c r="O14" s="40">
        <f t="shared" si="3"/>
        <v>0.57557269483135731</v>
      </c>
    </row>
    <row r="15" spans="2:15" s="31" customFormat="1" ht="30" x14ac:dyDescent="0.25">
      <c r="B15" s="34" t="s">
        <v>84</v>
      </c>
      <c r="C15" s="34" t="s">
        <v>85</v>
      </c>
      <c r="D15" s="34" t="s">
        <v>86</v>
      </c>
      <c r="E15" s="34" t="s">
        <v>63</v>
      </c>
      <c r="F15" s="37">
        <v>5.2741115873405024E-3</v>
      </c>
      <c r="G15" s="38">
        <v>40.784041574326501</v>
      </c>
      <c r="J15" s="35" t="s">
        <v>63</v>
      </c>
      <c r="K15" s="36" t="s">
        <v>85</v>
      </c>
      <c r="L15" s="39">
        <f t="shared" si="0"/>
        <v>40.784041574326501</v>
      </c>
      <c r="M15" s="40">
        <f t="shared" si="1"/>
        <v>1E-3</v>
      </c>
      <c r="N15" s="41">
        <f t="shared" si="2"/>
        <v>1</v>
      </c>
      <c r="O15" s="40">
        <f t="shared" si="3"/>
        <v>2.7397260273972601</v>
      </c>
    </row>
    <row r="16" spans="2:15" s="31" customFormat="1" x14ac:dyDescent="0.25">
      <c r="B16" s="34" t="s">
        <v>87</v>
      </c>
      <c r="C16" s="34" t="s">
        <v>88</v>
      </c>
      <c r="D16" s="34" t="s">
        <v>89</v>
      </c>
      <c r="E16" s="34" t="s">
        <v>67</v>
      </c>
      <c r="F16" s="37">
        <v>5.1927630695557223</v>
      </c>
      <c r="G16" s="38">
        <v>84.75811612074672</v>
      </c>
      <c r="J16" s="35" t="s">
        <v>68</v>
      </c>
      <c r="K16" s="36" t="s">
        <v>88</v>
      </c>
      <c r="L16" s="39">
        <f t="shared" si="0"/>
        <v>84.75811612074672</v>
      </c>
      <c r="M16" s="40">
        <f t="shared" si="1"/>
        <v>5.2741115873405006E-3</v>
      </c>
      <c r="N16" s="41">
        <f>1/O38</f>
        <v>5.2741115873405002</v>
      </c>
      <c r="O16" s="40">
        <f t="shared" si="3"/>
        <v>0.51946683001047045</v>
      </c>
    </row>
    <row r="17" spans="1:23" s="31" customFormat="1" x14ac:dyDescent="0.25">
      <c r="B17" s="34" t="s">
        <v>90</v>
      </c>
      <c r="C17" s="34" t="s">
        <v>91</v>
      </c>
      <c r="D17" s="34" t="s">
        <v>92</v>
      </c>
      <c r="E17" s="34" t="s">
        <v>67</v>
      </c>
      <c r="F17" s="37">
        <v>5.6336916725609152</v>
      </c>
      <c r="G17" s="38">
        <v>54.806487022879928</v>
      </c>
      <c r="J17" s="35" t="s">
        <v>68</v>
      </c>
      <c r="K17" s="36" t="s">
        <v>91</v>
      </c>
      <c r="L17" s="39">
        <f t="shared" si="0"/>
        <v>54.806487022879928</v>
      </c>
      <c r="M17" s="40">
        <f t="shared" si="1"/>
        <v>2.93359348985015E-3</v>
      </c>
      <c r="N17" s="41">
        <f>1/O37</f>
        <v>2.9335934898501499</v>
      </c>
      <c r="O17" s="40">
        <f t="shared" si="3"/>
        <v>0.93391468070690575</v>
      </c>
    </row>
    <row r="18" spans="1:23" s="31" customFormat="1" x14ac:dyDescent="0.25">
      <c r="B18" s="44" t="s">
        <v>93</v>
      </c>
      <c r="C18" s="44" t="s">
        <v>94</v>
      </c>
      <c r="D18" s="44" t="s">
        <v>95</v>
      </c>
      <c r="E18" s="44" t="s">
        <v>96</v>
      </c>
      <c r="F18" s="44" t="s">
        <v>97</v>
      </c>
      <c r="G18" s="44"/>
      <c r="K18" s="45"/>
      <c r="L18" s="46"/>
      <c r="M18" s="47"/>
      <c r="N18" s="45"/>
      <c r="O18" s="45"/>
    </row>
    <row r="19" spans="1:23" s="31" customFormat="1" x14ac:dyDescent="0.25">
      <c r="J19" s="33" t="s">
        <v>98</v>
      </c>
      <c r="K19" s="33" t="s">
        <v>99</v>
      </c>
      <c r="L19" s="33">
        <v>0</v>
      </c>
      <c r="M19" s="33">
        <v>0.1201</v>
      </c>
      <c r="N19" s="45"/>
      <c r="O19" s="45"/>
    </row>
    <row r="20" spans="1:23" s="31" customFormat="1" x14ac:dyDescent="0.25"/>
    <row r="21" spans="1:23" s="31" customFormat="1" x14ac:dyDescent="0.25"/>
    <row r="22" spans="1:23" s="31" customFormat="1" x14ac:dyDescent="0.25">
      <c r="A22" s="48" t="s">
        <v>100</v>
      </c>
      <c r="B22" s="49" t="str">
        <f>+"DIC11"</f>
        <v>DIC11</v>
      </c>
      <c r="C22" s="50"/>
      <c r="D22" s="50"/>
      <c r="E22" s="51"/>
      <c r="F22" s="52" t="s">
        <v>101</v>
      </c>
      <c r="G22" s="52" t="s">
        <v>102</v>
      </c>
    </row>
    <row r="23" spans="1:23" s="31" customFormat="1" ht="15.75" thickBot="1" x14ac:dyDescent="0.3">
      <c r="A23" s="50"/>
      <c r="B23" s="50"/>
      <c r="C23" s="50"/>
      <c r="D23" s="50"/>
      <c r="E23" s="51"/>
      <c r="F23" s="52"/>
      <c r="G23" s="52" t="s">
        <v>47</v>
      </c>
      <c r="L23" s="31">
        <f>1000*42</f>
        <v>42000</v>
      </c>
    </row>
    <row r="24" spans="1:23" s="31" customFormat="1" ht="34.5" x14ac:dyDescent="0.3">
      <c r="A24" s="53" t="s">
        <v>103</v>
      </c>
      <c r="B24" s="54" t="str">
        <f>+C24</f>
        <v>GU - Gas</v>
      </c>
      <c r="C24" s="55" t="s">
        <v>104</v>
      </c>
      <c r="D24" s="50"/>
      <c r="E24" s="56" t="s">
        <v>105</v>
      </c>
      <c r="F24" s="52" t="s">
        <v>106</v>
      </c>
      <c r="G24" s="52" t="s">
        <v>107</v>
      </c>
      <c r="H24" s="57" t="s">
        <v>56</v>
      </c>
      <c r="I24" s="58" t="s">
        <v>108</v>
      </c>
      <c r="J24" s="33"/>
      <c r="L24" s="31" t="s">
        <v>109</v>
      </c>
    </row>
    <row r="25" spans="1:23" s="31" customFormat="1" ht="15.75" x14ac:dyDescent="0.25">
      <c r="A25" s="53" t="s">
        <v>110</v>
      </c>
      <c r="B25" s="54" t="str">
        <f t="shared" ref="B25:B30" si="4">+C25</f>
        <v>LLO - Ligth</v>
      </c>
      <c r="C25" s="59" t="s">
        <v>111</v>
      </c>
      <c r="D25" s="50"/>
      <c r="E25" s="60" t="s">
        <v>61</v>
      </c>
      <c r="F25" s="61">
        <v>1.01</v>
      </c>
      <c r="G25" s="61">
        <v>55.54</v>
      </c>
      <c r="H25" s="62">
        <f t="shared" ref="H25:I34" si="5">+S25</f>
        <v>2.7126000271260002</v>
      </c>
      <c r="I25" s="63" t="str">
        <f t="shared" si="5"/>
        <v>MPC/d</v>
      </c>
      <c r="J25" s="64"/>
      <c r="O25" s="31">
        <f t="shared" ref="O25:O35" si="6">1/F25</f>
        <v>0.99009900990099009</v>
      </c>
      <c r="P25" s="65" t="s">
        <v>112</v>
      </c>
      <c r="Q25" s="31">
        <f>+O25*1000</f>
        <v>990.09900990099004</v>
      </c>
      <c r="R25" s="65" t="s">
        <v>113</v>
      </c>
      <c r="S25" s="31">
        <f>+Q25/365</f>
        <v>2.7126000271260002</v>
      </c>
      <c r="T25" s="65" t="s">
        <v>114</v>
      </c>
      <c r="W25" s="31">
        <v>2.7126000271260002</v>
      </c>
    </row>
    <row r="26" spans="1:23" s="31" customFormat="1" x14ac:dyDescent="0.25">
      <c r="A26" s="53" t="s">
        <v>115</v>
      </c>
      <c r="B26" s="54" t="str">
        <f t="shared" si="4"/>
        <v>LLO - Heavy</v>
      </c>
      <c r="C26" s="66" t="s">
        <v>116</v>
      </c>
      <c r="D26" s="50"/>
      <c r="E26" s="60" t="s">
        <v>65</v>
      </c>
      <c r="F26" s="61">
        <v>6.09</v>
      </c>
      <c r="G26" s="61">
        <v>77.84</v>
      </c>
      <c r="H26" s="62">
        <f t="shared" si="5"/>
        <v>0.44987291090267001</v>
      </c>
      <c r="I26" s="63" t="str">
        <f t="shared" si="5"/>
        <v>Kb/d</v>
      </c>
      <c r="J26" s="64"/>
      <c r="L26" s="67">
        <f>+H26*1000*42</f>
        <v>18894.662257912139</v>
      </c>
      <c r="O26" s="31">
        <f t="shared" si="6"/>
        <v>0.16420361247947454</v>
      </c>
      <c r="P26" s="65" t="s">
        <v>117</v>
      </c>
      <c r="Q26" s="31">
        <f>+O26*1000</f>
        <v>164.20361247947454</v>
      </c>
      <c r="R26" s="65" t="s">
        <v>118</v>
      </c>
      <c r="S26" s="31">
        <f>+Q26/365</f>
        <v>0.44987291090267001</v>
      </c>
      <c r="T26" s="65" t="s">
        <v>119</v>
      </c>
      <c r="W26" s="31">
        <v>0.44987291090267001</v>
      </c>
    </row>
    <row r="27" spans="1:23" s="31" customFormat="1" x14ac:dyDescent="0.25">
      <c r="A27" s="53" t="s">
        <v>120</v>
      </c>
      <c r="B27" s="54" t="str">
        <f t="shared" si="4"/>
        <v>PU - Ligth</v>
      </c>
      <c r="C27" s="66" t="s">
        <v>121</v>
      </c>
      <c r="D27" s="50"/>
      <c r="E27" s="60" t="s">
        <v>70</v>
      </c>
      <c r="F27" s="61">
        <v>6.09</v>
      </c>
      <c r="G27" s="61">
        <v>77.84</v>
      </c>
      <c r="H27" s="62">
        <f t="shared" si="5"/>
        <v>0.44987291090267001</v>
      </c>
      <c r="I27" s="63" t="str">
        <f t="shared" si="5"/>
        <v>Kb/d</v>
      </c>
      <c r="J27" s="64"/>
      <c r="L27" s="67">
        <f t="shared" ref="L27:L34" si="7">+H27*1000*42</f>
        <v>18894.662257912139</v>
      </c>
      <c r="O27" s="31">
        <f t="shared" si="6"/>
        <v>0.16420361247947454</v>
      </c>
      <c r="P27" s="65" t="s">
        <v>117</v>
      </c>
      <c r="Q27" s="31">
        <f t="shared" ref="Q27:Q35" si="8">+O27*1000</f>
        <v>164.20361247947454</v>
      </c>
      <c r="R27" s="65" t="s">
        <v>118</v>
      </c>
      <c r="S27" s="31">
        <f t="shared" ref="S27:S35" si="9">+Q27/365</f>
        <v>0.44987291090267001</v>
      </c>
      <c r="T27" s="65" t="s">
        <v>119</v>
      </c>
      <c r="W27" s="31">
        <v>0.44987291090267001</v>
      </c>
    </row>
    <row r="28" spans="1:23" s="31" customFormat="1" ht="30" x14ac:dyDescent="0.25">
      <c r="A28" s="53" t="s">
        <v>122</v>
      </c>
      <c r="B28" s="54" t="str">
        <f t="shared" si="4"/>
        <v>VMM - Medium</v>
      </c>
      <c r="C28" s="66" t="s">
        <v>123</v>
      </c>
      <c r="D28" s="50"/>
      <c r="E28" s="60" t="s">
        <v>72</v>
      </c>
      <c r="F28" s="61">
        <v>6.09</v>
      </c>
      <c r="G28" s="61">
        <v>77.84</v>
      </c>
      <c r="H28" s="62">
        <f t="shared" si="5"/>
        <v>0.44987291090267001</v>
      </c>
      <c r="I28" s="63" t="str">
        <f t="shared" si="5"/>
        <v>Kb/d</v>
      </c>
      <c r="J28" s="64"/>
      <c r="L28" s="67">
        <f t="shared" si="7"/>
        <v>18894.662257912139</v>
      </c>
      <c r="O28" s="31">
        <f t="shared" si="6"/>
        <v>0.16420361247947454</v>
      </c>
      <c r="P28" s="65" t="s">
        <v>117</v>
      </c>
      <c r="Q28" s="31">
        <f t="shared" si="8"/>
        <v>164.20361247947454</v>
      </c>
      <c r="R28" s="65" t="s">
        <v>118</v>
      </c>
      <c r="S28" s="31">
        <f t="shared" si="9"/>
        <v>0.44987291090267001</v>
      </c>
      <c r="T28" s="65" t="s">
        <v>119</v>
      </c>
      <c r="W28" s="31">
        <v>0.44987291090267001</v>
      </c>
    </row>
    <row r="29" spans="1:23" s="31" customFormat="1" ht="31.5" x14ac:dyDescent="0.25">
      <c r="A29" s="53" t="s">
        <v>124</v>
      </c>
      <c r="B29" s="54" t="str">
        <f t="shared" si="4"/>
        <v>VSM - Medium</v>
      </c>
      <c r="C29" s="59" t="s">
        <v>125</v>
      </c>
      <c r="D29" s="50"/>
      <c r="E29" s="60" t="s">
        <v>19</v>
      </c>
      <c r="F29" s="61">
        <v>5.33</v>
      </c>
      <c r="G29" s="61">
        <v>69.19</v>
      </c>
      <c r="H29" s="62">
        <f t="shared" si="5"/>
        <v>0.51401989256984237</v>
      </c>
      <c r="I29" s="63" t="str">
        <f t="shared" si="5"/>
        <v>Kb/d</v>
      </c>
      <c r="J29" s="64"/>
      <c r="L29" s="67">
        <f t="shared" si="7"/>
        <v>21588.835487933378</v>
      </c>
      <c r="O29" s="31">
        <f t="shared" si="6"/>
        <v>0.18761726078799248</v>
      </c>
      <c r="P29" s="65" t="s">
        <v>117</v>
      </c>
      <c r="Q29" s="31">
        <f t="shared" si="8"/>
        <v>187.61726078799248</v>
      </c>
      <c r="R29" s="65" t="s">
        <v>118</v>
      </c>
      <c r="S29" s="31">
        <f t="shared" si="9"/>
        <v>0.51401989256984237</v>
      </c>
      <c r="T29" s="65" t="s">
        <v>119</v>
      </c>
      <c r="W29" s="31">
        <v>0.51401989256984237</v>
      </c>
    </row>
    <row r="30" spans="1:23" s="31" customFormat="1" ht="15.75" x14ac:dyDescent="0.25">
      <c r="A30" s="53" t="s">
        <v>126</v>
      </c>
      <c r="B30" s="54" t="str">
        <f t="shared" si="4"/>
        <v>VIM - GAS</v>
      </c>
      <c r="C30" s="59" t="s">
        <v>127</v>
      </c>
      <c r="D30" s="50"/>
      <c r="E30" s="60" t="s">
        <v>20</v>
      </c>
      <c r="F30" s="61">
        <v>5.67</v>
      </c>
      <c r="G30" s="61">
        <v>75.17</v>
      </c>
      <c r="H30" s="62">
        <f t="shared" si="5"/>
        <v>0.48319683022879367</v>
      </c>
      <c r="I30" s="63" t="str">
        <f t="shared" si="5"/>
        <v>Kb/d</v>
      </c>
      <c r="J30" s="64"/>
      <c r="L30" s="67">
        <f t="shared" si="7"/>
        <v>20294.266869609335</v>
      </c>
      <c r="O30" s="31">
        <f t="shared" si="6"/>
        <v>0.17636684303350969</v>
      </c>
      <c r="P30" s="65" t="s">
        <v>117</v>
      </c>
      <c r="Q30" s="31">
        <f t="shared" si="8"/>
        <v>176.3668430335097</v>
      </c>
      <c r="R30" s="65" t="s">
        <v>118</v>
      </c>
      <c r="S30" s="31">
        <f t="shared" si="9"/>
        <v>0.48319683022879367</v>
      </c>
      <c r="T30" s="65" t="s">
        <v>119</v>
      </c>
      <c r="W30" s="31">
        <v>0.48319683022879367</v>
      </c>
    </row>
    <row r="31" spans="1:23" s="31" customFormat="1" x14ac:dyDescent="0.25">
      <c r="A31" s="68" t="s">
        <v>128</v>
      </c>
      <c r="B31" s="54"/>
      <c r="D31" s="50"/>
      <c r="E31" s="60" t="s">
        <v>21</v>
      </c>
      <c r="F31" s="61">
        <v>4.71</v>
      </c>
      <c r="G31" s="61">
        <v>87.74</v>
      </c>
      <c r="H31" s="62">
        <f t="shared" si="5"/>
        <v>0.58168280836459885</v>
      </c>
      <c r="I31" s="63" t="str">
        <f t="shared" si="5"/>
        <v>Kb/d</v>
      </c>
      <c r="J31" s="64"/>
      <c r="L31" s="67">
        <f t="shared" si="7"/>
        <v>24430.677951313151</v>
      </c>
      <c r="O31" s="31">
        <f t="shared" si="6"/>
        <v>0.21231422505307856</v>
      </c>
      <c r="P31" s="65" t="s">
        <v>117</v>
      </c>
      <c r="Q31" s="31">
        <f t="shared" si="8"/>
        <v>212.31422505307856</v>
      </c>
      <c r="R31" s="65" t="s">
        <v>118</v>
      </c>
      <c r="S31" s="31">
        <f t="shared" si="9"/>
        <v>0.58168280836459885</v>
      </c>
      <c r="T31" s="65" t="s">
        <v>119</v>
      </c>
      <c r="W31" s="31">
        <v>0.58168280836459885</v>
      </c>
    </row>
    <row r="32" spans="1:23" s="31" customFormat="1" x14ac:dyDescent="0.25">
      <c r="A32" s="50"/>
      <c r="B32" s="50"/>
      <c r="C32" s="50"/>
      <c r="D32" s="50"/>
      <c r="E32" s="60" t="s">
        <v>22</v>
      </c>
      <c r="F32" s="61">
        <v>4.0599999999999996</v>
      </c>
      <c r="G32" s="61">
        <v>47.29</v>
      </c>
      <c r="H32" s="62">
        <f t="shared" si="5"/>
        <v>0.67480936635400501</v>
      </c>
      <c r="I32" s="63" t="str">
        <f t="shared" si="5"/>
        <v>Kb/d</v>
      </c>
      <c r="J32" s="64"/>
      <c r="L32" s="67">
        <f t="shared" si="7"/>
        <v>28341.993386868209</v>
      </c>
      <c r="O32" s="31">
        <f t="shared" si="6"/>
        <v>0.24630541871921185</v>
      </c>
      <c r="P32" s="65" t="s">
        <v>117</v>
      </c>
      <c r="Q32" s="31">
        <f t="shared" si="8"/>
        <v>246.30541871921184</v>
      </c>
      <c r="R32" s="65" t="s">
        <v>118</v>
      </c>
      <c r="S32" s="31">
        <f t="shared" si="9"/>
        <v>0.67480936635400501</v>
      </c>
      <c r="T32" s="65" t="s">
        <v>119</v>
      </c>
      <c r="W32" s="31">
        <v>0.67480936635400501</v>
      </c>
    </row>
    <row r="33" spans="1:23" s="31" customFormat="1" ht="15.75" thickBot="1" x14ac:dyDescent="0.3">
      <c r="A33" s="50"/>
      <c r="B33" s="50"/>
      <c r="C33" s="50"/>
      <c r="D33" s="50"/>
      <c r="E33" s="60" t="s">
        <v>23</v>
      </c>
      <c r="F33" s="61">
        <v>5.46</v>
      </c>
      <c r="G33" s="61">
        <v>78.28</v>
      </c>
      <c r="H33" s="62">
        <f t="shared" si="5"/>
        <v>0.50178132369913186</v>
      </c>
      <c r="I33" s="63" t="str">
        <f t="shared" si="5"/>
        <v>Kb/d</v>
      </c>
      <c r="J33" s="64"/>
      <c r="L33" s="67">
        <f t="shared" si="7"/>
        <v>21074.81559536354</v>
      </c>
      <c r="O33" s="31">
        <f t="shared" si="6"/>
        <v>0.18315018315018314</v>
      </c>
      <c r="P33" s="65" t="s">
        <v>117</v>
      </c>
      <c r="Q33" s="31">
        <f t="shared" si="8"/>
        <v>183.15018315018312</v>
      </c>
      <c r="R33" s="65" t="s">
        <v>118</v>
      </c>
      <c r="S33" s="31">
        <f t="shared" si="9"/>
        <v>0.50178132369913186</v>
      </c>
      <c r="T33" s="65" t="s">
        <v>119</v>
      </c>
      <c r="W33" s="31">
        <v>0.50178132369913186</v>
      </c>
    </row>
    <row r="34" spans="1:23" s="31" customFormat="1" ht="15.75" x14ac:dyDescent="0.3">
      <c r="A34" s="183" t="s">
        <v>129</v>
      </c>
      <c r="B34" s="184"/>
      <c r="C34" s="50"/>
      <c r="D34" s="50"/>
      <c r="E34" s="60" t="s">
        <v>38</v>
      </c>
      <c r="F34" s="61">
        <v>4.76</v>
      </c>
      <c r="G34" s="61">
        <v>56.34</v>
      </c>
      <c r="H34" s="62">
        <f t="shared" si="5"/>
        <v>0.5755726948313572</v>
      </c>
      <c r="I34" s="63" t="str">
        <f t="shared" si="5"/>
        <v>Kb/d</v>
      </c>
      <c r="J34" s="64"/>
      <c r="L34" s="67">
        <f t="shared" si="7"/>
        <v>24174.053182917003</v>
      </c>
      <c r="O34" s="31">
        <f t="shared" si="6"/>
        <v>0.21008403361344538</v>
      </c>
      <c r="P34" s="65" t="s">
        <v>117</v>
      </c>
      <c r="Q34" s="31">
        <f t="shared" si="8"/>
        <v>210.08403361344537</v>
      </c>
      <c r="R34" s="65" t="s">
        <v>118</v>
      </c>
      <c r="S34" s="31">
        <f t="shared" si="9"/>
        <v>0.5755726948313572</v>
      </c>
      <c r="T34" s="65" t="s">
        <v>119</v>
      </c>
      <c r="W34" s="31">
        <v>0.5755726948313572</v>
      </c>
    </row>
    <row r="35" spans="1:23" s="31" customFormat="1" x14ac:dyDescent="0.25">
      <c r="A35" s="69">
        <v>1</v>
      </c>
      <c r="B35" s="70" t="s">
        <v>130</v>
      </c>
      <c r="C35" s="50"/>
      <c r="D35" s="50"/>
      <c r="E35" s="60" t="s">
        <v>85</v>
      </c>
      <c r="F35" s="61">
        <v>1</v>
      </c>
      <c r="G35" s="61">
        <v>40.78</v>
      </c>
      <c r="H35" s="62">
        <f>+S35</f>
        <v>2.7397260273972601</v>
      </c>
      <c r="I35" s="63" t="str">
        <f>+I25</f>
        <v>MPC/d</v>
      </c>
      <c r="J35" s="64"/>
      <c r="O35" s="31">
        <f t="shared" si="6"/>
        <v>1</v>
      </c>
      <c r="P35" s="65" t="s">
        <v>117</v>
      </c>
      <c r="Q35" s="31">
        <f t="shared" si="8"/>
        <v>1000</v>
      </c>
      <c r="R35" s="65" t="s">
        <v>118</v>
      </c>
      <c r="S35" s="31">
        <f t="shared" si="9"/>
        <v>2.7397260273972601</v>
      </c>
      <c r="T35" s="65" t="s">
        <v>119</v>
      </c>
      <c r="W35" s="31">
        <v>0.65387256023800955</v>
      </c>
    </row>
    <row r="36" spans="1:23" s="31" customFormat="1" ht="15.75" thickBot="1" x14ac:dyDescent="0.3">
      <c r="A36" s="71">
        <v>3299</v>
      </c>
      <c r="B36" s="72" t="s">
        <v>131</v>
      </c>
      <c r="C36" s="50"/>
      <c r="D36" s="50"/>
      <c r="E36" s="60" t="s">
        <v>94</v>
      </c>
      <c r="H36" s="62">
        <f>1/0.0036</f>
        <v>277.77777777777777</v>
      </c>
      <c r="I36" s="63" t="s">
        <v>132</v>
      </c>
      <c r="J36" s="64"/>
      <c r="W36" s="31">
        <v>277.77777777777777</v>
      </c>
    </row>
    <row r="37" spans="1:23" s="31" customFormat="1" x14ac:dyDescent="0.25">
      <c r="A37" s="50"/>
      <c r="B37" s="50"/>
      <c r="C37" s="50"/>
      <c r="D37" s="50"/>
      <c r="E37" s="60" t="s">
        <v>91</v>
      </c>
      <c r="H37" s="62">
        <f>+S37</f>
        <v>0.93391468070690575</v>
      </c>
      <c r="I37" s="63" t="str">
        <f>+T37</f>
        <v>Kb/d</v>
      </c>
      <c r="J37" s="64"/>
      <c r="L37" s="67">
        <f>+H37*1000*42</f>
        <v>39224.416589690045</v>
      </c>
      <c r="O37" s="31">
        <f>1/2.93359348985015</f>
        <v>0.34087885845802063</v>
      </c>
      <c r="P37" s="65" t="s">
        <v>117</v>
      </c>
      <c r="Q37" s="31">
        <f>+O37*1000</f>
        <v>340.8788584580206</v>
      </c>
      <c r="R37" s="65" t="s">
        <v>118</v>
      </c>
      <c r="S37" s="31">
        <f>+Q37/365</f>
        <v>0.93391468070690575</v>
      </c>
      <c r="T37" s="65" t="s">
        <v>119</v>
      </c>
    </row>
    <row r="38" spans="1:23" s="31" customFormat="1" ht="15.75" thickBot="1" x14ac:dyDescent="0.3">
      <c r="A38" s="50"/>
      <c r="B38" s="50"/>
      <c r="C38" s="50"/>
      <c r="D38" s="50"/>
      <c r="E38" s="60" t="s">
        <v>88</v>
      </c>
      <c r="H38" s="62">
        <f>+S38</f>
        <v>0.51946683001047056</v>
      </c>
      <c r="I38" s="63" t="str">
        <f>+T38</f>
        <v>Kb/d</v>
      </c>
      <c r="J38" s="64"/>
      <c r="L38" s="67">
        <f>+H38*1000*42</f>
        <v>21817.606860439762</v>
      </c>
      <c r="O38" s="31">
        <f>1/5.2741115873405</f>
        <v>0.18960539295382173</v>
      </c>
      <c r="P38" s="65" t="s">
        <v>117</v>
      </c>
      <c r="Q38" s="31">
        <f>+O38*1000</f>
        <v>189.60539295382173</v>
      </c>
      <c r="R38" s="65" t="s">
        <v>118</v>
      </c>
      <c r="S38" s="31">
        <f>+Q38/365</f>
        <v>0.51946683001047056</v>
      </c>
      <c r="T38" s="65" t="s">
        <v>119</v>
      </c>
    </row>
    <row r="39" spans="1:23" s="31" customFormat="1" x14ac:dyDescent="0.25">
      <c r="A39" s="73">
        <v>1</v>
      </c>
      <c r="B39" s="74" t="s">
        <v>133</v>
      </c>
      <c r="C39" s="75"/>
      <c r="D39" s="50"/>
      <c r="E39" s="60" t="s">
        <v>134</v>
      </c>
      <c r="H39" s="76">
        <v>1</v>
      </c>
      <c r="I39" s="77" t="s">
        <v>135</v>
      </c>
      <c r="J39" s="78"/>
      <c r="W39" s="31">
        <v>1</v>
      </c>
    </row>
    <row r="40" spans="1:23" s="31" customFormat="1" ht="30.75" thickBot="1" x14ac:dyDescent="0.3">
      <c r="A40" s="79">
        <f>+A36*1000000</f>
        <v>3299000000</v>
      </c>
      <c r="B40" s="80" t="s">
        <v>136</v>
      </c>
      <c r="C40" s="50"/>
      <c r="D40" s="50"/>
      <c r="E40" s="60" t="s">
        <v>137</v>
      </c>
      <c r="H40" s="76">
        <f>+H25/H26</f>
        <v>6.0297029702970297</v>
      </c>
      <c r="I40" s="77" t="s">
        <v>138</v>
      </c>
      <c r="J40" s="78"/>
      <c r="W40" s="31">
        <v>6.0297029702970297</v>
      </c>
    </row>
    <row r="41" spans="1:23" s="31" customFormat="1" ht="15.75" thickBot="1" x14ac:dyDescent="0.3">
      <c r="A41" s="50"/>
      <c r="B41" s="50"/>
      <c r="C41" s="50"/>
      <c r="D41" s="50"/>
      <c r="E41" s="81" t="s">
        <v>139</v>
      </c>
      <c r="F41" s="50"/>
      <c r="H41" s="82" t="e">
        <f>+O41/1000</f>
        <v>#DIV/0!</v>
      </c>
      <c r="I41" s="83" t="s">
        <v>47</v>
      </c>
      <c r="J41" s="84"/>
      <c r="O41" s="31" t="e">
        <f>1/D956</f>
        <v>#DIV/0!</v>
      </c>
      <c r="P41" s="85" t="s">
        <v>140</v>
      </c>
    </row>
    <row r="42" spans="1:23" s="31" customFormat="1" x14ac:dyDescent="0.25">
      <c r="A42" s="86"/>
      <c r="B42" s="86"/>
      <c r="C42" s="86"/>
      <c r="D42" s="86"/>
      <c r="E42" s="86"/>
      <c r="F42" s="50"/>
      <c r="H42" s="45"/>
      <c r="I42" s="45"/>
      <c r="J42" s="45"/>
      <c r="M42" s="54"/>
    </row>
    <row r="43" spans="1:23" s="89" customFormat="1" ht="15.75" thickBot="1" x14ac:dyDescent="0.3">
      <c r="A43" s="87"/>
      <c r="B43" s="87"/>
      <c r="C43" s="87"/>
      <c r="D43" s="87"/>
      <c r="E43" s="87"/>
      <c r="F43" s="88"/>
      <c r="H43" s="90"/>
      <c r="I43" s="90"/>
      <c r="J43" s="90"/>
      <c r="M43" s="91"/>
    </row>
    <row r="44" spans="1:23" s="31" customFormat="1" x14ac:dyDescent="0.25"/>
  </sheetData>
  <mergeCells count="1">
    <mergeCell ref="A34:B34"/>
  </mergeCells>
  <conditionalFormatting sqref="K22:K43">
    <cfRule type="containsText" dxfId="4" priority="1" operator="containsText" text="ELC">
      <formula>NOT(ISERROR(SEARCH("ELC",K22)))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43113-5241-4901-A65B-E28E694376CC}">
  <dimension ref="B4:M33"/>
  <sheetViews>
    <sheetView showGridLines="0" topLeftCell="A6" workbookViewId="0">
      <selection activeCell="M12" sqref="M12"/>
    </sheetView>
  </sheetViews>
  <sheetFormatPr baseColWidth="10" defaultRowHeight="15" x14ac:dyDescent="0.25"/>
  <cols>
    <col min="2" max="2" width="22.85546875" customWidth="1"/>
    <col min="3" max="3" width="13.7109375" customWidth="1"/>
  </cols>
  <sheetData>
    <row r="4" spans="2:13" x14ac:dyDescent="0.25">
      <c r="B4" s="1" t="s">
        <v>41</v>
      </c>
      <c r="C4" s="18"/>
      <c r="D4" s="18"/>
      <c r="E4" s="18"/>
      <c r="F4" s="18"/>
      <c r="G4" s="18"/>
      <c r="H4" s="18"/>
    </row>
    <row r="5" spans="2:13" ht="15.75" thickBot="1" x14ac:dyDescent="0.3">
      <c r="B5" s="19" t="s">
        <v>42</v>
      </c>
      <c r="C5" s="19" t="s">
        <v>43</v>
      </c>
      <c r="D5" s="20" t="s">
        <v>1</v>
      </c>
      <c r="E5" s="20" t="s">
        <v>2</v>
      </c>
      <c r="F5" s="20" t="s">
        <v>3</v>
      </c>
      <c r="G5" s="20" t="s">
        <v>4</v>
      </c>
      <c r="H5" s="21" t="s">
        <v>7</v>
      </c>
      <c r="I5" s="22" t="s">
        <v>9</v>
      </c>
      <c r="J5" s="10" t="s">
        <v>14</v>
      </c>
    </row>
    <row r="6" spans="2:13" x14ac:dyDescent="0.25">
      <c r="B6" t="s">
        <v>44</v>
      </c>
      <c r="C6" s="23" t="s">
        <v>28</v>
      </c>
      <c r="E6" t="s">
        <v>18</v>
      </c>
      <c r="F6" s="12" t="s">
        <v>27</v>
      </c>
      <c r="G6">
        <v>2019</v>
      </c>
      <c r="H6" s="24">
        <v>0.23323048049814099</v>
      </c>
      <c r="I6" s="2" t="s">
        <v>25</v>
      </c>
      <c r="J6" s="11" t="s">
        <v>19</v>
      </c>
    </row>
    <row r="7" spans="2:13" x14ac:dyDescent="0.25">
      <c r="B7" t="s">
        <v>44</v>
      </c>
      <c r="C7" s="23" t="s">
        <v>28</v>
      </c>
      <c r="E7" t="s">
        <v>18</v>
      </c>
      <c r="F7" s="12" t="s">
        <v>27</v>
      </c>
      <c r="G7">
        <v>2019</v>
      </c>
      <c r="H7" s="24">
        <v>0.63374282698820406</v>
      </c>
      <c r="I7" s="2" t="s">
        <v>25</v>
      </c>
      <c r="J7" s="11" t="s">
        <v>20</v>
      </c>
    </row>
    <row r="8" spans="2:13" x14ac:dyDescent="0.25">
      <c r="B8" t="s">
        <v>44</v>
      </c>
      <c r="C8" s="23" t="s">
        <v>28</v>
      </c>
      <c r="E8" t="s">
        <v>18</v>
      </c>
      <c r="F8" s="12" t="s">
        <v>27</v>
      </c>
      <c r="G8">
        <v>2019</v>
      </c>
      <c r="H8" s="24">
        <v>5.7137810660259199E-2</v>
      </c>
      <c r="I8" s="2" t="s">
        <v>25</v>
      </c>
      <c r="J8" s="11" t="s">
        <v>21</v>
      </c>
    </row>
    <row r="9" spans="2:13" x14ac:dyDescent="0.25">
      <c r="B9" t="s">
        <v>44</v>
      </c>
      <c r="C9" s="23" t="s">
        <v>28</v>
      </c>
      <c r="E9" t="s">
        <v>18</v>
      </c>
      <c r="F9" s="12" t="s">
        <v>27</v>
      </c>
      <c r="G9">
        <v>2019</v>
      </c>
      <c r="H9" s="24">
        <v>2.6523215703436E-2</v>
      </c>
      <c r="I9" s="2" t="s">
        <v>25</v>
      </c>
      <c r="J9" s="11" t="s">
        <v>22</v>
      </c>
    </row>
    <row r="10" spans="2:13" x14ac:dyDescent="0.25">
      <c r="B10" t="s">
        <v>44</v>
      </c>
      <c r="C10" s="23" t="s">
        <v>28</v>
      </c>
      <c r="E10" t="s">
        <v>18</v>
      </c>
      <c r="F10" s="12" t="s">
        <v>27</v>
      </c>
      <c r="G10">
        <v>2019</v>
      </c>
      <c r="H10" s="24">
        <v>9.0891443724778007E-3</v>
      </c>
      <c r="I10" s="2" t="s">
        <v>25</v>
      </c>
      <c r="J10" s="11" t="s">
        <v>23</v>
      </c>
    </row>
    <row r="11" spans="2:13" x14ac:dyDescent="0.25">
      <c r="B11" t="s">
        <v>44</v>
      </c>
      <c r="C11" s="23" t="s">
        <v>28</v>
      </c>
      <c r="E11" t="s">
        <v>18</v>
      </c>
      <c r="F11" s="12" t="s">
        <v>27</v>
      </c>
      <c r="G11">
        <v>2019</v>
      </c>
      <c r="H11" s="24">
        <v>4.0276521777481998E-2</v>
      </c>
      <c r="I11" s="2" t="s">
        <v>25</v>
      </c>
      <c r="J11" s="11" t="s">
        <v>24</v>
      </c>
      <c r="M11" s="25"/>
    </row>
    <row r="12" spans="2:13" x14ac:dyDescent="0.25">
      <c r="B12" t="s">
        <v>44</v>
      </c>
      <c r="C12" s="23" t="s">
        <v>28</v>
      </c>
      <c r="E12" t="s">
        <v>18</v>
      </c>
      <c r="F12" s="12" t="s">
        <v>27</v>
      </c>
      <c r="G12">
        <v>2019</v>
      </c>
      <c r="H12" s="24"/>
      <c r="I12" s="2" t="s">
        <v>25</v>
      </c>
      <c r="J12" s="11" t="s">
        <v>38</v>
      </c>
    </row>
    <row r="13" spans="2:13" x14ac:dyDescent="0.25">
      <c r="B13" t="s">
        <v>44</v>
      </c>
      <c r="C13" s="23" t="s">
        <v>28</v>
      </c>
      <c r="E13" t="s">
        <v>31</v>
      </c>
      <c r="F13" s="12" t="s">
        <v>27</v>
      </c>
      <c r="G13">
        <v>2019</v>
      </c>
      <c r="H13" s="24"/>
      <c r="I13" s="2" t="s">
        <v>25</v>
      </c>
      <c r="J13" s="11" t="s">
        <v>19</v>
      </c>
    </row>
    <row r="14" spans="2:13" x14ac:dyDescent="0.25">
      <c r="B14" t="s">
        <v>44</v>
      </c>
      <c r="C14" s="23" t="s">
        <v>28</v>
      </c>
      <c r="E14" t="s">
        <v>31</v>
      </c>
      <c r="F14" s="12" t="s">
        <v>27</v>
      </c>
      <c r="G14">
        <v>2019</v>
      </c>
      <c r="H14" s="24"/>
      <c r="I14" s="2" t="s">
        <v>25</v>
      </c>
      <c r="J14" s="11" t="s">
        <v>20</v>
      </c>
    </row>
    <row r="15" spans="2:13" x14ac:dyDescent="0.25">
      <c r="B15" t="s">
        <v>44</v>
      </c>
      <c r="C15" s="23" t="s">
        <v>28</v>
      </c>
      <c r="E15" t="s">
        <v>31</v>
      </c>
      <c r="F15" s="12" t="s">
        <v>27</v>
      </c>
      <c r="G15">
        <v>2019</v>
      </c>
      <c r="H15" s="24"/>
      <c r="I15" s="2" t="s">
        <v>25</v>
      </c>
      <c r="J15" s="11" t="s">
        <v>21</v>
      </c>
    </row>
    <row r="16" spans="2:13" x14ac:dyDescent="0.25">
      <c r="B16" t="s">
        <v>44</v>
      </c>
      <c r="C16" s="23" t="s">
        <v>28</v>
      </c>
      <c r="E16" t="s">
        <v>31</v>
      </c>
      <c r="F16" s="12" t="s">
        <v>27</v>
      </c>
      <c r="G16">
        <v>2019</v>
      </c>
      <c r="H16" s="24"/>
      <c r="I16" s="2" t="s">
        <v>25</v>
      </c>
      <c r="J16" s="11" t="s">
        <v>22</v>
      </c>
    </row>
    <row r="17" spans="2:10" x14ac:dyDescent="0.25">
      <c r="B17" t="s">
        <v>44</v>
      </c>
      <c r="C17" s="23" t="s">
        <v>28</v>
      </c>
      <c r="E17" t="s">
        <v>31</v>
      </c>
      <c r="F17" s="12" t="s">
        <v>27</v>
      </c>
      <c r="G17">
        <v>2019</v>
      </c>
      <c r="H17" s="24"/>
      <c r="I17" s="2" t="s">
        <v>25</v>
      </c>
      <c r="J17" s="11" t="s">
        <v>23</v>
      </c>
    </row>
    <row r="18" spans="2:10" x14ac:dyDescent="0.25">
      <c r="B18" t="s">
        <v>44</v>
      </c>
      <c r="C18" s="23" t="s">
        <v>28</v>
      </c>
      <c r="E18" t="s">
        <v>31</v>
      </c>
      <c r="F18" s="12" t="s">
        <v>27</v>
      </c>
      <c r="G18">
        <v>2019</v>
      </c>
      <c r="H18" s="24"/>
      <c r="I18" s="2" t="s">
        <v>25</v>
      </c>
      <c r="J18" s="11" t="s">
        <v>24</v>
      </c>
    </row>
    <row r="19" spans="2:10" x14ac:dyDescent="0.25">
      <c r="B19" t="s">
        <v>44</v>
      </c>
      <c r="C19" s="23" t="s">
        <v>28</v>
      </c>
      <c r="E19" t="s">
        <v>31</v>
      </c>
      <c r="F19" s="12" t="s">
        <v>27</v>
      </c>
      <c r="G19">
        <v>2019</v>
      </c>
      <c r="H19" s="24"/>
      <c r="I19" s="2" t="s">
        <v>25</v>
      </c>
      <c r="J19" s="11" t="s">
        <v>38</v>
      </c>
    </row>
    <row r="20" spans="2:10" x14ac:dyDescent="0.25">
      <c r="B20" t="s">
        <v>44</v>
      </c>
      <c r="C20" s="23" t="s">
        <v>28</v>
      </c>
      <c r="E20" t="s">
        <v>18</v>
      </c>
      <c r="F20" s="12" t="s">
        <v>27</v>
      </c>
      <c r="G20">
        <v>2019</v>
      </c>
      <c r="H20" s="24">
        <v>0.31052010338168201</v>
      </c>
      <c r="I20" s="2" t="s">
        <v>37</v>
      </c>
      <c r="J20" s="11" t="s">
        <v>19</v>
      </c>
    </row>
    <row r="21" spans="2:10" x14ac:dyDescent="0.25">
      <c r="B21" t="s">
        <v>44</v>
      </c>
      <c r="C21" s="23" t="s">
        <v>28</v>
      </c>
      <c r="E21" t="s">
        <v>18</v>
      </c>
      <c r="F21" s="12" t="s">
        <v>27</v>
      </c>
      <c r="G21">
        <v>2019</v>
      </c>
      <c r="H21" s="24">
        <v>0.335419513504495</v>
      </c>
      <c r="I21" s="2" t="s">
        <v>37</v>
      </c>
      <c r="J21" s="11" t="s">
        <v>20</v>
      </c>
    </row>
    <row r="22" spans="2:10" x14ac:dyDescent="0.25">
      <c r="B22" t="s">
        <v>44</v>
      </c>
      <c r="C22" s="23" t="s">
        <v>28</v>
      </c>
      <c r="E22" t="s">
        <v>18</v>
      </c>
      <c r="F22" s="12" t="s">
        <v>27</v>
      </c>
      <c r="G22">
        <v>2019</v>
      </c>
      <c r="H22" s="24">
        <v>8.3862120957725605E-2</v>
      </c>
      <c r="I22" s="2" t="s">
        <v>37</v>
      </c>
      <c r="J22" s="11" t="s">
        <v>21</v>
      </c>
    </row>
    <row r="23" spans="2:10" x14ac:dyDescent="0.25">
      <c r="B23" t="s">
        <v>44</v>
      </c>
      <c r="C23" s="23" t="s">
        <v>28</v>
      </c>
      <c r="E23" t="s">
        <v>18</v>
      </c>
      <c r="F23" s="12" t="s">
        <v>27</v>
      </c>
      <c r="G23">
        <v>2019</v>
      </c>
      <c r="H23" s="24">
        <v>1.6326881938927802E-2</v>
      </c>
      <c r="I23" s="2" t="s">
        <v>37</v>
      </c>
      <c r="J23" s="11" t="s">
        <v>22</v>
      </c>
    </row>
    <row r="24" spans="2:10" x14ac:dyDescent="0.25">
      <c r="B24" t="s">
        <v>44</v>
      </c>
      <c r="C24" s="23" t="s">
        <v>28</v>
      </c>
      <c r="E24" t="s">
        <v>18</v>
      </c>
      <c r="F24" s="12" t="s">
        <v>27</v>
      </c>
      <c r="G24">
        <v>2019</v>
      </c>
      <c r="H24" s="24">
        <v>0.221494361019133</v>
      </c>
      <c r="I24" s="2" t="s">
        <v>37</v>
      </c>
      <c r="J24" s="11" t="s">
        <v>23</v>
      </c>
    </row>
    <row r="25" spans="2:10" x14ac:dyDescent="0.25">
      <c r="B25" t="s">
        <v>44</v>
      </c>
      <c r="C25" s="23" t="s">
        <v>28</v>
      </c>
      <c r="E25" t="s">
        <v>18</v>
      </c>
      <c r="F25" s="12" t="s">
        <v>27</v>
      </c>
      <c r="G25">
        <v>2019</v>
      </c>
      <c r="H25" s="24">
        <v>3.2377019198036198E-2</v>
      </c>
      <c r="I25" s="2" t="s">
        <v>37</v>
      </c>
      <c r="J25" s="11" t="s">
        <v>39</v>
      </c>
    </row>
    <row r="26" spans="2:10" x14ac:dyDescent="0.25">
      <c r="B26" t="s">
        <v>44</v>
      </c>
      <c r="C26" s="23" t="s">
        <v>28</v>
      </c>
      <c r="E26" t="s">
        <v>18</v>
      </c>
      <c r="F26" s="12" t="s">
        <v>27</v>
      </c>
      <c r="G26">
        <v>2019</v>
      </c>
      <c r="H26" s="24">
        <v>0</v>
      </c>
      <c r="I26" s="2" t="s">
        <v>37</v>
      </c>
      <c r="J26" s="11" t="s">
        <v>38</v>
      </c>
    </row>
    <row r="27" spans="2:10" x14ac:dyDescent="0.25">
      <c r="B27" t="s">
        <v>44</v>
      </c>
      <c r="C27" s="23" t="s">
        <v>28</v>
      </c>
      <c r="E27" t="s">
        <v>31</v>
      </c>
      <c r="F27" s="12" t="s">
        <v>27</v>
      </c>
      <c r="G27">
        <v>2019</v>
      </c>
      <c r="H27" s="24"/>
      <c r="I27" s="2" t="s">
        <v>37</v>
      </c>
      <c r="J27" s="11" t="s">
        <v>19</v>
      </c>
    </row>
    <row r="28" spans="2:10" x14ac:dyDescent="0.25">
      <c r="B28" t="s">
        <v>44</v>
      </c>
      <c r="C28" s="23" t="s">
        <v>28</v>
      </c>
      <c r="E28" t="s">
        <v>31</v>
      </c>
      <c r="F28" s="12" t="s">
        <v>27</v>
      </c>
      <c r="G28">
        <v>2019</v>
      </c>
      <c r="H28" s="24"/>
      <c r="I28" s="2" t="s">
        <v>37</v>
      </c>
      <c r="J28" s="11" t="s">
        <v>20</v>
      </c>
    </row>
    <row r="29" spans="2:10" x14ac:dyDescent="0.25">
      <c r="B29" t="s">
        <v>44</v>
      </c>
      <c r="C29" s="23" t="s">
        <v>28</v>
      </c>
      <c r="E29" t="s">
        <v>31</v>
      </c>
      <c r="F29" s="12" t="s">
        <v>27</v>
      </c>
      <c r="G29">
        <v>2019</v>
      </c>
      <c r="H29" s="24"/>
      <c r="I29" s="2" t="s">
        <v>37</v>
      </c>
      <c r="J29" s="11" t="s">
        <v>21</v>
      </c>
    </row>
    <row r="30" spans="2:10" x14ac:dyDescent="0.25">
      <c r="B30" t="s">
        <v>44</v>
      </c>
      <c r="C30" s="23" t="s">
        <v>28</v>
      </c>
      <c r="E30" t="s">
        <v>31</v>
      </c>
      <c r="F30" s="12" t="s">
        <v>27</v>
      </c>
      <c r="G30">
        <v>2019</v>
      </c>
      <c r="H30" s="24"/>
      <c r="I30" s="2" t="s">
        <v>37</v>
      </c>
      <c r="J30" s="11" t="s">
        <v>22</v>
      </c>
    </row>
    <row r="31" spans="2:10" x14ac:dyDescent="0.25">
      <c r="B31" t="s">
        <v>44</v>
      </c>
      <c r="C31" s="23" t="s">
        <v>28</v>
      </c>
      <c r="E31" t="s">
        <v>31</v>
      </c>
      <c r="F31" s="12" t="s">
        <v>27</v>
      </c>
      <c r="G31">
        <v>2019</v>
      </c>
      <c r="H31" s="24"/>
      <c r="I31" s="2" t="s">
        <v>37</v>
      </c>
      <c r="J31" s="11" t="s">
        <v>23</v>
      </c>
    </row>
    <row r="32" spans="2:10" x14ac:dyDescent="0.25">
      <c r="B32" t="s">
        <v>44</v>
      </c>
      <c r="C32" s="23" t="s">
        <v>28</v>
      </c>
      <c r="E32" t="s">
        <v>31</v>
      </c>
      <c r="F32" s="12" t="s">
        <v>27</v>
      </c>
      <c r="G32">
        <v>2019</v>
      </c>
      <c r="H32" s="24"/>
      <c r="I32" s="2" t="s">
        <v>37</v>
      </c>
      <c r="J32" s="11" t="s">
        <v>39</v>
      </c>
    </row>
    <row r="33" spans="2:10" x14ac:dyDescent="0.25">
      <c r="B33" t="s">
        <v>44</v>
      </c>
      <c r="C33" s="23" t="s">
        <v>28</v>
      </c>
      <c r="E33" t="s">
        <v>31</v>
      </c>
      <c r="F33" s="12" t="s">
        <v>27</v>
      </c>
      <c r="G33">
        <v>2019</v>
      </c>
      <c r="H33" s="24"/>
      <c r="I33" s="2" t="s">
        <v>37</v>
      </c>
      <c r="J33" s="11" t="s">
        <v>38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B635-0462-4656-BFAF-21A796DE386B}">
  <sheetPr>
    <tabColor rgb="FF00B050"/>
  </sheetPr>
  <dimension ref="A1:BE156"/>
  <sheetViews>
    <sheetView showGridLines="0" topLeftCell="A6" zoomScaleNormal="100" workbookViewId="0">
      <selection activeCell="H24" sqref="H24"/>
    </sheetView>
  </sheetViews>
  <sheetFormatPr baseColWidth="10" defaultColWidth="9.140625" defaultRowHeight="15" x14ac:dyDescent="0.25"/>
  <cols>
    <col min="7" max="7" width="11.85546875" customWidth="1"/>
    <col min="8" max="8" width="11.28515625" customWidth="1"/>
    <col min="9" max="9" width="11.5703125" customWidth="1"/>
    <col min="10" max="10" width="15.28515625" customWidth="1"/>
    <col min="11" max="11" width="14.140625" customWidth="1"/>
    <col min="14" max="14" width="11.85546875" customWidth="1"/>
    <col min="19" max="19" width="20.28515625" bestFit="1" customWidth="1"/>
  </cols>
  <sheetData>
    <row r="1" spans="4:57" ht="15.75" thickBot="1" x14ac:dyDescent="0.3"/>
    <row r="2" spans="4:57" x14ac:dyDescent="0.25">
      <c r="E2" s="92"/>
      <c r="F2" s="93"/>
      <c r="G2" s="93"/>
      <c r="H2" s="93"/>
      <c r="I2" s="93"/>
      <c r="J2" s="93"/>
      <c r="K2" s="93"/>
      <c r="L2" s="94"/>
      <c r="P2" s="92"/>
      <c r="Q2" s="93"/>
      <c r="R2" s="93"/>
      <c r="S2" s="93"/>
      <c r="T2" s="93"/>
      <c r="U2" s="94"/>
    </row>
    <row r="3" spans="4:57" ht="18.75" x14ac:dyDescent="0.3">
      <c r="E3" s="95"/>
      <c r="F3" s="96" t="s">
        <v>28</v>
      </c>
      <c r="G3" s="97">
        <v>100</v>
      </c>
      <c r="H3" s="98"/>
      <c r="L3" s="99"/>
      <c r="P3" s="95"/>
      <c r="Q3" s="100" t="s">
        <v>142</v>
      </c>
      <c r="R3" s="100"/>
      <c r="S3" s="100"/>
      <c r="T3" s="100"/>
      <c r="U3" s="99"/>
    </row>
    <row r="4" spans="4:57" x14ac:dyDescent="0.25">
      <c r="E4" s="95"/>
      <c r="H4" s="100" t="s">
        <v>45</v>
      </c>
      <c r="I4" s="100" t="s">
        <v>141</v>
      </c>
      <c r="J4" s="100" t="s">
        <v>46</v>
      </c>
      <c r="K4" t="s">
        <v>45</v>
      </c>
      <c r="L4" s="99"/>
      <c r="P4" s="95"/>
      <c r="R4" s="23"/>
      <c r="U4" s="99"/>
    </row>
    <row r="5" spans="4:57" x14ac:dyDescent="0.25">
      <c r="E5" s="95"/>
      <c r="G5" s="2"/>
      <c r="H5" s="101"/>
      <c r="L5" s="99"/>
      <c r="P5" s="95"/>
      <c r="Q5" s="107" t="s">
        <v>30</v>
      </c>
      <c r="R5" s="107">
        <v>2019</v>
      </c>
      <c r="U5" s="99"/>
      <c r="AA5" t="s">
        <v>32</v>
      </c>
      <c r="AB5" t="s">
        <v>33</v>
      </c>
    </row>
    <row r="6" spans="4:57" x14ac:dyDescent="0.25">
      <c r="E6" s="95"/>
      <c r="F6" s="3" t="s">
        <v>16</v>
      </c>
      <c r="G6" s="4" t="s">
        <v>17</v>
      </c>
      <c r="H6" s="185" t="s">
        <v>18</v>
      </c>
      <c r="I6" s="186"/>
      <c r="J6" s="187"/>
      <c r="K6" s="126" t="s">
        <v>31</v>
      </c>
      <c r="L6" s="99"/>
      <c r="P6" s="95"/>
      <c r="Q6" s="108" t="s">
        <v>31</v>
      </c>
      <c r="R6" s="108" t="s">
        <v>18</v>
      </c>
      <c r="S6" s="109">
        <v>2019</v>
      </c>
      <c r="U6" s="99"/>
      <c r="AA6" t="s">
        <v>3</v>
      </c>
      <c r="AB6" t="s">
        <v>34</v>
      </c>
      <c r="AC6">
        <v>2019</v>
      </c>
      <c r="AD6">
        <v>2020</v>
      </c>
      <c r="AE6">
        <v>2023</v>
      </c>
      <c r="AF6">
        <v>2025</v>
      </c>
      <c r="AG6">
        <v>2027</v>
      </c>
      <c r="AH6">
        <v>2030</v>
      </c>
      <c r="AI6">
        <v>2033</v>
      </c>
      <c r="AJ6">
        <v>2035</v>
      </c>
      <c r="AK6">
        <v>2037</v>
      </c>
      <c r="AL6">
        <v>2040</v>
      </c>
    </row>
    <row r="7" spans="4:57" x14ac:dyDescent="0.25">
      <c r="D7" s="16">
        <v>0.23323048049814121</v>
      </c>
      <c r="E7" s="95"/>
      <c r="F7" s="116" t="s">
        <v>25</v>
      </c>
      <c r="G7" s="5" t="s">
        <v>19</v>
      </c>
      <c r="H7" s="123">
        <f>Refineries_Base!H6</f>
        <v>0.23323048049814099</v>
      </c>
      <c r="I7" s="118">
        <f>H7*$G$3*1000/Fuels!$F$29</f>
        <v>4375.8063883328514</v>
      </c>
      <c r="J7" s="119">
        <f>I7/SUM($I$7:$I$11)</f>
        <v>0.2488261971401039</v>
      </c>
      <c r="K7" s="129"/>
      <c r="L7" s="99"/>
      <c r="P7" s="115" t="s">
        <v>19</v>
      </c>
      <c r="Q7" s="110">
        <v>0.19800000000000001</v>
      </c>
      <c r="R7" s="7">
        <v>0.27100000000000002</v>
      </c>
      <c r="S7" s="111">
        <f>+T7/$T$14</f>
        <v>0.32140607030351515</v>
      </c>
      <c r="T7" s="28">
        <v>0.32139000000000001</v>
      </c>
      <c r="U7" s="99"/>
      <c r="AA7" t="s">
        <v>35</v>
      </c>
      <c r="AB7" t="s">
        <v>36</v>
      </c>
      <c r="AC7">
        <v>26807.297628836499</v>
      </c>
      <c r="AD7">
        <v>28536.800701664601</v>
      </c>
      <c r="AE7">
        <v>28536.800701664601</v>
      </c>
      <c r="AF7">
        <v>28536.800701664601</v>
      </c>
      <c r="AG7">
        <v>28536.800701664601</v>
      </c>
      <c r="AH7">
        <v>28536.800701664601</v>
      </c>
      <c r="AI7">
        <v>28536.800701664601</v>
      </c>
      <c r="AJ7">
        <v>28536.800701664601</v>
      </c>
      <c r="AK7">
        <v>28536.800701664601</v>
      </c>
      <c r="AL7">
        <v>28536.800701664601</v>
      </c>
      <c r="BE7">
        <v>2020</v>
      </c>
    </row>
    <row r="8" spans="4:57" x14ac:dyDescent="0.25">
      <c r="D8" s="16">
        <v>0.63374282698820394</v>
      </c>
      <c r="E8" s="95"/>
      <c r="F8" s="117"/>
      <c r="G8" s="5" t="s">
        <v>20</v>
      </c>
      <c r="H8" s="123">
        <f>Refineries_Base!H7</f>
        <v>0.63374282698820406</v>
      </c>
      <c r="I8" s="120">
        <f>H8*$G$3*1000/Fuels!$F$30</f>
        <v>11177.122169104128</v>
      </c>
      <c r="J8" s="119">
        <f t="shared" ref="J8:J11" si="0">I8/SUM($I$7:$I$11)</f>
        <v>0.63557675031598704</v>
      </c>
      <c r="K8" s="130"/>
      <c r="L8" s="99"/>
      <c r="P8" s="115" t="s">
        <v>20</v>
      </c>
      <c r="Q8" s="110">
        <v>0.34</v>
      </c>
      <c r="R8" s="110">
        <v>0.55200000000000005</v>
      </c>
      <c r="S8" s="111">
        <f t="shared" ref="S8:S13" si="1">+T8/$T$14</f>
        <v>0.32905645282264107</v>
      </c>
      <c r="T8" s="28">
        <v>0.32904</v>
      </c>
      <c r="U8" s="99"/>
      <c r="AA8" t="s">
        <v>35</v>
      </c>
      <c r="AB8" t="s">
        <v>20</v>
      </c>
      <c r="AC8">
        <v>183.11309693020999</v>
      </c>
      <c r="AD8">
        <v>179.33269750971499</v>
      </c>
      <c r="AE8">
        <v>179.33269750971499</v>
      </c>
      <c r="AF8">
        <v>179.33269750971499</v>
      </c>
      <c r="AG8">
        <v>179.33269750971499</v>
      </c>
      <c r="AH8">
        <v>179.33269750971499</v>
      </c>
      <c r="AI8">
        <v>179.33269750971499</v>
      </c>
      <c r="AJ8">
        <v>179.33269750971499</v>
      </c>
      <c r="AK8">
        <v>179.33269750971499</v>
      </c>
      <c r="AL8">
        <v>179.33269750971499</v>
      </c>
      <c r="BE8">
        <v>2025</v>
      </c>
    </row>
    <row r="9" spans="4:57" x14ac:dyDescent="0.25">
      <c r="D9" s="16">
        <v>5.7137810660259164E-2</v>
      </c>
      <c r="E9" s="95"/>
      <c r="F9" s="117"/>
      <c r="G9" s="5" t="s">
        <v>21</v>
      </c>
      <c r="H9" s="123">
        <f>Refineries_Base!H8</f>
        <v>5.7137810660259199E-2</v>
      </c>
      <c r="I9" s="120">
        <f>H9*$G$3*1000/Fuels!$F$31</f>
        <v>1213.1169991562463</v>
      </c>
      <c r="J9" s="119">
        <f t="shared" si="0"/>
        <v>6.8982780040473396E-2</v>
      </c>
      <c r="K9" s="130"/>
      <c r="L9" s="99"/>
      <c r="P9" s="115" t="s">
        <v>21</v>
      </c>
      <c r="Q9" s="110">
        <v>5.5999999999999994E-2</v>
      </c>
      <c r="R9" s="110">
        <v>0.12379999999999999</v>
      </c>
      <c r="S9" s="111">
        <f t="shared" si="1"/>
        <v>7.9603980199009952E-2</v>
      </c>
      <c r="T9" s="28">
        <v>7.9600000000000004E-2</v>
      </c>
      <c r="U9" s="99"/>
      <c r="AA9" t="s">
        <v>35</v>
      </c>
      <c r="AB9" t="s">
        <v>19</v>
      </c>
      <c r="AC9">
        <v>81.431471340728706</v>
      </c>
      <c r="AD9">
        <v>129.52888858174501</v>
      </c>
      <c r="AE9">
        <v>129.52888858174501</v>
      </c>
      <c r="AF9">
        <v>129.52888858174501</v>
      </c>
      <c r="AG9">
        <v>129.52888858174501</v>
      </c>
      <c r="AH9">
        <v>129.52888858174501</v>
      </c>
      <c r="AI9">
        <v>129.52888858174501</v>
      </c>
      <c r="AJ9">
        <v>129.52888858174501</v>
      </c>
      <c r="AK9">
        <v>129.52888858174501</v>
      </c>
      <c r="AL9">
        <v>129.52888858174501</v>
      </c>
      <c r="BE9">
        <v>2030</v>
      </c>
    </row>
    <row r="10" spans="4:57" x14ac:dyDescent="0.25">
      <c r="D10" s="16">
        <v>2.6523215703436027E-2</v>
      </c>
      <c r="E10" s="95"/>
      <c r="F10" s="117"/>
      <c r="G10" s="5" t="s">
        <v>22</v>
      </c>
      <c r="H10" s="123">
        <f>Refineries_Base!H9</f>
        <v>2.6523215703436E-2</v>
      </c>
      <c r="I10" s="120">
        <f>H10*$G$3*1000/Fuels!$F$32</f>
        <v>653.28117496147786</v>
      </c>
      <c r="J10" s="119">
        <f t="shared" si="0"/>
        <v>3.7148231892137035E-2</v>
      </c>
      <c r="K10" s="130"/>
      <c r="L10" s="99"/>
      <c r="P10" s="115" t="s">
        <v>22</v>
      </c>
      <c r="Q10" s="110">
        <v>0.01</v>
      </c>
      <c r="R10" s="110">
        <v>1.7999999999999999E-2</v>
      </c>
      <c r="S10" s="111">
        <f t="shared" si="1"/>
        <v>2.6001300065003247E-2</v>
      </c>
      <c r="T10" s="28">
        <v>2.5999999999999999E-2</v>
      </c>
      <c r="U10" s="99"/>
      <c r="AA10" t="s">
        <v>35</v>
      </c>
      <c r="AB10" t="s">
        <v>23</v>
      </c>
      <c r="AC10">
        <v>3.4468347657451202</v>
      </c>
      <c r="BE10">
        <v>2035</v>
      </c>
    </row>
    <row r="11" spans="4:57" x14ac:dyDescent="0.25">
      <c r="D11" s="16">
        <v>9.0891443724778025E-3</v>
      </c>
      <c r="E11" s="95"/>
      <c r="F11" s="117"/>
      <c r="G11" s="5" t="s">
        <v>23</v>
      </c>
      <c r="H11" s="123">
        <f>Refineries_Base!H10</f>
        <v>9.0891443724778007E-3</v>
      </c>
      <c r="I11" s="120">
        <f>H11*$G$3*1000/Fuels!$F$33</f>
        <v>166.46784564977659</v>
      </c>
      <c r="J11" s="119">
        <f t="shared" si="0"/>
        <v>9.4660406112988451E-3</v>
      </c>
      <c r="K11" s="130"/>
      <c r="L11" s="99"/>
      <c r="P11" s="115" t="s">
        <v>23</v>
      </c>
      <c r="Q11" s="110">
        <v>0.06</v>
      </c>
      <c r="R11" s="110">
        <v>9.9000000000000005E-2</v>
      </c>
      <c r="S11" s="111">
        <f t="shared" si="1"/>
        <v>0.20093004650232507</v>
      </c>
      <c r="T11" s="28">
        <v>0.20091999999999999</v>
      </c>
      <c r="U11" s="99"/>
      <c r="AA11" t="s">
        <v>35</v>
      </c>
      <c r="AB11" t="s">
        <v>21</v>
      </c>
      <c r="AC11">
        <v>19.101209326837601</v>
      </c>
      <c r="AD11">
        <v>7.2168033988823197</v>
      </c>
      <c r="AE11">
        <v>7.2168033988823197</v>
      </c>
      <c r="AF11">
        <v>7.2168033988823197</v>
      </c>
      <c r="AG11">
        <v>7.2168033988823197</v>
      </c>
      <c r="AH11">
        <v>7.2168033988823197</v>
      </c>
      <c r="AI11">
        <v>7.2168033988823197</v>
      </c>
      <c r="AJ11">
        <v>7.2168033988823197</v>
      </c>
      <c r="AK11">
        <v>7.2168033988823197</v>
      </c>
      <c r="AL11">
        <v>7.2168033988823197</v>
      </c>
      <c r="BE11">
        <v>2040</v>
      </c>
    </row>
    <row r="12" spans="4:57" x14ac:dyDescent="0.25">
      <c r="D12" s="16">
        <v>4.027652177748197E-2</v>
      </c>
      <c r="E12" s="95"/>
      <c r="F12" s="117"/>
      <c r="G12" s="5" t="s">
        <v>24</v>
      </c>
      <c r="H12" s="124">
        <v>0.5</v>
      </c>
      <c r="I12" s="157"/>
      <c r="J12" s="158"/>
      <c r="K12" s="130"/>
      <c r="L12" s="99"/>
      <c r="P12" s="115" t="s">
        <v>39</v>
      </c>
      <c r="Q12" s="110">
        <v>2.5000000000000001E-2</v>
      </c>
      <c r="R12" s="110">
        <v>2.5000000000000001E-2</v>
      </c>
      <c r="S12" s="111">
        <f t="shared" si="1"/>
        <v>4.2002100105005248E-2</v>
      </c>
      <c r="T12" s="28">
        <v>4.2000000000000003E-2</v>
      </c>
      <c r="U12" s="99"/>
      <c r="AA12" t="s">
        <v>35</v>
      </c>
      <c r="AB12" t="s">
        <v>22</v>
      </c>
      <c r="AC12">
        <v>6.4628151857721097</v>
      </c>
      <c r="AD12">
        <v>5.8478053535776597</v>
      </c>
      <c r="AE12">
        <v>5.8478053535776597</v>
      </c>
      <c r="AF12">
        <v>5.8478053535776597</v>
      </c>
      <c r="AG12">
        <v>5.8478053535776597</v>
      </c>
      <c r="AH12">
        <v>5.8478053535776597</v>
      </c>
      <c r="AI12">
        <v>5.8478053535776597</v>
      </c>
      <c r="AJ12">
        <v>5.8478053535776597</v>
      </c>
      <c r="AK12">
        <v>5.8478053535776597</v>
      </c>
      <c r="AL12">
        <v>5.8478053535776597</v>
      </c>
      <c r="BE12">
        <v>2045</v>
      </c>
    </row>
    <row r="13" spans="4:57" x14ac:dyDescent="0.25">
      <c r="E13" s="95"/>
      <c r="F13" s="117"/>
      <c r="G13" s="5" t="s">
        <v>38</v>
      </c>
      <c r="H13" s="177">
        <v>0</v>
      </c>
      <c r="I13" s="159"/>
      <c r="J13" s="160"/>
      <c r="K13" s="131"/>
      <c r="L13" s="99"/>
      <c r="P13" s="115" t="s">
        <v>38</v>
      </c>
      <c r="Q13" s="110">
        <v>0</v>
      </c>
      <c r="R13" s="110">
        <v>0</v>
      </c>
      <c r="S13" s="111">
        <f t="shared" si="1"/>
        <v>1.0000500025001248E-3</v>
      </c>
      <c r="T13" s="28">
        <v>1E-3</v>
      </c>
      <c r="U13" s="99"/>
      <c r="BE13">
        <v>2050</v>
      </c>
    </row>
    <row r="14" spans="4:57" x14ac:dyDescent="0.25">
      <c r="E14" s="95"/>
      <c r="H14" s="167">
        <f>SUM(H7:H13)</f>
        <v>1.4597234782225179</v>
      </c>
      <c r="J14" s="17"/>
      <c r="L14" s="99"/>
      <c r="P14" s="95"/>
      <c r="Q14" s="17">
        <f>+SUM(Q7:Q13)</f>
        <v>0.68900000000000017</v>
      </c>
      <c r="R14" s="112">
        <f t="shared" ref="R14" si="2">+SUM(R7:R12)</f>
        <v>1.0888</v>
      </c>
      <c r="S14" s="113">
        <f>+SUM(S7:S13)</f>
        <v>0.99999999999999989</v>
      </c>
      <c r="T14" s="28">
        <f>+SUM(T7:T13)</f>
        <v>0.99995000000000012</v>
      </c>
      <c r="U14" s="99"/>
      <c r="AA14" t="s">
        <v>35</v>
      </c>
      <c r="AB14" t="s">
        <v>24</v>
      </c>
      <c r="AC14">
        <v>11.6330673343898</v>
      </c>
      <c r="AD14">
        <v>2.9518803548388002</v>
      </c>
      <c r="AE14">
        <v>2.9518803548388002</v>
      </c>
      <c r="AF14">
        <v>2.9518803548388002</v>
      </c>
      <c r="AG14">
        <v>2.9518803548388002</v>
      </c>
      <c r="AH14">
        <v>2.9518803548388002</v>
      </c>
      <c r="AI14">
        <v>2.9518803548388002</v>
      </c>
      <c r="AJ14">
        <v>2.9518803548388002</v>
      </c>
      <c r="AK14">
        <v>2.9518803548388002</v>
      </c>
      <c r="AL14">
        <v>2.9518803548388002</v>
      </c>
    </row>
    <row r="15" spans="4:57" ht="15.75" thickBot="1" x14ac:dyDescent="0.3">
      <c r="E15" s="102"/>
      <c r="F15" s="103"/>
      <c r="G15" s="103"/>
      <c r="H15" s="104"/>
      <c r="I15" s="103"/>
      <c r="J15" s="103"/>
      <c r="K15" s="105"/>
      <c r="L15" s="106"/>
      <c r="M15" s="27"/>
      <c r="N15" s="28"/>
      <c r="P15" s="95"/>
      <c r="U15" s="99"/>
    </row>
    <row r="16" spans="4:57" ht="15.75" thickBot="1" x14ac:dyDescent="0.3">
      <c r="H16" s="6"/>
      <c r="K16" s="17"/>
      <c r="L16" s="121"/>
      <c r="M16" s="27"/>
      <c r="N16" s="28"/>
      <c r="P16" s="102"/>
      <c r="Q16" s="103"/>
      <c r="R16" s="103"/>
      <c r="S16" s="103"/>
      <c r="T16" s="103"/>
      <c r="U16" s="114"/>
    </row>
    <row r="17" spans="1:38" x14ac:dyDescent="0.25">
      <c r="H17" s="6"/>
      <c r="K17" s="17"/>
      <c r="L17" s="26"/>
      <c r="M17" s="27"/>
      <c r="N17" s="28"/>
    </row>
    <row r="18" spans="1:38" ht="15.75" thickBot="1" x14ac:dyDescent="0.3">
      <c r="H18" s="6"/>
      <c r="K18" s="17"/>
      <c r="L18" s="26"/>
      <c r="M18" s="27"/>
      <c r="N18" s="28"/>
    </row>
    <row r="19" spans="1:38" x14ac:dyDescent="0.25">
      <c r="E19" s="92"/>
      <c r="F19" s="93"/>
      <c r="G19" s="93"/>
      <c r="H19" s="93"/>
      <c r="I19" s="93"/>
      <c r="J19" s="93"/>
      <c r="K19" s="93"/>
      <c r="L19" s="93"/>
      <c r="M19" s="93"/>
      <c r="N19" s="94"/>
    </row>
    <row r="20" spans="1:38" ht="18.75" x14ac:dyDescent="0.3">
      <c r="E20" s="95"/>
      <c r="F20" s="96" t="s">
        <v>28</v>
      </c>
      <c r="G20" s="97">
        <v>100</v>
      </c>
      <c r="H20" s="98"/>
      <c r="M20" s="27"/>
      <c r="N20" s="99"/>
    </row>
    <row r="21" spans="1:38" x14ac:dyDescent="0.25">
      <c r="E21" s="95"/>
      <c r="H21" s="100" t="s">
        <v>45</v>
      </c>
      <c r="I21" s="100" t="s">
        <v>141</v>
      </c>
      <c r="J21" s="100" t="s">
        <v>46</v>
      </c>
      <c r="K21" t="s">
        <v>45</v>
      </c>
      <c r="L21" s="100" t="s">
        <v>141</v>
      </c>
      <c r="M21" s="100" t="s">
        <v>46</v>
      </c>
      <c r="N21" s="99"/>
    </row>
    <row r="22" spans="1:38" x14ac:dyDescent="0.25">
      <c r="E22" s="95"/>
      <c r="G22" s="2"/>
      <c r="H22" s="101"/>
      <c r="M22" s="27"/>
      <c r="N22" s="99"/>
    </row>
    <row r="23" spans="1:38" x14ac:dyDescent="0.25">
      <c r="E23" s="95"/>
      <c r="F23" s="3" t="s">
        <v>16</v>
      </c>
      <c r="G23" s="4" t="s">
        <v>17</v>
      </c>
      <c r="H23" s="185" t="s">
        <v>18</v>
      </c>
      <c r="I23" s="186"/>
      <c r="J23" s="187"/>
      <c r="K23" s="188" t="s">
        <v>31</v>
      </c>
      <c r="L23" s="189"/>
      <c r="M23" s="190"/>
      <c r="N23" s="99"/>
      <c r="P23" t="s">
        <v>143</v>
      </c>
    </row>
    <row r="24" spans="1:38" x14ac:dyDescent="0.25">
      <c r="A24" s="6">
        <f>H24</f>
        <v>0.23323048049814099</v>
      </c>
      <c r="B24" s="6">
        <f>A24</f>
        <v>0.23323048049814099</v>
      </c>
      <c r="E24" s="181"/>
      <c r="F24" s="116" t="s">
        <v>25</v>
      </c>
      <c r="G24" s="5" t="s">
        <v>19</v>
      </c>
      <c r="H24" s="178">
        <f>H7</f>
        <v>0.23323048049814099</v>
      </c>
      <c r="I24" s="118">
        <f>H24*$G$3*1000/Fuels!$F$29</f>
        <v>4375.8063883328514</v>
      </c>
      <c r="J24" s="119">
        <f>I24/SUM($I$24:$I$28)</f>
        <v>0.21410238466044604</v>
      </c>
      <c r="K24" s="175">
        <f>Q7</f>
        <v>0.19800000000000001</v>
      </c>
      <c r="L24" s="118">
        <f>K24*$G$3*1000/Fuels!$F$29</f>
        <v>3714.8217636022514</v>
      </c>
      <c r="M24" s="119">
        <f>L24/SUM($L$24:$L$28)</f>
        <v>0.32836672697869629</v>
      </c>
      <c r="N24" s="99"/>
      <c r="P24" t="str">
        <f>IF(K24&lt;H24,"Sí")</f>
        <v>Sí</v>
      </c>
    </row>
    <row r="25" spans="1:38" x14ac:dyDescent="0.25">
      <c r="A25" s="6">
        <f>H25</f>
        <v>0.63374282698820406</v>
      </c>
      <c r="B25" s="6">
        <f>B24+A25</f>
        <v>0.86697330748634505</v>
      </c>
      <c r="C25" s="17">
        <f>R8</f>
        <v>0.55200000000000005</v>
      </c>
      <c r="E25" s="181"/>
      <c r="F25" s="117"/>
      <c r="G25" s="5" t="s">
        <v>20</v>
      </c>
      <c r="H25" s="123">
        <f>H8</f>
        <v>0.63374282698820406</v>
      </c>
      <c r="I25" s="120">
        <f>H25*$G$3*1000/Fuels!$F$30</f>
        <v>11177.122169104128</v>
      </c>
      <c r="J25" s="119">
        <f>I25/SUM($I$24:$I$28)</f>
        <v>0.54688171680238906</v>
      </c>
      <c r="K25" s="179">
        <f>Q8</f>
        <v>0.34</v>
      </c>
      <c r="L25" s="120">
        <f>K25*$G$3*1000/Fuels!$F$30</f>
        <v>5996.4726631393296</v>
      </c>
      <c r="M25" s="119">
        <f>L25/SUM($L$24:$L$28)</f>
        <v>0.5300502223565402</v>
      </c>
      <c r="N25" s="99"/>
      <c r="P25" t="str">
        <f t="shared" ref="P25:P30" si="3">IF(K25&lt;H25,"Sí")</f>
        <v>Sí</v>
      </c>
    </row>
    <row r="26" spans="1:38" x14ac:dyDescent="0.25">
      <c r="A26" s="6">
        <f>H27</f>
        <v>1.7999999999999999E-2</v>
      </c>
      <c r="B26" s="6">
        <f t="shared" ref="B26:B28" si="4">B25+A26</f>
        <v>0.88497330748634506</v>
      </c>
      <c r="E26" s="181"/>
      <c r="F26" s="117"/>
      <c r="G26" s="5" t="s">
        <v>21</v>
      </c>
      <c r="H26" s="123">
        <f t="shared" ref="H26:H28" si="5">R9</f>
        <v>0.12379999999999999</v>
      </c>
      <c r="I26" s="120">
        <f>H26*$G$3*1000/Fuels!$F$31</f>
        <v>2628.4501061571123</v>
      </c>
      <c r="J26" s="119">
        <f>I26/SUM($I$24:$I$28)</f>
        <v>0.12860656659529365</v>
      </c>
      <c r="K26" s="169">
        <f>Q9</f>
        <v>5.5999999999999994E-2</v>
      </c>
      <c r="L26" s="120">
        <f>K26*$G$3*1000/Fuels!$F$31</f>
        <v>1188.9596602972399</v>
      </c>
      <c r="M26" s="119">
        <f>L26/SUM($L$24:$L$28)</f>
        <v>0.10509650718287038</v>
      </c>
      <c r="N26" s="99"/>
      <c r="P26" t="str">
        <f t="shared" si="3"/>
        <v>Sí</v>
      </c>
    </row>
    <row r="27" spans="1:38" x14ac:dyDescent="0.25">
      <c r="A27" s="17">
        <f>H29</f>
        <v>4.0300000000000002E-2</v>
      </c>
      <c r="B27" s="6">
        <f t="shared" si="4"/>
        <v>0.92527330748634506</v>
      </c>
      <c r="E27" s="181"/>
      <c r="F27" s="117"/>
      <c r="G27" s="5" t="s">
        <v>22</v>
      </c>
      <c r="H27" s="172">
        <f>R10</f>
        <v>1.7999999999999999E-2</v>
      </c>
      <c r="I27" s="120">
        <f>H27*$G$3*1000/Fuels!$F$32</f>
        <v>443.3497536945813</v>
      </c>
      <c r="J27" s="119">
        <f>I27/SUM($I$24:$I$28)</f>
        <v>2.1692513580518789E-2</v>
      </c>
      <c r="K27" s="169">
        <f>Q10</f>
        <v>0.01</v>
      </c>
      <c r="L27" s="120">
        <f>K27*$G$3*1000/Fuels!$F$32</f>
        <v>246.30541871921184</v>
      </c>
      <c r="M27" s="119">
        <f>L27/SUM($L$24:$L$28)</f>
        <v>2.1771839762109411E-2</v>
      </c>
      <c r="N27" s="99"/>
      <c r="P27" t="str">
        <f t="shared" si="3"/>
        <v>Sí</v>
      </c>
    </row>
    <row r="28" spans="1:38" x14ac:dyDescent="0.25">
      <c r="A28" s="6">
        <f>H26</f>
        <v>0.12379999999999999</v>
      </c>
      <c r="B28" s="6">
        <f t="shared" si="4"/>
        <v>1.049073307486345</v>
      </c>
      <c r="E28" s="181"/>
      <c r="F28" s="117"/>
      <c r="G28" s="5" t="s">
        <v>23</v>
      </c>
      <c r="H28" s="123">
        <f t="shared" si="5"/>
        <v>9.9000000000000005E-2</v>
      </c>
      <c r="I28" s="120">
        <f>H28*$G$3*1000/Fuels!$F$33</f>
        <v>1813.1868131868132</v>
      </c>
      <c r="J28" s="119">
        <f>I28/SUM($I$24:$I$28)</f>
        <v>8.8716818361352479E-2</v>
      </c>
      <c r="K28" s="173">
        <f>H11</f>
        <v>9.0891443724778007E-3</v>
      </c>
      <c r="L28" s="120">
        <f>K28*$G$3*1000/Fuels!$F$33</f>
        <v>166.46784564977659</v>
      </c>
      <c r="M28" s="119">
        <f>L28/SUM($L$24:$L$28)</f>
        <v>1.471470371978382E-2</v>
      </c>
      <c r="N28" s="99"/>
      <c r="P28" t="str">
        <f t="shared" si="3"/>
        <v>Sí</v>
      </c>
    </row>
    <row r="29" spans="1:38" x14ac:dyDescent="0.25">
      <c r="E29" s="181"/>
      <c r="F29" s="117"/>
      <c r="G29" s="5" t="s">
        <v>24</v>
      </c>
      <c r="H29" s="182">
        <v>4.0300000000000002E-2</v>
      </c>
      <c r="I29" s="157"/>
      <c r="J29" s="158"/>
      <c r="K29" s="169">
        <v>0</v>
      </c>
      <c r="L29" s="161"/>
      <c r="M29" s="162"/>
      <c r="N29" s="99"/>
      <c r="P29" t="str">
        <f t="shared" si="3"/>
        <v>Sí</v>
      </c>
    </row>
    <row r="30" spans="1:38" x14ac:dyDescent="0.25">
      <c r="E30" s="181"/>
      <c r="F30" s="117"/>
      <c r="G30" s="5" t="s">
        <v>38</v>
      </c>
      <c r="H30" s="171">
        <v>1E-3</v>
      </c>
      <c r="I30" s="159"/>
      <c r="J30" s="160"/>
      <c r="K30" s="170">
        <f>Q13</f>
        <v>0</v>
      </c>
      <c r="L30" s="163"/>
      <c r="M30" s="164"/>
      <c r="N30" s="99"/>
      <c r="P30" t="str">
        <f t="shared" si="3"/>
        <v>Sí</v>
      </c>
    </row>
    <row r="31" spans="1:38" x14ac:dyDescent="0.25">
      <c r="E31" s="95"/>
      <c r="H31" s="128">
        <f>SUM(H24:H30)</f>
        <v>1.1490733074863448</v>
      </c>
      <c r="I31" s="100"/>
      <c r="J31" s="100"/>
      <c r="K31" s="156">
        <f>SUM(K24:K30)</f>
        <v>0.61308914437247786</v>
      </c>
      <c r="M31" s="27"/>
      <c r="N31" s="99"/>
    </row>
    <row r="32" spans="1:38" ht="15.75" thickBot="1" x14ac:dyDescent="0.3">
      <c r="E32" s="102"/>
      <c r="F32" s="103"/>
      <c r="G32" s="103"/>
      <c r="H32" s="104"/>
      <c r="I32" s="103"/>
      <c r="J32" s="103"/>
      <c r="K32" s="105"/>
      <c r="L32" s="105"/>
      <c r="M32" s="105"/>
      <c r="N32" s="106"/>
      <c r="AC32" s="15">
        <f>+SUM(AC8:AC14)</f>
        <v>305.18849488368335</v>
      </c>
      <c r="AD32" s="15">
        <f t="shared" ref="AD32:AL32" si="6">+SUM(AD8:AD14)</f>
        <v>324.87807519875884</v>
      </c>
      <c r="AE32" s="15">
        <f t="shared" si="6"/>
        <v>324.87807519875884</v>
      </c>
      <c r="AF32" s="15">
        <f t="shared" si="6"/>
        <v>324.87807519875884</v>
      </c>
      <c r="AG32" s="15">
        <f t="shared" si="6"/>
        <v>324.87807519875884</v>
      </c>
      <c r="AH32" s="15">
        <f t="shared" si="6"/>
        <v>324.87807519875884</v>
      </c>
      <c r="AI32" s="15">
        <f t="shared" si="6"/>
        <v>324.87807519875884</v>
      </c>
      <c r="AJ32" s="15">
        <f t="shared" si="6"/>
        <v>324.87807519875884</v>
      </c>
      <c r="AK32" s="15">
        <f t="shared" si="6"/>
        <v>324.87807519875884</v>
      </c>
      <c r="AL32" s="15">
        <f t="shared" si="6"/>
        <v>324.87807519875884</v>
      </c>
    </row>
    <row r="33" spans="6:38" x14ac:dyDescent="0.25">
      <c r="H33" s="6"/>
      <c r="K33" s="17"/>
      <c r="L33" s="17"/>
      <c r="M33" s="17"/>
      <c r="N33" s="121"/>
      <c r="AC33" s="15"/>
      <c r="AD33" s="15"/>
      <c r="AE33" s="15"/>
      <c r="AF33" s="15"/>
      <c r="AG33" s="15"/>
      <c r="AH33" s="15"/>
      <c r="AI33" s="15"/>
      <c r="AJ33" s="15"/>
      <c r="AK33" s="15"/>
      <c r="AL33" s="15"/>
    </row>
    <row r="34" spans="6:38" x14ac:dyDescent="0.25">
      <c r="F34" s="165" t="s">
        <v>29</v>
      </c>
      <c r="G34" s="166">
        <v>2020</v>
      </c>
      <c r="H34" s="6"/>
      <c r="K34" s="17"/>
      <c r="L34" s="17"/>
      <c r="M34" s="17"/>
      <c r="N34" s="121"/>
      <c r="AC34" s="15"/>
      <c r="AD34" s="15"/>
      <c r="AE34" s="15"/>
      <c r="AF34" s="15"/>
      <c r="AG34" s="15"/>
      <c r="AH34" s="15"/>
      <c r="AI34" s="15"/>
      <c r="AJ34" s="15"/>
      <c r="AK34" s="15"/>
      <c r="AL34" s="15"/>
    </row>
    <row r="35" spans="6:38" x14ac:dyDescent="0.25">
      <c r="H35" s="6"/>
      <c r="K35" s="17"/>
      <c r="L35" s="121"/>
      <c r="AC35" s="15"/>
      <c r="AD35" s="15"/>
      <c r="AE35" s="15"/>
      <c r="AF35" s="15"/>
      <c r="AG35" s="15"/>
      <c r="AH35" s="15"/>
      <c r="AI35" s="15"/>
      <c r="AJ35" s="15"/>
      <c r="AK35" s="15"/>
      <c r="AL35" s="15"/>
    </row>
    <row r="36" spans="6:38" x14ac:dyDescent="0.25">
      <c r="H36" s="6"/>
      <c r="K36" s="17"/>
      <c r="L36" s="121"/>
      <c r="AC36" s="15"/>
      <c r="AD36" s="15"/>
      <c r="AE36" s="15"/>
      <c r="AF36" s="15"/>
      <c r="AG36" s="15"/>
      <c r="AH36" s="15"/>
      <c r="AI36" s="15"/>
      <c r="AJ36" s="15"/>
      <c r="AK36" s="15"/>
      <c r="AL36" s="15"/>
    </row>
    <row r="37" spans="6:38" x14ac:dyDescent="0.25">
      <c r="J37" s="1" t="s">
        <v>0</v>
      </c>
    </row>
    <row r="38" spans="6:38" x14ac:dyDescent="0.25">
      <c r="F38" s="8" t="s">
        <v>1</v>
      </c>
      <c r="G38" s="8" t="s">
        <v>2</v>
      </c>
      <c r="H38" s="8" t="s">
        <v>3</v>
      </c>
      <c r="I38" s="8" t="s">
        <v>4</v>
      </c>
      <c r="J38" s="8" t="s">
        <v>5</v>
      </c>
      <c r="K38" s="9" t="s">
        <v>6</v>
      </c>
      <c r="L38" s="9" t="s">
        <v>7</v>
      </c>
      <c r="M38" s="10" t="s">
        <v>8</v>
      </c>
      <c r="N38" s="10" t="s">
        <v>9</v>
      </c>
      <c r="O38" s="10" t="s">
        <v>10</v>
      </c>
      <c r="P38" s="10" t="s">
        <v>11</v>
      </c>
      <c r="Q38" s="10" t="s">
        <v>12</v>
      </c>
      <c r="R38" s="10" t="s">
        <v>13</v>
      </c>
      <c r="S38" s="10" t="s">
        <v>14</v>
      </c>
      <c r="T38" s="10" t="s">
        <v>15</v>
      </c>
      <c r="AC38">
        <v>2019</v>
      </c>
      <c r="AD38">
        <v>2020</v>
      </c>
      <c r="AE38">
        <v>2023</v>
      </c>
      <c r="AF38">
        <v>2025</v>
      </c>
      <c r="AG38">
        <v>2027</v>
      </c>
      <c r="AH38">
        <v>2030</v>
      </c>
      <c r="AI38">
        <v>2033</v>
      </c>
      <c r="AJ38">
        <v>2035</v>
      </c>
      <c r="AK38">
        <v>2037</v>
      </c>
      <c r="AL38">
        <v>2040</v>
      </c>
    </row>
    <row r="39" spans="6:38" x14ac:dyDescent="0.25">
      <c r="F39" s="142"/>
      <c r="G39" s="143" t="s">
        <v>18</v>
      </c>
      <c r="H39" s="144" t="s">
        <v>27</v>
      </c>
      <c r="I39" s="145">
        <v>2019</v>
      </c>
      <c r="J39" s="146" t="s">
        <v>26</v>
      </c>
      <c r="K39" s="145"/>
      <c r="L39" s="147" cm="1">
        <f t="array" ref="L39:L45">+IF(I39&lt;$G$34,$H$7:$H$13,$H$24:$H$30)</f>
        <v>0.23323048049814099</v>
      </c>
      <c r="M39" s="145"/>
      <c r="N39" s="145" t="s">
        <v>25</v>
      </c>
      <c r="O39" s="145"/>
      <c r="P39" s="145"/>
      <c r="Q39" s="145"/>
      <c r="R39" s="145"/>
      <c r="S39" s="148" t="str" cm="1">
        <f t="array" ref="S39:S45">+$G$7:$G$13</f>
        <v>GSL</v>
      </c>
      <c r="W39" t="e">
        <f>+SUM(#REF!)</f>
        <v>#REF!</v>
      </c>
      <c r="AB39" t="s">
        <v>20</v>
      </c>
      <c r="AC39" s="13">
        <f>+AC8/AC$32</f>
        <v>0.6</v>
      </c>
      <c r="AD39" s="13">
        <f t="shared" ref="AD39:AL43" si="7">+AD8/AD$32</f>
        <v>0.55200000000000038</v>
      </c>
      <c r="AE39" s="13">
        <f t="shared" si="7"/>
        <v>0.55200000000000038</v>
      </c>
      <c r="AF39" s="13">
        <f t="shared" si="7"/>
        <v>0.55200000000000038</v>
      </c>
      <c r="AG39" s="13">
        <f t="shared" si="7"/>
        <v>0.55200000000000038</v>
      </c>
      <c r="AH39" s="13">
        <f t="shared" si="7"/>
        <v>0.55200000000000038</v>
      </c>
      <c r="AI39" s="13">
        <f t="shared" si="7"/>
        <v>0.55200000000000038</v>
      </c>
      <c r="AJ39" s="13">
        <f t="shared" si="7"/>
        <v>0.55200000000000038</v>
      </c>
      <c r="AK39" s="13">
        <f t="shared" si="7"/>
        <v>0.55200000000000038</v>
      </c>
      <c r="AL39" s="13">
        <f t="shared" si="7"/>
        <v>0.55200000000000038</v>
      </c>
    </row>
    <row r="40" spans="6:38" x14ac:dyDescent="0.25">
      <c r="F40" s="149"/>
      <c r="G40" s="150" t="s">
        <v>18</v>
      </c>
      <c r="H40" s="151" t="s">
        <v>27</v>
      </c>
      <c r="I40" s="152">
        <v>2019</v>
      </c>
      <c r="J40" s="153" t="s">
        <v>26</v>
      </c>
      <c r="K40" s="152"/>
      <c r="L40" s="154">
        <v>0.63374282698820406</v>
      </c>
      <c r="M40" s="152"/>
      <c r="N40" s="152" t="s">
        <v>25</v>
      </c>
      <c r="O40" s="152"/>
      <c r="P40" s="152"/>
      <c r="Q40" s="152"/>
      <c r="R40" s="152"/>
      <c r="S40" s="155" t="str">
        <v>DSL</v>
      </c>
      <c r="AB40" t="s">
        <v>19</v>
      </c>
      <c r="AC40" s="13">
        <f>+AC9/AC$32</f>
        <v>0.26682352941176479</v>
      </c>
      <c r="AD40" s="13">
        <f t="shared" si="7"/>
        <v>0.39869999999999955</v>
      </c>
      <c r="AE40" s="13">
        <f t="shared" si="7"/>
        <v>0.39869999999999955</v>
      </c>
      <c r="AF40" s="13">
        <f t="shared" si="7"/>
        <v>0.39869999999999955</v>
      </c>
      <c r="AG40" s="13">
        <f t="shared" si="7"/>
        <v>0.39869999999999955</v>
      </c>
      <c r="AH40" s="13">
        <f t="shared" si="7"/>
        <v>0.39869999999999955</v>
      </c>
      <c r="AI40" s="13">
        <f t="shared" si="7"/>
        <v>0.39869999999999955</v>
      </c>
      <c r="AJ40" s="13">
        <f t="shared" si="7"/>
        <v>0.39869999999999955</v>
      </c>
      <c r="AK40" s="13">
        <f t="shared" si="7"/>
        <v>0.39869999999999955</v>
      </c>
      <c r="AL40" s="13">
        <f t="shared" si="7"/>
        <v>0.39869999999999955</v>
      </c>
    </row>
    <row r="41" spans="6:38" x14ac:dyDescent="0.25">
      <c r="F41" s="149"/>
      <c r="G41" s="150" t="s">
        <v>18</v>
      </c>
      <c r="H41" s="151" t="s">
        <v>27</v>
      </c>
      <c r="I41" s="152">
        <v>2019</v>
      </c>
      <c r="J41" s="153" t="s">
        <v>26</v>
      </c>
      <c r="K41" s="152"/>
      <c r="L41" s="154">
        <v>5.7137810660259199E-2</v>
      </c>
      <c r="M41" s="152"/>
      <c r="N41" s="152" t="s">
        <v>25</v>
      </c>
      <c r="O41" s="152"/>
      <c r="P41" s="152"/>
      <c r="Q41" s="152"/>
      <c r="R41" s="152"/>
      <c r="S41" s="155" t="str">
        <v>KER</v>
      </c>
      <c r="AB41" t="s">
        <v>23</v>
      </c>
      <c r="AC41" s="13">
        <f>+AC10/AC$32</f>
        <v>1.1294117647058793E-2</v>
      </c>
      <c r="AD41" s="13">
        <f t="shared" si="7"/>
        <v>0</v>
      </c>
      <c r="AE41" s="13">
        <f t="shared" si="7"/>
        <v>0</v>
      </c>
      <c r="AF41" s="13">
        <f t="shared" si="7"/>
        <v>0</v>
      </c>
      <c r="AG41" s="13">
        <f t="shared" si="7"/>
        <v>0</v>
      </c>
      <c r="AH41" s="13">
        <f t="shared" si="7"/>
        <v>0</v>
      </c>
      <c r="AI41" s="13">
        <f t="shared" si="7"/>
        <v>0</v>
      </c>
      <c r="AJ41" s="13">
        <f t="shared" si="7"/>
        <v>0</v>
      </c>
      <c r="AK41" s="13">
        <f t="shared" si="7"/>
        <v>0</v>
      </c>
      <c r="AL41" s="13">
        <f t="shared" si="7"/>
        <v>0</v>
      </c>
    </row>
    <row r="42" spans="6:38" x14ac:dyDescent="0.25">
      <c r="F42" s="149"/>
      <c r="G42" s="150" t="s">
        <v>18</v>
      </c>
      <c r="H42" s="151" t="s">
        <v>27</v>
      </c>
      <c r="I42" s="152">
        <v>2019</v>
      </c>
      <c r="J42" s="153" t="s">
        <v>26</v>
      </c>
      <c r="K42" s="152"/>
      <c r="L42" s="154">
        <v>2.6523215703436E-2</v>
      </c>
      <c r="M42" s="152"/>
      <c r="N42" s="152" t="s">
        <v>25</v>
      </c>
      <c r="O42" s="152"/>
      <c r="P42" s="152"/>
      <c r="Q42" s="152"/>
      <c r="R42" s="152"/>
      <c r="S42" s="155" t="str">
        <v>LPG</v>
      </c>
      <c r="AB42" t="s">
        <v>21</v>
      </c>
      <c r="AC42" s="13">
        <f>+AC11/AC$32</f>
        <v>6.2588235294117681E-2</v>
      </c>
      <c r="AD42" s="13">
        <f t="shared" si="7"/>
        <v>2.2213882529521618E-2</v>
      </c>
      <c r="AE42" s="13">
        <f t="shared" si="7"/>
        <v>2.2213882529521618E-2</v>
      </c>
      <c r="AF42" s="13">
        <f t="shared" si="7"/>
        <v>2.2213882529521618E-2</v>
      </c>
      <c r="AG42" s="13">
        <f t="shared" si="7"/>
        <v>2.2213882529521618E-2</v>
      </c>
      <c r="AH42" s="13">
        <f t="shared" si="7"/>
        <v>2.2213882529521618E-2</v>
      </c>
      <c r="AI42" s="13">
        <f t="shared" si="7"/>
        <v>2.2213882529521618E-2</v>
      </c>
      <c r="AJ42" s="13">
        <f t="shared" si="7"/>
        <v>2.2213882529521618E-2</v>
      </c>
      <c r="AK42" s="13">
        <f t="shared" si="7"/>
        <v>2.2213882529521618E-2</v>
      </c>
      <c r="AL42" s="13">
        <f t="shared" si="7"/>
        <v>2.2213882529521618E-2</v>
      </c>
    </row>
    <row r="43" spans="6:38" x14ac:dyDescent="0.25">
      <c r="F43" s="149"/>
      <c r="G43" s="150" t="s">
        <v>18</v>
      </c>
      <c r="H43" s="151" t="s">
        <v>27</v>
      </c>
      <c r="I43" s="152">
        <v>2019</v>
      </c>
      <c r="J43" s="153" t="s">
        <v>26</v>
      </c>
      <c r="K43" s="152"/>
      <c r="L43" s="154">
        <v>9.0891443724778007E-3</v>
      </c>
      <c r="M43" s="152"/>
      <c r="N43" s="152" t="s">
        <v>25</v>
      </c>
      <c r="O43" s="152"/>
      <c r="P43" s="152"/>
      <c r="Q43" s="152"/>
      <c r="R43" s="152"/>
      <c r="S43" s="155" t="str">
        <v>HFO</v>
      </c>
      <c r="AB43" t="s">
        <v>22</v>
      </c>
      <c r="AC43" s="13">
        <f>+AC12/AC$32</f>
        <v>2.1176470588235265E-2</v>
      </c>
      <c r="AD43" s="13">
        <f t="shared" si="7"/>
        <v>1.8000000000000002E-2</v>
      </c>
      <c r="AE43" s="13">
        <f t="shared" si="7"/>
        <v>1.8000000000000002E-2</v>
      </c>
      <c r="AF43" s="13">
        <f t="shared" si="7"/>
        <v>1.8000000000000002E-2</v>
      </c>
      <c r="AG43" s="13">
        <f t="shared" si="7"/>
        <v>1.8000000000000002E-2</v>
      </c>
      <c r="AH43" s="13">
        <f t="shared" si="7"/>
        <v>1.8000000000000002E-2</v>
      </c>
      <c r="AI43" s="13">
        <f t="shared" si="7"/>
        <v>1.8000000000000002E-2</v>
      </c>
      <c r="AJ43" s="13">
        <f t="shared" si="7"/>
        <v>1.8000000000000002E-2</v>
      </c>
      <c r="AK43" s="13">
        <f t="shared" si="7"/>
        <v>1.8000000000000002E-2</v>
      </c>
      <c r="AL43" s="13">
        <f t="shared" si="7"/>
        <v>1.8000000000000002E-2</v>
      </c>
    </row>
    <row r="44" spans="6:38" x14ac:dyDescent="0.25">
      <c r="F44" s="149"/>
      <c r="G44" s="150" t="s">
        <v>18</v>
      </c>
      <c r="H44" s="151" t="s">
        <v>27</v>
      </c>
      <c r="I44" s="152">
        <v>2019</v>
      </c>
      <c r="J44" s="153" t="s">
        <v>26</v>
      </c>
      <c r="K44" s="152"/>
      <c r="L44" s="154">
        <v>0.5</v>
      </c>
      <c r="M44" s="152"/>
      <c r="N44" s="152" t="s">
        <v>25</v>
      </c>
      <c r="O44" s="152"/>
      <c r="P44" s="152"/>
      <c r="Q44" s="152"/>
      <c r="R44" s="152"/>
      <c r="S44" s="155" t="str">
        <v>RFG1</v>
      </c>
      <c r="AB44" t="s">
        <v>24</v>
      </c>
      <c r="AC44" s="13">
        <f t="shared" ref="AC44:AL44" si="8">+AC14/AC$32</f>
        <v>3.8117647058823492E-2</v>
      </c>
      <c r="AD44" s="13">
        <f t="shared" si="8"/>
        <v>9.0861174704782843E-3</v>
      </c>
      <c r="AE44" s="13">
        <f t="shared" si="8"/>
        <v>9.0861174704782843E-3</v>
      </c>
      <c r="AF44" s="13">
        <f t="shared" si="8"/>
        <v>9.0861174704782843E-3</v>
      </c>
      <c r="AG44" s="13">
        <f t="shared" si="8"/>
        <v>9.0861174704782843E-3</v>
      </c>
      <c r="AH44" s="13">
        <f t="shared" si="8"/>
        <v>9.0861174704782843E-3</v>
      </c>
      <c r="AI44" s="13">
        <f t="shared" si="8"/>
        <v>9.0861174704782843E-3</v>
      </c>
      <c r="AJ44" s="13">
        <f t="shared" si="8"/>
        <v>9.0861174704782843E-3</v>
      </c>
      <c r="AK44" s="13">
        <f t="shared" si="8"/>
        <v>9.0861174704782843E-3</v>
      </c>
      <c r="AL44" s="13">
        <f t="shared" si="8"/>
        <v>9.0861174704782843E-3</v>
      </c>
    </row>
    <row r="45" spans="6:38" x14ac:dyDescent="0.25">
      <c r="F45" s="149"/>
      <c r="G45" s="150" t="s">
        <v>18</v>
      </c>
      <c r="H45" s="151" t="s">
        <v>27</v>
      </c>
      <c r="I45" s="152">
        <v>2019</v>
      </c>
      <c r="J45" s="153" t="s">
        <v>26</v>
      </c>
      <c r="K45" s="152"/>
      <c r="L45" s="154">
        <v>0</v>
      </c>
      <c r="M45" s="152"/>
      <c r="N45" s="152" t="s">
        <v>25</v>
      </c>
      <c r="O45" s="152"/>
      <c r="P45" s="152"/>
      <c r="Q45" s="152"/>
      <c r="R45" s="152"/>
      <c r="S45" s="155" t="str">
        <v>AVG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</row>
    <row r="46" spans="6:38" s="5" customFormat="1" x14ac:dyDescent="0.25">
      <c r="F46" s="132"/>
      <c r="G46" s="140" t="s">
        <v>18</v>
      </c>
      <c r="H46" s="133" t="s">
        <v>27</v>
      </c>
      <c r="I46" s="5">
        <v>2020</v>
      </c>
      <c r="J46" s="117" t="s">
        <v>26</v>
      </c>
      <c r="L46" s="147" cm="1">
        <f t="array" ref="L46:L52">+IF(I46&lt;$G$34,$H$7:$H$13,$H$24:$H$30)</f>
        <v>0.23323048049814099</v>
      </c>
      <c r="N46" s="5" t="s">
        <v>25</v>
      </c>
      <c r="S46" s="134" t="str" cm="1">
        <f t="array" ref="S46:S52">+$G$7:$G$13</f>
        <v>GSL</v>
      </c>
      <c r="W46" s="14" t="e">
        <f>+SUM(#REF!)</f>
        <v>#REF!</v>
      </c>
      <c r="AC46" s="14">
        <f t="shared" ref="AC46:AL46" si="9">+AC32/AC$32</f>
        <v>1</v>
      </c>
      <c r="AD46" s="14">
        <f t="shared" si="9"/>
        <v>1</v>
      </c>
      <c r="AE46" s="14">
        <f t="shared" si="9"/>
        <v>1</v>
      </c>
      <c r="AF46" s="14">
        <f t="shared" si="9"/>
        <v>1</v>
      </c>
      <c r="AG46" s="14">
        <f t="shared" si="9"/>
        <v>1</v>
      </c>
      <c r="AH46" s="14">
        <f t="shared" si="9"/>
        <v>1</v>
      </c>
      <c r="AI46" s="14">
        <f t="shared" si="9"/>
        <v>1</v>
      </c>
      <c r="AJ46" s="14">
        <f t="shared" si="9"/>
        <v>1</v>
      </c>
      <c r="AK46" s="14">
        <f t="shared" si="9"/>
        <v>1</v>
      </c>
      <c r="AL46" s="14">
        <f t="shared" si="9"/>
        <v>1</v>
      </c>
    </row>
    <row r="47" spans="6:38" x14ac:dyDescent="0.25">
      <c r="F47" s="135"/>
      <c r="G47" s="23" t="s">
        <v>18</v>
      </c>
      <c r="H47" s="136" t="s">
        <v>27</v>
      </c>
      <c r="I47">
        <v>2020</v>
      </c>
      <c r="J47" s="100" t="s">
        <v>26</v>
      </c>
      <c r="L47" s="7">
        <v>0.63374282698820406</v>
      </c>
      <c r="N47" t="s">
        <v>25</v>
      </c>
      <c r="S47" s="29" t="str">
        <v>DSL</v>
      </c>
    </row>
    <row r="48" spans="6:38" x14ac:dyDescent="0.25">
      <c r="F48" s="135"/>
      <c r="G48" s="23" t="s">
        <v>18</v>
      </c>
      <c r="H48" s="136" t="s">
        <v>27</v>
      </c>
      <c r="I48">
        <v>2020</v>
      </c>
      <c r="J48" s="100" t="s">
        <v>26</v>
      </c>
      <c r="L48" s="7">
        <v>0.12379999999999999</v>
      </c>
      <c r="N48" t="s">
        <v>25</v>
      </c>
      <c r="S48" s="29" t="str">
        <v>KER</v>
      </c>
    </row>
    <row r="49" spans="6:39" x14ac:dyDescent="0.25">
      <c r="F49" s="135"/>
      <c r="G49" s="23" t="s">
        <v>18</v>
      </c>
      <c r="H49" s="136" t="s">
        <v>27</v>
      </c>
      <c r="I49">
        <v>2020</v>
      </c>
      <c r="J49" s="100" t="s">
        <v>26</v>
      </c>
      <c r="L49" s="7">
        <v>1.7999999999999999E-2</v>
      </c>
      <c r="N49" t="s">
        <v>25</v>
      </c>
      <c r="S49" s="29" t="str">
        <v>LPG</v>
      </c>
    </row>
    <row r="50" spans="6:39" x14ac:dyDescent="0.25">
      <c r="F50" s="135"/>
      <c r="G50" s="23" t="s">
        <v>18</v>
      </c>
      <c r="H50" s="136" t="s">
        <v>27</v>
      </c>
      <c r="I50">
        <v>2020</v>
      </c>
      <c r="J50" s="100" t="s">
        <v>26</v>
      </c>
      <c r="L50" s="7">
        <v>9.9000000000000005E-2</v>
      </c>
      <c r="N50" t="s">
        <v>25</v>
      </c>
      <c r="S50" s="29" t="str">
        <v>HFO</v>
      </c>
      <c r="AB50" t="s">
        <v>32</v>
      </c>
      <c r="AC50" t="s">
        <v>40</v>
      </c>
    </row>
    <row r="51" spans="6:39" x14ac:dyDescent="0.25">
      <c r="F51" s="135"/>
      <c r="G51" s="23" t="s">
        <v>18</v>
      </c>
      <c r="H51" s="136" t="s">
        <v>27</v>
      </c>
      <c r="I51">
        <v>2020</v>
      </c>
      <c r="J51" s="100" t="s">
        <v>26</v>
      </c>
      <c r="L51" s="7">
        <v>4.0300000000000002E-2</v>
      </c>
      <c r="N51" t="s">
        <v>25</v>
      </c>
      <c r="S51" s="29" t="str">
        <v>RFG1</v>
      </c>
      <c r="AB51" t="s">
        <v>3</v>
      </c>
      <c r="AC51" t="s">
        <v>34</v>
      </c>
      <c r="AD51">
        <v>2019</v>
      </c>
      <c r="AE51">
        <v>2020</v>
      </c>
      <c r="AF51">
        <v>2023</v>
      </c>
      <c r="AG51">
        <v>2025</v>
      </c>
      <c r="AH51">
        <v>2027</v>
      </c>
      <c r="AI51">
        <v>2030</v>
      </c>
      <c r="AJ51">
        <v>2033</v>
      </c>
      <c r="AK51">
        <v>2035</v>
      </c>
      <c r="AL51">
        <v>2037</v>
      </c>
      <c r="AM51">
        <v>2040</v>
      </c>
    </row>
    <row r="52" spans="6:39" x14ac:dyDescent="0.25">
      <c r="F52" s="135"/>
      <c r="G52" s="23" t="s">
        <v>18</v>
      </c>
      <c r="H52" s="136" t="s">
        <v>27</v>
      </c>
      <c r="I52">
        <v>2020</v>
      </c>
      <c r="J52" s="100" t="s">
        <v>26</v>
      </c>
      <c r="L52" s="7">
        <v>1E-3</v>
      </c>
      <c r="N52" t="s">
        <v>25</v>
      </c>
      <c r="S52" s="29" t="str">
        <v>AVG</v>
      </c>
    </row>
    <row r="53" spans="6:39" ht="14.25" customHeight="1" x14ac:dyDescent="0.25">
      <c r="F53" s="149"/>
      <c r="G53" s="150" t="s">
        <v>18</v>
      </c>
      <c r="H53" s="151" t="s">
        <v>27</v>
      </c>
      <c r="I53" s="152">
        <v>2025</v>
      </c>
      <c r="J53" s="153" t="s">
        <v>26</v>
      </c>
      <c r="K53" s="152"/>
      <c r="L53" s="147" cm="1">
        <f t="array" ref="L53:L59">+IF(I53&lt;$G$34,$H$7:$H$13,$H$24:$H$30)</f>
        <v>0.23323048049814099</v>
      </c>
      <c r="M53" s="152"/>
      <c r="N53" s="152" t="s">
        <v>25</v>
      </c>
      <c r="O53" s="152"/>
      <c r="P53" s="152"/>
      <c r="Q53" s="152"/>
      <c r="R53" s="152"/>
      <c r="S53" s="155" t="str" cm="1">
        <f t="array" ref="S53:S59">+$G$7:$G$13</f>
        <v>GSL</v>
      </c>
      <c r="W53" t="e">
        <f>+SUM(#REF!)</f>
        <v>#REF!</v>
      </c>
      <c r="AB53" t="s">
        <v>35</v>
      </c>
      <c r="AC53" t="s">
        <v>38</v>
      </c>
      <c r="AE53">
        <v>0.42436734709489898</v>
      </c>
      <c r="AF53">
        <v>0.42436734709489898</v>
      </c>
      <c r="AG53">
        <v>0.42436734709489898</v>
      </c>
      <c r="AH53">
        <v>0.42436734709489898</v>
      </c>
      <c r="AI53">
        <v>0.42436734709489898</v>
      </c>
      <c r="AJ53">
        <v>0.42436734709489898</v>
      </c>
      <c r="AK53">
        <v>0.42436734709489898</v>
      </c>
      <c r="AL53">
        <v>0.42436734709489898</v>
      </c>
      <c r="AM53">
        <v>0.42436734709489898</v>
      </c>
    </row>
    <row r="54" spans="6:39" x14ac:dyDescent="0.25">
      <c r="F54" s="149"/>
      <c r="G54" s="150" t="s">
        <v>18</v>
      </c>
      <c r="H54" s="151" t="s">
        <v>27</v>
      </c>
      <c r="I54" s="152">
        <v>2025</v>
      </c>
      <c r="J54" s="153" t="s">
        <v>26</v>
      </c>
      <c r="K54" s="152"/>
      <c r="L54" s="154">
        <v>0.63374282698820406</v>
      </c>
      <c r="M54" s="152"/>
      <c r="N54" s="152" t="s">
        <v>25</v>
      </c>
      <c r="O54" s="152"/>
      <c r="P54" s="152"/>
      <c r="Q54" s="152"/>
      <c r="R54" s="152"/>
      <c r="S54" s="155" t="str">
        <v>DSL</v>
      </c>
      <c r="AB54" t="s">
        <v>35</v>
      </c>
      <c r="AC54" t="s">
        <v>20</v>
      </c>
      <c r="AD54">
        <v>140.72430359032401</v>
      </c>
      <c r="AE54">
        <v>145.30337964529301</v>
      </c>
      <c r="AF54">
        <v>145.30337964529301</v>
      </c>
      <c r="AG54">
        <v>145.30337964529301</v>
      </c>
      <c r="AH54">
        <v>145.30337964529301</v>
      </c>
      <c r="AI54">
        <v>139.640813928802</v>
      </c>
      <c r="AJ54">
        <v>145.30337964529301</v>
      </c>
      <c r="AK54">
        <v>145.30337964529301</v>
      </c>
      <c r="AL54">
        <v>139.640813928802</v>
      </c>
      <c r="AM54">
        <v>139.640813928802</v>
      </c>
    </row>
    <row r="55" spans="6:39" x14ac:dyDescent="0.25">
      <c r="F55" s="149"/>
      <c r="G55" s="150" t="s">
        <v>18</v>
      </c>
      <c r="H55" s="151" t="s">
        <v>27</v>
      </c>
      <c r="I55" s="152">
        <v>2025</v>
      </c>
      <c r="J55" s="153" t="s">
        <v>26</v>
      </c>
      <c r="K55" s="152"/>
      <c r="L55" s="154">
        <v>0.12379999999999999</v>
      </c>
      <c r="M55" s="152"/>
      <c r="N55" s="152" t="s">
        <v>25</v>
      </c>
      <c r="O55" s="152"/>
      <c r="P55" s="152"/>
      <c r="Q55" s="152"/>
      <c r="R55" s="152"/>
      <c r="S55" s="155" t="str">
        <v>KER</v>
      </c>
      <c r="AB55" t="s">
        <v>35</v>
      </c>
      <c r="AC55" t="s">
        <v>19</v>
      </c>
      <c r="AD55">
        <v>112.52468633389699</v>
      </c>
      <c r="AE55">
        <v>136.39424139489901</v>
      </c>
      <c r="AF55">
        <v>136.39424139489901</v>
      </c>
      <c r="AG55">
        <v>136.39424139489901</v>
      </c>
      <c r="AH55">
        <v>136.39424139489901</v>
      </c>
      <c r="AI55">
        <v>136.39424139489901</v>
      </c>
      <c r="AJ55">
        <v>136.39424139489901</v>
      </c>
      <c r="AK55">
        <v>136.39424139489901</v>
      </c>
      <c r="AL55">
        <v>136.39424139489901</v>
      </c>
      <c r="AM55">
        <v>136.39424139489901</v>
      </c>
    </row>
    <row r="56" spans="6:39" x14ac:dyDescent="0.25">
      <c r="F56" s="149"/>
      <c r="G56" s="150" t="s">
        <v>18</v>
      </c>
      <c r="H56" s="151" t="s">
        <v>27</v>
      </c>
      <c r="I56" s="152">
        <v>2025</v>
      </c>
      <c r="J56" s="153" t="s">
        <v>26</v>
      </c>
      <c r="K56" s="152"/>
      <c r="L56" s="154">
        <v>1.7999999999999999E-2</v>
      </c>
      <c r="M56" s="152"/>
      <c r="N56" s="152" t="s">
        <v>25</v>
      </c>
      <c r="O56" s="152"/>
      <c r="P56" s="152"/>
      <c r="Q56" s="152"/>
      <c r="R56" s="152"/>
      <c r="S56" s="155" t="str">
        <v>LPG</v>
      </c>
      <c r="AB56" t="s">
        <v>35</v>
      </c>
      <c r="AC56" t="s">
        <v>23</v>
      </c>
      <c r="AD56">
        <v>71.867956600117097</v>
      </c>
      <c r="AE56">
        <v>67.0373098205812</v>
      </c>
      <c r="AF56">
        <v>67.0373098205812</v>
      </c>
      <c r="AG56">
        <v>67.0373098205812</v>
      </c>
      <c r="AH56">
        <v>67.0373098205812</v>
      </c>
      <c r="AI56">
        <v>67.0373098205812</v>
      </c>
      <c r="AJ56">
        <v>67.0373098205812</v>
      </c>
      <c r="AK56">
        <v>67.0373098205812</v>
      </c>
      <c r="AL56">
        <v>67.0373098205812</v>
      </c>
      <c r="AM56">
        <v>67.0373098205812</v>
      </c>
    </row>
    <row r="57" spans="6:39" x14ac:dyDescent="0.25">
      <c r="F57" s="149"/>
      <c r="G57" s="150" t="s">
        <v>18</v>
      </c>
      <c r="H57" s="151" t="s">
        <v>27</v>
      </c>
      <c r="I57" s="152">
        <v>2025</v>
      </c>
      <c r="J57" s="153" t="s">
        <v>26</v>
      </c>
      <c r="K57" s="152"/>
      <c r="L57" s="154">
        <v>9.9000000000000005E-2</v>
      </c>
      <c r="M57" s="152"/>
      <c r="N57" s="152" t="s">
        <v>25</v>
      </c>
      <c r="O57" s="152"/>
      <c r="P57" s="152"/>
      <c r="Q57" s="152"/>
      <c r="R57" s="152"/>
      <c r="S57" s="155" t="str">
        <v>HFO</v>
      </c>
      <c r="AB57" t="s">
        <v>35</v>
      </c>
      <c r="AC57" t="s">
        <v>21</v>
      </c>
      <c r="AD57">
        <v>32.671401222656399</v>
      </c>
      <c r="AE57">
        <v>33.781329895248703</v>
      </c>
      <c r="AF57">
        <v>33.781329895248703</v>
      </c>
      <c r="AG57">
        <v>33.781329895248703</v>
      </c>
      <c r="AH57">
        <v>33.781329895248703</v>
      </c>
      <c r="AI57">
        <v>33.781329895248703</v>
      </c>
      <c r="AJ57">
        <v>33.781329895248703</v>
      </c>
      <c r="AK57">
        <v>33.781329895248703</v>
      </c>
      <c r="AL57">
        <v>33.781329895248703</v>
      </c>
      <c r="AM57">
        <v>33.781329895248703</v>
      </c>
    </row>
    <row r="58" spans="6:39" x14ac:dyDescent="0.25">
      <c r="F58" s="149"/>
      <c r="G58" s="150" t="s">
        <v>18</v>
      </c>
      <c r="H58" s="151" t="s">
        <v>27</v>
      </c>
      <c r="I58" s="152">
        <v>2025</v>
      </c>
      <c r="J58" s="153" t="s">
        <v>26</v>
      </c>
      <c r="K58" s="152"/>
      <c r="L58" s="154">
        <v>4.0300000000000002E-2</v>
      </c>
      <c r="M58" s="152"/>
      <c r="N58" s="152" t="s">
        <v>25</v>
      </c>
      <c r="O58" s="152"/>
      <c r="P58" s="152"/>
      <c r="Q58" s="152"/>
      <c r="R58" s="152"/>
      <c r="S58" s="155" t="str">
        <v>RFG1</v>
      </c>
      <c r="AB58" t="s">
        <v>35</v>
      </c>
      <c r="AC58" t="s">
        <v>22</v>
      </c>
      <c r="AE58">
        <v>23.602399197806101</v>
      </c>
      <c r="AF58">
        <v>23.602399197806101</v>
      </c>
      <c r="AG58">
        <v>23.602399197806101</v>
      </c>
      <c r="AH58">
        <v>23.602399197806101</v>
      </c>
      <c r="AI58">
        <v>29.264964914297501</v>
      </c>
      <c r="AJ58">
        <v>23.602399197806101</v>
      </c>
      <c r="AK58">
        <v>23.602399197806101</v>
      </c>
      <c r="AL58">
        <v>29.264964914297501</v>
      </c>
      <c r="AM58">
        <v>29.264964914297501</v>
      </c>
    </row>
    <row r="59" spans="6:39" x14ac:dyDescent="0.25">
      <c r="F59" s="149"/>
      <c r="G59" s="150" t="s">
        <v>18</v>
      </c>
      <c r="H59" s="151" t="s">
        <v>27</v>
      </c>
      <c r="I59" s="152">
        <v>2025</v>
      </c>
      <c r="J59" s="153" t="s">
        <v>26</v>
      </c>
      <c r="K59" s="152"/>
      <c r="L59" s="154">
        <v>1E-3</v>
      </c>
      <c r="M59" s="152"/>
      <c r="N59" s="152" t="s">
        <v>25</v>
      </c>
      <c r="O59" s="152"/>
      <c r="P59" s="152"/>
      <c r="Q59" s="152"/>
      <c r="R59" s="152"/>
      <c r="S59" s="155" t="str">
        <v>AVG</v>
      </c>
      <c r="AB59" t="s">
        <v>35</v>
      </c>
      <c r="AC59" t="s">
        <v>39</v>
      </c>
      <c r="AD59">
        <v>13.2784605527835</v>
      </c>
      <c r="AE59">
        <v>17.824319793975398</v>
      </c>
      <c r="AF59">
        <v>17.824319793975398</v>
      </c>
      <c r="AG59">
        <v>17.824319793975398</v>
      </c>
      <c r="AH59">
        <v>17.824319793975398</v>
      </c>
      <c r="AI59">
        <v>17.824319793975398</v>
      </c>
      <c r="AJ59">
        <v>17.824319793975398</v>
      </c>
      <c r="AK59">
        <v>17.824319793975398</v>
      </c>
      <c r="AL59">
        <v>17.824319793975398</v>
      </c>
      <c r="AM59">
        <v>17.824319793975398</v>
      </c>
    </row>
    <row r="60" spans="6:39" s="5" customFormat="1" x14ac:dyDescent="0.25">
      <c r="F60" s="132"/>
      <c r="G60" s="140" t="s">
        <v>18</v>
      </c>
      <c r="H60" s="133" t="s">
        <v>27</v>
      </c>
      <c r="I60" s="5">
        <v>2030</v>
      </c>
      <c r="J60" s="117" t="s">
        <v>26</v>
      </c>
      <c r="L60" s="147" cm="1">
        <f t="array" ref="L60:L66">+IF(I60&lt;$G$34,$H$7:$H$13,$H$24:$H$30)</f>
        <v>0.23323048049814099</v>
      </c>
      <c r="N60" s="5" t="s">
        <v>25</v>
      </c>
      <c r="S60" s="134" t="str" cm="1">
        <f t="array" ref="S60:S66">+$G$7:$G$13</f>
        <v>GSL</v>
      </c>
      <c r="W60" s="5" t="e">
        <f>+SUM(#REF!)</f>
        <v>#REF!</v>
      </c>
    </row>
    <row r="61" spans="6:39" x14ac:dyDescent="0.25">
      <c r="F61" s="135"/>
      <c r="G61" s="23" t="s">
        <v>18</v>
      </c>
      <c r="H61" s="136" t="s">
        <v>27</v>
      </c>
      <c r="I61">
        <v>2030</v>
      </c>
      <c r="J61" s="100" t="s">
        <v>26</v>
      </c>
      <c r="L61" s="7">
        <v>0.63374282698820406</v>
      </c>
      <c r="N61" t="s">
        <v>25</v>
      </c>
      <c r="S61" s="29" t="str">
        <v>DSL</v>
      </c>
      <c r="AD61">
        <f t="shared" ref="AD61:AM61" si="10">+SUM(AD53:AD59)</f>
        <v>371.06680829977802</v>
      </c>
      <c r="AE61">
        <f t="shared" si="10"/>
        <v>424.36734709489832</v>
      </c>
      <c r="AF61">
        <f t="shared" si="10"/>
        <v>424.36734709489832</v>
      </c>
      <c r="AG61">
        <f t="shared" si="10"/>
        <v>424.36734709489832</v>
      </c>
      <c r="AH61">
        <f t="shared" si="10"/>
        <v>424.36734709489832</v>
      </c>
      <c r="AI61">
        <f t="shared" si="10"/>
        <v>424.36734709489866</v>
      </c>
      <c r="AJ61">
        <f t="shared" si="10"/>
        <v>424.36734709489832</v>
      </c>
      <c r="AK61">
        <f t="shared" si="10"/>
        <v>424.36734709489832</v>
      </c>
      <c r="AL61">
        <f t="shared" si="10"/>
        <v>424.36734709489866</v>
      </c>
      <c r="AM61">
        <f t="shared" si="10"/>
        <v>424.36734709489866</v>
      </c>
    </row>
    <row r="62" spans="6:39" x14ac:dyDescent="0.25">
      <c r="F62" s="135"/>
      <c r="G62" s="23" t="s">
        <v>18</v>
      </c>
      <c r="H62" s="136" t="s">
        <v>27</v>
      </c>
      <c r="I62">
        <v>2030</v>
      </c>
      <c r="J62" s="100" t="s">
        <v>26</v>
      </c>
      <c r="L62" s="7">
        <v>0.12379999999999999</v>
      </c>
      <c r="N62" t="s">
        <v>25</v>
      </c>
      <c r="S62" s="29" t="str">
        <v>KER</v>
      </c>
    </row>
    <row r="63" spans="6:39" x14ac:dyDescent="0.25">
      <c r="F63" s="135"/>
      <c r="G63" s="23" t="s">
        <v>18</v>
      </c>
      <c r="H63" s="136" t="s">
        <v>27</v>
      </c>
      <c r="I63">
        <v>2030</v>
      </c>
      <c r="J63" s="100" t="s">
        <v>26</v>
      </c>
      <c r="L63" s="7">
        <v>1.7999999999999999E-2</v>
      </c>
      <c r="N63" t="s">
        <v>25</v>
      </c>
      <c r="S63" s="29" t="str">
        <v>LPG</v>
      </c>
    </row>
    <row r="64" spans="6:39" x14ac:dyDescent="0.25">
      <c r="F64" s="135"/>
      <c r="G64" s="23" t="s">
        <v>18</v>
      </c>
      <c r="H64" s="136" t="s">
        <v>27</v>
      </c>
      <c r="I64">
        <v>2030</v>
      </c>
      <c r="J64" s="100" t="s">
        <v>26</v>
      </c>
      <c r="L64" s="7">
        <v>9.9000000000000005E-2</v>
      </c>
      <c r="N64" t="s">
        <v>25</v>
      </c>
      <c r="S64" s="29" t="str">
        <v>HFO</v>
      </c>
    </row>
    <row r="65" spans="6:39" x14ac:dyDescent="0.25">
      <c r="F65" s="135"/>
      <c r="G65" s="23" t="s">
        <v>18</v>
      </c>
      <c r="H65" s="136" t="s">
        <v>27</v>
      </c>
      <c r="I65">
        <v>2030</v>
      </c>
      <c r="J65" s="100" t="s">
        <v>26</v>
      </c>
      <c r="L65" s="7">
        <v>4.0300000000000002E-2</v>
      </c>
      <c r="N65" t="s">
        <v>25</v>
      </c>
      <c r="S65" s="29" t="str">
        <v>RFG1</v>
      </c>
      <c r="AB65" t="s">
        <v>35</v>
      </c>
      <c r="AC65" t="s">
        <v>38</v>
      </c>
      <c r="AD65" s="16">
        <f>+AD53/AD$61</f>
        <v>0</v>
      </c>
      <c r="AE65" s="16">
        <f t="shared" ref="AE65:AM65" si="11">+AE53/AE$61</f>
        <v>1.0000000000000015E-3</v>
      </c>
      <c r="AF65" s="16">
        <f t="shared" si="11"/>
        <v>1.0000000000000015E-3</v>
      </c>
      <c r="AG65" s="16">
        <f t="shared" si="11"/>
        <v>1.0000000000000015E-3</v>
      </c>
      <c r="AH65" s="16">
        <f t="shared" si="11"/>
        <v>1.0000000000000015E-3</v>
      </c>
      <c r="AI65" s="16">
        <f t="shared" si="11"/>
        <v>1.0000000000000007E-3</v>
      </c>
      <c r="AJ65" s="16">
        <f t="shared" si="11"/>
        <v>1.0000000000000015E-3</v>
      </c>
      <c r="AK65" s="16">
        <f t="shared" si="11"/>
        <v>1.0000000000000015E-3</v>
      </c>
      <c r="AL65" s="16">
        <f t="shared" si="11"/>
        <v>1.0000000000000007E-3</v>
      </c>
      <c r="AM65" s="16">
        <f t="shared" si="11"/>
        <v>1.0000000000000007E-3</v>
      </c>
    </row>
    <row r="66" spans="6:39" x14ac:dyDescent="0.25">
      <c r="F66" s="135"/>
      <c r="G66" s="23" t="s">
        <v>18</v>
      </c>
      <c r="H66" s="136" t="s">
        <v>27</v>
      </c>
      <c r="I66">
        <v>2030</v>
      </c>
      <c r="J66" s="100" t="s">
        <v>26</v>
      </c>
      <c r="L66" s="7">
        <v>1E-3</v>
      </c>
      <c r="N66" t="s">
        <v>25</v>
      </c>
      <c r="S66" s="29" t="str">
        <v>AVG</v>
      </c>
      <c r="AB66" t="s">
        <v>35</v>
      </c>
      <c r="AC66" t="s">
        <v>20</v>
      </c>
      <c r="AD66" s="16">
        <f t="shared" ref="AD66:AM72" si="12">+AD54/AD$61</f>
        <v>0.37924249877029004</v>
      </c>
      <c r="AE66" s="16">
        <f t="shared" si="12"/>
        <v>0.34239999999999959</v>
      </c>
      <c r="AF66" s="16">
        <f t="shared" si="12"/>
        <v>0.34239999999999959</v>
      </c>
      <c r="AG66" s="16">
        <f t="shared" si="12"/>
        <v>0.34239999999999959</v>
      </c>
      <c r="AH66" s="16">
        <f t="shared" si="12"/>
        <v>0.34239999999999959</v>
      </c>
      <c r="AI66" s="16">
        <f t="shared" si="12"/>
        <v>0.3290564528226414</v>
      </c>
      <c r="AJ66" s="16">
        <f t="shared" si="12"/>
        <v>0.34239999999999959</v>
      </c>
      <c r="AK66" s="16">
        <f t="shared" si="12"/>
        <v>0.34239999999999959</v>
      </c>
      <c r="AL66" s="16">
        <f t="shared" si="12"/>
        <v>0.3290564528226414</v>
      </c>
      <c r="AM66" s="16">
        <f t="shared" si="12"/>
        <v>0.3290564528226414</v>
      </c>
    </row>
    <row r="67" spans="6:39" x14ac:dyDescent="0.25">
      <c r="F67" s="149"/>
      <c r="G67" s="150" t="s">
        <v>18</v>
      </c>
      <c r="H67" s="151" t="s">
        <v>27</v>
      </c>
      <c r="I67" s="152">
        <v>2035</v>
      </c>
      <c r="J67" s="153" t="s">
        <v>26</v>
      </c>
      <c r="K67" s="152"/>
      <c r="L67" s="147" cm="1">
        <f t="array" ref="L67:L73">+IF(I67&lt;$G$34,$H$7:$H$13,$H$24:$H$30)</f>
        <v>0.23323048049814099</v>
      </c>
      <c r="M67" s="152"/>
      <c r="N67" s="152" t="s">
        <v>25</v>
      </c>
      <c r="O67" s="152"/>
      <c r="P67" s="152"/>
      <c r="Q67" s="152"/>
      <c r="R67" s="152"/>
      <c r="S67" s="155" t="str" cm="1">
        <f t="array" ref="S67:S73">+$G$7:$G$13</f>
        <v>GSL</v>
      </c>
      <c r="W67" t="e">
        <f>+SUM(#REF!)</f>
        <v>#REF!</v>
      </c>
      <c r="AB67" t="s">
        <v>35</v>
      </c>
      <c r="AC67" t="s">
        <v>19</v>
      </c>
      <c r="AD67" s="16">
        <f t="shared" si="12"/>
        <v>0.30324643384161265</v>
      </c>
      <c r="AE67" s="16">
        <f t="shared" si="12"/>
        <v>0.32140607030351492</v>
      </c>
      <c r="AF67" s="16">
        <f t="shared" si="12"/>
        <v>0.32140607030351492</v>
      </c>
      <c r="AG67" s="16">
        <f t="shared" si="12"/>
        <v>0.32140607030351492</v>
      </c>
      <c r="AH67" s="16">
        <f t="shared" si="12"/>
        <v>0.32140607030351492</v>
      </c>
      <c r="AI67" s="16">
        <f t="shared" si="12"/>
        <v>0.32140607030351465</v>
      </c>
      <c r="AJ67" s="16">
        <f t="shared" si="12"/>
        <v>0.32140607030351492</v>
      </c>
      <c r="AK67" s="16">
        <f t="shared" si="12"/>
        <v>0.32140607030351492</v>
      </c>
      <c r="AL67" s="16">
        <f t="shared" si="12"/>
        <v>0.32140607030351465</v>
      </c>
      <c r="AM67" s="16">
        <f t="shared" si="12"/>
        <v>0.32140607030351465</v>
      </c>
    </row>
    <row r="68" spans="6:39" x14ac:dyDescent="0.25">
      <c r="F68" s="149"/>
      <c r="G68" s="150" t="s">
        <v>18</v>
      </c>
      <c r="H68" s="151" t="s">
        <v>27</v>
      </c>
      <c r="I68" s="152">
        <v>2035</v>
      </c>
      <c r="J68" s="153" t="s">
        <v>26</v>
      </c>
      <c r="K68" s="152"/>
      <c r="L68" s="154">
        <v>0.63374282698820406</v>
      </c>
      <c r="M68" s="152"/>
      <c r="N68" s="152" t="s">
        <v>25</v>
      </c>
      <c r="O68" s="152"/>
      <c r="P68" s="152"/>
      <c r="Q68" s="152"/>
      <c r="R68" s="152"/>
      <c r="S68" s="155" t="str">
        <v>DSL</v>
      </c>
      <c r="AB68" t="s">
        <v>35</v>
      </c>
      <c r="AC68" t="s">
        <v>23</v>
      </c>
      <c r="AD68" s="16">
        <f t="shared" si="12"/>
        <v>0.19367929168716244</v>
      </c>
      <c r="AE68" s="16">
        <f t="shared" si="12"/>
        <v>0.15797000000000028</v>
      </c>
      <c r="AF68" s="16">
        <f t="shared" si="12"/>
        <v>0.15797000000000028</v>
      </c>
      <c r="AG68" s="16">
        <f t="shared" si="12"/>
        <v>0.15797000000000028</v>
      </c>
      <c r="AH68" s="16">
        <f t="shared" si="12"/>
        <v>0.15797000000000028</v>
      </c>
      <c r="AI68" s="16">
        <f t="shared" si="12"/>
        <v>0.15797000000000014</v>
      </c>
      <c r="AJ68" s="16">
        <f t="shared" si="12"/>
        <v>0.15797000000000028</v>
      </c>
      <c r="AK68" s="16">
        <f t="shared" si="12"/>
        <v>0.15797000000000028</v>
      </c>
      <c r="AL68" s="16">
        <f t="shared" si="12"/>
        <v>0.15797000000000014</v>
      </c>
      <c r="AM68" s="16">
        <f t="shared" si="12"/>
        <v>0.15797000000000014</v>
      </c>
    </row>
    <row r="69" spans="6:39" x14ac:dyDescent="0.25">
      <c r="F69" s="149"/>
      <c r="G69" s="150" t="s">
        <v>18</v>
      </c>
      <c r="H69" s="151" t="s">
        <v>27</v>
      </c>
      <c r="I69" s="152">
        <v>2035</v>
      </c>
      <c r="J69" s="153" t="s">
        <v>26</v>
      </c>
      <c r="K69" s="152"/>
      <c r="L69" s="154">
        <v>0.12379999999999999</v>
      </c>
      <c r="M69" s="152"/>
      <c r="N69" s="152" t="s">
        <v>25</v>
      </c>
      <c r="O69" s="152"/>
      <c r="P69" s="152"/>
      <c r="Q69" s="152"/>
      <c r="R69" s="152"/>
      <c r="S69" s="155" t="str">
        <v>KER</v>
      </c>
      <c r="AB69" t="s">
        <v>35</v>
      </c>
      <c r="AC69" t="s">
        <v>21</v>
      </c>
      <c r="AD69" s="16">
        <f t="shared" si="12"/>
        <v>8.8047220855878267E-2</v>
      </c>
      <c r="AE69" s="16">
        <f t="shared" si="12"/>
        <v>7.9603980199010035E-2</v>
      </c>
      <c r="AF69" s="16">
        <f t="shared" si="12"/>
        <v>7.9603980199010035E-2</v>
      </c>
      <c r="AG69" s="16">
        <f t="shared" si="12"/>
        <v>7.9603980199010035E-2</v>
      </c>
      <c r="AH69" s="16">
        <f t="shared" si="12"/>
        <v>7.9603980199010035E-2</v>
      </c>
      <c r="AI69" s="16">
        <f t="shared" si="12"/>
        <v>7.9603980199009966E-2</v>
      </c>
      <c r="AJ69" s="16">
        <f t="shared" si="12"/>
        <v>7.9603980199010035E-2</v>
      </c>
      <c r="AK69" s="16">
        <f t="shared" si="12"/>
        <v>7.9603980199010035E-2</v>
      </c>
      <c r="AL69" s="16">
        <f t="shared" si="12"/>
        <v>7.9603980199009966E-2</v>
      </c>
      <c r="AM69" s="16">
        <f t="shared" si="12"/>
        <v>7.9603980199009966E-2</v>
      </c>
    </row>
    <row r="70" spans="6:39" x14ac:dyDescent="0.25">
      <c r="F70" s="149"/>
      <c r="G70" s="150" t="s">
        <v>18</v>
      </c>
      <c r="H70" s="151" t="s">
        <v>27</v>
      </c>
      <c r="I70" s="152">
        <v>2035</v>
      </c>
      <c r="J70" s="153" t="s">
        <v>26</v>
      </c>
      <c r="K70" s="152"/>
      <c r="L70" s="154">
        <v>1.7999999999999999E-2</v>
      </c>
      <c r="M70" s="152"/>
      <c r="N70" s="152" t="s">
        <v>25</v>
      </c>
      <c r="O70" s="152"/>
      <c r="P70" s="152"/>
      <c r="Q70" s="152"/>
      <c r="R70" s="152"/>
      <c r="S70" s="155" t="str">
        <v>LPG</v>
      </c>
      <c r="AB70" t="s">
        <v>35</v>
      </c>
      <c r="AC70" t="s">
        <v>22</v>
      </c>
      <c r="AD70" s="16">
        <f t="shared" si="12"/>
        <v>0</v>
      </c>
      <c r="AE70" s="16">
        <f t="shared" si="12"/>
        <v>5.5617849392470012E-2</v>
      </c>
      <c r="AF70" s="16">
        <f t="shared" si="12"/>
        <v>5.5617849392470012E-2</v>
      </c>
      <c r="AG70" s="16">
        <f t="shared" si="12"/>
        <v>5.5617849392470012E-2</v>
      </c>
      <c r="AH70" s="16">
        <f t="shared" si="12"/>
        <v>5.5617849392470012E-2</v>
      </c>
      <c r="AI70" s="16">
        <f t="shared" si="12"/>
        <v>6.8961396569828817E-2</v>
      </c>
      <c r="AJ70" s="16">
        <f t="shared" si="12"/>
        <v>5.5617849392470012E-2</v>
      </c>
      <c r="AK70" s="16">
        <f t="shared" si="12"/>
        <v>5.5617849392470012E-2</v>
      </c>
      <c r="AL70" s="16">
        <f t="shared" si="12"/>
        <v>6.8961396569828817E-2</v>
      </c>
      <c r="AM70" s="16">
        <f t="shared" si="12"/>
        <v>6.8961396569828817E-2</v>
      </c>
    </row>
    <row r="71" spans="6:39" x14ac:dyDescent="0.25">
      <c r="F71" s="149"/>
      <c r="G71" s="150" t="s">
        <v>18</v>
      </c>
      <c r="H71" s="151" t="s">
        <v>27</v>
      </c>
      <c r="I71" s="152">
        <v>2035</v>
      </c>
      <c r="J71" s="153" t="s">
        <v>26</v>
      </c>
      <c r="K71" s="152"/>
      <c r="L71" s="154">
        <v>9.9000000000000005E-2</v>
      </c>
      <c r="M71" s="152"/>
      <c r="N71" s="152" t="s">
        <v>25</v>
      </c>
      <c r="O71" s="152"/>
      <c r="P71" s="152"/>
      <c r="Q71" s="152"/>
      <c r="R71" s="152"/>
      <c r="S71" s="155" t="str">
        <v>HFO</v>
      </c>
      <c r="AB71" t="s">
        <v>35</v>
      </c>
      <c r="AC71" t="s">
        <v>39</v>
      </c>
      <c r="AD71" s="16">
        <f t="shared" si="12"/>
        <v>3.578455484505657E-2</v>
      </c>
      <c r="AE71" s="16">
        <f t="shared" si="12"/>
        <v>4.2002100105005179E-2</v>
      </c>
      <c r="AF71" s="16">
        <f t="shared" si="12"/>
        <v>4.2002100105005179E-2</v>
      </c>
      <c r="AG71" s="16">
        <f t="shared" si="12"/>
        <v>4.2002100105005179E-2</v>
      </c>
      <c r="AH71" s="16">
        <f t="shared" si="12"/>
        <v>4.2002100105005179E-2</v>
      </c>
      <c r="AI71" s="16">
        <f t="shared" si="12"/>
        <v>4.2002100105005144E-2</v>
      </c>
      <c r="AJ71" s="16">
        <f t="shared" si="12"/>
        <v>4.2002100105005179E-2</v>
      </c>
      <c r="AK71" s="16">
        <f t="shared" si="12"/>
        <v>4.2002100105005179E-2</v>
      </c>
      <c r="AL71" s="16">
        <f t="shared" si="12"/>
        <v>4.2002100105005144E-2</v>
      </c>
      <c r="AM71" s="16">
        <f t="shared" si="12"/>
        <v>4.2002100105005144E-2</v>
      </c>
    </row>
    <row r="72" spans="6:39" x14ac:dyDescent="0.25">
      <c r="F72" s="149"/>
      <c r="G72" s="150" t="s">
        <v>18</v>
      </c>
      <c r="H72" s="151" t="s">
        <v>27</v>
      </c>
      <c r="I72" s="152">
        <v>2035</v>
      </c>
      <c r="J72" s="153" t="s">
        <v>26</v>
      </c>
      <c r="K72" s="152"/>
      <c r="L72" s="154">
        <v>4.0300000000000002E-2</v>
      </c>
      <c r="M72" s="152"/>
      <c r="N72" s="152" t="s">
        <v>25</v>
      </c>
      <c r="O72" s="152"/>
      <c r="P72" s="152"/>
      <c r="Q72" s="152"/>
      <c r="R72" s="152"/>
      <c r="S72" s="155" t="str">
        <v>RFG1</v>
      </c>
      <c r="AD72" s="16">
        <f t="shared" si="12"/>
        <v>0</v>
      </c>
      <c r="AE72" s="16">
        <f t="shared" si="12"/>
        <v>0</v>
      </c>
      <c r="AF72" s="16">
        <f t="shared" si="12"/>
        <v>0</v>
      </c>
      <c r="AG72" s="16">
        <f t="shared" si="12"/>
        <v>0</v>
      </c>
      <c r="AH72" s="16">
        <f t="shared" si="12"/>
        <v>0</v>
      </c>
      <c r="AI72" s="16">
        <f t="shared" si="12"/>
        <v>0</v>
      </c>
      <c r="AJ72" s="16">
        <f t="shared" si="12"/>
        <v>0</v>
      </c>
      <c r="AK72" s="16">
        <f t="shared" si="12"/>
        <v>0</v>
      </c>
      <c r="AL72" s="16">
        <f t="shared" si="12"/>
        <v>0</v>
      </c>
      <c r="AM72" s="16">
        <f t="shared" si="12"/>
        <v>0</v>
      </c>
    </row>
    <row r="73" spans="6:39" x14ac:dyDescent="0.25">
      <c r="F73" s="149"/>
      <c r="G73" s="150" t="s">
        <v>18</v>
      </c>
      <c r="H73" s="151" t="s">
        <v>27</v>
      </c>
      <c r="I73" s="152">
        <v>2035</v>
      </c>
      <c r="J73" s="153" t="s">
        <v>26</v>
      </c>
      <c r="K73" s="152"/>
      <c r="L73" s="154">
        <v>1E-3</v>
      </c>
      <c r="M73" s="152"/>
      <c r="N73" s="152" t="s">
        <v>25</v>
      </c>
      <c r="O73" s="152"/>
      <c r="P73" s="152"/>
      <c r="Q73" s="152"/>
      <c r="R73" s="152"/>
      <c r="S73" s="155" t="str">
        <v>AVG</v>
      </c>
    </row>
    <row r="74" spans="6:39" s="5" customFormat="1" x14ac:dyDescent="0.25">
      <c r="F74" s="132"/>
      <c r="G74" s="140" t="s">
        <v>18</v>
      </c>
      <c r="H74" s="133" t="s">
        <v>27</v>
      </c>
      <c r="I74" s="5">
        <v>2040</v>
      </c>
      <c r="J74" s="117" t="s">
        <v>26</v>
      </c>
      <c r="L74" s="147" cm="1">
        <f t="array" ref="L74:L80">+IF(I74&lt;$G$34,$H$7:$H$13,$H$24:$H$30)</f>
        <v>0.23323048049814099</v>
      </c>
      <c r="N74" s="5" t="s">
        <v>25</v>
      </c>
      <c r="S74" s="134" t="str" cm="1">
        <f t="array" ref="S74:S80">+$G$7:$G$13</f>
        <v>GSL</v>
      </c>
      <c r="W74" s="5" t="e">
        <f>+SUM(#REF!)</f>
        <v>#REF!</v>
      </c>
    </row>
    <row r="75" spans="6:39" x14ac:dyDescent="0.25">
      <c r="F75" s="135"/>
      <c r="G75" s="23" t="s">
        <v>18</v>
      </c>
      <c r="H75" s="136" t="s">
        <v>27</v>
      </c>
      <c r="I75">
        <v>2040</v>
      </c>
      <c r="J75" s="100" t="s">
        <v>26</v>
      </c>
      <c r="L75" s="7">
        <v>0.63374282698820406</v>
      </c>
      <c r="N75" t="s">
        <v>25</v>
      </c>
      <c r="S75" s="29" t="str">
        <v>DSL</v>
      </c>
    </row>
    <row r="76" spans="6:39" x14ac:dyDescent="0.25">
      <c r="F76" s="135"/>
      <c r="G76" s="23" t="s">
        <v>18</v>
      </c>
      <c r="H76" s="136" t="s">
        <v>27</v>
      </c>
      <c r="I76">
        <v>2040</v>
      </c>
      <c r="J76" s="100" t="s">
        <v>26</v>
      </c>
      <c r="L76" s="7">
        <v>0.12379999999999999</v>
      </c>
      <c r="N76" t="s">
        <v>25</v>
      </c>
      <c r="S76" s="29" t="str">
        <v>KER</v>
      </c>
    </row>
    <row r="77" spans="6:39" x14ac:dyDescent="0.25">
      <c r="F77" s="135"/>
      <c r="G77" s="23" t="s">
        <v>18</v>
      </c>
      <c r="H77" s="136" t="s">
        <v>27</v>
      </c>
      <c r="I77">
        <v>2040</v>
      </c>
      <c r="J77" s="100" t="s">
        <v>26</v>
      </c>
      <c r="L77" s="7">
        <v>1.7999999999999999E-2</v>
      </c>
      <c r="N77" t="s">
        <v>25</v>
      </c>
      <c r="S77" s="29" t="str">
        <v>LPG</v>
      </c>
    </row>
    <row r="78" spans="6:39" x14ac:dyDescent="0.25">
      <c r="F78" s="135"/>
      <c r="G78" s="23" t="s">
        <v>18</v>
      </c>
      <c r="H78" s="136" t="s">
        <v>27</v>
      </c>
      <c r="I78">
        <v>2040</v>
      </c>
      <c r="J78" s="100" t="s">
        <v>26</v>
      </c>
      <c r="L78" s="7">
        <v>9.9000000000000005E-2</v>
      </c>
      <c r="N78" t="s">
        <v>25</v>
      </c>
      <c r="S78" s="29" t="str">
        <v>HFO</v>
      </c>
    </row>
    <row r="79" spans="6:39" x14ac:dyDescent="0.25">
      <c r="F79" s="135"/>
      <c r="G79" s="23" t="s">
        <v>18</v>
      </c>
      <c r="H79" s="136" t="s">
        <v>27</v>
      </c>
      <c r="I79">
        <v>2040</v>
      </c>
      <c r="J79" s="100" t="s">
        <v>26</v>
      </c>
      <c r="L79" s="7">
        <v>4.0300000000000002E-2</v>
      </c>
      <c r="N79" t="s">
        <v>25</v>
      </c>
      <c r="S79" s="29" t="str">
        <v>RFG1</v>
      </c>
    </row>
    <row r="80" spans="6:39" x14ac:dyDescent="0.25">
      <c r="F80" s="135"/>
      <c r="G80" s="23" t="s">
        <v>18</v>
      </c>
      <c r="H80" s="136" t="s">
        <v>27</v>
      </c>
      <c r="I80">
        <v>2040</v>
      </c>
      <c r="J80" s="100" t="s">
        <v>26</v>
      </c>
      <c r="L80" s="7">
        <v>1E-3</v>
      </c>
      <c r="N80" t="s">
        <v>25</v>
      </c>
      <c r="S80" s="29" t="str">
        <v>AVG</v>
      </c>
    </row>
    <row r="81" spans="6:23" x14ac:dyDescent="0.25">
      <c r="F81" s="149"/>
      <c r="G81" s="150" t="s">
        <v>18</v>
      </c>
      <c r="H81" s="151" t="s">
        <v>27</v>
      </c>
      <c r="I81" s="152">
        <v>2045</v>
      </c>
      <c r="J81" s="153" t="s">
        <v>26</v>
      </c>
      <c r="K81" s="152"/>
      <c r="L81" s="147" cm="1">
        <f t="array" ref="L81:L87">+IF(I81&lt;$G$34,$H$7:$H$13,$H$24:$H$30)</f>
        <v>0.23323048049814099</v>
      </c>
      <c r="M81" s="152"/>
      <c r="N81" s="152" t="s">
        <v>25</v>
      </c>
      <c r="O81" s="152"/>
      <c r="P81" s="152"/>
      <c r="Q81" s="152"/>
      <c r="R81" s="152"/>
      <c r="S81" s="155" t="str" cm="1">
        <f t="array" ref="S81:S87">+$G$7:$G$13</f>
        <v>GSL</v>
      </c>
      <c r="W81" t="e">
        <f>+SUM(#REF!)</f>
        <v>#REF!</v>
      </c>
    </row>
    <row r="82" spans="6:23" x14ac:dyDescent="0.25">
      <c r="F82" s="149"/>
      <c r="G82" s="150" t="s">
        <v>18</v>
      </c>
      <c r="H82" s="151" t="s">
        <v>27</v>
      </c>
      <c r="I82" s="152">
        <v>2045</v>
      </c>
      <c r="J82" s="153" t="s">
        <v>26</v>
      </c>
      <c r="K82" s="152"/>
      <c r="L82" s="154">
        <v>0.63374282698820406</v>
      </c>
      <c r="M82" s="152"/>
      <c r="N82" s="152" t="s">
        <v>25</v>
      </c>
      <c r="O82" s="152"/>
      <c r="P82" s="152"/>
      <c r="Q82" s="152"/>
      <c r="R82" s="152"/>
      <c r="S82" s="155" t="str">
        <v>DSL</v>
      </c>
    </row>
    <row r="83" spans="6:23" x14ac:dyDescent="0.25">
      <c r="F83" s="149"/>
      <c r="G83" s="150" t="s">
        <v>18</v>
      </c>
      <c r="H83" s="151" t="s">
        <v>27</v>
      </c>
      <c r="I83" s="152">
        <v>2045</v>
      </c>
      <c r="J83" s="153" t="s">
        <v>26</v>
      </c>
      <c r="K83" s="152"/>
      <c r="L83" s="154">
        <v>0.12379999999999999</v>
      </c>
      <c r="M83" s="152"/>
      <c r="N83" s="152" t="s">
        <v>25</v>
      </c>
      <c r="O83" s="152"/>
      <c r="P83" s="152"/>
      <c r="Q83" s="152"/>
      <c r="R83" s="152"/>
      <c r="S83" s="155" t="str">
        <v>KER</v>
      </c>
    </row>
    <row r="84" spans="6:23" x14ac:dyDescent="0.25">
      <c r="F84" s="149"/>
      <c r="G84" s="150" t="s">
        <v>18</v>
      </c>
      <c r="H84" s="151" t="s">
        <v>27</v>
      </c>
      <c r="I84" s="152">
        <v>2045</v>
      </c>
      <c r="J84" s="153" t="s">
        <v>26</v>
      </c>
      <c r="K84" s="152"/>
      <c r="L84" s="154">
        <v>1.7999999999999999E-2</v>
      </c>
      <c r="M84" s="152"/>
      <c r="N84" s="152" t="s">
        <v>25</v>
      </c>
      <c r="O84" s="152"/>
      <c r="P84" s="152"/>
      <c r="Q84" s="152"/>
      <c r="R84" s="152"/>
      <c r="S84" s="155" t="str">
        <v>LPG</v>
      </c>
    </row>
    <row r="85" spans="6:23" x14ac:dyDescent="0.25">
      <c r="F85" s="149"/>
      <c r="G85" s="150" t="s">
        <v>18</v>
      </c>
      <c r="H85" s="151" t="s">
        <v>27</v>
      </c>
      <c r="I85" s="152">
        <v>2045</v>
      </c>
      <c r="J85" s="153" t="s">
        <v>26</v>
      </c>
      <c r="K85" s="152"/>
      <c r="L85" s="154">
        <v>9.9000000000000005E-2</v>
      </c>
      <c r="M85" s="152"/>
      <c r="N85" s="152" t="s">
        <v>25</v>
      </c>
      <c r="O85" s="152"/>
      <c r="P85" s="152"/>
      <c r="Q85" s="152"/>
      <c r="R85" s="152"/>
      <c r="S85" s="155" t="str">
        <v>HFO</v>
      </c>
    </row>
    <row r="86" spans="6:23" x14ac:dyDescent="0.25">
      <c r="F86" s="149"/>
      <c r="G86" s="150" t="s">
        <v>18</v>
      </c>
      <c r="H86" s="151" t="s">
        <v>27</v>
      </c>
      <c r="I86" s="152">
        <v>2045</v>
      </c>
      <c r="J86" s="153" t="s">
        <v>26</v>
      </c>
      <c r="K86" s="152"/>
      <c r="L86" s="154">
        <v>4.0300000000000002E-2</v>
      </c>
      <c r="M86" s="152"/>
      <c r="N86" s="152" t="s">
        <v>25</v>
      </c>
      <c r="O86" s="152"/>
      <c r="P86" s="152"/>
      <c r="Q86" s="152"/>
      <c r="R86" s="152"/>
      <c r="S86" s="155" t="str">
        <v>RFG1</v>
      </c>
    </row>
    <row r="87" spans="6:23" x14ac:dyDescent="0.25">
      <c r="F87" s="149"/>
      <c r="G87" s="150" t="s">
        <v>18</v>
      </c>
      <c r="H87" s="151" t="s">
        <v>27</v>
      </c>
      <c r="I87" s="152">
        <v>2045</v>
      </c>
      <c r="J87" s="153" t="s">
        <v>26</v>
      </c>
      <c r="K87" s="152"/>
      <c r="L87" s="154">
        <v>1E-3</v>
      </c>
      <c r="M87" s="152"/>
      <c r="N87" s="152" t="s">
        <v>25</v>
      </c>
      <c r="O87" s="152"/>
      <c r="P87" s="152"/>
      <c r="Q87" s="152"/>
      <c r="R87" s="152"/>
      <c r="S87" s="155" t="str">
        <v>AVG</v>
      </c>
    </row>
    <row r="88" spans="6:23" s="5" customFormat="1" x14ac:dyDescent="0.25">
      <c r="F88" s="132"/>
      <c r="G88" s="140" t="s">
        <v>18</v>
      </c>
      <c r="H88" s="133" t="s">
        <v>27</v>
      </c>
      <c r="I88" s="5">
        <v>2050</v>
      </c>
      <c r="J88" s="117" t="s">
        <v>26</v>
      </c>
      <c r="L88" s="147" cm="1">
        <f t="array" ref="L88:L94">+IF(I88&lt;$G$34,$H$7:$H$13,$H$24:$H$30)</f>
        <v>0.23323048049814099</v>
      </c>
      <c r="N88" s="5" t="s">
        <v>25</v>
      </c>
      <c r="S88" s="134" t="str" cm="1">
        <f t="array" ref="S88:S94">+$G$7:$G$13</f>
        <v>GSL</v>
      </c>
      <c r="W88" s="5" t="e">
        <f>+SUM(#REF!)</f>
        <v>#REF!</v>
      </c>
    </row>
    <row r="89" spans="6:23" x14ac:dyDescent="0.25">
      <c r="F89" s="135"/>
      <c r="G89" s="23" t="s">
        <v>18</v>
      </c>
      <c r="H89" s="136" t="s">
        <v>27</v>
      </c>
      <c r="I89">
        <v>2050</v>
      </c>
      <c r="J89" s="100" t="s">
        <v>26</v>
      </c>
      <c r="L89" s="7">
        <v>0.63374282698820406</v>
      </c>
      <c r="N89" t="s">
        <v>25</v>
      </c>
      <c r="S89" s="29" t="str">
        <v>DSL</v>
      </c>
    </row>
    <row r="90" spans="6:23" x14ac:dyDescent="0.25">
      <c r="F90" s="135"/>
      <c r="G90" s="23" t="s">
        <v>18</v>
      </c>
      <c r="H90" s="136" t="s">
        <v>27</v>
      </c>
      <c r="I90">
        <v>2050</v>
      </c>
      <c r="J90" s="100" t="s">
        <v>26</v>
      </c>
      <c r="L90" s="7">
        <v>0.12379999999999999</v>
      </c>
      <c r="N90" t="s">
        <v>25</v>
      </c>
      <c r="S90" s="29" t="str">
        <v>KER</v>
      </c>
    </row>
    <row r="91" spans="6:23" x14ac:dyDescent="0.25">
      <c r="F91" s="135"/>
      <c r="G91" s="23" t="s">
        <v>18</v>
      </c>
      <c r="H91" s="136" t="s">
        <v>27</v>
      </c>
      <c r="I91">
        <v>2050</v>
      </c>
      <c r="J91" s="100" t="s">
        <v>26</v>
      </c>
      <c r="L91" s="7">
        <v>1.7999999999999999E-2</v>
      </c>
      <c r="N91" t="s">
        <v>25</v>
      </c>
      <c r="S91" s="29" t="str">
        <v>LPG</v>
      </c>
    </row>
    <row r="92" spans="6:23" x14ac:dyDescent="0.25">
      <c r="F92" s="135"/>
      <c r="G92" s="23" t="s">
        <v>18</v>
      </c>
      <c r="H92" s="136" t="s">
        <v>27</v>
      </c>
      <c r="I92">
        <v>2050</v>
      </c>
      <c r="J92" s="100" t="s">
        <v>26</v>
      </c>
      <c r="L92" s="7">
        <v>9.9000000000000005E-2</v>
      </c>
      <c r="N92" t="s">
        <v>25</v>
      </c>
      <c r="S92" s="29" t="str">
        <v>HFO</v>
      </c>
    </row>
    <row r="93" spans="6:23" x14ac:dyDescent="0.25">
      <c r="F93" s="135"/>
      <c r="G93" s="23" t="s">
        <v>18</v>
      </c>
      <c r="H93" s="136" t="s">
        <v>27</v>
      </c>
      <c r="I93">
        <v>2050</v>
      </c>
      <c r="J93" s="100" t="s">
        <v>26</v>
      </c>
      <c r="L93" s="7">
        <v>4.0300000000000002E-2</v>
      </c>
      <c r="N93" t="s">
        <v>25</v>
      </c>
      <c r="S93" s="29" t="str">
        <v>RFG1</v>
      </c>
    </row>
    <row r="94" spans="6:23" x14ac:dyDescent="0.25">
      <c r="F94" s="137"/>
      <c r="G94" s="141" t="s">
        <v>18</v>
      </c>
      <c r="H94" s="122" t="s">
        <v>27</v>
      </c>
      <c r="I94" s="122">
        <v>2050</v>
      </c>
      <c r="J94" s="138" t="s">
        <v>26</v>
      </c>
      <c r="K94" s="122"/>
      <c r="L94" s="139">
        <v>1E-3</v>
      </c>
      <c r="M94" s="122"/>
      <c r="N94" s="122" t="s">
        <v>25</v>
      </c>
      <c r="O94" s="122"/>
      <c r="P94" s="122"/>
      <c r="Q94" s="122"/>
      <c r="R94" s="122"/>
      <c r="S94" s="30" t="str">
        <v>AVG</v>
      </c>
    </row>
    <row r="99" spans="6:19" x14ac:dyDescent="0.25">
      <c r="J99" s="1" t="s">
        <v>0</v>
      </c>
    </row>
    <row r="100" spans="6:19" x14ac:dyDescent="0.25">
      <c r="F100" s="8" t="s">
        <v>1</v>
      </c>
      <c r="G100" s="8" t="s">
        <v>2</v>
      </c>
      <c r="H100" s="8" t="s">
        <v>3</v>
      </c>
      <c r="I100" s="8" t="s">
        <v>4</v>
      </c>
      <c r="J100" s="8" t="s">
        <v>5</v>
      </c>
      <c r="K100" s="9" t="s">
        <v>6</v>
      </c>
      <c r="L100" s="9" t="s">
        <v>7</v>
      </c>
      <c r="M100" s="10" t="s">
        <v>8</v>
      </c>
      <c r="N100" s="10" t="s">
        <v>9</v>
      </c>
      <c r="O100" s="10" t="s">
        <v>10</v>
      </c>
      <c r="P100" s="10" t="s">
        <v>11</v>
      </c>
      <c r="Q100" s="10" t="s">
        <v>12</v>
      </c>
      <c r="R100" s="10" t="s">
        <v>13</v>
      </c>
      <c r="S100" s="10" t="s">
        <v>14</v>
      </c>
    </row>
    <row r="101" spans="6:19" x14ac:dyDescent="0.25">
      <c r="F101" s="142"/>
      <c r="G101" s="143" t="s">
        <v>31</v>
      </c>
      <c r="H101" s="144" t="s">
        <v>27</v>
      </c>
      <c r="I101" s="145">
        <v>2019</v>
      </c>
      <c r="J101" s="146" t="s">
        <v>26</v>
      </c>
      <c r="K101" s="145"/>
      <c r="L101" s="147" cm="1">
        <f t="array" ref="L101:L107">+IF(I101&lt;$G$34,$K$7:$K$13,$K$24:$K$30)</f>
        <v>0</v>
      </c>
      <c r="M101" s="145"/>
      <c r="N101" s="145" t="s">
        <v>25</v>
      </c>
      <c r="O101" s="145"/>
      <c r="P101" s="145"/>
      <c r="Q101" s="145"/>
      <c r="R101" s="145"/>
      <c r="S101" s="148" t="str" cm="1">
        <f t="array" ref="S101:S107">+$G$7:$G$13</f>
        <v>GSL</v>
      </c>
    </row>
    <row r="102" spans="6:19" x14ac:dyDescent="0.25">
      <c r="F102" s="149"/>
      <c r="G102" s="143" t="s">
        <v>31</v>
      </c>
      <c r="H102" s="151" t="s">
        <v>27</v>
      </c>
      <c r="I102" s="152">
        <v>2019</v>
      </c>
      <c r="J102" s="153" t="s">
        <v>26</v>
      </c>
      <c r="K102" s="152"/>
      <c r="L102" s="154">
        <v>0</v>
      </c>
      <c r="M102" s="152"/>
      <c r="N102" s="152" t="s">
        <v>25</v>
      </c>
      <c r="O102" s="152"/>
      <c r="P102" s="152"/>
      <c r="Q102" s="152"/>
      <c r="R102" s="152"/>
      <c r="S102" s="155" t="str">
        <v>DSL</v>
      </c>
    </row>
    <row r="103" spans="6:19" x14ac:dyDescent="0.25">
      <c r="F103" s="149"/>
      <c r="G103" s="143" t="s">
        <v>31</v>
      </c>
      <c r="H103" s="151" t="s">
        <v>27</v>
      </c>
      <c r="I103" s="152">
        <v>2019</v>
      </c>
      <c r="J103" s="153" t="s">
        <v>26</v>
      </c>
      <c r="K103" s="152"/>
      <c r="L103" s="154">
        <v>0</v>
      </c>
      <c r="M103" s="152"/>
      <c r="N103" s="152" t="s">
        <v>25</v>
      </c>
      <c r="O103" s="152"/>
      <c r="P103" s="152"/>
      <c r="Q103" s="152"/>
      <c r="R103" s="152"/>
      <c r="S103" s="155" t="str">
        <v>KER</v>
      </c>
    </row>
    <row r="104" spans="6:19" x14ac:dyDescent="0.25">
      <c r="F104" s="149"/>
      <c r="G104" s="143" t="s">
        <v>31</v>
      </c>
      <c r="H104" s="151" t="s">
        <v>27</v>
      </c>
      <c r="I104" s="152">
        <v>2019</v>
      </c>
      <c r="J104" s="153" t="s">
        <v>26</v>
      </c>
      <c r="K104" s="152"/>
      <c r="L104" s="154">
        <v>0</v>
      </c>
      <c r="M104" s="152"/>
      <c r="N104" s="152" t="s">
        <v>25</v>
      </c>
      <c r="O104" s="152"/>
      <c r="P104" s="152"/>
      <c r="Q104" s="152"/>
      <c r="R104" s="152"/>
      <c r="S104" s="155" t="str">
        <v>LPG</v>
      </c>
    </row>
    <row r="105" spans="6:19" x14ac:dyDescent="0.25">
      <c r="F105" s="149"/>
      <c r="G105" s="143" t="s">
        <v>31</v>
      </c>
      <c r="H105" s="151" t="s">
        <v>27</v>
      </c>
      <c r="I105" s="152">
        <v>2019</v>
      </c>
      <c r="J105" s="153" t="s">
        <v>26</v>
      </c>
      <c r="K105" s="152"/>
      <c r="L105" s="154">
        <v>0</v>
      </c>
      <c r="M105" s="152"/>
      <c r="N105" s="152" t="s">
        <v>25</v>
      </c>
      <c r="O105" s="152"/>
      <c r="P105" s="152"/>
      <c r="Q105" s="152"/>
      <c r="R105" s="152"/>
      <c r="S105" s="155" t="str">
        <v>HFO</v>
      </c>
    </row>
    <row r="106" spans="6:19" x14ac:dyDescent="0.25">
      <c r="F106" s="149"/>
      <c r="G106" s="143" t="s">
        <v>31</v>
      </c>
      <c r="H106" s="151" t="s">
        <v>27</v>
      </c>
      <c r="I106" s="152">
        <v>2019</v>
      </c>
      <c r="J106" s="153" t="s">
        <v>26</v>
      </c>
      <c r="K106" s="152"/>
      <c r="L106" s="154">
        <v>0</v>
      </c>
      <c r="M106" s="152"/>
      <c r="N106" s="152" t="s">
        <v>25</v>
      </c>
      <c r="O106" s="152"/>
      <c r="P106" s="152"/>
      <c r="Q106" s="152"/>
      <c r="R106" s="152"/>
      <c r="S106" s="155" t="str">
        <v>RFG1</v>
      </c>
    </row>
    <row r="107" spans="6:19" x14ac:dyDescent="0.25">
      <c r="F107" s="149"/>
      <c r="G107" s="143" t="s">
        <v>31</v>
      </c>
      <c r="H107" s="151" t="s">
        <v>27</v>
      </c>
      <c r="I107" s="152">
        <v>2019</v>
      </c>
      <c r="J107" s="153" t="s">
        <v>26</v>
      </c>
      <c r="K107" s="152"/>
      <c r="L107" s="154">
        <v>0</v>
      </c>
      <c r="M107" s="152"/>
      <c r="N107" s="152" t="s">
        <v>25</v>
      </c>
      <c r="O107" s="152"/>
      <c r="P107" s="152"/>
      <c r="Q107" s="152"/>
      <c r="R107" s="152"/>
      <c r="S107" s="155" t="str">
        <v>AVG</v>
      </c>
    </row>
    <row r="108" spans="6:19" x14ac:dyDescent="0.25">
      <c r="F108" s="132"/>
      <c r="G108" s="143" t="s">
        <v>31</v>
      </c>
      <c r="H108" s="133" t="s">
        <v>27</v>
      </c>
      <c r="I108" s="5">
        <v>2020</v>
      </c>
      <c r="J108" s="117" t="s">
        <v>26</v>
      </c>
      <c r="K108" s="5"/>
      <c r="L108" s="147" cm="1">
        <f t="array" ref="L108:L114">+IF(I108&lt;$G$34,$K$7:$K$13,$K$24:$K$30)</f>
        <v>0.19800000000000001</v>
      </c>
      <c r="M108" s="5"/>
      <c r="N108" s="5" t="s">
        <v>25</v>
      </c>
      <c r="O108" s="5"/>
      <c r="P108" s="5"/>
      <c r="Q108" s="5"/>
      <c r="R108" s="5"/>
      <c r="S108" s="134" t="str" cm="1">
        <f t="array" ref="S108:S114">+$G$7:$G$13</f>
        <v>GSL</v>
      </c>
    </row>
    <row r="109" spans="6:19" x14ac:dyDescent="0.25">
      <c r="F109" s="135"/>
      <c r="G109" s="143" t="s">
        <v>31</v>
      </c>
      <c r="H109" s="136" t="s">
        <v>27</v>
      </c>
      <c r="I109">
        <v>2020</v>
      </c>
      <c r="J109" s="100" t="s">
        <v>26</v>
      </c>
      <c r="L109" s="7">
        <v>0.34</v>
      </c>
      <c r="N109" t="s">
        <v>25</v>
      </c>
      <c r="S109" s="29" t="str">
        <v>DSL</v>
      </c>
    </row>
    <row r="110" spans="6:19" x14ac:dyDescent="0.25">
      <c r="F110" s="135"/>
      <c r="G110" s="143" t="s">
        <v>31</v>
      </c>
      <c r="H110" s="136" t="s">
        <v>27</v>
      </c>
      <c r="I110">
        <v>2020</v>
      </c>
      <c r="J110" s="100" t="s">
        <v>26</v>
      </c>
      <c r="L110" s="7">
        <v>5.5999999999999994E-2</v>
      </c>
      <c r="N110" t="s">
        <v>25</v>
      </c>
      <c r="S110" s="29" t="str">
        <v>KER</v>
      </c>
    </row>
    <row r="111" spans="6:19" x14ac:dyDescent="0.25">
      <c r="F111" s="135"/>
      <c r="G111" s="143" t="s">
        <v>31</v>
      </c>
      <c r="H111" s="136" t="s">
        <v>27</v>
      </c>
      <c r="I111">
        <v>2020</v>
      </c>
      <c r="J111" s="100" t="s">
        <v>26</v>
      </c>
      <c r="L111" s="7">
        <v>0.01</v>
      </c>
      <c r="N111" t="s">
        <v>25</v>
      </c>
      <c r="S111" s="29" t="str">
        <v>LPG</v>
      </c>
    </row>
    <row r="112" spans="6:19" x14ac:dyDescent="0.25">
      <c r="F112" s="135"/>
      <c r="G112" s="143" t="s">
        <v>31</v>
      </c>
      <c r="H112" s="136" t="s">
        <v>27</v>
      </c>
      <c r="I112">
        <v>2020</v>
      </c>
      <c r="J112" s="100" t="s">
        <v>26</v>
      </c>
      <c r="L112" s="7">
        <v>9.0891443724778007E-3</v>
      </c>
      <c r="N112" t="s">
        <v>25</v>
      </c>
      <c r="S112" s="29" t="str">
        <v>HFO</v>
      </c>
    </row>
    <row r="113" spans="6:19" x14ac:dyDescent="0.25">
      <c r="F113" s="135"/>
      <c r="G113" s="143" t="s">
        <v>31</v>
      </c>
      <c r="H113" s="136" t="s">
        <v>27</v>
      </c>
      <c r="I113">
        <v>2020</v>
      </c>
      <c r="J113" s="100" t="s">
        <v>26</v>
      </c>
      <c r="L113" s="7">
        <v>0</v>
      </c>
      <c r="N113" t="s">
        <v>25</v>
      </c>
      <c r="S113" s="29" t="str">
        <v>RFG1</v>
      </c>
    </row>
    <row r="114" spans="6:19" x14ac:dyDescent="0.25">
      <c r="F114" s="135"/>
      <c r="G114" s="143" t="s">
        <v>31</v>
      </c>
      <c r="H114" s="136" t="s">
        <v>27</v>
      </c>
      <c r="I114">
        <v>2020</v>
      </c>
      <c r="J114" s="100" t="s">
        <v>26</v>
      </c>
      <c r="L114" s="7">
        <v>0</v>
      </c>
      <c r="N114" t="s">
        <v>25</v>
      </c>
      <c r="S114" s="29" t="str">
        <v>AVG</v>
      </c>
    </row>
    <row r="115" spans="6:19" x14ac:dyDescent="0.25">
      <c r="F115" s="149"/>
      <c r="G115" s="143" t="s">
        <v>31</v>
      </c>
      <c r="H115" s="151" t="s">
        <v>27</v>
      </c>
      <c r="I115" s="152">
        <v>2025</v>
      </c>
      <c r="J115" s="153" t="s">
        <v>26</v>
      </c>
      <c r="K115" s="152"/>
      <c r="L115" s="147" cm="1">
        <f t="array" ref="L115:L121">+IF(I115&lt;$G$34,$K$7:$K$13,$K$24:$K$30)</f>
        <v>0.19800000000000001</v>
      </c>
      <c r="M115" s="152"/>
      <c r="N115" s="152" t="s">
        <v>25</v>
      </c>
      <c r="O115" s="152"/>
      <c r="P115" s="152"/>
      <c r="Q115" s="152"/>
      <c r="R115" s="152"/>
      <c r="S115" s="155" t="str" cm="1">
        <f t="array" ref="S115:S121">+$G$7:$G$13</f>
        <v>GSL</v>
      </c>
    </row>
    <row r="116" spans="6:19" x14ac:dyDescent="0.25">
      <c r="F116" s="149"/>
      <c r="G116" s="143" t="s">
        <v>31</v>
      </c>
      <c r="H116" s="151" t="s">
        <v>27</v>
      </c>
      <c r="I116" s="152">
        <v>2025</v>
      </c>
      <c r="J116" s="153" t="s">
        <v>26</v>
      </c>
      <c r="K116" s="152"/>
      <c r="L116" s="154">
        <v>0.34</v>
      </c>
      <c r="M116" s="152"/>
      <c r="N116" s="152" t="s">
        <v>25</v>
      </c>
      <c r="O116" s="152"/>
      <c r="P116" s="152"/>
      <c r="Q116" s="152"/>
      <c r="R116" s="152"/>
      <c r="S116" s="155" t="str">
        <v>DSL</v>
      </c>
    </row>
    <row r="117" spans="6:19" x14ac:dyDescent="0.25">
      <c r="F117" s="149"/>
      <c r="G117" s="143" t="s">
        <v>31</v>
      </c>
      <c r="H117" s="151" t="s">
        <v>27</v>
      </c>
      <c r="I117" s="152">
        <v>2025</v>
      </c>
      <c r="J117" s="153" t="s">
        <v>26</v>
      </c>
      <c r="K117" s="152"/>
      <c r="L117" s="154">
        <v>5.5999999999999994E-2</v>
      </c>
      <c r="M117" s="152"/>
      <c r="N117" s="152" t="s">
        <v>25</v>
      </c>
      <c r="O117" s="152"/>
      <c r="P117" s="152"/>
      <c r="Q117" s="152"/>
      <c r="R117" s="152"/>
      <c r="S117" s="155" t="str">
        <v>KER</v>
      </c>
    </row>
    <row r="118" spans="6:19" x14ac:dyDescent="0.25">
      <c r="F118" s="149"/>
      <c r="G118" s="143" t="s">
        <v>31</v>
      </c>
      <c r="H118" s="151" t="s">
        <v>27</v>
      </c>
      <c r="I118" s="152">
        <v>2025</v>
      </c>
      <c r="J118" s="153" t="s">
        <v>26</v>
      </c>
      <c r="K118" s="152"/>
      <c r="L118" s="154">
        <v>0.01</v>
      </c>
      <c r="M118" s="152"/>
      <c r="N118" s="152" t="s">
        <v>25</v>
      </c>
      <c r="O118" s="152"/>
      <c r="P118" s="152"/>
      <c r="Q118" s="152"/>
      <c r="R118" s="152"/>
      <c r="S118" s="155" t="str">
        <v>LPG</v>
      </c>
    </row>
    <row r="119" spans="6:19" x14ac:dyDescent="0.25">
      <c r="F119" s="149"/>
      <c r="G119" s="143" t="s">
        <v>31</v>
      </c>
      <c r="H119" s="151" t="s">
        <v>27</v>
      </c>
      <c r="I119" s="152">
        <v>2025</v>
      </c>
      <c r="J119" s="153" t="s">
        <v>26</v>
      </c>
      <c r="K119" s="152"/>
      <c r="L119" s="154">
        <v>9.0891443724778007E-3</v>
      </c>
      <c r="M119" s="152"/>
      <c r="N119" s="152" t="s">
        <v>25</v>
      </c>
      <c r="O119" s="152"/>
      <c r="P119" s="152"/>
      <c r="Q119" s="152"/>
      <c r="R119" s="152"/>
      <c r="S119" s="155" t="str">
        <v>HFO</v>
      </c>
    </row>
    <row r="120" spans="6:19" x14ac:dyDescent="0.25">
      <c r="F120" s="149"/>
      <c r="G120" s="143" t="s">
        <v>31</v>
      </c>
      <c r="H120" s="151" t="s">
        <v>27</v>
      </c>
      <c r="I120" s="152">
        <v>2025</v>
      </c>
      <c r="J120" s="153" t="s">
        <v>26</v>
      </c>
      <c r="K120" s="152"/>
      <c r="L120" s="154">
        <v>0</v>
      </c>
      <c r="M120" s="152"/>
      <c r="N120" s="152" t="s">
        <v>25</v>
      </c>
      <c r="O120" s="152"/>
      <c r="P120" s="152"/>
      <c r="Q120" s="152"/>
      <c r="R120" s="152"/>
      <c r="S120" s="155" t="str">
        <v>RFG1</v>
      </c>
    </row>
    <row r="121" spans="6:19" x14ac:dyDescent="0.25">
      <c r="F121" s="149"/>
      <c r="G121" s="143" t="s">
        <v>31</v>
      </c>
      <c r="H121" s="151" t="s">
        <v>27</v>
      </c>
      <c r="I121" s="152">
        <v>2025</v>
      </c>
      <c r="J121" s="153" t="s">
        <v>26</v>
      </c>
      <c r="K121" s="152"/>
      <c r="L121" s="154">
        <v>0</v>
      </c>
      <c r="M121" s="152"/>
      <c r="N121" s="152" t="s">
        <v>25</v>
      </c>
      <c r="O121" s="152"/>
      <c r="P121" s="152"/>
      <c r="Q121" s="152"/>
      <c r="R121" s="152"/>
      <c r="S121" s="155" t="str">
        <v>AVG</v>
      </c>
    </row>
    <row r="122" spans="6:19" x14ac:dyDescent="0.25">
      <c r="F122" s="132"/>
      <c r="G122" s="143" t="s">
        <v>31</v>
      </c>
      <c r="H122" s="133" t="s">
        <v>27</v>
      </c>
      <c r="I122" s="5">
        <v>2030</v>
      </c>
      <c r="J122" s="117" t="s">
        <v>26</v>
      </c>
      <c r="K122" s="5"/>
      <c r="L122" s="147" cm="1">
        <f t="array" ref="L122:L128">+IF(I122&lt;$G$34,$K$7:$K$13,$K$24:$K$30)</f>
        <v>0.19800000000000001</v>
      </c>
      <c r="M122" s="5"/>
      <c r="N122" s="5" t="s">
        <v>25</v>
      </c>
      <c r="O122" s="5"/>
      <c r="P122" s="5"/>
      <c r="Q122" s="5"/>
      <c r="R122" s="5"/>
      <c r="S122" s="134" t="str" cm="1">
        <f t="array" ref="S122:S128">+$G$7:$G$13</f>
        <v>GSL</v>
      </c>
    </row>
    <row r="123" spans="6:19" x14ac:dyDescent="0.25">
      <c r="F123" s="135"/>
      <c r="G123" s="143" t="s">
        <v>31</v>
      </c>
      <c r="H123" s="136" t="s">
        <v>27</v>
      </c>
      <c r="I123">
        <v>2030</v>
      </c>
      <c r="J123" s="100" t="s">
        <v>26</v>
      </c>
      <c r="L123" s="7">
        <v>0.34</v>
      </c>
      <c r="N123" t="s">
        <v>25</v>
      </c>
      <c r="S123" s="29" t="str">
        <v>DSL</v>
      </c>
    </row>
    <row r="124" spans="6:19" x14ac:dyDescent="0.25">
      <c r="F124" s="135"/>
      <c r="G124" s="143" t="s">
        <v>31</v>
      </c>
      <c r="H124" s="136" t="s">
        <v>27</v>
      </c>
      <c r="I124">
        <v>2030</v>
      </c>
      <c r="J124" s="100" t="s">
        <v>26</v>
      </c>
      <c r="L124" s="7">
        <v>5.5999999999999994E-2</v>
      </c>
      <c r="N124" t="s">
        <v>25</v>
      </c>
      <c r="S124" s="29" t="str">
        <v>KER</v>
      </c>
    </row>
    <row r="125" spans="6:19" x14ac:dyDescent="0.25">
      <c r="F125" s="135"/>
      <c r="G125" s="143" t="s">
        <v>31</v>
      </c>
      <c r="H125" s="136" t="s">
        <v>27</v>
      </c>
      <c r="I125">
        <v>2030</v>
      </c>
      <c r="J125" s="100" t="s">
        <v>26</v>
      </c>
      <c r="L125" s="7">
        <v>0.01</v>
      </c>
      <c r="N125" t="s">
        <v>25</v>
      </c>
      <c r="S125" s="29" t="str">
        <v>LPG</v>
      </c>
    </row>
    <row r="126" spans="6:19" x14ac:dyDescent="0.25">
      <c r="F126" s="135"/>
      <c r="G126" s="143" t="s">
        <v>31</v>
      </c>
      <c r="H126" s="136" t="s">
        <v>27</v>
      </c>
      <c r="I126">
        <v>2030</v>
      </c>
      <c r="J126" s="100" t="s">
        <v>26</v>
      </c>
      <c r="L126" s="7">
        <v>9.0891443724778007E-3</v>
      </c>
      <c r="N126" t="s">
        <v>25</v>
      </c>
      <c r="S126" s="29" t="str">
        <v>HFO</v>
      </c>
    </row>
    <row r="127" spans="6:19" x14ac:dyDescent="0.25">
      <c r="F127" s="135"/>
      <c r="G127" s="143" t="s">
        <v>31</v>
      </c>
      <c r="H127" s="136" t="s">
        <v>27</v>
      </c>
      <c r="I127">
        <v>2030</v>
      </c>
      <c r="J127" s="100" t="s">
        <v>26</v>
      </c>
      <c r="L127" s="7">
        <v>0</v>
      </c>
      <c r="N127" t="s">
        <v>25</v>
      </c>
      <c r="S127" s="29" t="str">
        <v>RFG1</v>
      </c>
    </row>
    <row r="128" spans="6:19" x14ac:dyDescent="0.25">
      <c r="F128" s="135"/>
      <c r="G128" s="143" t="s">
        <v>31</v>
      </c>
      <c r="H128" s="136" t="s">
        <v>27</v>
      </c>
      <c r="I128">
        <v>2030</v>
      </c>
      <c r="J128" s="100" t="s">
        <v>26</v>
      </c>
      <c r="L128" s="7">
        <v>0</v>
      </c>
      <c r="N128" t="s">
        <v>25</v>
      </c>
      <c r="S128" s="29" t="str">
        <v>AVG</v>
      </c>
    </row>
    <row r="129" spans="6:19" x14ac:dyDescent="0.25">
      <c r="F129" s="149"/>
      <c r="G129" s="143" t="s">
        <v>31</v>
      </c>
      <c r="H129" s="151" t="s">
        <v>27</v>
      </c>
      <c r="I129" s="152">
        <v>2035</v>
      </c>
      <c r="J129" s="153" t="s">
        <v>26</v>
      </c>
      <c r="K129" s="152"/>
      <c r="L129" s="147" cm="1">
        <f t="array" ref="L129:L135">+IF(I129&lt;$G$34,$K$7:$K$13,$K$24:$K$30)</f>
        <v>0.19800000000000001</v>
      </c>
      <c r="M129" s="152"/>
      <c r="N129" s="152" t="s">
        <v>25</v>
      </c>
      <c r="O129" s="152"/>
      <c r="P129" s="152"/>
      <c r="Q129" s="152"/>
      <c r="R129" s="152"/>
      <c r="S129" s="155" t="str" cm="1">
        <f t="array" ref="S129:S135">+$G$7:$G$13</f>
        <v>GSL</v>
      </c>
    </row>
    <row r="130" spans="6:19" x14ac:dyDescent="0.25">
      <c r="F130" s="149"/>
      <c r="G130" s="143" t="s">
        <v>31</v>
      </c>
      <c r="H130" s="151" t="s">
        <v>27</v>
      </c>
      <c r="I130" s="152">
        <v>2035</v>
      </c>
      <c r="J130" s="153" t="s">
        <v>26</v>
      </c>
      <c r="K130" s="152"/>
      <c r="L130" s="154">
        <v>0.34</v>
      </c>
      <c r="M130" s="152"/>
      <c r="N130" s="152" t="s">
        <v>25</v>
      </c>
      <c r="O130" s="152"/>
      <c r="P130" s="152"/>
      <c r="Q130" s="152"/>
      <c r="R130" s="152"/>
      <c r="S130" s="155" t="str">
        <v>DSL</v>
      </c>
    </row>
    <row r="131" spans="6:19" x14ac:dyDescent="0.25">
      <c r="F131" s="149"/>
      <c r="G131" s="143" t="s">
        <v>31</v>
      </c>
      <c r="H131" s="151" t="s">
        <v>27</v>
      </c>
      <c r="I131" s="152">
        <v>2035</v>
      </c>
      <c r="J131" s="153" t="s">
        <v>26</v>
      </c>
      <c r="K131" s="152"/>
      <c r="L131" s="154">
        <v>5.5999999999999994E-2</v>
      </c>
      <c r="M131" s="152"/>
      <c r="N131" s="152" t="s">
        <v>25</v>
      </c>
      <c r="O131" s="152"/>
      <c r="P131" s="152"/>
      <c r="Q131" s="152"/>
      <c r="R131" s="152"/>
      <c r="S131" s="155" t="str">
        <v>KER</v>
      </c>
    </row>
    <row r="132" spans="6:19" x14ac:dyDescent="0.25">
      <c r="F132" s="149"/>
      <c r="G132" s="143" t="s">
        <v>31</v>
      </c>
      <c r="H132" s="151" t="s">
        <v>27</v>
      </c>
      <c r="I132" s="152">
        <v>2035</v>
      </c>
      <c r="J132" s="153" t="s">
        <v>26</v>
      </c>
      <c r="K132" s="152"/>
      <c r="L132" s="154">
        <v>0.01</v>
      </c>
      <c r="M132" s="152"/>
      <c r="N132" s="152" t="s">
        <v>25</v>
      </c>
      <c r="O132" s="152"/>
      <c r="P132" s="152"/>
      <c r="Q132" s="152"/>
      <c r="R132" s="152"/>
      <c r="S132" s="155" t="str">
        <v>LPG</v>
      </c>
    </row>
    <row r="133" spans="6:19" x14ac:dyDescent="0.25">
      <c r="F133" s="149"/>
      <c r="G133" s="143" t="s">
        <v>31</v>
      </c>
      <c r="H133" s="151" t="s">
        <v>27</v>
      </c>
      <c r="I133" s="152">
        <v>2035</v>
      </c>
      <c r="J133" s="153" t="s">
        <v>26</v>
      </c>
      <c r="K133" s="152"/>
      <c r="L133" s="154">
        <v>9.0891443724778007E-3</v>
      </c>
      <c r="M133" s="152"/>
      <c r="N133" s="152" t="s">
        <v>25</v>
      </c>
      <c r="O133" s="152"/>
      <c r="P133" s="152"/>
      <c r="Q133" s="152"/>
      <c r="R133" s="152"/>
      <c r="S133" s="155" t="str">
        <v>HFO</v>
      </c>
    </row>
    <row r="134" spans="6:19" x14ac:dyDescent="0.25">
      <c r="F134" s="149"/>
      <c r="G134" s="143" t="s">
        <v>31</v>
      </c>
      <c r="H134" s="151" t="s">
        <v>27</v>
      </c>
      <c r="I134" s="152">
        <v>2035</v>
      </c>
      <c r="J134" s="153" t="s">
        <v>26</v>
      </c>
      <c r="K134" s="152"/>
      <c r="L134" s="154">
        <v>0</v>
      </c>
      <c r="M134" s="152"/>
      <c r="N134" s="152" t="s">
        <v>25</v>
      </c>
      <c r="O134" s="152"/>
      <c r="P134" s="152"/>
      <c r="Q134" s="152"/>
      <c r="R134" s="152"/>
      <c r="S134" s="155" t="str">
        <v>RFG1</v>
      </c>
    </row>
    <row r="135" spans="6:19" x14ac:dyDescent="0.25">
      <c r="F135" s="149"/>
      <c r="G135" s="143" t="s">
        <v>31</v>
      </c>
      <c r="H135" s="151" t="s">
        <v>27</v>
      </c>
      <c r="I135" s="152">
        <v>2035</v>
      </c>
      <c r="J135" s="153" t="s">
        <v>26</v>
      </c>
      <c r="K135" s="152"/>
      <c r="L135" s="154">
        <v>0</v>
      </c>
      <c r="M135" s="152"/>
      <c r="N135" s="152" t="s">
        <v>25</v>
      </c>
      <c r="O135" s="152"/>
      <c r="P135" s="152"/>
      <c r="Q135" s="152"/>
      <c r="R135" s="152"/>
      <c r="S135" s="155" t="str">
        <v>AVG</v>
      </c>
    </row>
    <row r="136" spans="6:19" x14ac:dyDescent="0.25">
      <c r="F136" s="132"/>
      <c r="G136" s="143" t="s">
        <v>31</v>
      </c>
      <c r="H136" s="133" t="s">
        <v>27</v>
      </c>
      <c r="I136" s="5">
        <v>2040</v>
      </c>
      <c r="J136" s="117" t="s">
        <v>26</v>
      </c>
      <c r="K136" s="5"/>
      <c r="L136" s="147" cm="1">
        <f t="array" ref="L136:L142">+IF(I136&lt;$G$34,$K$7:$K$13,$K$24:$K$30)</f>
        <v>0.19800000000000001</v>
      </c>
      <c r="M136" s="5"/>
      <c r="N136" s="5" t="s">
        <v>25</v>
      </c>
      <c r="O136" s="5"/>
      <c r="P136" s="5"/>
      <c r="Q136" s="5"/>
      <c r="R136" s="5"/>
      <c r="S136" s="134" t="str" cm="1">
        <f t="array" ref="S136:S142">+$G$7:$G$13</f>
        <v>GSL</v>
      </c>
    </row>
    <row r="137" spans="6:19" x14ac:dyDescent="0.25">
      <c r="F137" s="135"/>
      <c r="G137" s="143" t="s">
        <v>31</v>
      </c>
      <c r="H137" s="136" t="s">
        <v>27</v>
      </c>
      <c r="I137">
        <v>2040</v>
      </c>
      <c r="J137" s="100" t="s">
        <v>26</v>
      </c>
      <c r="L137" s="7">
        <v>0.34</v>
      </c>
      <c r="N137" t="s">
        <v>25</v>
      </c>
      <c r="S137" s="29" t="str">
        <v>DSL</v>
      </c>
    </row>
    <row r="138" spans="6:19" x14ac:dyDescent="0.25">
      <c r="F138" s="135"/>
      <c r="G138" s="143" t="s">
        <v>31</v>
      </c>
      <c r="H138" s="136" t="s">
        <v>27</v>
      </c>
      <c r="I138">
        <v>2040</v>
      </c>
      <c r="J138" s="100" t="s">
        <v>26</v>
      </c>
      <c r="L138" s="7">
        <v>5.5999999999999994E-2</v>
      </c>
      <c r="N138" t="s">
        <v>25</v>
      </c>
      <c r="S138" s="29" t="str">
        <v>KER</v>
      </c>
    </row>
    <row r="139" spans="6:19" x14ac:dyDescent="0.25">
      <c r="F139" s="135"/>
      <c r="G139" s="143" t="s">
        <v>31</v>
      </c>
      <c r="H139" s="136" t="s">
        <v>27</v>
      </c>
      <c r="I139">
        <v>2040</v>
      </c>
      <c r="J139" s="100" t="s">
        <v>26</v>
      </c>
      <c r="L139" s="7">
        <v>0.01</v>
      </c>
      <c r="N139" t="s">
        <v>25</v>
      </c>
      <c r="S139" s="29" t="str">
        <v>LPG</v>
      </c>
    </row>
    <row r="140" spans="6:19" x14ac:dyDescent="0.25">
      <c r="F140" s="135"/>
      <c r="G140" s="143" t="s">
        <v>31</v>
      </c>
      <c r="H140" s="136" t="s">
        <v>27</v>
      </c>
      <c r="I140">
        <v>2040</v>
      </c>
      <c r="J140" s="100" t="s">
        <v>26</v>
      </c>
      <c r="L140" s="7">
        <v>9.0891443724778007E-3</v>
      </c>
      <c r="N140" t="s">
        <v>25</v>
      </c>
      <c r="S140" s="29" t="str">
        <v>HFO</v>
      </c>
    </row>
    <row r="141" spans="6:19" x14ac:dyDescent="0.25">
      <c r="F141" s="135"/>
      <c r="G141" s="143" t="s">
        <v>31</v>
      </c>
      <c r="H141" s="136" t="s">
        <v>27</v>
      </c>
      <c r="I141">
        <v>2040</v>
      </c>
      <c r="J141" s="100" t="s">
        <v>26</v>
      </c>
      <c r="L141" s="7">
        <v>0</v>
      </c>
      <c r="N141" t="s">
        <v>25</v>
      </c>
      <c r="S141" s="29" t="str">
        <v>RFG1</v>
      </c>
    </row>
    <row r="142" spans="6:19" x14ac:dyDescent="0.25">
      <c r="F142" s="135"/>
      <c r="G142" s="143" t="s">
        <v>31</v>
      </c>
      <c r="H142" s="136" t="s">
        <v>27</v>
      </c>
      <c r="I142">
        <v>2040</v>
      </c>
      <c r="J142" s="100" t="s">
        <v>26</v>
      </c>
      <c r="L142" s="7">
        <v>0</v>
      </c>
      <c r="N142" t="s">
        <v>25</v>
      </c>
      <c r="S142" s="29" t="str">
        <v>AVG</v>
      </c>
    </row>
    <row r="143" spans="6:19" x14ac:dyDescent="0.25">
      <c r="F143" s="149"/>
      <c r="G143" s="143" t="s">
        <v>31</v>
      </c>
      <c r="H143" s="151" t="s">
        <v>27</v>
      </c>
      <c r="I143" s="152">
        <v>2045</v>
      </c>
      <c r="J143" s="153" t="s">
        <v>26</v>
      </c>
      <c r="K143" s="152"/>
      <c r="L143" s="147" cm="1">
        <f t="array" ref="L143:L149">+IF(I143&lt;$G$34,$K$7:$K$13,$K$24:$K$30)</f>
        <v>0.19800000000000001</v>
      </c>
      <c r="M143" s="152"/>
      <c r="N143" s="152" t="s">
        <v>25</v>
      </c>
      <c r="O143" s="152"/>
      <c r="P143" s="152"/>
      <c r="Q143" s="152"/>
      <c r="R143" s="152"/>
      <c r="S143" s="155" t="str" cm="1">
        <f t="array" ref="S143:S149">+$G$7:$G$13</f>
        <v>GSL</v>
      </c>
    </row>
    <row r="144" spans="6:19" x14ac:dyDescent="0.25">
      <c r="F144" s="149"/>
      <c r="G144" s="143" t="s">
        <v>31</v>
      </c>
      <c r="H144" s="151" t="s">
        <v>27</v>
      </c>
      <c r="I144" s="152">
        <v>2045</v>
      </c>
      <c r="J144" s="153" t="s">
        <v>26</v>
      </c>
      <c r="K144" s="152"/>
      <c r="L144" s="154">
        <v>0.34</v>
      </c>
      <c r="M144" s="152"/>
      <c r="N144" s="152" t="s">
        <v>25</v>
      </c>
      <c r="O144" s="152"/>
      <c r="P144" s="152"/>
      <c r="Q144" s="152"/>
      <c r="R144" s="152"/>
      <c r="S144" s="155" t="str">
        <v>DSL</v>
      </c>
    </row>
    <row r="145" spans="6:19" x14ac:dyDescent="0.25">
      <c r="F145" s="149"/>
      <c r="G145" s="143" t="s">
        <v>31</v>
      </c>
      <c r="H145" s="151" t="s">
        <v>27</v>
      </c>
      <c r="I145" s="152">
        <v>2045</v>
      </c>
      <c r="J145" s="153" t="s">
        <v>26</v>
      </c>
      <c r="K145" s="152"/>
      <c r="L145" s="154">
        <v>5.5999999999999994E-2</v>
      </c>
      <c r="M145" s="152"/>
      <c r="N145" s="152" t="s">
        <v>25</v>
      </c>
      <c r="O145" s="152"/>
      <c r="P145" s="152"/>
      <c r="Q145" s="152"/>
      <c r="R145" s="152"/>
      <c r="S145" s="155" t="str">
        <v>KER</v>
      </c>
    </row>
    <row r="146" spans="6:19" x14ac:dyDescent="0.25">
      <c r="F146" s="149"/>
      <c r="G146" s="143" t="s">
        <v>31</v>
      </c>
      <c r="H146" s="151" t="s">
        <v>27</v>
      </c>
      <c r="I146" s="152">
        <v>2045</v>
      </c>
      <c r="J146" s="153" t="s">
        <v>26</v>
      </c>
      <c r="K146" s="152"/>
      <c r="L146" s="154">
        <v>0.01</v>
      </c>
      <c r="M146" s="152"/>
      <c r="N146" s="152" t="s">
        <v>25</v>
      </c>
      <c r="O146" s="152"/>
      <c r="P146" s="152"/>
      <c r="Q146" s="152"/>
      <c r="R146" s="152"/>
      <c r="S146" s="155" t="str">
        <v>LPG</v>
      </c>
    </row>
    <row r="147" spans="6:19" x14ac:dyDescent="0.25">
      <c r="F147" s="149"/>
      <c r="G147" s="143" t="s">
        <v>31</v>
      </c>
      <c r="H147" s="151" t="s">
        <v>27</v>
      </c>
      <c r="I147" s="152">
        <v>2045</v>
      </c>
      <c r="J147" s="153" t="s">
        <v>26</v>
      </c>
      <c r="K147" s="152"/>
      <c r="L147" s="154">
        <v>9.0891443724778007E-3</v>
      </c>
      <c r="M147" s="152"/>
      <c r="N147" s="152" t="s">
        <v>25</v>
      </c>
      <c r="O147" s="152"/>
      <c r="P147" s="152"/>
      <c r="Q147" s="152"/>
      <c r="R147" s="152"/>
      <c r="S147" s="155" t="str">
        <v>HFO</v>
      </c>
    </row>
    <row r="148" spans="6:19" x14ac:dyDescent="0.25">
      <c r="F148" s="149"/>
      <c r="G148" s="143" t="s">
        <v>31</v>
      </c>
      <c r="H148" s="151" t="s">
        <v>27</v>
      </c>
      <c r="I148" s="152">
        <v>2045</v>
      </c>
      <c r="J148" s="153" t="s">
        <v>26</v>
      </c>
      <c r="K148" s="152"/>
      <c r="L148" s="154">
        <v>0</v>
      </c>
      <c r="M148" s="152"/>
      <c r="N148" s="152" t="s">
        <v>25</v>
      </c>
      <c r="O148" s="152"/>
      <c r="P148" s="152"/>
      <c r="Q148" s="152"/>
      <c r="R148" s="152"/>
      <c r="S148" s="155" t="str">
        <v>RFG1</v>
      </c>
    </row>
    <row r="149" spans="6:19" x14ac:dyDescent="0.25">
      <c r="F149" s="149"/>
      <c r="G149" s="143" t="s">
        <v>31</v>
      </c>
      <c r="H149" s="151" t="s">
        <v>27</v>
      </c>
      <c r="I149" s="152">
        <v>2045</v>
      </c>
      <c r="J149" s="153" t="s">
        <v>26</v>
      </c>
      <c r="K149" s="152"/>
      <c r="L149" s="154">
        <v>0</v>
      </c>
      <c r="M149" s="152"/>
      <c r="N149" s="152" t="s">
        <v>25</v>
      </c>
      <c r="O149" s="152"/>
      <c r="P149" s="152"/>
      <c r="Q149" s="152"/>
      <c r="R149" s="152"/>
      <c r="S149" s="155" t="str">
        <v>AVG</v>
      </c>
    </row>
    <row r="150" spans="6:19" x14ac:dyDescent="0.25">
      <c r="F150" s="132"/>
      <c r="G150" s="143" t="s">
        <v>31</v>
      </c>
      <c r="H150" s="133" t="s">
        <v>27</v>
      </c>
      <c r="I150" s="5">
        <v>2050</v>
      </c>
      <c r="J150" s="117" t="s">
        <v>26</v>
      </c>
      <c r="K150" s="5"/>
      <c r="L150" s="147" cm="1">
        <f t="array" ref="L150:L156">+IF(I150&lt;$G$34,$K$7:$K$13,$K$24:$K$30)</f>
        <v>0.19800000000000001</v>
      </c>
      <c r="M150" s="5"/>
      <c r="N150" s="5" t="s">
        <v>25</v>
      </c>
      <c r="O150" s="5"/>
      <c r="P150" s="5"/>
      <c r="Q150" s="5"/>
      <c r="R150" s="5"/>
      <c r="S150" s="134" t="str" cm="1">
        <f t="array" ref="S150:S156">+$G$7:$G$13</f>
        <v>GSL</v>
      </c>
    </row>
    <row r="151" spans="6:19" x14ac:dyDescent="0.25">
      <c r="F151" s="135"/>
      <c r="G151" s="143" t="s">
        <v>31</v>
      </c>
      <c r="H151" s="136" t="s">
        <v>27</v>
      </c>
      <c r="I151">
        <v>2050</v>
      </c>
      <c r="J151" s="100" t="s">
        <v>26</v>
      </c>
      <c r="L151" s="7">
        <v>0.34</v>
      </c>
      <c r="N151" t="s">
        <v>25</v>
      </c>
      <c r="S151" s="29" t="str">
        <v>DSL</v>
      </c>
    </row>
    <row r="152" spans="6:19" x14ac:dyDescent="0.25">
      <c r="F152" s="135"/>
      <c r="G152" s="143" t="s">
        <v>31</v>
      </c>
      <c r="H152" s="136" t="s">
        <v>27</v>
      </c>
      <c r="I152">
        <v>2050</v>
      </c>
      <c r="J152" s="100" t="s">
        <v>26</v>
      </c>
      <c r="L152" s="7">
        <v>5.5999999999999994E-2</v>
      </c>
      <c r="N152" t="s">
        <v>25</v>
      </c>
      <c r="S152" s="29" t="str">
        <v>KER</v>
      </c>
    </row>
    <row r="153" spans="6:19" x14ac:dyDescent="0.25">
      <c r="F153" s="135"/>
      <c r="G153" s="143" t="s">
        <v>31</v>
      </c>
      <c r="H153" s="136" t="s">
        <v>27</v>
      </c>
      <c r="I153">
        <v>2050</v>
      </c>
      <c r="J153" s="100" t="s">
        <v>26</v>
      </c>
      <c r="L153" s="7">
        <v>0.01</v>
      </c>
      <c r="N153" t="s">
        <v>25</v>
      </c>
      <c r="S153" s="29" t="str">
        <v>LPG</v>
      </c>
    </row>
    <row r="154" spans="6:19" x14ac:dyDescent="0.25">
      <c r="F154" s="135"/>
      <c r="G154" s="143" t="s">
        <v>31</v>
      </c>
      <c r="H154" s="136" t="s">
        <v>27</v>
      </c>
      <c r="I154">
        <v>2050</v>
      </c>
      <c r="J154" s="100" t="s">
        <v>26</v>
      </c>
      <c r="L154" s="7">
        <v>9.0891443724778007E-3</v>
      </c>
      <c r="N154" t="s">
        <v>25</v>
      </c>
      <c r="S154" s="29" t="str">
        <v>HFO</v>
      </c>
    </row>
    <row r="155" spans="6:19" x14ac:dyDescent="0.25">
      <c r="F155" s="135"/>
      <c r="G155" s="143" t="s">
        <v>31</v>
      </c>
      <c r="H155" s="136" t="s">
        <v>27</v>
      </c>
      <c r="I155">
        <v>2050</v>
      </c>
      <c r="J155" s="100" t="s">
        <v>26</v>
      </c>
      <c r="L155" s="7">
        <v>0</v>
      </c>
      <c r="N155" t="s">
        <v>25</v>
      </c>
      <c r="S155" s="29" t="str">
        <v>RFG1</v>
      </c>
    </row>
    <row r="156" spans="6:19" x14ac:dyDescent="0.25">
      <c r="F156" s="137"/>
      <c r="G156" s="143" t="s">
        <v>31</v>
      </c>
      <c r="H156" s="122" t="s">
        <v>27</v>
      </c>
      <c r="I156" s="122">
        <v>2050</v>
      </c>
      <c r="J156" s="138" t="s">
        <v>26</v>
      </c>
      <c r="K156" s="122"/>
      <c r="L156" s="139">
        <v>0</v>
      </c>
      <c r="M156" s="122"/>
      <c r="N156" s="122" t="s">
        <v>25</v>
      </c>
      <c r="O156" s="122"/>
      <c r="P156" s="122"/>
      <c r="Q156" s="122"/>
      <c r="R156" s="122"/>
      <c r="S156" s="30" t="str">
        <v>AVG</v>
      </c>
    </row>
  </sheetData>
  <mergeCells count="3">
    <mergeCell ref="H6:J6"/>
    <mergeCell ref="H23:J23"/>
    <mergeCell ref="K23:M23"/>
  </mergeCells>
  <conditionalFormatting sqref="AB53:AC59">
    <cfRule type="duplicateValues" dxfId="3" priority="2"/>
  </conditionalFormatting>
  <conditionalFormatting sqref="AB65:AC71">
    <cfRule type="duplicateValues" dxfId="2" priority="1"/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4E9F-B8A7-42E2-A875-96B50B92EAE9}">
  <sheetPr>
    <tabColor rgb="FFFF0000"/>
  </sheetPr>
  <dimension ref="A1:BF156"/>
  <sheetViews>
    <sheetView showGridLines="0" tabSelected="1" topLeftCell="A5" zoomScale="115" zoomScaleNormal="115" workbookViewId="0">
      <selection activeCell="C20" sqref="C20"/>
    </sheetView>
  </sheetViews>
  <sheetFormatPr baseColWidth="10" defaultColWidth="9.140625" defaultRowHeight="15" x14ac:dyDescent="0.25"/>
  <cols>
    <col min="8" max="8" width="11.85546875" customWidth="1"/>
    <col min="9" max="9" width="11.28515625" customWidth="1"/>
    <col min="10" max="10" width="11.5703125" customWidth="1"/>
    <col min="11" max="11" width="15.28515625" customWidth="1"/>
    <col min="15" max="15" width="11.85546875" customWidth="1"/>
    <col min="20" max="20" width="20.28515625" bestFit="1" customWidth="1"/>
  </cols>
  <sheetData>
    <row r="1" spans="5:58" ht="15.75" thickBot="1" x14ac:dyDescent="0.3"/>
    <row r="2" spans="5:58" x14ac:dyDescent="0.25">
      <c r="F2" s="92"/>
      <c r="G2" s="93"/>
      <c r="H2" s="93"/>
      <c r="I2" s="93"/>
      <c r="J2" s="93"/>
      <c r="K2" s="93"/>
      <c r="L2" s="93"/>
      <c r="M2" s="94"/>
      <c r="Q2" s="92"/>
      <c r="R2" s="93"/>
      <c r="S2" s="93"/>
      <c r="T2" s="93"/>
      <c r="U2" s="93"/>
      <c r="V2" s="94"/>
    </row>
    <row r="3" spans="5:58" ht="18.75" x14ac:dyDescent="0.3">
      <c r="F3" s="95"/>
      <c r="G3" s="96" t="s">
        <v>28</v>
      </c>
      <c r="H3" s="97">
        <v>100</v>
      </c>
      <c r="I3" s="98"/>
      <c r="M3" s="99"/>
      <c r="Q3" s="95"/>
      <c r="R3" s="100" t="s">
        <v>142</v>
      </c>
      <c r="S3" s="100"/>
      <c r="T3" s="100"/>
      <c r="U3" s="100"/>
      <c r="V3" s="99"/>
    </row>
    <row r="4" spans="5:58" x14ac:dyDescent="0.25">
      <c r="F4" s="95"/>
      <c r="I4" s="100" t="s">
        <v>45</v>
      </c>
      <c r="J4" s="100" t="s">
        <v>141</v>
      </c>
      <c r="K4" s="100" t="s">
        <v>46</v>
      </c>
      <c r="L4" t="s">
        <v>45</v>
      </c>
      <c r="M4" s="99"/>
      <c r="Q4" s="95"/>
      <c r="S4" s="23"/>
      <c r="V4" s="99"/>
    </row>
    <row r="5" spans="5:58" x14ac:dyDescent="0.25">
      <c r="F5" s="95"/>
      <c r="H5" s="2"/>
      <c r="I5" s="101"/>
      <c r="M5" s="99"/>
      <c r="Q5" s="95"/>
      <c r="R5" s="107" t="s">
        <v>30</v>
      </c>
      <c r="S5" s="107"/>
      <c r="V5" s="99"/>
      <c r="AB5" t="s">
        <v>32</v>
      </c>
      <c r="AC5" t="s">
        <v>33</v>
      </c>
    </row>
    <row r="6" spans="5:58" x14ac:dyDescent="0.25">
      <c r="F6" s="95"/>
      <c r="G6" s="3" t="s">
        <v>16</v>
      </c>
      <c r="H6" s="4" t="s">
        <v>17</v>
      </c>
      <c r="I6" s="185" t="s">
        <v>18</v>
      </c>
      <c r="J6" s="186"/>
      <c r="K6" s="187"/>
      <c r="L6" s="126" t="s">
        <v>31</v>
      </c>
      <c r="M6" s="99"/>
      <c r="Q6" s="95"/>
      <c r="R6" s="108" t="s">
        <v>31</v>
      </c>
      <c r="S6" s="108" t="s">
        <v>18</v>
      </c>
      <c r="T6" s="109">
        <v>2019</v>
      </c>
      <c r="V6" s="99"/>
      <c r="AB6" t="s">
        <v>3</v>
      </c>
      <c r="AC6" t="s">
        <v>34</v>
      </c>
      <c r="AD6">
        <v>2019</v>
      </c>
      <c r="AE6">
        <v>2020</v>
      </c>
      <c r="AF6">
        <v>2023</v>
      </c>
      <c r="AG6">
        <v>2025</v>
      </c>
      <c r="AH6">
        <v>2027</v>
      </c>
      <c r="AI6">
        <v>2030</v>
      </c>
      <c r="AJ6">
        <v>2033</v>
      </c>
      <c r="AK6">
        <v>2035</v>
      </c>
      <c r="AL6">
        <v>2037</v>
      </c>
      <c r="AM6">
        <v>2040</v>
      </c>
    </row>
    <row r="7" spans="5:58" x14ac:dyDescent="0.25">
      <c r="E7" s="176">
        <v>0.31052010338168218</v>
      </c>
      <c r="F7" s="95"/>
      <c r="G7" s="116" t="s">
        <v>25</v>
      </c>
      <c r="H7" s="5" t="s">
        <v>19</v>
      </c>
      <c r="I7" s="123">
        <f>Refineries_Base!H20</f>
        <v>0.31052010338168201</v>
      </c>
      <c r="J7" s="118">
        <f>I7*$H$3*1000/Fuels!$F$29</f>
        <v>5825.8931216075425</v>
      </c>
      <c r="K7" s="119">
        <f>J7/SUM($J$7:$J$11)</f>
        <v>0.32400441593000112</v>
      </c>
      <c r="L7" s="127">
        <v>0</v>
      </c>
      <c r="M7" s="99"/>
      <c r="Q7" s="115" t="s">
        <v>19</v>
      </c>
      <c r="R7" s="110">
        <v>0.29846</v>
      </c>
      <c r="S7" s="7">
        <f>+T7</f>
        <v>0.32140607030351515</v>
      </c>
      <c r="T7" s="111">
        <f t="shared" ref="T7:T13" si="0">+U7/$U$14</f>
        <v>0.32140607030351515</v>
      </c>
      <c r="U7" s="28">
        <v>0.32139000000000001</v>
      </c>
      <c r="V7" s="99"/>
      <c r="AB7" t="s">
        <v>35</v>
      </c>
      <c r="AC7" t="s">
        <v>36</v>
      </c>
      <c r="AD7">
        <v>26807.297628836499</v>
      </c>
      <c r="AE7">
        <v>28536.800701664601</v>
      </c>
      <c r="AF7">
        <v>28536.800701664601</v>
      </c>
      <c r="AG7">
        <v>28536.800701664601</v>
      </c>
      <c r="AH7">
        <v>28536.800701664601</v>
      </c>
      <c r="AI7">
        <v>28536.800701664601</v>
      </c>
      <c r="AJ7">
        <v>28536.800701664601</v>
      </c>
      <c r="AK7">
        <v>28536.800701664601</v>
      </c>
      <c r="AL7">
        <v>28536.800701664601</v>
      </c>
      <c r="AM7">
        <v>28536.800701664601</v>
      </c>
      <c r="BF7">
        <v>2020</v>
      </c>
    </row>
    <row r="8" spans="5:58" x14ac:dyDescent="0.25">
      <c r="E8" s="176">
        <v>0.33541951350449545</v>
      </c>
      <c r="F8" s="95"/>
      <c r="G8" s="117"/>
      <c r="H8" s="5" t="s">
        <v>20</v>
      </c>
      <c r="I8" s="123">
        <f>Refineries_Base!H21</f>
        <v>0.335419513504495</v>
      </c>
      <c r="J8" s="120">
        <f>I8*$H$3*1000/Fuels!$F$30</f>
        <v>5915.6880688623469</v>
      </c>
      <c r="K8" s="119">
        <f t="shared" ref="K8:K11" si="1">J8/SUM($J$7:$J$11)</f>
        <v>0.32899832138474627</v>
      </c>
      <c r="L8" s="127">
        <v>0</v>
      </c>
      <c r="M8" s="99"/>
      <c r="Q8" s="115" t="s">
        <v>20</v>
      </c>
      <c r="R8" s="110">
        <f>+T8</f>
        <v>0.32905645282264107</v>
      </c>
      <c r="S8" s="110">
        <v>0.34239999999999998</v>
      </c>
      <c r="T8" s="111">
        <f t="shared" si="0"/>
        <v>0.32905645282264107</v>
      </c>
      <c r="U8" s="28">
        <v>0.32904</v>
      </c>
      <c r="V8" s="99"/>
      <c r="AB8" t="s">
        <v>35</v>
      </c>
      <c r="AC8" t="s">
        <v>20</v>
      </c>
      <c r="AD8">
        <v>183.11309693020999</v>
      </c>
      <c r="AE8">
        <v>179.33269750971499</v>
      </c>
      <c r="AF8">
        <v>179.33269750971499</v>
      </c>
      <c r="AG8">
        <v>179.33269750971499</v>
      </c>
      <c r="AH8">
        <v>179.33269750971499</v>
      </c>
      <c r="AI8">
        <v>179.33269750971499</v>
      </c>
      <c r="AJ8">
        <v>179.33269750971499</v>
      </c>
      <c r="AK8">
        <v>179.33269750971499</v>
      </c>
      <c r="AL8">
        <v>179.33269750971499</v>
      </c>
      <c r="AM8">
        <v>179.33269750971499</v>
      </c>
      <c r="BF8">
        <v>2025</v>
      </c>
    </row>
    <row r="9" spans="5:58" x14ac:dyDescent="0.25">
      <c r="E9" s="176">
        <v>8.3862120957725647E-2</v>
      </c>
      <c r="F9" s="95"/>
      <c r="G9" s="117"/>
      <c r="H9" s="5" t="s">
        <v>21</v>
      </c>
      <c r="I9" s="123">
        <f>Refineries_Base!H22</f>
        <v>8.3862120957725605E-2</v>
      </c>
      <c r="J9" s="120">
        <f>I9*$H$3*1000/Fuels!$F$31</f>
        <v>1780.5121222447049</v>
      </c>
      <c r="K9" s="119">
        <f t="shared" si="1"/>
        <v>9.9022377888216329E-2</v>
      </c>
      <c r="L9" s="127">
        <v>0</v>
      </c>
      <c r="M9" s="99"/>
      <c r="Q9" s="115" t="s">
        <v>21</v>
      </c>
      <c r="R9" s="110">
        <f>+T9</f>
        <v>7.9603980199009952E-2</v>
      </c>
      <c r="S9" s="110">
        <v>8.0479999999999996E-2</v>
      </c>
      <c r="T9" s="111">
        <f t="shared" si="0"/>
        <v>7.9603980199009952E-2</v>
      </c>
      <c r="U9" s="28">
        <v>7.9600000000000004E-2</v>
      </c>
      <c r="V9" s="99"/>
      <c r="AB9" t="s">
        <v>35</v>
      </c>
      <c r="AC9" t="s">
        <v>19</v>
      </c>
      <c r="AD9">
        <v>81.431471340728706</v>
      </c>
      <c r="AE9">
        <v>129.52888858174501</v>
      </c>
      <c r="AF9">
        <v>129.52888858174501</v>
      </c>
      <c r="AG9">
        <v>129.52888858174501</v>
      </c>
      <c r="AH9">
        <v>129.52888858174501</v>
      </c>
      <c r="AI9">
        <v>129.52888858174501</v>
      </c>
      <c r="AJ9">
        <v>129.52888858174501</v>
      </c>
      <c r="AK9">
        <v>129.52888858174501</v>
      </c>
      <c r="AL9">
        <v>129.52888858174501</v>
      </c>
      <c r="AM9">
        <v>129.52888858174501</v>
      </c>
      <c r="BF9">
        <v>2030</v>
      </c>
    </row>
    <row r="10" spans="5:58" x14ac:dyDescent="0.25">
      <c r="E10" s="176">
        <v>1.6326881938927798E-2</v>
      </c>
      <c r="F10" s="95"/>
      <c r="G10" s="117"/>
      <c r="H10" s="5" t="s">
        <v>22</v>
      </c>
      <c r="I10" s="123">
        <f>Refineries_Base!H23</f>
        <v>1.6326881938927802E-2</v>
      </c>
      <c r="J10" s="120">
        <f>I10*$H$3*1000/Fuels!$F$32</f>
        <v>402.13994923467499</v>
      </c>
      <c r="K10" s="119">
        <f t="shared" si="1"/>
        <v>2.236483173552431E-2</v>
      </c>
      <c r="L10" s="127">
        <v>0</v>
      </c>
      <c r="M10" s="99"/>
      <c r="Q10" s="115" t="s">
        <v>22</v>
      </c>
      <c r="R10" s="110">
        <f>+T10</f>
        <v>2.6001300065003247E-2</v>
      </c>
      <c r="S10" s="110">
        <v>6.9000000000000006E-2</v>
      </c>
      <c r="T10" s="111">
        <f t="shared" si="0"/>
        <v>2.6001300065003247E-2</v>
      </c>
      <c r="U10" s="28">
        <v>2.5999999999999999E-2</v>
      </c>
      <c r="V10" s="99"/>
      <c r="AB10" t="s">
        <v>35</v>
      </c>
      <c r="AC10" t="s">
        <v>23</v>
      </c>
      <c r="AD10">
        <v>3.4468347657451202</v>
      </c>
      <c r="BF10">
        <v>2035</v>
      </c>
    </row>
    <row r="11" spans="5:58" x14ac:dyDescent="0.25">
      <c r="E11" s="176">
        <v>0.22149436101913275</v>
      </c>
      <c r="F11" s="95"/>
      <c r="G11" s="117"/>
      <c r="H11" s="5" t="s">
        <v>23</v>
      </c>
      <c r="I11" s="123">
        <f>Refineries_Base!H24</f>
        <v>0.221494361019133</v>
      </c>
      <c r="J11" s="120">
        <f>I11*$H$3*1000/Fuels!$F$33</f>
        <v>4056.6732787386995</v>
      </c>
      <c r="K11" s="119">
        <f t="shared" si="1"/>
        <v>0.22561005306151191</v>
      </c>
      <c r="L11" s="127">
        <v>0</v>
      </c>
      <c r="M11" s="99"/>
      <c r="Q11" s="115" t="s">
        <v>23</v>
      </c>
      <c r="R11" s="110">
        <v>0.15797</v>
      </c>
      <c r="S11" s="110">
        <f>+T11</f>
        <v>0.20093004650232507</v>
      </c>
      <c r="T11" s="111">
        <f t="shared" si="0"/>
        <v>0.20093004650232507</v>
      </c>
      <c r="U11" s="28">
        <v>0.20091999999999999</v>
      </c>
      <c r="V11" s="99"/>
      <c r="AB11" t="s">
        <v>35</v>
      </c>
      <c r="AC11" t="s">
        <v>21</v>
      </c>
      <c r="AD11">
        <v>19.101209326837601</v>
      </c>
      <c r="AE11">
        <v>7.2168033988823197</v>
      </c>
      <c r="AF11">
        <v>7.2168033988823197</v>
      </c>
      <c r="AG11">
        <v>7.2168033988823197</v>
      </c>
      <c r="AH11">
        <v>7.2168033988823197</v>
      </c>
      <c r="AI11">
        <v>7.2168033988823197</v>
      </c>
      <c r="AJ11">
        <v>7.2168033988823197</v>
      </c>
      <c r="AK11">
        <v>7.2168033988823197</v>
      </c>
      <c r="AL11">
        <v>7.2168033988823197</v>
      </c>
      <c r="AM11">
        <v>7.2168033988823197</v>
      </c>
      <c r="BF11">
        <v>2040</v>
      </c>
    </row>
    <row r="12" spans="5:58" x14ac:dyDescent="0.25">
      <c r="E12" s="176">
        <v>3.2377019198036219E-2</v>
      </c>
      <c r="F12" s="95"/>
      <c r="G12" s="117"/>
      <c r="H12" s="5" t="s">
        <v>39</v>
      </c>
      <c r="I12" s="124">
        <f>Refineries_Base!H25</f>
        <v>3.2377019198036198E-2</v>
      </c>
      <c r="J12" s="157"/>
      <c r="K12" s="158"/>
      <c r="L12" s="127">
        <v>0</v>
      </c>
      <c r="M12" s="99"/>
      <c r="Q12" s="115" t="s">
        <v>39</v>
      </c>
      <c r="R12" s="110">
        <f>+T12</f>
        <v>4.2002100105005248E-2</v>
      </c>
      <c r="S12" s="110">
        <v>5.0700000000000002E-2</v>
      </c>
      <c r="T12" s="111">
        <f t="shared" si="0"/>
        <v>4.2002100105005248E-2</v>
      </c>
      <c r="U12" s="28">
        <v>4.2000000000000003E-2</v>
      </c>
      <c r="V12" s="99"/>
      <c r="AB12" t="s">
        <v>35</v>
      </c>
      <c r="AC12" t="s">
        <v>22</v>
      </c>
      <c r="AD12">
        <v>6.4628151857721097</v>
      </c>
      <c r="AE12">
        <v>5.8478053535776597</v>
      </c>
      <c r="AF12">
        <v>5.8478053535776597</v>
      </c>
      <c r="AG12">
        <v>5.8478053535776597</v>
      </c>
      <c r="AH12">
        <v>5.8478053535776597</v>
      </c>
      <c r="AI12">
        <v>5.8478053535776597</v>
      </c>
      <c r="AJ12">
        <v>5.8478053535776597</v>
      </c>
      <c r="AK12">
        <v>5.8478053535776597</v>
      </c>
      <c r="AL12">
        <v>5.8478053535776597</v>
      </c>
      <c r="AM12">
        <v>5.8478053535776597</v>
      </c>
      <c r="BF12">
        <v>2045</v>
      </c>
    </row>
    <row r="13" spans="5:58" x14ac:dyDescent="0.25">
      <c r="F13" s="95"/>
      <c r="G13" s="117"/>
      <c r="H13" s="5" t="s">
        <v>38</v>
      </c>
      <c r="I13" s="125">
        <v>0</v>
      </c>
      <c r="J13" s="159"/>
      <c r="K13" s="160"/>
      <c r="L13" s="127">
        <v>0</v>
      </c>
      <c r="M13" s="99"/>
      <c r="Q13" s="115" t="s">
        <v>38</v>
      </c>
      <c r="R13" s="110">
        <v>1E-3</v>
      </c>
      <c r="S13" s="110">
        <v>1E-3</v>
      </c>
      <c r="T13" s="111">
        <f t="shared" si="0"/>
        <v>1.0000500025001248E-3</v>
      </c>
      <c r="U13" s="28">
        <v>1E-3</v>
      </c>
      <c r="V13" s="99"/>
      <c r="BF13">
        <v>2050</v>
      </c>
    </row>
    <row r="14" spans="5:58" x14ac:dyDescent="0.25">
      <c r="F14" s="95"/>
      <c r="I14" s="6">
        <f>SUM(I7:I13)</f>
        <v>0.99999999999999967</v>
      </c>
      <c r="K14" s="17"/>
      <c r="M14" s="99"/>
      <c r="Q14" s="95"/>
      <c r="R14" s="17">
        <f>+SUM(R7:R13)</f>
        <v>0.93409383319165962</v>
      </c>
      <c r="S14" s="112">
        <f t="shared" ref="S14" si="2">+SUM(S7:S12)</f>
        <v>1.0649161168058403</v>
      </c>
      <c r="T14" s="113">
        <f>+SUM(T7:T13)</f>
        <v>0.99999999999999989</v>
      </c>
      <c r="U14" s="28">
        <f>+SUM(U7:U13)</f>
        <v>0.99995000000000012</v>
      </c>
      <c r="V14" s="99"/>
      <c r="AB14" t="s">
        <v>35</v>
      </c>
      <c r="AC14" t="s">
        <v>24</v>
      </c>
      <c r="AD14">
        <v>11.6330673343898</v>
      </c>
      <c r="AE14">
        <v>2.9518803548388002</v>
      </c>
      <c r="AF14">
        <v>2.9518803548388002</v>
      </c>
      <c r="AG14">
        <v>2.9518803548388002</v>
      </c>
      <c r="AH14">
        <v>2.9518803548388002</v>
      </c>
      <c r="AI14">
        <v>2.9518803548388002</v>
      </c>
      <c r="AJ14">
        <v>2.9518803548388002</v>
      </c>
      <c r="AK14">
        <v>2.9518803548388002</v>
      </c>
      <c r="AL14">
        <v>2.9518803548388002</v>
      </c>
      <c r="AM14">
        <v>2.9518803548388002</v>
      </c>
    </row>
    <row r="15" spans="5:58" ht="15.75" thickBot="1" x14ac:dyDescent="0.3">
      <c r="F15" s="102"/>
      <c r="G15" s="103"/>
      <c r="H15" s="103"/>
      <c r="I15" s="104"/>
      <c r="J15" s="103"/>
      <c r="K15" s="103"/>
      <c r="L15" s="105"/>
      <c r="M15" s="106"/>
      <c r="N15" s="27"/>
      <c r="O15" s="28"/>
      <c r="Q15" s="95"/>
      <c r="V15" s="99"/>
    </row>
    <row r="16" spans="5:58" ht="15.75" thickBot="1" x14ac:dyDescent="0.3">
      <c r="I16" s="6"/>
      <c r="L16" s="17"/>
      <c r="M16" s="121"/>
      <c r="N16" s="27"/>
      <c r="O16" s="28"/>
      <c r="Q16" s="102"/>
      <c r="R16" s="103"/>
      <c r="S16" s="103"/>
      <c r="T16" s="103"/>
      <c r="U16" s="103"/>
      <c r="V16" s="114"/>
    </row>
    <row r="17" spans="1:39" x14ac:dyDescent="0.25">
      <c r="I17" s="6"/>
      <c r="L17" s="17"/>
      <c r="M17" s="26"/>
      <c r="N17" s="27"/>
      <c r="O17" s="28"/>
    </row>
    <row r="18" spans="1:39" ht="15.75" thickBot="1" x14ac:dyDescent="0.3">
      <c r="I18" s="6"/>
      <c r="L18" s="17"/>
      <c r="M18" s="26"/>
      <c r="N18" s="27"/>
      <c r="O18" s="28"/>
    </row>
    <row r="19" spans="1:39" x14ac:dyDescent="0.25">
      <c r="F19" s="92"/>
      <c r="G19" s="93"/>
      <c r="H19" s="93"/>
      <c r="I19" s="93"/>
      <c r="J19" s="93"/>
      <c r="K19" s="93"/>
      <c r="L19" s="93"/>
      <c r="M19" s="93"/>
      <c r="N19" s="93"/>
      <c r="O19" s="94"/>
    </row>
    <row r="20" spans="1:39" ht="18.75" x14ac:dyDescent="0.3">
      <c r="F20" s="95"/>
      <c r="G20" s="96" t="s">
        <v>28</v>
      </c>
      <c r="H20" s="97">
        <v>100</v>
      </c>
      <c r="I20" s="98"/>
      <c r="N20" s="27"/>
      <c r="O20" s="99"/>
    </row>
    <row r="21" spans="1:39" x14ac:dyDescent="0.25">
      <c r="F21" s="95"/>
      <c r="I21" s="100" t="s">
        <v>45</v>
      </c>
      <c r="J21" s="100" t="s">
        <v>141</v>
      </c>
      <c r="K21" s="100" t="s">
        <v>46</v>
      </c>
      <c r="L21" t="s">
        <v>45</v>
      </c>
      <c r="M21" s="100" t="s">
        <v>141</v>
      </c>
      <c r="N21" s="100" t="s">
        <v>46</v>
      </c>
      <c r="O21" s="99"/>
    </row>
    <row r="22" spans="1:39" x14ac:dyDescent="0.25">
      <c r="F22" s="95"/>
      <c r="H22" s="2"/>
      <c r="I22" s="101"/>
      <c r="N22" s="27"/>
      <c r="O22" s="99"/>
      <c r="Q22" t="s">
        <v>143</v>
      </c>
    </row>
    <row r="23" spans="1:39" x14ac:dyDescent="0.25">
      <c r="F23" s="95"/>
      <c r="G23" s="3" t="s">
        <v>16</v>
      </c>
      <c r="H23" s="4" t="s">
        <v>17</v>
      </c>
      <c r="I23" s="185" t="s">
        <v>18</v>
      </c>
      <c r="J23" s="186"/>
      <c r="K23" s="187"/>
      <c r="L23" s="188" t="s">
        <v>31</v>
      </c>
      <c r="M23" s="189"/>
      <c r="N23" s="190"/>
      <c r="O23" s="99"/>
      <c r="Q23" t="str">
        <f>IF(L23&lt;I23,"Sí")</f>
        <v>Sí</v>
      </c>
    </row>
    <row r="24" spans="1:39" x14ac:dyDescent="0.25">
      <c r="A24" s="6">
        <f>I24</f>
        <v>0.32140607030351515</v>
      </c>
      <c r="B24" s="6">
        <f>A24</f>
        <v>0.32140607030351515</v>
      </c>
      <c r="F24" s="95"/>
      <c r="G24" s="116" t="s">
        <v>25</v>
      </c>
      <c r="H24" s="5" t="s">
        <v>19</v>
      </c>
      <c r="I24" s="123">
        <f t="shared" ref="I24:I26" si="3">S7</f>
        <v>0.32140607030351515</v>
      </c>
      <c r="J24" s="118">
        <f>I24*$H$3*1000/Fuels!$F$29</f>
        <v>6030.1326510978461</v>
      </c>
      <c r="K24" s="119">
        <f>J24/SUM($J$24:$J$28)</f>
        <v>0.33066370734221712</v>
      </c>
      <c r="L24" s="168">
        <f>R7</f>
        <v>0.29846</v>
      </c>
      <c r="M24" s="118">
        <f>L24*$H$3*1000/Fuels!$F$29</f>
        <v>5599.6247654784238</v>
      </c>
      <c r="N24" s="119">
        <f>M24/SUM($M$24:$M$28)</f>
        <v>0.34167890403729334</v>
      </c>
      <c r="O24" s="99"/>
      <c r="Q24" t="str">
        <f t="shared" ref="Q24:Q30" si="4">IF(L24&lt;I24,"Sí")</f>
        <v>Sí</v>
      </c>
    </row>
    <row r="25" spans="1:39" x14ac:dyDescent="0.25">
      <c r="A25" s="6">
        <f>I25</f>
        <v>0.34239999999999998</v>
      </c>
      <c r="B25" s="6">
        <f>B24+A25</f>
        <v>0.66380607030351513</v>
      </c>
      <c r="F25" s="181"/>
      <c r="G25" s="117"/>
      <c r="H25" s="5" t="s">
        <v>20</v>
      </c>
      <c r="I25" s="123">
        <f t="shared" si="3"/>
        <v>0.34239999999999998</v>
      </c>
      <c r="J25" s="120">
        <f>I25*$H$3*1000/Fuels!$F$30</f>
        <v>6038.8007054673708</v>
      </c>
      <c r="K25" s="119">
        <f>J25/SUM($J$24:$J$28)</f>
        <v>0.33113902209217527</v>
      </c>
      <c r="L25" s="169">
        <f>R8</f>
        <v>0.32905645282264107</v>
      </c>
      <c r="M25" s="120">
        <f>L25*$H$3*1000/Fuels!$F$30</f>
        <v>5803.4647764134215</v>
      </c>
      <c r="N25" s="119">
        <f>M25/SUM($M$24:$M$28)</f>
        <v>0.35411685023050926</v>
      </c>
      <c r="O25" s="99"/>
      <c r="Q25" t="str">
        <f t="shared" si="4"/>
        <v>Sí</v>
      </c>
    </row>
    <row r="26" spans="1:39" x14ac:dyDescent="0.25">
      <c r="A26" s="6">
        <f>I26</f>
        <v>8.0479999999999996E-2</v>
      </c>
      <c r="B26" s="6">
        <f>B25+A26</f>
        <v>0.74428607030351512</v>
      </c>
      <c r="F26" s="181"/>
      <c r="G26" s="117"/>
      <c r="H26" s="5" t="s">
        <v>21</v>
      </c>
      <c r="I26" s="123">
        <f t="shared" si="3"/>
        <v>8.0479999999999996E-2</v>
      </c>
      <c r="J26" s="120">
        <f>I26*$H$3*1000/Fuels!$F$31</f>
        <v>1708.7048832271762</v>
      </c>
      <c r="K26" s="119">
        <f>J26/SUM($J$24:$J$28)</f>
        <v>9.3697224278935745E-2</v>
      </c>
      <c r="L26" s="169">
        <f>R9</f>
        <v>7.9603980199009952E-2</v>
      </c>
      <c r="M26" s="120">
        <f>L26*$H$3*1000/Fuels!$F$31</f>
        <v>1690.1057367093408</v>
      </c>
      <c r="N26" s="119">
        <f>M26/SUM($M$24:$M$28)</f>
        <v>0.10312717369672739</v>
      </c>
      <c r="O26" s="99"/>
      <c r="Q26" t="str">
        <f t="shared" si="4"/>
        <v>Sí</v>
      </c>
    </row>
    <row r="27" spans="1:39" x14ac:dyDescent="0.25">
      <c r="A27" s="6">
        <f>I27</f>
        <v>1.6326881938927802E-2</v>
      </c>
      <c r="B27" s="6">
        <f>B26+A27</f>
        <v>0.76061295224244296</v>
      </c>
      <c r="E27" s="174">
        <f>R10</f>
        <v>2.6001300065003247E-2</v>
      </c>
      <c r="F27" s="181"/>
      <c r="G27" s="117"/>
      <c r="H27" s="5" t="s">
        <v>22</v>
      </c>
      <c r="I27" s="180">
        <f>I10</f>
        <v>1.6326881938927802E-2</v>
      </c>
      <c r="J27" s="120">
        <f>I27*$H$3*1000/Fuels!$F$32</f>
        <v>402.13994923467499</v>
      </c>
      <c r="K27" s="119">
        <f>J27/SUM($J$24:$J$28)</f>
        <v>2.2051436374312519E-2</v>
      </c>
      <c r="L27" s="173">
        <f>I10</f>
        <v>1.6326881938927802E-2</v>
      </c>
      <c r="M27" s="120">
        <f>L27*$H$3*1000/Fuels!$F$32</f>
        <v>402.13994923467499</v>
      </c>
      <c r="N27" s="119">
        <f>M27/SUM($M$24:$M$28)</f>
        <v>2.4537847244908567E-2</v>
      </c>
      <c r="O27" s="99"/>
      <c r="Q27" t="b">
        <f t="shared" si="4"/>
        <v>0</v>
      </c>
    </row>
    <row r="28" spans="1:39" x14ac:dyDescent="0.25">
      <c r="A28" s="17">
        <f>I12</f>
        <v>3.2377019198036198E-2</v>
      </c>
      <c r="B28" s="6">
        <f>B27+A28</f>
        <v>0.79298997144047911</v>
      </c>
      <c r="D28" s="174">
        <f>S11</f>
        <v>0.20093004650232507</v>
      </c>
      <c r="F28" s="181"/>
      <c r="G28" s="117"/>
      <c r="H28" s="5" t="s">
        <v>23</v>
      </c>
      <c r="I28" s="172">
        <f>I11</f>
        <v>0.221494361019133</v>
      </c>
      <c r="J28" s="120">
        <f>I28*$H$3*1000/Fuels!$F$33</f>
        <v>4056.6732787386995</v>
      </c>
      <c r="K28" s="119">
        <f>J28/SUM($J$24:$J$28)</f>
        <v>0.22244860991235929</v>
      </c>
      <c r="L28" s="169">
        <f>R11</f>
        <v>0.15797</v>
      </c>
      <c r="M28" s="120">
        <f>L28*$H$3*1000/Fuels!$F$33</f>
        <v>2893.2234432234432</v>
      </c>
      <c r="N28" s="119">
        <f>M28/SUM($M$24:$M$28)</f>
        <v>0.17653922479056142</v>
      </c>
      <c r="O28" s="99"/>
      <c r="Q28" t="str">
        <f t="shared" si="4"/>
        <v>Sí</v>
      </c>
    </row>
    <row r="29" spans="1:39" x14ac:dyDescent="0.25">
      <c r="F29" s="95"/>
      <c r="G29" s="117"/>
      <c r="H29" s="5" t="s">
        <v>39</v>
      </c>
      <c r="I29" s="124">
        <v>0.5</v>
      </c>
      <c r="J29" s="157"/>
      <c r="K29" s="158"/>
      <c r="L29" s="169">
        <v>0</v>
      </c>
      <c r="M29" s="161"/>
      <c r="N29" s="162"/>
      <c r="O29" s="99"/>
      <c r="Q29" t="str">
        <f t="shared" si="4"/>
        <v>Sí</v>
      </c>
    </row>
    <row r="30" spans="1:39" x14ac:dyDescent="0.25">
      <c r="F30" s="95"/>
      <c r="G30" s="117"/>
      <c r="H30" s="5" t="s">
        <v>38</v>
      </c>
      <c r="I30" s="171">
        <v>1E-3</v>
      </c>
      <c r="J30" s="159"/>
      <c r="K30" s="160"/>
      <c r="L30" s="170">
        <v>0</v>
      </c>
      <c r="M30" s="163"/>
      <c r="N30" s="164"/>
      <c r="O30" s="99"/>
      <c r="Q30" t="str">
        <f t="shared" si="4"/>
        <v>Sí</v>
      </c>
    </row>
    <row r="31" spans="1:39" x14ac:dyDescent="0.25">
      <c r="B31" s="6">
        <f>100%-B28</f>
        <v>0.20701002855952089</v>
      </c>
      <c r="F31" s="95"/>
      <c r="I31" s="128">
        <f>SUM(I24:I30)</f>
        <v>1.4831073132615757</v>
      </c>
      <c r="J31" s="100"/>
      <c r="K31" s="100"/>
      <c r="L31" s="156">
        <f>SUM(L24:L30)</f>
        <v>0.88141731496057885</v>
      </c>
      <c r="N31" s="27"/>
      <c r="O31" s="99"/>
    </row>
    <row r="32" spans="1:39" ht="15.75" thickBot="1" x14ac:dyDescent="0.3">
      <c r="F32" s="102"/>
      <c r="G32" s="103"/>
      <c r="H32" s="103"/>
      <c r="I32" s="104"/>
      <c r="J32" s="103"/>
      <c r="K32" s="103"/>
      <c r="L32" s="105"/>
      <c r="M32" s="105"/>
      <c r="N32" s="105"/>
      <c r="O32" s="106"/>
      <c r="AD32" s="15">
        <f>+SUM(AD8:AD14)</f>
        <v>305.18849488368335</v>
      </c>
      <c r="AE32" s="15">
        <f t="shared" ref="AE32:AM32" si="5">+SUM(AE8:AE14)</f>
        <v>324.87807519875884</v>
      </c>
      <c r="AF32" s="15">
        <f t="shared" si="5"/>
        <v>324.87807519875884</v>
      </c>
      <c r="AG32" s="15">
        <f t="shared" si="5"/>
        <v>324.87807519875884</v>
      </c>
      <c r="AH32" s="15">
        <f t="shared" si="5"/>
        <v>324.87807519875884</v>
      </c>
      <c r="AI32" s="15">
        <f t="shared" si="5"/>
        <v>324.87807519875884</v>
      </c>
      <c r="AJ32" s="15">
        <f t="shared" si="5"/>
        <v>324.87807519875884</v>
      </c>
      <c r="AK32" s="15">
        <f t="shared" si="5"/>
        <v>324.87807519875884</v>
      </c>
      <c r="AL32" s="15">
        <f t="shared" si="5"/>
        <v>324.87807519875884</v>
      </c>
      <c r="AM32" s="15">
        <f t="shared" si="5"/>
        <v>324.87807519875884</v>
      </c>
    </row>
    <row r="33" spans="7:39" x14ac:dyDescent="0.25">
      <c r="I33" s="6"/>
      <c r="L33" s="17"/>
      <c r="M33" s="17"/>
      <c r="N33" s="17"/>
      <c r="O33" s="121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  <row r="34" spans="7:39" x14ac:dyDescent="0.25">
      <c r="G34" s="165" t="s">
        <v>29</v>
      </c>
      <c r="H34" s="166">
        <v>2020</v>
      </c>
      <c r="I34" s="6"/>
      <c r="L34" s="17"/>
      <c r="M34" s="17"/>
      <c r="N34" s="17"/>
      <c r="O34" s="121"/>
      <c r="AD34" s="15"/>
      <c r="AE34" s="15"/>
      <c r="AF34" s="15"/>
      <c r="AG34" s="15"/>
      <c r="AH34" s="15"/>
      <c r="AI34" s="15"/>
      <c r="AJ34" s="15"/>
      <c r="AK34" s="15"/>
      <c r="AL34" s="15"/>
      <c r="AM34" s="15"/>
    </row>
    <row r="35" spans="7:39" x14ac:dyDescent="0.25">
      <c r="I35" s="6"/>
      <c r="L35" s="17"/>
      <c r="M35" s="121"/>
      <c r="AD35" s="15"/>
      <c r="AE35" s="15"/>
      <c r="AF35" s="15"/>
      <c r="AG35" s="15"/>
      <c r="AH35" s="15"/>
      <c r="AI35" s="15"/>
      <c r="AJ35" s="15"/>
      <c r="AK35" s="15"/>
      <c r="AL35" s="15"/>
      <c r="AM35" s="15"/>
    </row>
    <row r="36" spans="7:39" x14ac:dyDescent="0.25">
      <c r="I36" s="6"/>
      <c r="L36" s="17"/>
      <c r="M36" s="121"/>
      <c r="AD36" s="15"/>
      <c r="AE36" s="15"/>
      <c r="AF36" s="15"/>
      <c r="AG36" s="15"/>
      <c r="AH36" s="15"/>
      <c r="AI36" s="15"/>
      <c r="AJ36" s="15"/>
      <c r="AK36" s="15"/>
      <c r="AL36" s="15"/>
      <c r="AM36" s="15"/>
    </row>
    <row r="37" spans="7:39" x14ac:dyDescent="0.25">
      <c r="K37" s="1" t="s">
        <v>0</v>
      </c>
    </row>
    <row r="38" spans="7:39" x14ac:dyDescent="0.25">
      <c r="G38" s="8" t="s">
        <v>1</v>
      </c>
      <c r="H38" s="8" t="s">
        <v>2</v>
      </c>
      <c r="I38" s="8" t="s">
        <v>3</v>
      </c>
      <c r="J38" s="8" t="s">
        <v>4</v>
      </c>
      <c r="K38" s="8" t="s">
        <v>5</v>
      </c>
      <c r="L38" s="9" t="s">
        <v>6</v>
      </c>
      <c r="M38" s="9" t="s">
        <v>7</v>
      </c>
      <c r="N38" s="10" t="s">
        <v>8</v>
      </c>
      <c r="O38" s="10" t="s">
        <v>9</v>
      </c>
      <c r="P38" s="10" t="s">
        <v>10</v>
      </c>
      <c r="Q38" s="10" t="s">
        <v>11</v>
      </c>
      <c r="R38" s="10" t="s">
        <v>12</v>
      </c>
      <c r="S38" s="10" t="s">
        <v>13</v>
      </c>
      <c r="T38" s="10" t="s">
        <v>14</v>
      </c>
      <c r="U38" s="10" t="s">
        <v>15</v>
      </c>
      <c r="AD38">
        <v>2019</v>
      </c>
      <c r="AE38">
        <v>2020</v>
      </c>
      <c r="AF38">
        <v>2023</v>
      </c>
      <c r="AG38">
        <v>2025</v>
      </c>
      <c r="AH38">
        <v>2027</v>
      </c>
      <c r="AI38">
        <v>2030</v>
      </c>
      <c r="AJ38">
        <v>2033</v>
      </c>
      <c r="AK38">
        <v>2035</v>
      </c>
      <c r="AL38">
        <v>2037</v>
      </c>
      <c r="AM38">
        <v>2040</v>
      </c>
    </row>
    <row r="39" spans="7:39" x14ac:dyDescent="0.25">
      <c r="G39" s="142"/>
      <c r="H39" s="143" t="s">
        <v>18</v>
      </c>
      <c r="I39" s="144" t="s">
        <v>27</v>
      </c>
      <c r="J39" s="145">
        <v>2019</v>
      </c>
      <c r="K39" s="146" t="s">
        <v>26</v>
      </c>
      <c r="L39" s="145"/>
      <c r="M39" s="147" cm="1">
        <f t="array" ref="M39:M45">+IF(J39&lt;$H$34,$I$7:$I$13,$I$24:$I$30)</f>
        <v>0.31052010338168201</v>
      </c>
      <c r="N39" s="145"/>
      <c r="O39" s="145" t="s">
        <v>37</v>
      </c>
      <c r="P39" s="145"/>
      <c r="Q39" s="145"/>
      <c r="R39" s="145"/>
      <c r="S39" s="145"/>
      <c r="T39" s="148" t="str" cm="1">
        <f t="array" ref="T39:T45">+$H$7:$H$13</f>
        <v>GSL</v>
      </c>
      <c r="X39" t="e">
        <f>+SUM(#REF!)</f>
        <v>#REF!</v>
      </c>
      <c r="AC39" t="s">
        <v>20</v>
      </c>
      <c r="AD39" s="13">
        <f>+AD8/AD$32</f>
        <v>0.6</v>
      </c>
      <c r="AE39" s="13">
        <f t="shared" ref="AE39:AM39" si="6">+AE8/AE$32</f>
        <v>0.55200000000000038</v>
      </c>
      <c r="AF39" s="13">
        <f t="shared" si="6"/>
        <v>0.55200000000000038</v>
      </c>
      <c r="AG39" s="13">
        <f t="shared" si="6"/>
        <v>0.55200000000000038</v>
      </c>
      <c r="AH39" s="13">
        <f t="shared" si="6"/>
        <v>0.55200000000000038</v>
      </c>
      <c r="AI39" s="13">
        <f t="shared" si="6"/>
        <v>0.55200000000000038</v>
      </c>
      <c r="AJ39" s="13">
        <f t="shared" si="6"/>
        <v>0.55200000000000038</v>
      </c>
      <c r="AK39" s="13">
        <f t="shared" si="6"/>
        <v>0.55200000000000038</v>
      </c>
      <c r="AL39" s="13">
        <f t="shared" si="6"/>
        <v>0.55200000000000038</v>
      </c>
      <c r="AM39" s="13">
        <f t="shared" si="6"/>
        <v>0.55200000000000038</v>
      </c>
    </row>
    <row r="40" spans="7:39" x14ac:dyDescent="0.25">
      <c r="G40" s="149"/>
      <c r="H40" s="150" t="s">
        <v>18</v>
      </c>
      <c r="I40" s="151" t="s">
        <v>27</v>
      </c>
      <c r="J40" s="152">
        <v>2019</v>
      </c>
      <c r="K40" s="153" t="s">
        <v>26</v>
      </c>
      <c r="L40" s="152"/>
      <c r="M40" s="154">
        <v>0.335419513504495</v>
      </c>
      <c r="N40" s="152"/>
      <c r="O40" s="152" t="s">
        <v>37</v>
      </c>
      <c r="P40" s="152"/>
      <c r="Q40" s="152"/>
      <c r="R40" s="152"/>
      <c r="S40" s="152"/>
      <c r="T40" s="155" t="str">
        <v>DSL</v>
      </c>
      <c r="AC40" t="s">
        <v>19</v>
      </c>
      <c r="AD40" s="13">
        <f>+AD9/AD$32</f>
        <v>0.26682352941176479</v>
      </c>
      <c r="AE40" s="13">
        <f t="shared" ref="AE40:AM40" si="7">+AE9/AE$32</f>
        <v>0.39869999999999955</v>
      </c>
      <c r="AF40" s="13">
        <f t="shared" si="7"/>
        <v>0.39869999999999955</v>
      </c>
      <c r="AG40" s="13">
        <f t="shared" si="7"/>
        <v>0.39869999999999955</v>
      </c>
      <c r="AH40" s="13">
        <f t="shared" si="7"/>
        <v>0.39869999999999955</v>
      </c>
      <c r="AI40" s="13">
        <f t="shared" si="7"/>
        <v>0.39869999999999955</v>
      </c>
      <c r="AJ40" s="13">
        <f t="shared" si="7"/>
        <v>0.39869999999999955</v>
      </c>
      <c r="AK40" s="13">
        <f t="shared" si="7"/>
        <v>0.39869999999999955</v>
      </c>
      <c r="AL40" s="13">
        <f t="shared" si="7"/>
        <v>0.39869999999999955</v>
      </c>
      <c r="AM40" s="13">
        <f t="shared" si="7"/>
        <v>0.39869999999999955</v>
      </c>
    </row>
    <row r="41" spans="7:39" x14ac:dyDescent="0.25">
      <c r="G41" s="149"/>
      <c r="H41" s="150" t="s">
        <v>18</v>
      </c>
      <c r="I41" s="151" t="s">
        <v>27</v>
      </c>
      <c r="J41" s="152">
        <v>2019</v>
      </c>
      <c r="K41" s="153" t="s">
        <v>26</v>
      </c>
      <c r="L41" s="152"/>
      <c r="M41" s="154">
        <v>8.3862120957725605E-2</v>
      </c>
      <c r="N41" s="152"/>
      <c r="O41" s="152" t="s">
        <v>37</v>
      </c>
      <c r="P41" s="152"/>
      <c r="Q41" s="152"/>
      <c r="R41" s="152"/>
      <c r="S41" s="152"/>
      <c r="T41" s="155" t="str">
        <v>KER</v>
      </c>
      <c r="AC41" t="s">
        <v>23</v>
      </c>
      <c r="AD41" s="13">
        <f>+AD10/AD$32</f>
        <v>1.1294117647058793E-2</v>
      </c>
      <c r="AE41" s="13">
        <f t="shared" ref="AE41:AM41" si="8">+AE10/AE$32</f>
        <v>0</v>
      </c>
      <c r="AF41" s="13">
        <f t="shared" si="8"/>
        <v>0</v>
      </c>
      <c r="AG41" s="13">
        <f t="shared" si="8"/>
        <v>0</v>
      </c>
      <c r="AH41" s="13">
        <f t="shared" si="8"/>
        <v>0</v>
      </c>
      <c r="AI41" s="13">
        <f t="shared" si="8"/>
        <v>0</v>
      </c>
      <c r="AJ41" s="13">
        <f t="shared" si="8"/>
        <v>0</v>
      </c>
      <c r="AK41" s="13">
        <f t="shared" si="8"/>
        <v>0</v>
      </c>
      <c r="AL41" s="13">
        <f t="shared" si="8"/>
        <v>0</v>
      </c>
      <c r="AM41" s="13">
        <f t="shared" si="8"/>
        <v>0</v>
      </c>
    </row>
    <row r="42" spans="7:39" x14ac:dyDescent="0.25">
      <c r="G42" s="149"/>
      <c r="H42" s="150" t="s">
        <v>18</v>
      </c>
      <c r="I42" s="151" t="s">
        <v>27</v>
      </c>
      <c r="J42" s="152">
        <v>2019</v>
      </c>
      <c r="K42" s="153" t="s">
        <v>26</v>
      </c>
      <c r="L42" s="152"/>
      <c r="M42" s="154">
        <v>1.6326881938927802E-2</v>
      </c>
      <c r="N42" s="152"/>
      <c r="O42" s="152" t="s">
        <v>37</v>
      </c>
      <c r="P42" s="152"/>
      <c r="Q42" s="152"/>
      <c r="R42" s="152"/>
      <c r="S42" s="152"/>
      <c r="T42" s="155" t="str">
        <v>LPG</v>
      </c>
      <c r="AC42" t="s">
        <v>21</v>
      </c>
      <c r="AD42" s="13">
        <f>+AD11/AD$32</f>
        <v>6.2588235294117681E-2</v>
      </c>
      <c r="AE42" s="13">
        <f t="shared" ref="AE42:AM42" si="9">+AE11/AE$32</f>
        <v>2.2213882529521618E-2</v>
      </c>
      <c r="AF42" s="13">
        <f t="shared" si="9"/>
        <v>2.2213882529521618E-2</v>
      </c>
      <c r="AG42" s="13">
        <f t="shared" si="9"/>
        <v>2.2213882529521618E-2</v>
      </c>
      <c r="AH42" s="13">
        <f t="shared" si="9"/>
        <v>2.2213882529521618E-2</v>
      </c>
      <c r="AI42" s="13">
        <f t="shared" si="9"/>
        <v>2.2213882529521618E-2</v>
      </c>
      <c r="AJ42" s="13">
        <f t="shared" si="9"/>
        <v>2.2213882529521618E-2</v>
      </c>
      <c r="AK42" s="13">
        <f t="shared" si="9"/>
        <v>2.2213882529521618E-2</v>
      </c>
      <c r="AL42" s="13">
        <f t="shared" si="9"/>
        <v>2.2213882529521618E-2</v>
      </c>
      <c r="AM42" s="13">
        <f t="shared" si="9"/>
        <v>2.2213882529521618E-2</v>
      </c>
    </row>
    <row r="43" spans="7:39" x14ac:dyDescent="0.25">
      <c r="G43" s="149"/>
      <c r="H43" s="150" t="s">
        <v>18</v>
      </c>
      <c r="I43" s="151" t="s">
        <v>27</v>
      </c>
      <c r="J43" s="152">
        <v>2019</v>
      </c>
      <c r="K43" s="153" t="s">
        <v>26</v>
      </c>
      <c r="L43" s="152"/>
      <c r="M43" s="154">
        <v>0.221494361019133</v>
      </c>
      <c r="N43" s="152"/>
      <c r="O43" s="152" t="s">
        <v>37</v>
      </c>
      <c r="P43" s="152"/>
      <c r="Q43" s="152"/>
      <c r="R43" s="152"/>
      <c r="S43" s="152"/>
      <c r="T43" s="155" t="str">
        <v>HFO</v>
      </c>
      <c r="AC43" t="s">
        <v>22</v>
      </c>
      <c r="AD43" s="13">
        <f>+AD12/AD$32</f>
        <v>2.1176470588235265E-2</v>
      </c>
      <c r="AE43" s="13">
        <f t="shared" ref="AE43:AM43" si="10">+AE12/AE$32</f>
        <v>1.8000000000000002E-2</v>
      </c>
      <c r="AF43" s="13">
        <f t="shared" si="10"/>
        <v>1.8000000000000002E-2</v>
      </c>
      <c r="AG43" s="13">
        <f t="shared" si="10"/>
        <v>1.8000000000000002E-2</v>
      </c>
      <c r="AH43" s="13">
        <f t="shared" si="10"/>
        <v>1.8000000000000002E-2</v>
      </c>
      <c r="AI43" s="13">
        <f t="shared" si="10"/>
        <v>1.8000000000000002E-2</v>
      </c>
      <c r="AJ43" s="13">
        <f t="shared" si="10"/>
        <v>1.8000000000000002E-2</v>
      </c>
      <c r="AK43" s="13">
        <f t="shared" si="10"/>
        <v>1.8000000000000002E-2</v>
      </c>
      <c r="AL43" s="13">
        <f t="shared" si="10"/>
        <v>1.8000000000000002E-2</v>
      </c>
      <c r="AM43" s="13">
        <f t="shared" si="10"/>
        <v>1.8000000000000002E-2</v>
      </c>
    </row>
    <row r="44" spans="7:39" x14ac:dyDescent="0.25">
      <c r="G44" s="149"/>
      <c r="H44" s="150" t="s">
        <v>18</v>
      </c>
      <c r="I44" s="151" t="s">
        <v>27</v>
      </c>
      <c r="J44" s="152">
        <v>2019</v>
      </c>
      <c r="K44" s="153" t="s">
        <v>26</v>
      </c>
      <c r="L44" s="152"/>
      <c r="M44" s="154">
        <v>3.2377019198036198E-2</v>
      </c>
      <c r="N44" s="152"/>
      <c r="O44" s="152" t="s">
        <v>37</v>
      </c>
      <c r="P44" s="152"/>
      <c r="Q44" s="152"/>
      <c r="R44" s="152"/>
      <c r="S44" s="152"/>
      <c r="T44" s="155" t="str">
        <v>RFG2</v>
      </c>
      <c r="AC44" t="s">
        <v>24</v>
      </c>
      <c r="AD44" s="13">
        <f t="shared" ref="AD44:AM44" si="11">+AD14/AD$32</f>
        <v>3.8117647058823492E-2</v>
      </c>
      <c r="AE44" s="13">
        <f t="shared" si="11"/>
        <v>9.0861174704782843E-3</v>
      </c>
      <c r="AF44" s="13">
        <f t="shared" si="11"/>
        <v>9.0861174704782843E-3</v>
      </c>
      <c r="AG44" s="13">
        <f t="shared" si="11"/>
        <v>9.0861174704782843E-3</v>
      </c>
      <c r="AH44" s="13">
        <f t="shared" si="11"/>
        <v>9.0861174704782843E-3</v>
      </c>
      <c r="AI44" s="13">
        <f t="shared" si="11"/>
        <v>9.0861174704782843E-3</v>
      </c>
      <c r="AJ44" s="13">
        <f t="shared" si="11"/>
        <v>9.0861174704782843E-3</v>
      </c>
      <c r="AK44" s="13">
        <f t="shared" si="11"/>
        <v>9.0861174704782843E-3</v>
      </c>
      <c r="AL44" s="13">
        <f t="shared" si="11"/>
        <v>9.0861174704782843E-3</v>
      </c>
      <c r="AM44" s="13">
        <f t="shared" si="11"/>
        <v>9.0861174704782843E-3</v>
      </c>
    </row>
    <row r="45" spans="7:39" x14ac:dyDescent="0.25">
      <c r="G45" s="149"/>
      <c r="H45" s="150" t="s">
        <v>18</v>
      </c>
      <c r="I45" s="151" t="s">
        <v>27</v>
      </c>
      <c r="J45" s="152">
        <v>2019</v>
      </c>
      <c r="K45" s="153" t="s">
        <v>26</v>
      </c>
      <c r="L45" s="152"/>
      <c r="M45" s="154">
        <v>0</v>
      </c>
      <c r="N45" s="152"/>
      <c r="O45" s="152" t="s">
        <v>37</v>
      </c>
      <c r="P45" s="152"/>
      <c r="Q45" s="152"/>
      <c r="R45" s="152"/>
      <c r="S45" s="152"/>
      <c r="T45" s="155" t="str">
        <v>AVG</v>
      </c>
      <c r="AD45" s="13"/>
      <c r="AE45" s="13"/>
      <c r="AF45" s="13"/>
      <c r="AG45" s="13"/>
      <c r="AH45" s="13"/>
      <c r="AI45" s="13"/>
      <c r="AJ45" s="13"/>
      <c r="AK45" s="13"/>
      <c r="AL45" s="13"/>
      <c r="AM45" s="13"/>
    </row>
    <row r="46" spans="7:39" s="5" customFormat="1" x14ac:dyDescent="0.25">
      <c r="G46" s="132"/>
      <c r="H46" s="140" t="s">
        <v>18</v>
      </c>
      <c r="I46" s="133" t="s">
        <v>27</v>
      </c>
      <c r="J46" s="5">
        <v>2020</v>
      </c>
      <c r="K46" s="117" t="s">
        <v>26</v>
      </c>
      <c r="M46" s="147" cm="1">
        <f t="array" ref="M46:M52">+IF(J46&lt;$H$34,$I$7:$I$13,$I$24:$I$30)</f>
        <v>0.32140607030351515</v>
      </c>
      <c r="O46" s="5" t="s">
        <v>37</v>
      </c>
      <c r="T46" s="134" t="str" cm="1">
        <f t="array" ref="T46:T52">+$H$7:$H$13</f>
        <v>GSL</v>
      </c>
      <c r="X46" s="14" t="e">
        <f>+SUM(#REF!)</f>
        <v>#REF!</v>
      </c>
      <c r="AD46" s="14">
        <f t="shared" ref="AD46:AM46" si="12">+AD32/AD$32</f>
        <v>1</v>
      </c>
      <c r="AE46" s="14">
        <f t="shared" si="12"/>
        <v>1</v>
      </c>
      <c r="AF46" s="14">
        <f t="shared" si="12"/>
        <v>1</v>
      </c>
      <c r="AG46" s="14">
        <f t="shared" si="12"/>
        <v>1</v>
      </c>
      <c r="AH46" s="14">
        <f t="shared" si="12"/>
        <v>1</v>
      </c>
      <c r="AI46" s="14">
        <f t="shared" si="12"/>
        <v>1</v>
      </c>
      <c r="AJ46" s="14">
        <f t="shared" si="12"/>
        <v>1</v>
      </c>
      <c r="AK46" s="14">
        <f t="shared" si="12"/>
        <v>1</v>
      </c>
      <c r="AL46" s="14">
        <f t="shared" si="12"/>
        <v>1</v>
      </c>
      <c r="AM46" s="14">
        <f t="shared" si="12"/>
        <v>1</v>
      </c>
    </row>
    <row r="47" spans="7:39" x14ac:dyDescent="0.25">
      <c r="G47" s="135"/>
      <c r="H47" s="23" t="s">
        <v>18</v>
      </c>
      <c r="I47" s="136" t="s">
        <v>27</v>
      </c>
      <c r="J47">
        <v>2020</v>
      </c>
      <c r="K47" s="100" t="s">
        <v>26</v>
      </c>
      <c r="M47" s="7">
        <v>0.34239999999999998</v>
      </c>
      <c r="O47" t="s">
        <v>37</v>
      </c>
      <c r="T47" s="29" t="str">
        <v>DSL</v>
      </c>
    </row>
    <row r="48" spans="7:39" x14ac:dyDescent="0.25">
      <c r="G48" s="135"/>
      <c r="H48" s="23" t="s">
        <v>18</v>
      </c>
      <c r="I48" s="136" t="s">
        <v>27</v>
      </c>
      <c r="J48">
        <v>2020</v>
      </c>
      <c r="K48" s="100" t="s">
        <v>26</v>
      </c>
      <c r="M48" s="7">
        <v>8.0479999999999996E-2</v>
      </c>
      <c r="O48" t="s">
        <v>37</v>
      </c>
      <c r="T48" s="29" t="str">
        <v>KER</v>
      </c>
    </row>
    <row r="49" spans="7:40" x14ac:dyDescent="0.25">
      <c r="G49" s="135"/>
      <c r="H49" s="23" t="s">
        <v>18</v>
      </c>
      <c r="I49" s="136" t="s">
        <v>27</v>
      </c>
      <c r="J49">
        <v>2020</v>
      </c>
      <c r="K49" s="100" t="s">
        <v>26</v>
      </c>
      <c r="M49" s="7">
        <v>1.6326881938927802E-2</v>
      </c>
      <c r="O49" t="s">
        <v>37</v>
      </c>
      <c r="T49" s="29" t="str">
        <v>LPG</v>
      </c>
    </row>
    <row r="50" spans="7:40" x14ac:dyDescent="0.25">
      <c r="G50" s="135"/>
      <c r="H50" s="23" t="s">
        <v>18</v>
      </c>
      <c r="I50" s="136" t="s">
        <v>27</v>
      </c>
      <c r="J50">
        <v>2020</v>
      </c>
      <c r="K50" s="100" t="s">
        <v>26</v>
      </c>
      <c r="M50" s="7">
        <v>0.221494361019133</v>
      </c>
      <c r="O50" t="s">
        <v>37</v>
      </c>
      <c r="T50" s="29" t="str">
        <v>HFO</v>
      </c>
      <c r="AC50" t="s">
        <v>32</v>
      </c>
      <c r="AD50" t="s">
        <v>40</v>
      </c>
    </row>
    <row r="51" spans="7:40" x14ac:dyDescent="0.25">
      <c r="G51" s="135"/>
      <c r="H51" s="23" t="s">
        <v>18</v>
      </c>
      <c r="I51" s="136" t="s">
        <v>27</v>
      </c>
      <c r="J51">
        <v>2020</v>
      </c>
      <c r="K51" s="100" t="s">
        <v>26</v>
      </c>
      <c r="M51" s="7">
        <v>0.5</v>
      </c>
      <c r="O51" t="s">
        <v>37</v>
      </c>
      <c r="T51" s="29" t="str">
        <v>RFG2</v>
      </c>
      <c r="AC51" t="s">
        <v>3</v>
      </c>
      <c r="AD51" t="s">
        <v>34</v>
      </c>
      <c r="AE51">
        <v>2019</v>
      </c>
      <c r="AF51">
        <v>2020</v>
      </c>
      <c r="AG51">
        <v>2023</v>
      </c>
      <c r="AH51">
        <v>2025</v>
      </c>
      <c r="AI51">
        <v>2027</v>
      </c>
      <c r="AJ51">
        <v>2030</v>
      </c>
      <c r="AK51">
        <v>2033</v>
      </c>
      <c r="AL51">
        <v>2035</v>
      </c>
      <c r="AM51">
        <v>2037</v>
      </c>
      <c r="AN51">
        <v>2040</v>
      </c>
    </row>
    <row r="52" spans="7:40" x14ac:dyDescent="0.25">
      <c r="G52" s="135"/>
      <c r="H52" s="23" t="s">
        <v>18</v>
      </c>
      <c r="I52" s="136" t="s">
        <v>27</v>
      </c>
      <c r="J52">
        <v>2020</v>
      </c>
      <c r="K52" s="100" t="s">
        <v>26</v>
      </c>
      <c r="M52" s="7">
        <v>1E-3</v>
      </c>
      <c r="O52" t="s">
        <v>37</v>
      </c>
      <c r="T52" s="29" t="str">
        <v>AVG</v>
      </c>
    </row>
    <row r="53" spans="7:40" ht="14.25" customHeight="1" x14ac:dyDescent="0.25">
      <c r="G53" s="149"/>
      <c r="H53" s="150" t="s">
        <v>18</v>
      </c>
      <c r="I53" s="151" t="s">
        <v>27</v>
      </c>
      <c r="J53" s="152">
        <v>2025</v>
      </c>
      <c r="K53" s="153" t="s">
        <v>26</v>
      </c>
      <c r="L53" s="152"/>
      <c r="M53" s="147" cm="1">
        <f t="array" ref="M53:M59">+IF(J53&lt;$H$34,$I$7:$I$13,$I$24:$I$30)</f>
        <v>0.32140607030351515</v>
      </c>
      <c r="N53" s="152"/>
      <c r="O53" s="152" t="s">
        <v>37</v>
      </c>
      <c r="P53" s="152"/>
      <c r="Q53" s="152"/>
      <c r="R53" s="152"/>
      <c r="S53" s="152"/>
      <c r="T53" s="155" t="str" cm="1">
        <f t="array" ref="T53:T59">+$H$7:$H$13</f>
        <v>GSL</v>
      </c>
      <c r="X53" t="e">
        <f>+SUM(#REF!)</f>
        <v>#REF!</v>
      </c>
      <c r="AC53" t="s">
        <v>35</v>
      </c>
      <c r="AD53" t="s">
        <v>38</v>
      </c>
      <c r="AF53">
        <v>0.42436734709489898</v>
      </c>
      <c r="AG53">
        <v>0.42436734709489898</v>
      </c>
      <c r="AH53">
        <v>0.42436734709489898</v>
      </c>
      <c r="AI53">
        <v>0.42436734709489898</v>
      </c>
      <c r="AJ53">
        <v>0.42436734709489898</v>
      </c>
      <c r="AK53">
        <v>0.42436734709489898</v>
      </c>
      <c r="AL53">
        <v>0.42436734709489898</v>
      </c>
      <c r="AM53">
        <v>0.42436734709489898</v>
      </c>
      <c r="AN53">
        <v>0.42436734709489898</v>
      </c>
    </row>
    <row r="54" spans="7:40" x14ac:dyDescent="0.25">
      <c r="G54" s="149"/>
      <c r="H54" s="150" t="s">
        <v>18</v>
      </c>
      <c r="I54" s="151" t="s">
        <v>27</v>
      </c>
      <c r="J54" s="152">
        <v>2025</v>
      </c>
      <c r="K54" s="153" t="s">
        <v>26</v>
      </c>
      <c r="L54" s="152"/>
      <c r="M54" s="154">
        <v>0.34239999999999998</v>
      </c>
      <c r="N54" s="152"/>
      <c r="O54" s="152" t="s">
        <v>37</v>
      </c>
      <c r="P54" s="152"/>
      <c r="Q54" s="152"/>
      <c r="R54" s="152"/>
      <c r="S54" s="152"/>
      <c r="T54" s="155" t="str">
        <v>DSL</v>
      </c>
      <c r="AC54" t="s">
        <v>35</v>
      </c>
      <c r="AD54" t="s">
        <v>20</v>
      </c>
      <c r="AE54">
        <v>140.72430359032401</v>
      </c>
      <c r="AF54">
        <v>145.30337964529301</v>
      </c>
      <c r="AG54">
        <v>145.30337964529301</v>
      </c>
      <c r="AH54">
        <v>145.30337964529301</v>
      </c>
      <c r="AI54">
        <v>145.30337964529301</v>
      </c>
      <c r="AJ54">
        <v>139.640813928802</v>
      </c>
      <c r="AK54">
        <v>145.30337964529301</v>
      </c>
      <c r="AL54">
        <v>145.30337964529301</v>
      </c>
      <c r="AM54">
        <v>139.640813928802</v>
      </c>
      <c r="AN54">
        <v>139.640813928802</v>
      </c>
    </row>
    <row r="55" spans="7:40" x14ac:dyDescent="0.25">
      <c r="G55" s="149"/>
      <c r="H55" s="150" t="s">
        <v>18</v>
      </c>
      <c r="I55" s="151" t="s">
        <v>27</v>
      </c>
      <c r="J55" s="152">
        <v>2025</v>
      </c>
      <c r="K55" s="153" t="s">
        <v>26</v>
      </c>
      <c r="L55" s="152"/>
      <c r="M55" s="154">
        <v>8.0479999999999996E-2</v>
      </c>
      <c r="N55" s="152"/>
      <c r="O55" s="152" t="s">
        <v>37</v>
      </c>
      <c r="P55" s="152"/>
      <c r="Q55" s="152"/>
      <c r="R55" s="152"/>
      <c r="S55" s="152"/>
      <c r="T55" s="155" t="str">
        <v>KER</v>
      </c>
      <c r="AC55" t="s">
        <v>35</v>
      </c>
      <c r="AD55" t="s">
        <v>19</v>
      </c>
      <c r="AE55">
        <v>112.52468633389699</v>
      </c>
      <c r="AF55">
        <v>136.39424139489901</v>
      </c>
      <c r="AG55">
        <v>136.39424139489901</v>
      </c>
      <c r="AH55">
        <v>136.39424139489901</v>
      </c>
      <c r="AI55">
        <v>136.39424139489901</v>
      </c>
      <c r="AJ55">
        <v>136.39424139489901</v>
      </c>
      <c r="AK55">
        <v>136.39424139489901</v>
      </c>
      <c r="AL55">
        <v>136.39424139489901</v>
      </c>
      <c r="AM55">
        <v>136.39424139489901</v>
      </c>
      <c r="AN55">
        <v>136.39424139489901</v>
      </c>
    </row>
    <row r="56" spans="7:40" x14ac:dyDescent="0.25">
      <c r="G56" s="149"/>
      <c r="H56" s="150" t="s">
        <v>18</v>
      </c>
      <c r="I56" s="151" t="s">
        <v>27</v>
      </c>
      <c r="J56" s="152">
        <v>2025</v>
      </c>
      <c r="K56" s="153" t="s">
        <v>26</v>
      </c>
      <c r="L56" s="152"/>
      <c r="M56" s="154">
        <v>1.6326881938927802E-2</v>
      </c>
      <c r="N56" s="152"/>
      <c r="O56" s="152" t="s">
        <v>37</v>
      </c>
      <c r="P56" s="152"/>
      <c r="Q56" s="152"/>
      <c r="R56" s="152"/>
      <c r="S56" s="152"/>
      <c r="T56" s="155" t="str">
        <v>LPG</v>
      </c>
      <c r="AC56" t="s">
        <v>35</v>
      </c>
      <c r="AD56" t="s">
        <v>23</v>
      </c>
      <c r="AE56">
        <v>71.867956600117097</v>
      </c>
      <c r="AF56">
        <v>67.0373098205812</v>
      </c>
      <c r="AG56">
        <v>67.0373098205812</v>
      </c>
      <c r="AH56">
        <v>67.0373098205812</v>
      </c>
      <c r="AI56">
        <v>67.0373098205812</v>
      </c>
      <c r="AJ56">
        <v>67.0373098205812</v>
      </c>
      <c r="AK56">
        <v>67.0373098205812</v>
      </c>
      <c r="AL56">
        <v>67.0373098205812</v>
      </c>
      <c r="AM56">
        <v>67.0373098205812</v>
      </c>
      <c r="AN56">
        <v>67.0373098205812</v>
      </c>
    </row>
    <row r="57" spans="7:40" x14ac:dyDescent="0.25">
      <c r="G57" s="149"/>
      <c r="H57" s="150" t="s">
        <v>18</v>
      </c>
      <c r="I57" s="151" t="s">
        <v>27</v>
      </c>
      <c r="J57" s="152">
        <v>2025</v>
      </c>
      <c r="K57" s="153" t="s">
        <v>26</v>
      </c>
      <c r="L57" s="152"/>
      <c r="M57" s="154">
        <v>0.221494361019133</v>
      </c>
      <c r="N57" s="152"/>
      <c r="O57" s="152" t="s">
        <v>37</v>
      </c>
      <c r="P57" s="152"/>
      <c r="Q57" s="152"/>
      <c r="R57" s="152"/>
      <c r="S57" s="152"/>
      <c r="T57" s="155" t="str">
        <v>HFO</v>
      </c>
      <c r="AC57" t="s">
        <v>35</v>
      </c>
      <c r="AD57" t="s">
        <v>21</v>
      </c>
      <c r="AE57">
        <v>32.671401222656399</v>
      </c>
      <c r="AF57">
        <v>33.781329895248703</v>
      </c>
      <c r="AG57">
        <v>33.781329895248703</v>
      </c>
      <c r="AH57">
        <v>33.781329895248703</v>
      </c>
      <c r="AI57">
        <v>33.781329895248703</v>
      </c>
      <c r="AJ57">
        <v>33.781329895248703</v>
      </c>
      <c r="AK57">
        <v>33.781329895248703</v>
      </c>
      <c r="AL57">
        <v>33.781329895248703</v>
      </c>
      <c r="AM57">
        <v>33.781329895248703</v>
      </c>
      <c r="AN57">
        <v>33.781329895248703</v>
      </c>
    </row>
    <row r="58" spans="7:40" x14ac:dyDescent="0.25">
      <c r="G58" s="149"/>
      <c r="H58" s="150" t="s">
        <v>18</v>
      </c>
      <c r="I58" s="151" t="s">
        <v>27</v>
      </c>
      <c r="J58" s="152">
        <v>2025</v>
      </c>
      <c r="K58" s="153" t="s">
        <v>26</v>
      </c>
      <c r="L58" s="152"/>
      <c r="M58" s="154">
        <v>0.5</v>
      </c>
      <c r="N58" s="152"/>
      <c r="O58" s="152" t="s">
        <v>37</v>
      </c>
      <c r="P58" s="152"/>
      <c r="Q58" s="152"/>
      <c r="R58" s="152"/>
      <c r="S58" s="152"/>
      <c r="T58" s="155" t="str">
        <v>RFG2</v>
      </c>
      <c r="AC58" t="s">
        <v>35</v>
      </c>
      <c r="AD58" t="s">
        <v>22</v>
      </c>
      <c r="AF58">
        <v>23.602399197806101</v>
      </c>
      <c r="AG58">
        <v>23.602399197806101</v>
      </c>
      <c r="AH58">
        <v>23.602399197806101</v>
      </c>
      <c r="AI58">
        <v>23.602399197806101</v>
      </c>
      <c r="AJ58">
        <v>29.264964914297501</v>
      </c>
      <c r="AK58">
        <v>23.602399197806101</v>
      </c>
      <c r="AL58">
        <v>23.602399197806101</v>
      </c>
      <c r="AM58">
        <v>29.264964914297501</v>
      </c>
      <c r="AN58">
        <v>29.264964914297501</v>
      </c>
    </row>
    <row r="59" spans="7:40" x14ac:dyDescent="0.25">
      <c r="G59" s="149"/>
      <c r="H59" s="150" t="s">
        <v>18</v>
      </c>
      <c r="I59" s="151" t="s">
        <v>27</v>
      </c>
      <c r="J59" s="152">
        <v>2025</v>
      </c>
      <c r="K59" s="153" t="s">
        <v>26</v>
      </c>
      <c r="L59" s="152"/>
      <c r="M59" s="154">
        <v>1E-3</v>
      </c>
      <c r="N59" s="152"/>
      <c r="O59" s="152" t="s">
        <v>37</v>
      </c>
      <c r="P59" s="152"/>
      <c r="Q59" s="152"/>
      <c r="R59" s="152"/>
      <c r="S59" s="152"/>
      <c r="T59" s="155" t="str">
        <v>AVG</v>
      </c>
      <c r="AC59" t="s">
        <v>35</v>
      </c>
      <c r="AD59" t="s">
        <v>39</v>
      </c>
      <c r="AE59">
        <v>13.2784605527835</v>
      </c>
      <c r="AF59">
        <v>17.824319793975398</v>
      </c>
      <c r="AG59">
        <v>17.824319793975398</v>
      </c>
      <c r="AH59">
        <v>17.824319793975398</v>
      </c>
      <c r="AI59">
        <v>17.824319793975398</v>
      </c>
      <c r="AJ59">
        <v>17.824319793975398</v>
      </c>
      <c r="AK59">
        <v>17.824319793975398</v>
      </c>
      <c r="AL59">
        <v>17.824319793975398</v>
      </c>
      <c r="AM59">
        <v>17.824319793975398</v>
      </c>
      <c r="AN59">
        <v>17.824319793975398</v>
      </c>
    </row>
    <row r="60" spans="7:40" s="5" customFormat="1" x14ac:dyDescent="0.25">
      <c r="G60" s="132"/>
      <c r="H60" s="140" t="s">
        <v>18</v>
      </c>
      <c r="I60" s="133" t="s">
        <v>27</v>
      </c>
      <c r="J60" s="5">
        <v>2030</v>
      </c>
      <c r="K60" s="117" t="s">
        <v>26</v>
      </c>
      <c r="M60" s="147" cm="1">
        <f t="array" ref="M60:M66">+IF(J60&lt;$H$34,$I$7:$I$13,$I$24:$I$30)</f>
        <v>0.32140607030351515</v>
      </c>
      <c r="O60" s="5" t="s">
        <v>37</v>
      </c>
      <c r="T60" s="134" t="str" cm="1">
        <f t="array" ref="T60:T66">+$H$7:$H$13</f>
        <v>GSL</v>
      </c>
      <c r="X60" s="5" t="e">
        <f>+SUM(#REF!)</f>
        <v>#REF!</v>
      </c>
    </row>
    <row r="61" spans="7:40" x14ac:dyDescent="0.25">
      <c r="G61" s="135"/>
      <c r="H61" s="23" t="s">
        <v>18</v>
      </c>
      <c r="I61" s="136" t="s">
        <v>27</v>
      </c>
      <c r="J61">
        <v>2030</v>
      </c>
      <c r="K61" s="100" t="s">
        <v>26</v>
      </c>
      <c r="M61" s="7">
        <v>0.34239999999999998</v>
      </c>
      <c r="O61" t="s">
        <v>37</v>
      </c>
      <c r="T61" s="29" t="str">
        <v>DSL</v>
      </c>
      <c r="AE61">
        <f t="shared" ref="AE61:AN61" si="13">+SUM(AE53:AE59)</f>
        <v>371.06680829977802</v>
      </c>
      <c r="AF61">
        <f t="shared" si="13"/>
        <v>424.36734709489832</v>
      </c>
      <c r="AG61">
        <f t="shared" si="13"/>
        <v>424.36734709489832</v>
      </c>
      <c r="AH61">
        <f t="shared" si="13"/>
        <v>424.36734709489832</v>
      </c>
      <c r="AI61">
        <f t="shared" si="13"/>
        <v>424.36734709489832</v>
      </c>
      <c r="AJ61">
        <f t="shared" si="13"/>
        <v>424.36734709489866</v>
      </c>
      <c r="AK61">
        <f t="shared" si="13"/>
        <v>424.36734709489832</v>
      </c>
      <c r="AL61">
        <f t="shared" si="13"/>
        <v>424.36734709489832</v>
      </c>
      <c r="AM61">
        <f t="shared" si="13"/>
        <v>424.36734709489866</v>
      </c>
      <c r="AN61">
        <f t="shared" si="13"/>
        <v>424.36734709489866</v>
      </c>
    </row>
    <row r="62" spans="7:40" x14ac:dyDescent="0.25">
      <c r="G62" s="135"/>
      <c r="H62" s="23" t="s">
        <v>18</v>
      </c>
      <c r="I62" s="136" t="s">
        <v>27</v>
      </c>
      <c r="J62">
        <v>2030</v>
      </c>
      <c r="K62" s="100" t="s">
        <v>26</v>
      </c>
      <c r="M62" s="7">
        <v>8.0479999999999996E-2</v>
      </c>
      <c r="O62" t="s">
        <v>37</v>
      </c>
      <c r="T62" s="29" t="str">
        <v>KER</v>
      </c>
    </row>
    <row r="63" spans="7:40" x14ac:dyDescent="0.25">
      <c r="G63" s="135"/>
      <c r="H63" s="23" t="s">
        <v>18</v>
      </c>
      <c r="I63" s="136" t="s">
        <v>27</v>
      </c>
      <c r="J63">
        <v>2030</v>
      </c>
      <c r="K63" s="100" t="s">
        <v>26</v>
      </c>
      <c r="M63" s="7">
        <v>1.6326881938927802E-2</v>
      </c>
      <c r="O63" t="s">
        <v>37</v>
      </c>
      <c r="T63" s="29" t="str">
        <v>LPG</v>
      </c>
    </row>
    <row r="64" spans="7:40" x14ac:dyDescent="0.25">
      <c r="G64" s="135"/>
      <c r="H64" s="23" t="s">
        <v>18</v>
      </c>
      <c r="I64" s="136" t="s">
        <v>27</v>
      </c>
      <c r="J64">
        <v>2030</v>
      </c>
      <c r="K64" s="100" t="s">
        <v>26</v>
      </c>
      <c r="M64" s="7">
        <v>0.221494361019133</v>
      </c>
      <c r="O64" t="s">
        <v>37</v>
      </c>
      <c r="T64" s="29" t="str">
        <v>HFO</v>
      </c>
    </row>
    <row r="65" spans="7:40" x14ac:dyDescent="0.25">
      <c r="G65" s="135"/>
      <c r="H65" s="23" t="s">
        <v>18</v>
      </c>
      <c r="I65" s="136" t="s">
        <v>27</v>
      </c>
      <c r="J65">
        <v>2030</v>
      </c>
      <c r="K65" s="100" t="s">
        <v>26</v>
      </c>
      <c r="M65" s="7">
        <v>0.5</v>
      </c>
      <c r="O65" t="s">
        <v>37</v>
      </c>
      <c r="T65" s="29" t="str">
        <v>RFG2</v>
      </c>
      <c r="AC65" t="s">
        <v>35</v>
      </c>
      <c r="AD65" t="s">
        <v>38</v>
      </c>
      <c r="AE65" s="16">
        <f>+AE53/AE$61</f>
        <v>0</v>
      </c>
      <c r="AF65" s="16">
        <f t="shared" ref="AF65:AN65" si="14">+AF53/AF$61</f>
        <v>1.0000000000000015E-3</v>
      </c>
      <c r="AG65" s="16">
        <f t="shared" si="14"/>
        <v>1.0000000000000015E-3</v>
      </c>
      <c r="AH65" s="16">
        <f t="shared" si="14"/>
        <v>1.0000000000000015E-3</v>
      </c>
      <c r="AI65" s="16">
        <f t="shared" si="14"/>
        <v>1.0000000000000015E-3</v>
      </c>
      <c r="AJ65" s="16">
        <f t="shared" si="14"/>
        <v>1.0000000000000007E-3</v>
      </c>
      <c r="AK65" s="16">
        <f t="shared" si="14"/>
        <v>1.0000000000000015E-3</v>
      </c>
      <c r="AL65" s="16">
        <f t="shared" si="14"/>
        <v>1.0000000000000015E-3</v>
      </c>
      <c r="AM65" s="16">
        <f t="shared" si="14"/>
        <v>1.0000000000000007E-3</v>
      </c>
      <c r="AN65" s="16">
        <f t="shared" si="14"/>
        <v>1.0000000000000007E-3</v>
      </c>
    </row>
    <row r="66" spans="7:40" x14ac:dyDescent="0.25">
      <c r="G66" s="135"/>
      <c r="H66" s="23" t="s">
        <v>18</v>
      </c>
      <c r="I66" s="136" t="s">
        <v>27</v>
      </c>
      <c r="J66">
        <v>2030</v>
      </c>
      <c r="K66" s="100" t="s">
        <v>26</v>
      </c>
      <c r="M66" s="7">
        <v>1E-3</v>
      </c>
      <c r="O66" t="s">
        <v>37</v>
      </c>
      <c r="T66" s="29" t="str">
        <v>AVG</v>
      </c>
      <c r="AC66" t="s">
        <v>35</v>
      </c>
      <c r="AD66" t="s">
        <v>20</v>
      </c>
      <c r="AE66" s="16">
        <f t="shared" ref="AE66:AN66" si="15">+AE54/AE$61</f>
        <v>0.37924249877029004</v>
      </c>
      <c r="AF66" s="16">
        <f t="shared" si="15"/>
        <v>0.34239999999999959</v>
      </c>
      <c r="AG66" s="16">
        <f t="shared" si="15"/>
        <v>0.34239999999999959</v>
      </c>
      <c r="AH66" s="16">
        <f t="shared" si="15"/>
        <v>0.34239999999999959</v>
      </c>
      <c r="AI66" s="16">
        <f t="shared" si="15"/>
        <v>0.34239999999999959</v>
      </c>
      <c r="AJ66" s="16">
        <f t="shared" si="15"/>
        <v>0.3290564528226414</v>
      </c>
      <c r="AK66" s="16">
        <f t="shared" si="15"/>
        <v>0.34239999999999959</v>
      </c>
      <c r="AL66" s="16">
        <f t="shared" si="15"/>
        <v>0.34239999999999959</v>
      </c>
      <c r="AM66" s="16">
        <f t="shared" si="15"/>
        <v>0.3290564528226414</v>
      </c>
      <c r="AN66" s="16">
        <f t="shared" si="15"/>
        <v>0.3290564528226414</v>
      </c>
    </row>
    <row r="67" spans="7:40" x14ac:dyDescent="0.25">
      <c r="G67" s="149"/>
      <c r="H67" s="150" t="s">
        <v>18</v>
      </c>
      <c r="I67" s="151" t="s">
        <v>27</v>
      </c>
      <c r="J67" s="152">
        <v>2035</v>
      </c>
      <c r="K67" s="153" t="s">
        <v>26</v>
      </c>
      <c r="L67" s="152"/>
      <c r="M67" s="147" cm="1">
        <f t="array" ref="M67:M73">+IF(J67&lt;$H$34,$I$7:$I$13,$I$24:$I$30)</f>
        <v>0.32140607030351515</v>
      </c>
      <c r="N67" s="152"/>
      <c r="O67" s="152" t="s">
        <v>37</v>
      </c>
      <c r="P67" s="152"/>
      <c r="Q67" s="152"/>
      <c r="R67" s="152"/>
      <c r="S67" s="152"/>
      <c r="T67" s="155" t="str" cm="1">
        <f t="array" ref="T67:T73">+$H$7:$H$13</f>
        <v>GSL</v>
      </c>
      <c r="X67" t="e">
        <f>+SUM(#REF!)</f>
        <v>#REF!</v>
      </c>
      <c r="AC67" t="s">
        <v>35</v>
      </c>
      <c r="AD67" t="s">
        <v>19</v>
      </c>
      <c r="AE67" s="16">
        <f t="shared" ref="AE67:AN67" si="16">+AE55/AE$61</f>
        <v>0.30324643384161265</v>
      </c>
      <c r="AF67" s="16">
        <f t="shared" si="16"/>
        <v>0.32140607030351492</v>
      </c>
      <c r="AG67" s="16">
        <f t="shared" si="16"/>
        <v>0.32140607030351492</v>
      </c>
      <c r="AH67" s="16">
        <f t="shared" si="16"/>
        <v>0.32140607030351492</v>
      </c>
      <c r="AI67" s="16">
        <f t="shared" si="16"/>
        <v>0.32140607030351492</v>
      </c>
      <c r="AJ67" s="16">
        <f t="shared" si="16"/>
        <v>0.32140607030351465</v>
      </c>
      <c r="AK67" s="16">
        <f t="shared" si="16"/>
        <v>0.32140607030351492</v>
      </c>
      <c r="AL67" s="16">
        <f t="shared" si="16"/>
        <v>0.32140607030351492</v>
      </c>
      <c r="AM67" s="16">
        <f t="shared" si="16"/>
        <v>0.32140607030351465</v>
      </c>
      <c r="AN67" s="16">
        <f t="shared" si="16"/>
        <v>0.32140607030351465</v>
      </c>
    </row>
    <row r="68" spans="7:40" x14ac:dyDescent="0.25">
      <c r="G68" s="149"/>
      <c r="H68" s="150" t="s">
        <v>18</v>
      </c>
      <c r="I68" s="151" t="s">
        <v>27</v>
      </c>
      <c r="J68" s="152">
        <v>2035</v>
      </c>
      <c r="K68" s="153" t="s">
        <v>26</v>
      </c>
      <c r="L68" s="152"/>
      <c r="M68" s="154">
        <v>0.34239999999999998</v>
      </c>
      <c r="N68" s="152"/>
      <c r="O68" s="152" t="s">
        <v>37</v>
      </c>
      <c r="P68" s="152"/>
      <c r="Q68" s="152"/>
      <c r="R68" s="152"/>
      <c r="S68" s="152"/>
      <c r="T68" s="155" t="str">
        <v>DSL</v>
      </c>
      <c r="AC68" t="s">
        <v>35</v>
      </c>
      <c r="AD68" t="s">
        <v>23</v>
      </c>
      <c r="AE68" s="16">
        <f t="shared" ref="AE68:AN68" si="17">+AE56/AE$61</f>
        <v>0.19367929168716244</v>
      </c>
      <c r="AF68" s="16">
        <f t="shared" si="17"/>
        <v>0.15797000000000028</v>
      </c>
      <c r="AG68" s="16">
        <f t="shared" si="17"/>
        <v>0.15797000000000028</v>
      </c>
      <c r="AH68" s="16">
        <f t="shared" si="17"/>
        <v>0.15797000000000028</v>
      </c>
      <c r="AI68" s="16">
        <f t="shared" si="17"/>
        <v>0.15797000000000028</v>
      </c>
      <c r="AJ68" s="16">
        <f t="shared" si="17"/>
        <v>0.15797000000000014</v>
      </c>
      <c r="AK68" s="16">
        <f t="shared" si="17"/>
        <v>0.15797000000000028</v>
      </c>
      <c r="AL68" s="16">
        <f t="shared" si="17"/>
        <v>0.15797000000000028</v>
      </c>
      <c r="AM68" s="16">
        <f t="shared" si="17"/>
        <v>0.15797000000000014</v>
      </c>
      <c r="AN68" s="16">
        <f t="shared" si="17"/>
        <v>0.15797000000000014</v>
      </c>
    </row>
    <row r="69" spans="7:40" x14ac:dyDescent="0.25">
      <c r="G69" s="149"/>
      <c r="H69" s="150" t="s">
        <v>18</v>
      </c>
      <c r="I69" s="151" t="s">
        <v>27</v>
      </c>
      <c r="J69" s="152">
        <v>2035</v>
      </c>
      <c r="K69" s="153" t="s">
        <v>26</v>
      </c>
      <c r="L69" s="152"/>
      <c r="M69" s="154">
        <v>8.0479999999999996E-2</v>
      </c>
      <c r="N69" s="152"/>
      <c r="O69" s="152" t="s">
        <v>37</v>
      </c>
      <c r="P69" s="152"/>
      <c r="Q69" s="152"/>
      <c r="R69" s="152"/>
      <c r="S69" s="152"/>
      <c r="T69" s="155" t="str">
        <v>KER</v>
      </c>
      <c r="AC69" t="s">
        <v>35</v>
      </c>
      <c r="AD69" t="s">
        <v>21</v>
      </c>
      <c r="AE69" s="16">
        <f t="shared" ref="AE69:AN69" si="18">+AE57/AE$61</f>
        <v>8.8047220855878267E-2</v>
      </c>
      <c r="AF69" s="16">
        <f t="shared" si="18"/>
        <v>7.9603980199010035E-2</v>
      </c>
      <c r="AG69" s="16">
        <f t="shared" si="18"/>
        <v>7.9603980199010035E-2</v>
      </c>
      <c r="AH69" s="16">
        <f t="shared" si="18"/>
        <v>7.9603980199010035E-2</v>
      </c>
      <c r="AI69" s="16">
        <f t="shared" si="18"/>
        <v>7.9603980199010035E-2</v>
      </c>
      <c r="AJ69" s="16">
        <f t="shared" si="18"/>
        <v>7.9603980199009966E-2</v>
      </c>
      <c r="AK69" s="16">
        <f t="shared" si="18"/>
        <v>7.9603980199010035E-2</v>
      </c>
      <c r="AL69" s="16">
        <f t="shared" si="18"/>
        <v>7.9603980199010035E-2</v>
      </c>
      <c r="AM69" s="16">
        <f t="shared" si="18"/>
        <v>7.9603980199009966E-2</v>
      </c>
      <c r="AN69" s="16">
        <f t="shared" si="18"/>
        <v>7.9603980199009966E-2</v>
      </c>
    </row>
    <row r="70" spans="7:40" x14ac:dyDescent="0.25">
      <c r="G70" s="149"/>
      <c r="H70" s="150" t="s">
        <v>18</v>
      </c>
      <c r="I70" s="151" t="s">
        <v>27</v>
      </c>
      <c r="J70" s="152">
        <v>2035</v>
      </c>
      <c r="K70" s="153" t="s">
        <v>26</v>
      </c>
      <c r="L70" s="152"/>
      <c r="M70" s="154">
        <v>1.6326881938927802E-2</v>
      </c>
      <c r="N70" s="152"/>
      <c r="O70" s="152" t="s">
        <v>37</v>
      </c>
      <c r="P70" s="152"/>
      <c r="Q70" s="152"/>
      <c r="R70" s="152"/>
      <c r="S70" s="152"/>
      <c r="T70" s="155" t="str">
        <v>LPG</v>
      </c>
      <c r="AC70" t="s">
        <v>35</v>
      </c>
      <c r="AD70" t="s">
        <v>22</v>
      </c>
      <c r="AE70" s="16">
        <f t="shared" ref="AE70:AN70" si="19">+AE58/AE$61</f>
        <v>0</v>
      </c>
      <c r="AF70" s="16">
        <f t="shared" si="19"/>
        <v>5.5617849392470012E-2</v>
      </c>
      <c r="AG70" s="16">
        <f t="shared" si="19"/>
        <v>5.5617849392470012E-2</v>
      </c>
      <c r="AH70" s="16">
        <f t="shared" si="19"/>
        <v>5.5617849392470012E-2</v>
      </c>
      <c r="AI70" s="16">
        <f t="shared" si="19"/>
        <v>5.5617849392470012E-2</v>
      </c>
      <c r="AJ70" s="16">
        <f t="shared" si="19"/>
        <v>6.8961396569828817E-2</v>
      </c>
      <c r="AK70" s="16">
        <f t="shared" si="19"/>
        <v>5.5617849392470012E-2</v>
      </c>
      <c r="AL70" s="16">
        <f t="shared" si="19"/>
        <v>5.5617849392470012E-2</v>
      </c>
      <c r="AM70" s="16">
        <f t="shared" si="19"/>
        <v>6.8961396569828817E-2</v>
      </c>
      <c r="AN70" s="16">
        <f t="shared" si="19"/>
        <v>6.8961396569828817E-2</v>
      </c>
    </row>
    <row r="71" spans="7:40" x14ac:dyDescent="0.25">
      <c r="G71" s="149"/>
      <c r="H71" s="150" t="s">
        <v>18</v>
      </c>
      <c r="I71" s="151" t="s">
        <v>27</v>
      </c>
      <c r="J71" s="152">
        <v>2035</v>
      </c>
      <c r="K71" s="153" t="s">
        <v>26</v>
      </c>
      <c r="L71" s="152"/>
      <c r="M71" s="154">
        <v>0.221494361019133</v>
      </c>
      <c r="N71" s="152"/>
      <c r="O71" s="152" t="s">
        <v>37</v>
      </c>
      <c r="P71" s="152"/>
      <c r="Q71" s="152"/>
      <c r="R71" s="152"/>
      <c r="S71" s="152"/>
      <c r="T71" s="155" t="str">
        <v>HFO</v>
      </c>
      <c r="AC71" t="s">
        <v>35</v>
      </c>
      <c r="AD71" t="s">
        <v>39</v>
      </c>
      <c r="AE71" s="16">
        <f t="shared" ref="AE71:AN71" si="20">+AE59/AE$61</f>
        <v>3.578455484505657E-2</v>
      </c>
      <c r="AF71" s="16">
        <f t="shared" si="20"/>
        <v>4.2002100105005179E-2</v>
      </c>
      <c r="AG71" s="16">
        <f t="shared" si="20"/>
        <v>4.2002100105005179E-2</v>
      </c>
      <c r="AH71" s="16">
        <f t="shared" si="20"/>
        <v>4.2002100105005179E-2</v>
      </c>
      <c r="AI71" s="16">
        <f t="shared" si="20"/>
        <v>4.2002100105005179E-2</v>
      </c>
      <c r="AJ71" s="16">
        <f t="shared" si="20"/>
        <v>4.2002100105005144E-2</v>
      </c>
      <c r="AK71" s="16">
        <f t="shared" si="20"/>
        <v>4.2002100105005179E-2</v>
      </c>
      <c r="AL71" s="16">
        <f t="shared" si="20"/>
        <v>4.2002100105005179E-2</v>
      </c>
      <c r="AM71" s="16">
        <f t="shared" si="20"/>
        <v>4.2002100105005144E-2</v>
      </c>
      <c r="AN71" s="16">
        <f t="shared" si="20"/>
        <v>4.2002100105005144E-2</v>
      </c>
    </row>
    <row r="72" spans="7:40" x14ac:dyDescent="0.25">
      <c r="G72" s="149"/>
      <c r="H72" s="150" t="s">
        <v>18</v>
      </c>
      <c r="I72" s="151" t="s">
        <v>27</v>
      </c>
      <c r="J72" s="152">
        <v>2035</v>
      </c>
      <c r="K72" s="153" t="s">
        <v>26</v>
      </c>
      <c r="L72" s="152"/>
      <c r="M72" s="154">
        <v>0.5</v>
      </c>
      <c r="N72" s="152"/>
      <c r="O72" s="152" t="s">
        <v>37</v>
      </c>
      <c r="P72" s="152"/>
      <c r="Q72" s="152"/>
      <c r="R72" s="152"/>
      <c r="S72" s="152"/>
      <c r="T72" s="155" t="str">
        <v>RFG2</v>
      </c>
      <c r="AE72" s="16">
        <f t="shared" ref="AE72:AN72" si="21">+AE60/AE$61</f>
        <v>0</v>
      </c>
      <c r="AF72" s="16">
        <f t="shared" si="21"/>
        <v>0</v>
      </c>
      <c r="AG72" s="16">
        <f t="shared" si="21"/>
        <v>0</v>
      </c>
      <c r="AH72" s="16">
        <f t="shared" si="21"/>
        <v>0</v>
      </c>
      <c r="AI72" s="16">
        <f t="shared" si="21"/>
        <v>0</v>
      </c>
      <c r="AJ72" s="16">
        <f t="shared" si="21"/>
        <v>0</v>
      </c>
      <c r="AK72" s="16">
        <f t="shared" si="21"/>
        <v>0</v>
      </c>
      <c r="AL72" s="16">
        <f t="shared" si="21"/>
        <v>0</v>
      </c>
      <c r="AM72" s="16">
        <f t="shared" si="21"/>
        <v>0</v>
      </c>
      <c r="AN72" s="16">
        <f t="shared" si="21"/>
        <v>0</v>
      </c>
    </row>
    <row r="73" spans="7:40" x14ac:dyDescent="0.25">
      <c r="G73" s="149"/>
      <c r="H73" s="150" t="s">
        <v>18</v>
      </c>
      <c r="I73" s="151" t="s">
        <v>27</v>
      </c>
      <c r="J73" s="152">
        <v>2035</v>
      </c>
      <c r="K73" s="153" t="s">
        <v>26</v>
      </c>
      <c r="L73" s="152"/>
      <c r="M73" s="154">
        <v>1E-3</v>
      </c>
      <c r="N73" s="152"/>
      <c r="O73" s="152" t="s">
        <v>37</v>
      </c>
      <c r="P73" s="152"/>
      <c r="Q73" s="152"/>
      <c r="R73" s="152"/>
      <c r="S73" s="152"/>
      <c r="T73" s="155" t="str">
        <v>AVG</v>
      </c>
    </row>
    <row r="74" spans="7:40" s="5" customFormat="1" x14ac:dyDescent="0.25">
      <c r="G74" s="132"/>
      <c r="H74" s="140" t="s">
        <v>18</v>
      </c>
      <c r="I74" s="133" t="s">
        <v>27</v>
      </c>
      <c r="J74" s="5">
        <v>2040</v>
      </c>
      <c r="K74" s="117" t="s">
        <v>26</v>
      </c>
      <c r="M74" s="147" cm="1">
        <f t="array" ref="M74:M80">+IF(J74&lt;$H$34,$I$7:$I$13,$I$24:$I$30)</f>
        <v>0.32140607030351515</v>
      </c>
      <c r="O74" s="5" t="s">
        <v>37</v>
      </c>
      <c r="T74" s="134" t="str" cm="1">
        <f t="array" ref="T74:T80">+$H$7:$H$13</f>
        <v>GSL</v>
      </c>
      <c r="X74" s="5" t="e">
        <f>+SUM(#REF!)</f>
        <v>#REF!</v>
      </c>
    </row>
    <row r="75" spans="7:40" x14ac:dyDescent="0.25">
      <c r="G75" s="135"/>
      <c r="H75" s="23" t="s">
        <v>18</v>
      </c>
      <c r="I75" s="136" t="s">
        <v>27</v>
      </c>
      <c r="J75">
        <v>2040</v>
      </c>
      <c r="K75" s="100" t="s">
        <v>26</v>
      </c>
      <c r="M75" s="7">
        <v>0.34239999999999998</v>
      </c>
      <c r="O75" t="s">
        <v>37</v>
      </c>
      <c r="T75" s="29" t="str">
        <v>DSL</v>
      </c>
    </row>
    <row r="76" spans="7:40" x14ac:dyDescent="0.25">
      <c r="G76" s="135"/>
      <c r="H76" s="23" t="s">
        <v>18</v>
      </c>
      <c r="I76" s="136" t="s">
        <v>27</v>
      </c>
      <c r="J76">
        <v>2040</v>
      </c>
      <c r="K76" s="100" t="s">
        <v>26</v>
      </c>
      <c r="M76" s="7">
        <v>8.0479999999999996E-2</v>
      </c>
      <c r="O76" t="s">
        <v>37</v>
      </c>
      <c r="T76" s="29" t="str">
        <v>KER</v>
      </c>
    </row>
    <row r="77" spans="7:40" x14ac:dyDescent="0.25">
      <c r="G77" s="135"/>
      <c r="H77" s="23" t="s">
        <v>18</v>
      </c>
      <c r="I77" s="136" t="s">
        <v>27</v>
      </c>
      <c r="J77">
        <v>2040</v>
      </c>
      <c r="K77" s="100" t="s">
        <v>26</v>
      </c>
      <c r="M77" s="7">
        <v>1.6326881938927802E-2</v>
      </c>
      <c r="O77" t="s">
        <v>37</v>
      </c>
      <c r="T77" s="29" t="str">
        <v>LPG</v>
      </c>
    </row>
    <row r="78" spans="7:40" x14ac:dyDescent="0.25">
      <c r="G78" s="135"/>
      <c r="H78" s="23" t="s">
        <v>18</v>
      </c>
      <c r="I78" s="136" t="s">
        <v>27</v>
      </c>
      <c r="J78">
        <v>2040</v>
      </c>
      <c r="K78" s="100" t="s">
        <v>26</v>
      </c>
      <c r="M78" s="7">
        <v>0.221494361019133</v>
      </c>
      <c r="O78" t="s">
        <v>37</v>
      </c>
      <c r="T78" s="29" t="str">
        <v>HFO</v>
      </c>
    </row>
    <row r="79" spans="7:40" x14ac:dyDescent="0.25">
      <c r="G79" s="135"/>
      <c r="H79" s="23" t="s">
        <v>18</v>
      </c>
      <c r="I79" s="136" t="s">
        <v>27</v>
      </c>
      <c r="J79">
        <v>2040</v>
      </c>
      <c r="K79" s="100" t="s">
        <v>26</v>
      </c>
      <c r="M79" s="7">
        <v>0.5</v>
      </c>
      <c r="O79" t="s">
        <v>37</v>
      </c>
      <c r="T79" s="29" t="str">
        <v>RFG2</v>
      </c>
    </row>
    <row r="80" spans="7:40" x14ac:dyDescent="0.25">
      <c r="G80" s="135"/>
      <c r="H80" s="23" t="s">
        <v>18</v>
      </c>
      <c r="I80" s="136" t="s">
        <v>27</v>
      </c>
      <c r="J80">
        <v>2040</v>
      </c>
      <c r="K80" s="100" t="s">
        <v>26</v>
      </c>
      <c r="M80" s="7">
        <v>1E-3</v>
      </c>
      <c r="O80" t="s">
        <v>37</v>
      </c>
      <c r="T80" s="29" t="str">
        <v>AVG</v>
      </c>
    </row>
    <row r="81" spans="7:24" x14ac:dyDescent="0.25">
      <c r="G81" s="149"/>
      <c r="H81" s="150" t="s">
        <v>18</v>
      </c>
      <c r="I81" s="151" t="s">
        <v>27</v>
      </c>
      <c r="J81" s="152">
        <v>2045</v>
      </c>
      <c r="K81" s="153" t="s">
        <v>26</v>
      </c>
      <c r="L81" s="152"/>
      <c r="M81" s="147" cm="1">
        <f t="array" ref="M81:M87">+IF(J81&lt;$H$34,$I$7:$I$13,$I$24:$I$30)</f>
        <v>0.32140607030351515</v>
      </c>
      <c r="N81" s="152"/>
      <c r="O81" s="152" t="s">
        <v>37</v>
      </c>
      <c r="P81" s="152"/>
      <c r="Q81" s="152"/>
      <c r="R81" s="152"/>
      <c r="S81" s="152"/>
      <c r="T81" s="155" t="str" cm="1">
        <f t="array" ref="T81:T87">+$H$7:$H$13</f>
        <v>GSL</v>
      </c>
      <c r="X81" t="e">
        <f>+SUM(#REF!)</f>
        <v>#REF!</v>
      </c>
    </row>
    <row r="82" spans="7:24" x14ac:dyDescent="0.25">
      <c r="G82" s="149"/>
      <c r="H82" s="150" t="s">
        <v>18</v>
      </c>
      <c r="I82" s="151" t="s">
        <v>27</v>
      </c>
      <c r="J82" s="152">
        <v>2045</v>
      </c>
      <c r="K82" s="153" t="s">
        <v>26</v>
      </c>
      <c r="L82" s="152"/>
      <c r="M82" s="154">
        <v>0.34239999999999998</v>
      </c>
      <c r="N82" s="152"/>
      <c r="O82" s="152" t="s">
        <v>37</v>
      </c>
      <c r="P82" s="152"/>
      <c r="Q82" s="152"/>
      <c r="R82" s="152"/>
      <c r="S82" s="152"/>
      <c r="T82" s="155" t="str">
        <v>DSL</v>
      </c>
    </row>
    <row r="83" spans="7:24" x14ac:dyDescent="0.25">
      <c r="G83" s="149"/>
      <c r="H83" s="150" t="s">
        <v>18</v>
      </c>
      <c r="I83" s="151" t="s">
        <v>27</v>
      </c>
      <c r="J83" s="152">
        <v>2045</v>
      </c>
      <c r="K83" s="153" t="s">
        <v>26</v>
      </c>
      <c r="L83" s="152"/>
      <c r="M83" s="154">
        <v>8.0479999999999996E-2</v>
      </c>
      <c r="N83" s="152"/>
      <c r="O83" s="152" t="s">
        <v>37</v>
      </c>
      <c r="P83" s="152"/>
      <c r="Q83" s="152"/>
      <c r="R83" s="152"/>
      <c r="S83" s="152"/>
      <c r="T83" s="155" t="str">
        <v>KER</v>
      </c>
    </row>
    <row r="84" spans="7:24" x14ac:dyDescent="0.25">
      <c r="G84" s="149"/>
      <c r="H84" s="150" t="s">
        <v>18</v>
      </c>
      <c r="I84" s="151" t="s">
        <v>27</v>
      </c>
      <c r="J84" s="152">
        <v>2045</v>
      </c>
      <c r="K84" s="153" t="s">
        <v>26</v>
      </c>
      <c r="L84" s="152"/>
      <c r="M84" s="154">
        <v>1.6326881938927802E-2</v>
      </c>
      <c r="N84" s="152"/>
      <c r="O84" s="152" t="s">
        <v>37</v>
      </c>
      <c r="P84" s="152"/>
      <c r="Q84" s="152"/>
      <c r="R84" s="152"/>
      <c r="S84" s="152"/>
      <c r="T84" s="155" t="str">
        <v>LPG</v>
      </c>
    </row>
    <row r="85" spans="7:24" x14ac:dyDescent="0.25">
      <c r="G85" s="149"/>
      <c r="H85" s="150" t="s">
        <v>18</v>
      </c>
      <c r="I85" s="151" t="s">
        <v>27</v>
      </c>
      <c r="J85" s="152">
        <v>2045</v>
      </c>
      <c r="K85" s="153" t="s">
        <v>26</v>
      </c>
      <c r="L85" s="152"/>
      <c r="M85" s="154">
        <v>0.221494361019133</v>
      </c>
      <c r="N85" s="152"/>
      <c r="O85" s="152" t="s">
        <v>37</v>
      </c>
      <c r="P85" s="152"/>
      <c r="Q85" s="152"/>
      <c r="R85" s="152"/>
      <c r="S85" s="152"/>
      <c r="T85" s="155" t="str">
        <v>HFO</v>
      </c>
    </row>
    <row r="86" spans="7:24" x14ac:dyDescent="0.25">
      <c r="G86" s="149"/>
      <c r="H86" s="150" t="s">
        <v>18</v>
      </c>
      <c r="I86" s="151" t="s">
        <v>27</v>
      </c>
      <c r="J86" s="152">
        <v>2045</v>
      </c>
      <c r="K86" s="153" t="s">
        <v>26</v>
      </c>
      <c r="L86" s="152"/>
      <c r="M86" s="154">
        <v>0.5</v>
      </c>
      <c r="N86" s="152"/>
      <c r="O86" s="152" t="s">
        <v>37</v>
      </c>
      <c r="P86" s="152"/>
      <c r="Q86" s="152"/>
      <c r="R86" s="152"/>
      <c r="S86" s="152"/>
      <c r="T86" s="155" t="str">
        <v>RFG2</v>
      </c>
    </row>
    <row r="87" spans="7:24" x14ac:dyDescent="0.25">
      <c r="G87" s="149"/>
      <c r="H87" s="150" t="s">
        <v>18</v>
      </c>
      <c r="I87" s="151" t="s">
        <v>27</v>
      </c>
      <c r="J87" s="152">
        <v>2045</v>
      </c>
      <c r="K87" s="153" t="s">
        <v>26</v>
      </c>
      <c r="L87" s="152"/>
      <c r="M87" s="154">
        <v>1E-3</v>
      </c>
      <c r="N87" s="152"/>
      <c r="O87" s="152" t="s">
        <v>37</v>
      </c>
      <c r="P87" s="152"/>
      <c r="Q87" s="152"/>
      <c r="R87" s="152"/>
      <c r="S87" s="152"/>
      <c r="T87" s="155" t="str">
        <v>AVG</v>
      </c>
    </row>
    <row r="88" spans="7:24" s="5" customFormat="1" x14ac:dyDescent="0.25">
      <c r="G88" s="132"/>
      <c r="H88" s="140" t="s">
        <v>18</v>
      </c>
      <c r="I88" s="133" t="s">
        <v>27</v>
      </c>
      <c r="J88" s="5">
        <v>2050</v>
      </c>
      <c r="K88" s="117" t="s">
        <v>26</v>
      </c>
      <c r="M88" s="147" cm="1">
        <f t="array" ref="M88:M94">+IF(J88&lt;$H$34,$I$7:$I$13,$I$24:$I$30)</f>
        <v>0.32140607030351515</v>
      </c>
      <c r="O88" s="5" t="s">
        <v>37</v>
      </c>
      <c r="T88" s="134" t="str" cm="1">
        <f t="array" ref="T88:T94">+$H$7:$H$13</f>
        <v>GSL</v>
      </c>
      <c r="X88" s="5" t="e">
        <f>+SUM(#REF!)</f>
        <v>#REF!</v>
      </c>
    </row>
    <row r="89" spans="7:24" x14ac:dyDescent="0.25">
      <c r="G89" s="135"/>
      <c r="H89" s="23" t="s">
        <v>18</v>
      </c>
      <c r="I89" s="136" t="s">
        <v>27</v>
      </c>
      <c r="J89">
        <v>2050</v>
      </c>
      <c r="K89" s="100" t="s">
        <v>26</v>
      </c>
      <c r="M89" s="7">
        <v>0.34239999999999998</v>
      </c>
      <c r="O89" t="s">
        <v>37</v>
      </c>
      <c r="T89" s="29" t="str">
        <v>DSL</v>
      </c>
    </row>
    <row r="90" spans="7:24" x14ac:dyDescent="0.25">
      <c r="G90" s="135"/>
      <c r="H90" s="23" t="s">
        <v>18</v>
      </c>
      <c r="I90" s="136" t="s">
        <v>27</v>
      </c>
      <c r="J90">
        <v>2050</v>
      </c>
      <c r="K90" s="100" t="s">
        <v>26</v>
      </c>
      <c r="M90" s="7">
        <v>8.0479999999999996E-2</v>
      </c>
      <c r="O90" t="s">
        <v>37</v>
      </c>
      <c r="T90" s="29" t="str">
        <v>KER</v>
      </c>
    </row>
    <row r="91" spans="7:24" x14ac:dyDescent="0.25">
      <c r="G91" s="135"/>
      <c r="H91" s="23" t="s">
        <v>18</v>
      </c>
      <c r="I91" s="136" t="s">
        <v>27</v>
      </c>
      <c r="J91">
        <v>2050</v>
      </c>
      <c r="K91" s="100" t="s">
        <v>26</v>
      </c>
      <c r="M91" s="7">
        <v>1.6326881938927802E-2</v>
      </c>
      <c r="O91" t="s">
        <v>37</v>
      </c>
      <c r="T91" s="29" t="str">
        <v>LPG</v>
      </c>
    </row>
    <row r="92" spans="7:24" x14ac:dyDescent="0.25">
      <c r="G92" s="135"/>
      <c r="H92" s="23" t="s">
        <v>18</v>
      </c>
      <c r="I92" s="136" t="s">
        <v>27</v>
      </c>
      <c r="J92">
        <v>2050</v>
      </c>
      <c r="K92" s="100" t="s">
        <v>26</v>
      </c>
      <c r="M92" s="7">
        <v>0.221494361019133</v>
      </c>
      <c r="O92" t="s">
        <v>37</v>
      </c>
      <c r="T92" s="29" t="str">
        <v>HFO</v>
      </c>
    </row>
    <row r="93" spans="7:24" x14ac:dyDescent="0.25">
      <c r="G93" s="135"/>
      <c r="H93" s="23" t="s">
        <v>18</v>
      </c>
      <c r="I93" s="136" t="s">
        <v>27</v>
      </c>
      <c r="J93">
        <v>2050</v>
      </c>
      <c r="K93" s="100" t="s">
        <v>26</v>
      </c>
      <c r="M93" s="7">
        <v>0.5</v>
      </c>
      <c r="O93" t="s">
        <v>37</v>
      </c>
      <c r="T93" s="29" t="str">
        <v>RFG2</v>
      </c>
    </row>
    <row r="94" spans="7:24" x14ac:dyDescent="0.25">
      <c r="G94" s="137"/>
      <c r="H94" s="141" t="s">
        <v>18</v>
      </c>
      <c r="I94" s="122" t="s">
        <v>27</v>
      </c>
      <c r="J94" s="122">
        <v>2050</v>
      </c>
      <c r="K94" s="138" t="s">
        <v>26</v>
      </c>
      <c r="L94" s="122"/>
      <c r="M94" s="139">
        <v>1E-3</v>
      </c>
      <c r="N94" s="122"/>
      <c r="O94" s="122" t="s">
        <v>37</v>
      </c>
      <c r="P94" s="122"/>
      <c r="Q94" s="122"/>
      <c r="R94" s="122"/>
      <c r="S94" s="122"/>
      <c r="T94" s="30" t="str">
        <v>AVG</v>
      </c>
    </row>
    <row r="99" spans="7:21" x14ac:dyDescent="0.25">
      <c r="K99" s="1" t="s">
        <v>0</v>
      </c>
    </row>
    <row r="100" spans="7:21" x14ac:dyDescent="0.25">
      <c r="G100" s="8" t="s">
        <v>1</v>
      </c>
      <c r="H100" s="8" t="s">
        <v>2</v>
      </c>
      <c r="I100" s="8" t="s">
        <v>3</v>
      </c>
      <c r="J100" s="8" t="s">
        <v>4</v>
      </c>
      <c r="K100" s="8" t="s">
        <v>5</v>
      </c>
      <c r="L100" s="9" t="s">
        <v>6</v>
      </c>
      <c r="M100" s="9" t="s">
        <v>7</v>
      </c>
      <c r="N100" s="10" t="s">
        <v>8</v>
      </c>
      <c r="O100" s="10" t="s">
        <v>9</v>
      </c>
      <c r="P100" s="10" t="s">
        <v>10</v>
      </c>
      <c r="Q100" s="10" t="s">
        <v>11</v>
      </c>
      <c r="R100" s="10" t="s">
        <v>12</v>
      </c>
      <c r="S100" s="10" t="s">
        <v>13</v>
      </c>
      <c r="T100" s="10" t="s">
        <v>14</v>
      </c>
      <c r="U100" s="10" t="s">
        <v>15</v>
      </c>
    </row>
    <row r="101" spans="7:21" x14ac:dyDescent="0.25">
      <c r="G101" s="142"/>
      <c r="H101" s="143" t="s">
        <v>31</v>
      </c>
      <c r="I101" s="144" t="s">
        <v>27</v>
      </c>
      <c r="J101" s="145">
        <v>2019</v>
      </c>
      <c r="K101" s="146" t="s">
        <v>26</v>
      </c>
      <c r="L101" s="145"/>
      <c r="M101" s="147" cm="1">
        <f t="array" ref="M101:M107">+IF(J101&lt;$H$34,$L$7:$L$13,$L$24:$L$30)</f>
        <v>0</v>
      </c>
      <c r="N101" s="145"/>
      <c r="O101" s="145" t="s">
        <v>37</v>
      </c>
      <c r="P101" s="145"/>
      <c r="Q101" s="145"/>
      <c r="R101" s="145"/>
      <c r="S101" s="145"/>
      <c r="T101" s="148" t="str" cm="1">
        <f t="array" ref="T101:T107">+$H$7:$H$13</f>
        <v>GSL</v>
      </c>
    </row>
    <row r="102" spans="7:21" x14ac:dyDescent="0.25">
      <c r="G102" s="149"/>
      <c r="H102" s="143" t="s">
        <v>31</v>
      </c>
      <c r="I102" s="151" t="s">
        <v>27</v>
      </c>
      <c r="J102" s="152">
        <v>2019</v>
      </c>
      <c r="K102" s="153" t="s">
        <v>26</v>
      </c>
      <c r="L102" s="152"/>
      <c r="M102" s="154">
        <v>0</v>
      </c>
      <c r="N102" s="152"/>
      <c r="O102" s="152" t="s">
        <v>37</v>
      </c>
      <c r="P102" s="152"/>
      <c r="Q102" s="152"/>
      <c r="R102" s="152"/>
      <c r="S102" s="152"/>
      <c r="T102" s="155" t="str">
        <v>DSL</v>
      </c>
    </row>
    <row r="103" spans="7:21" x14ac:dyDescent="0.25">
      <c r="G103" s="149"/>
      <c r="H103" s="143" t="s">
        <v>31</v>
      </c>
      <c r="I103" s="151" t="s">
        <v>27</v>
      </c>
      <c r="J103" s="152">
        <v>2019</v>
      </c>
      <c r="K103" s="153" t="s">
        <v>26</v>
      </c>
      <c r="L103" s="152"/>
      <c r="M103" s="154">
        <v>0</v>
      </c>
      <c r="N103" s="152"/>
      <c r="O103" s="152" t="s">
        <v>37</v>
      </c>
      <c r="P103" s="152"/>
      <c r="Q103" s="152"/>
      <c r="R103" s="152"/>
      <c r="S103" s="152"/>
      <c r="T103" s="155" t="str">
        <v>KER</v>
      </c>
    </row>
    <row r="104" spans="7:21" x14ac:dyDescent="0.25">
      <c r="G104" s="149"/>
      <c r="H104" s="143" t="s">
        <v>31</v>
      </c>
      <c r="I104" s="151" t="s">
        <v>27</v>
      </c>
      <c r="J104" s="152">
        <v>2019</v>
      </c>
      <c r="K104" s="153" t="s">
        <v>26</v>
      </c>
      <c r="L104" s="152"/>
      <c r="M104" s="154">
        <v>0</v>
      </c>
      <c r="N104" s="152"/>
      <c r="O104" s="152" t="s">
        <v>37</v>
      </c>
      <c r="P104" s="152"/>
      <c r="Q104" s="152"/>
      <c r="R104" s="152"/>
      <c r="S104" s="152"/>
      <c r="T104" s="155" t="str">
        <v>LPG</v>
      </c>
    </row>
    <row r="105" spans="7:21" x14ac:dyDescent="0.25">
      <c r="G105" s="149"/>
      <c r="H105" s="143" t="s">
        <v>31</v>
      </c>
      <c r="I105" s="151" t="s">
        <v>27</v>
      </c>
      <c r="J105" s="152">
        <v>2019</v>
      </c>
      <c r="K105" s="153" t="s">
        <v>26</v>
      </c>
      <c r="L105" s="152"/>
      <c r="M105" s="154">
        <v>0</v>
      </c>
      <c r="N105" s="152"/>
      <c r="O105" s="152" t="s">
        <v>37</v>
      </c>
      <c r="P105" s="152"/>
      <c r="Q105" s="152"/>
      <c r="R105" s="152"/>
      <c r="S105" s="152"/>
      <c r="T105" s="155" t="str">
        <v>HFO</v>
      </c>
    </row>
    <row r="106" spans="7:21" x14ac:dyDescent="0.25">
      <c r="G106" s="149"/>
      <c r="H106" s="143" t="s">
        <v>31</v>
      </c>
      <c r="I106" s="151" t="s">
        <v>27</v>
      </c>
      <c r="J106" s="152">
        <v>2019</v>
      </c>
      <c r="K106" s="153" t="s">
        <v>26</v>
      </c>
      <c r="L106" s="152"/>
      <c r="M106" s="154">
        <v>0</v>
      </c>
      <c r="N106" s="152"/>
      <c r="O106" s="152" t="s">
        <v>37</v>
      </c>
      <c r="P106" s="152"/>
      <c r="Q106" s="152"/>
      <c r="R106" s="152"/>
      <c r="S106" s="152"/>
      <c r="T106" s="155" t="str">
        <v>RFG2</v>
      </c>
    </row>
    <row r="107" spans="7:21" x14ac:dyDescent="0.25">
      <c r="G107" s="149"/>
      <c r="H107" s="143" t="s">
        <v>31</v>
      </c>
      <c r="I107" s="151" t="s">
        <v>27</v>
      </c>
      <c r="J107" s="152">
        <v>2019</v>
      </c>
      <c r="K107" s="153" t="s">
        <v>26</v>
      </c>
      <c r="L107" s="152"/>
      <c r="M107" s="154">
        <v>0</v>
      </c>
      <c r="N107" s="152"/>
      <c r="O107" s="152" t="s">
        <v>37</v>
      </c>
      <c r="P107" s="152"/>
      <c r="Q107" s="152"/>
      <c r="R107" s="152"/>
      <c r="S107" s="152"/>
      <c r="T107" s="155" t="str">
        <v>AVG</v>
      </c>
    </row>
    <row r="108" spans="7:21" x14ac:dyDescent="0.25">
      <c r="G108" s="132"/>
      <c r="H108" s="143" t="s">
        <v>31</v>
      </c>
      <c r="I108" s="133" t="s">
        <v>27</v>
      </c>
      <c r="J108" s="5">
        <v>2020</v>
      </c>
      <c r="K108" s="117" t="s">
        <v>26</v>
      </c>
      <c r="L108" s="5"/>
      <c r="M108" s="147" cm="1">
        <f t="array" ref="M108:M114">+IF(J108&lt;$H$34,$L$7:$L$13,$L$24:$L$30)</f>
        <v>0.29846</v>
      </c>
      <c r="N108" s="5"/>
      <c r="O108" s="5" t="s">
        <v>37</v>
      </c>
      <c r="P108" s="5"/>
      <c r="Q108" s="5"/>
      <c r="R108" s="5"/>
      <c r="S108" s="5"/>
      <c r="T108" s="134" t="str" cm="1">
        <f t="array" ref="T108:T114">+$H$7:$H$13</f>
        <v>GSL</v>
      </c>
    </row>
    <row r="109" spans="7:21" x14ac:dyDescent="0.25">
      <c r="G109" s="135"/>
      <c r="H109" s="143" t="s">
        <v>31</v>
      </c>
      <c r="I109" s="136" t="s">
        <v>27</v>
      </c>
      <c r="J109">
        <v>2020</v>
      </c>
      <c r="K109" s="100" t="s">
        <v>26</v>
      </c>
      <c r="M109" s="7">
        <v>0.32905645282264107</v>
      </c>
      <c r="O109" t="s">
        <v>37</v>
      </c>
      <c r="T109" s="29" t="str">
        <v>DSL</v>
      </c>
    </row>
    <row r="110" spans="7:21" x14ac:dyDescent="0.25">
      <c r="G110" s="135"/>
      <c r="H110" s="143" t="s">
        <v>31</v>
      </c>
      <c r="I110" s="136" t="s">
        <v>27</v>
      </c>
      <c r="J110">
        <v>2020</v>
      </c>
      <c r="K110" s="100" t="s">
        <v>26</v>
      </c>
      <c r="M110" s="7">
        <v>7.9603980199009952E-2</v>
      </c>
      <c r="O110" t="s">
        <v>37</v>
      </c>
      <c r="T110" s="29" t="str">
        <v>KER</v>
      </c>
    </row>
    <row r="111" spans="7:21" x14ac:dyDescent="0.25">
      <c r="G111" s="135"/>
      <c r="H111" s="143" t="s">
        <v>31</v>
      </c>
      <c r="I111" s="136" t="s">
        <v>27</v>
      </c>
      <c r="J111">
        <v>2020</v>
      </c>
      <c r="K111" s="100" t="s">
        <v>26</v>
      </c>
      <c r="M111" s="7">
        <v>1.6326881938927802E-2</v>
      </c>
      <c r="O111" t="s">
        <v>37</v>
      </c>
      <c r="T111" s="29" t="str">
        <v>LPG</v>
      </c>
    </row>
    <row r="112" spans="7:21" x14ac:dyDescent="0.25">
      <c r="G112" s="135"/>
      <c r="H112" s="143" t="s">
        <v>31</v>
      </c>
      <c r="I112" s="136" t="s">
        <v>27</v>
      </c>
      <c r="J112">
        <v>2020</v>
      </c>
      <c r="K112" s="100" t="s">
        <v>26</v>
      </c>
      <c r="M112" s="7">
        <v>0.15797</v>
      </c>
      <c r="O112" t="s">
        <v>37</v>
      </c>
      <c r="T112" s="29" t="str">
        <v>HFO</v>
      </c>
    </row>
    <row r="113" spans="7:20" x14ac:dyDescent="0.25">
      <c r="G113" s="135"/>
      <c r="H113" s="143" t="s">
        <v>31</v>
      </c>
      <c r="I113" s="136" t="s">
        <v>27</v>
      </c>
      <c r="J113">
        <v>2020</v>
      </c>
      <c r="K113" s="100" t="s">
        <v>26</v>
      </c>
      <c r="M113" s="7">
        <v>0</v>
      </c>
      <c r="O113" t="s">
        <v>37</v>
      </c>
      <c r="T113" s="29" t="str">
        <v>RFG2</v>
      </c>
    </row>
    <row r="114" spans="7:20" x14ac:dyDescent="0.25">
      <c r="G114" s="135"/>
      <c r="H114" s="143" t="s">
        <v>31</v>
      </c>
      <c r="I114" s="136" t="s">
        <v>27</v>
      </c>
      <c r="J114">
        <v>2020</v>
      </c>
      <c r="K114" s="100" t="s">
        <v>26</v>
      </c>
      <c r="M114" s="7">
        <v>0</v>
      </c>
      <c r="O114" t="s">
        <v>37</v>
      </c>
      <c r="T114" s="29" t="str">
        <v>AVG</v>
      </c>
    </row>
    <row r="115" spans="7:20" x14ac:dyDescent="0.25">
      <c r="G115" s="149"/>
      <c r="H115" s="143" t="s">
        <v>31</v>
      </c>
      <c r="I115" s="151" t="s">
        <v>27</v>
      </c>
      <c r="J115" s="152">
        <v>2025</v>
      </c>
      <c r="K115" s="153" t="s">
        <v>26</v>
      </c>
      <c r="L115" s="152"/>
      <c r="M115" s="147" cm="1">
        <f t="array" ref="M115:M121">+IF(J115&lt;$H$34,$L$7:$L$13,$L$24:$L$30)</f>
        <v>0.29846</v>
      </c>
      <c r="N115" s="152"/>
      <c r="O115" s="152" t="s">
        <v>37</v>
      </c>
      <c r="P115" s="152"/>
      <c r="Q115" s="152"/>
      <c r="R115" s="152"/>
      <c r="S115" s="152"/>
      <c r="T115" s="155" t="str" cm="1">
        <f t="array" ref="T115:T121">+$H$7:$H$13</f>
        <v>GSL</v>
      </c>
    </row>
    <row r="116" spans="7:20" x14ac:dyDescent="0.25">
      <c r="G116" s="149"/>
      <c r="H116" s="143" t="s">
        <v>31</v>
      </c>
      <c r="I116" s="151" t="s">
        <v>27</v>
      </c>
      <c r="J116" s="152">
        <v>2025</v>
      </c>
      <c r="K116" s="153" t="s">
        <v>26</v>
      </c>
      <c r="L116" s="152"/>
      <c r="M116" s="154">
        <v>0.32905645282264107</v>
      </c>
      <c r="N116" s="152"/>
      <c r="O116" s="152" t="s">
        <v>37</v>
      </c>
      <c r="P116" s="152"/>
      <c r="Q116" s="152"/>
      <c r="R116" s="152"/>
      <c r="S116" s="152"/>
      <c r="T116" s="155" t="str">
        <v>DSL</v>
      </c>
    </row>
    <row r="117" spans="7:20" x14ac:dyDescent="0.25">
      <c r="G117" s="149"/>
      <c r="H117" s="143" t="s">
        <v>31</v>
      </c>
      <c r="I117" s="151" t="s">
        <v>27</v>
      </c>
      <c r="J117" s="152">
        <v>2025</v>
      </c>
      <c r="K117" s="153" t="s">
        <v>26</v>
      </c>
      <c r="L117" s="152"/>
      <c r="M117" s="154">
        <v>7.9603980199009952E-2</v>
      </c>
      <c r="N117" s="152"/>
      <c r="O117" s="152" t="s">
        <v>37</v>
      </c>
      <c r="P117" s="152"/>
      <c r="Q117" s="152"/>
      <c r="R117" s="152"/>
      <c r="S117" s="152"/>
      <c r="T117" s="155" t="str">
        <v>KER</v>
      </c>
    </row>
    <row r="118" spans="7:20" x14ac:dyDescent="0.25">
      <c r="G118" s="149"/>
      <c r="H118" s="143" t="s">
        <v>31</v>
      </c>
      <c r="I118" s="151" t="s">
        <v>27</v>
      </c>
      <c r="J118" s="152">
        <v>2025</v>
      </c>
      <c r="K118" s="153" t="s">
        <v>26</v>
      </c>
      <c r="L118" s="152"/>
      <c r="M118" s="154">
        <v>1.6326881938927802E-2</v>
      </c>
      <c r="N118" s="152"/>
      <c r="O118" s="152" t="s">
        <v>37</v>
      </c>
      <c r="P118" s="152"/>
      <c r="Q118" s="152"/>
      <c r="R118" s="152"/>
      <c r="S118" s="152"/>
      <c r="T118" s="155" t="str">
        <v>LPG</v>
      </c>
    </row>
    <row r="119" spans="7:20" x14ac:dyDescent="0.25">
      <c r="G119" s="149"/>
      <c r="H119" s="143" t="s">
        <v>31</v>
      </c>
      <c r="I119" s="151" t="s">
        <v>27</v>
      </c>
      <c r="J119" s="152">
        <v>2025</v>
      </c>
      <c r="K119" s="153" t="s">
        <v>26</v>
      </c>
      <c r="L119" s="152"/>
      <c r="M119" s="154">
        <v>0.15797</v>
      </c>
      <c r="N119" s="152"/>
      <c r="O119" s="152" t="s">
        <v>37</v>
      </c>
      <c r="P119" s="152"/>
      <c r="Q119" s="152"/>
      <c r="R119" s="152"/>
      <c r="S119" s="152"/>
      <c r="T119" s="155" t="str">
        <v>HFO</v>
      </c>
    </row>
    <row r="120" spans="7:20" x14ac:dyDescent="0.25">
      <c r="G120" s="149"/>
      <c r="H120" s="143" t="s">
        <v>31</v>
      </c>
      <c r="I120" s="151" t="s">
        <v>27</v>
      </c>
      <c r="J120" s="152">
        <v>2025</v>
      </c>
      <c r="K120" s="153" t="s">
        <v>26</v>
      </c>
      <c r="L120" s="152"/>
      <c r="M120" s="154">
        <v>0</v>
      </c>
      <c r="N120" s="152"/>
      <c r="O120" s="152" t="s">
        <v>37</v>
      </c>
      <c r="P120" s="152"/>
      <c r="Q120" s="152"/>
      <c r="R120" s="152"/>
      <c r="S120" s="152"/>
      <c r="T120" s="155" t="str">
        <v>RFG2</v>
      </c>
    </row>
    <row r="121" spans="7:20" x14ac:dyDescent="0.25">
      <c r="G121" s="149"/>
      <c r="H121" s="143" t="s">
        <v>31</v>
      </c>
      <c r="I121" s="151" t="s">
        <v>27</v>
      </c>
      <c r="J121" s="152">
        <v>2025</v>
      </c>
      <c r="K121" s="153" t="s">
        <v>26</v>
      </c>
      <c r="L121" s="152"/>
      <c r="M121" s="154">
        <v>0</v>
      </c>
      <c r="N121" s="152"/>
      <c r="O121" s="152" t="s">
        <v>37</v>
      </c>
      <c r="P121" s="152"/>
      <c r="Q121" s="152"/>
      <c r="R121" s="152"/>
      <c r="S121" s="152"/>
      <c r="T121" s="155" t="str">
        <v>AVG</v>
      </c>
    </row>
    <row r="122" spans="7:20" x14ac:dyDescent="0.25">
      <c r="G122" s="132"/>
      <c r="H122" s="143" t="s">
        <v>31</v>
      </c>
      <c r="I122" s="133" t="s">
        <v>27</v>
      </c>
      <c r="J122" s="5">
        <v>2030</v>
      </c>
      <c r="K122" s="117" t="s">
        <v>26</v>
      </c>
      <c r="L122" s="5"/>
      <c r="M122" s="147" cm="1">
        <f t="array" ref="M122:M128">+IF(J122&lt;$H$34,$L$7:$L$13,$L$24:$L$30)</f>
        <v>0.29846</v>
      </c>
      <c r="N122" s="5"/>
      <c r="O122" s="5" t="s">
        <v>37</v>
      </c>
      <c r="P122" s="5"/>
      <c r="Q122" s="5"/>
      <c r="R122" s="5"/>
      <c r="S122" s="5"/>
      <c r="T122" s="134" t="str" cm="1">
        <f t="array" ref="T122:T128">+$H$7:$H$13</f>
        <v>GSL</v>
      </c>
    </row>
    <row r="123" spans="7:20" x14ac:dyDescent="0.25">
      <c r="G123" s="135"/>
      <c r="H123" s="143" t="s">
        <v>31</v>
      </c>
      <c r="I123" s="136" t="s">
        <v>27</v>
      </c>
      <c r="J123">
        <v>2030</v>
      </c>
      <c r="K123" s="100" t="s">
        <v>26</v>
      </c>
      <c r="M123" s="7">
        <v>0.32905645282264107</v>
      </c>
      <c r="O123" t="s">
        <v>37</v>
      </c>
      <c r="T123" s="29" t="str">
        <v>DSL</v>
      </c>
    </row>
    <row r="124" spans="7:20" x14ac:dyDescent="0.25">
      <c r="G124" s="135"/>
      <c r="H124" s="143" t="s">
        <v>31</v>
      </c>
      <c r="I124" s="136" t="s">
        <v>27</v>
      </c>
      <c r="J124">
        <v>2030</v>
      </c>
      <c r="K124" s="100" t="s">
        <v>26</v>
      </c>
      <c r="M124" s="7">
        <v>7.9603980199009952E-2</v>
      </c>
      <c r="O124" t="s">
        <v>37</v>
      </c>
      <c r="T124" s="29" t="str">
        <v>KER</v>
      </c>
    </row>
    <row r="125" spans="7:20" x14ac:dyDescent="0.25">
      <c r="G125" s="135"/>
      <c r="H125" s="143" t="s">
        <v>31</v>
      </c>
      <c r="I125" s="136" t="s">
        <v>27</v>
      </c>
      <c r="J125">
        <v>2030</v>
      </c>
      <c r="K125" s="100" t="s">
        <v>26</v>
      </c>
      <c r="M125" s="7">
        <v>1.6326881938927802E-2</v>
      </c>
      <c r="O125" t="s">
        <v>37</v>
      </c>
      <c r="T125" s="29" t="str">
        <v>LPG</v>
      </c>
    </row>
    <row r="126" spans="7:20" x14ac:dyDescent="0.25">
      <c r="G126" s="135"/>
      <c r="H126" s="143" t="s">
        <v>31</v>
      </c>
      <c r="I126" s="136" t="s">
        <v>27</v>
      </c>
      <c r="J126">
        <v>2030</v>
      </c>
      <c r="K126" s="100" t="s">
        <v>26</v>
      </c>
      <c r="M126" s="7">
        <v>0.15797</v>
      </c>
      <c r="O126" t="s">
        <v>37</v>
      </c>
      <c r="T126" s="29" t="str">
        <v>HFO</v>
      </c>
    </row>
    <row r="127" spans="7:20" x14ac:dyDescent="0.25">
      <c r="G127" s="135"/>
      <c r="H127" s="143" t="s">
        <v>31</v>
      </c>
      <c r="I127" s="136" t="s">
        <v>27</v>
      </c>
      <c r="J127">
        <v>2030</v>
      </c>
      <c r="K127" s="100" t="s">
        <v>26</v>
      </c>
      <c r="M127" s="7">
        <v>0</v>
      </c>
      <c r="O127" t="s">
        <v>37</v>
      </c>
      <c r="T127" s="29" t="str">
        <v>RFG2</v>
      </c>
    </row>
    <row r="128" spans="7:20" x14ac:dyDescent="0.25">
      <c r="G128" s="135"/>
      <c r="H128" s="143" t="s">
        <v>31</v>
      </c>
      <c r="I128" s="136" t="s">
        <v>27</v>
      </c>
      <c r="J128">
        <v>2030</v>
      </c>
      <c r="K128" s="100" t="s">
        <v>26</v>
      </c>
      <c r="M128" s="7">
        <v>0</v>
      </c>
      <c r="O128" t="s">
        <v>37</v>
      </c>
      <c r="T128" s="29" t="str">
        <v>AVG</v>
      </c>
    </row>
    <row r="129" spans="7:20" x14ac:dyDescent="0.25">
      <c r="G129" s="149"/>
      <c r="H129" s="143" t="s">
        <v>31</v>
      </c>
      <c r="I129" s="151" t="s">
        <v>27</v>
      </c>
      <c r="J129" s="152">
        <v>2035</v>
      </c>
      <c r="K129" s="153" t="s">
        <v>26</v>
      </c>
      <c r="L129" s="152"/>
      <c r="M129" s="147" cm="1">
        <f t="array" ref="M129:M135">+IF(J129&lt;$H$34,$L$7:$L$13,$L$24:$L$30)</f>
        <v>0.29846</v>
      </c>
      <c r="N129" s="152"/>
      <c r="O129" s="152" t="s">
        <v>37</v>
      </c>
      <c r="P129" s="152"/>
      <c r="Q129" s="152"/>
      <c r="R129" s="152"/>
      <c r="S129" s="152"/>
      <c r="T129" s="155" t="str" cm="1">
        <f t="array" ref="T129:T135">+$H$7:$H$13</f>
        <v>GSL</v>
      </c>
    </row>
    <row r="130" spans="7:20" x14ac:dyDescent="0.25">
      <c r="G130" s="149"/>
      <c r="H130" s="143" t="s">
        <v>31</v>
      </c>
      <c r="I130" s="151" t="s">
        <v>27</v>
      </c>
      <c r="J130" s="152">
        <v>2035</v>
      </c>
      <c r="K130" s="153" t="s">
        <v>26</v>
      </c>
      <c r="L130" s="152"/>
      <c r="M130" s="154">
        <v>0.32905645282264107</v>
      </c>
      <c r="N130" s="152"/>
      <c r="O130" s="152" t="s">
        <v>37</v>
      </c>
      <c r="P130" s="152"/>
      <c r="Q130" s="152"/>
      <c r="R130" s="152"/>
      <c r="S130" s="152"/>
      <c r="T130" s="155" t="str">
        <v>DSL</v>
      </c>
    </row>
    <row r="131" spans="7:20" x14ac:dyDescent="0.25">
      <c r="G131" s="149"/>
      <c r="H131" s="143" t="s">
        <v>31</v>
      </c>
      <c r="I131" s="151" t="s">
        <v>27</v>
      </c>
      <c r="J131" s="152">
        <v>2035</v>
      </c>
      <c r="K131" s="153" t="s">
        <v>26</v>
      </c>
      <c r="L131" s="152"/>
      <c r="M131" s="154">
        <v>7.9603980199009952E-2</v>
      </c>
      <c r="N131" s="152"/>
      <c r="O131" s="152" t="s">
        <v>37</v>
      </c>
      <c r="P131" s="152"/>
      <c r="Q131" s="152"/>
      <c r="R131" s="152"/>
      <c r="S131" s="152"/>
      <c r="T131" s="155" t="str">
        <v>KER</v>
      </c>
    </row>
    <row r="132" spans="7:20" x14ac:dyDescent="0.25">
      <c r="G132" s="149"/>
      <c r="H132" s="143" t="s">
        <v>31</v>
      </c>
      <c r="I132" s="151" t="s">
        <v>27</v>
      </c>
      <c r="J132" s="152">
        <v>2035</v>
      </c>
      <c r="K132" s="153" t="s">
        <v>26</v>
      </c>
      <c r="L132" s="152"/>
      <c r="M132" s="154">
        <v>1.6326881938927802E-2</v>
      </c>
      <c r="N132" s="152"/>
      <c r="O132" s="152" t="s">
        <v>37</v>
      </c>
      <c r="P132" s="152"/>
      <c r="Q132" s="152"/>
      <c r="R132" s="152"/>
      <c r="S132" s="152"/>
      <c r="T132" s="155" t="str">
        <v>LPG</v>
      </c>
    </row>
    <row r="133" spans="7:20" x14ac:dyDescent="0.25">
      <c r="G133" s="149"/>
      <c r="H133" s="143" t="s">
        <v>31</v>
      </c>
      <c r="I133" s="151" t="s">
        <v>27</v>
      </c>
      <c r="J133" s="152">
        <v>2035</v>
      </c>
      <c r="K133" s="153" t="s">
        <v>26</v>
      </c>
      <c r="L133" s="152"/>
      <c r="M133" s="154">
        <v>0.15797</v>
      </c>
      <c r="N133" s="152"/>
      <c r="O133" s="152" t="s">
        <v>37</v>
      </c>
      <c r="P133" s="152"/>
      <c r="Q133" s="152"/>
      <c r="R133" s="152"/>
      <c r="S133" s="152"/>
      <c r="T133" s="155" t="str">
        <v>HFO</v>
      </c>
    </row>
    <row r="134" spans="7:20" x14ac:dyDescent="0.25">
      <c r="G134" s="149"/>
      <c r="H134" s="143" t="s">
        <v>31</v>
      </c>
      <c r="I134" s="151" t="s">
        <v>27</v>
      </c>
      <c r="J134" s="152">
        <v>2035</v>
      </c>
      <c r="K134" s="153" t="s">
        <v>26</v>
      </c>
      <c r="L134" s="152"/>
      <c r="M134" s="154">
        <v>0</v>
      </c>
      <c r="N134" s="152"/>
      <c r="O134" s="152" t="s">
        <v>37</v>
      </c>
      <c r="P134" s="152"/>
      <c r="Q134" s="152"/>
      <c r="R134" s="152"/>
      <c r="S134" s="152"/>
      <c r="T134" s="155" t="str">
        <v>RFG2</v>
      </c>
    </row>
    <row r="135" spans="7:20" x14ac:dyDescent="0.25">
      <c r="G135" s="149"/>
      <c r="H135" s="143" t="s">
        <v>31</v>
      </c>
      <c r="I135" s="151" t="s">
        <v>27</v>
      </c>
      <c r="J135" s="152">
        <v>2035</v>
      </c>
      <c r="K135" s="153" t="s">
        <v>26</v>
      </c>
      <c r="L135" s="152"/>
      <c r="M135" s="154">
        <v>0</v>
      </c>
      <c r="N135" s="152"/>
      <c r="O135" s="152" t="s">
        <v>37</v>
      </c>
      <c r="P135" s="152"/>
      <c r="Q135" s="152"/>
      <c r="R135" s="152"/>
      <c r="S135" s="152"/>
      <c r="T135" s="155" t="str">
        <v>AVG</v>
      </c>
    </row>
    <row r="136" spans="7:20" x14ac:dyDescent="0.25">
      <c r="G136" s="132"/>
      <c r="H136" s="143" t="s">
        <v>31</v>
      </c>
      <c r="I136" s="133" t="s">
        <v>27</v>
      </c>
      <c r="J136" s="5">
        <v>2040</v>
      </c>
      <c r="K136" s="117" t="s">
        <v>26</v>
      </c>
      <c r="L136" s="5"/>
      <c r="M136" s="147" cm="1">
        <f t="array" ref="M136:M142">+IF(J136&lt;$H$34,$L$7:$L$13,$L$24:$L$30)</f>
        <v>0.29846</v>
      </c>
      <c r="N136" s="5"/>
      <c r="O136" s="5" t="s">
        <v>37</v>
      </c>
      <c r="P136" s="5"/>
      <c r="Q136" s="5"/>
      <c r="R136" s="5"/>
      <c r="S136" s="5"/>
      <c r="T136" s="134" t="str" cm="1">
        <f t="array" ref="T136:T142">+$H$7:$H$13</f>
        <v>GSL</v>
      </c>
    </row>
    <row r="137" spans="7:20" x14ac:dyDescent="0.25">
      <c r="G137" s="135"/>
      <c r="H137" s="143" t="s">
        <v>31</v>
      </c>
      <c r="I137" s="136" t="s">
        <v>27</v>
      </c>
      <c r="J137">
        <v>2040</v>
      </c>
      <c r="K137" s="100" t="s">
        <v>26</v>
      </c>
      <c r="M137" s="7">
        <v>0.32905645282264107</v>
      </c>
      <c r="O137" t="s">
        <v>37</v>
      </c>
      <c r="T137" s="29" t="str">
        <v>DSL</v>
      </c>
    </row>
    <row r="138" spans="7:20" x14ac:dyDescent="0.25">
      <c r="G138" s="135"/>
      <c r="H138" s="143" t="s">
        <v>31</v>
      </c>
      <c r="I138" s="136" t="s">
        <v>27</v>
      </c>
      <c r="J138">
        <v>2040</v>
      </c>
      <c r="K138" s="100" t="s">
        <v>26</v>
      </c>
      <c r="M138" s="7">
        <v>7.9603980199009952E-2</v>
      </c>
      <c r="O138" t="s">
        <v>37</v>
      </c>
      <c r="T138" s="29" t="str">
        <v>KER</v>
      </c>
    </row>
    <row r="139" spans="7:20" x14ac:dyDescent="0.25">
      <c r="G139" s="135"/>
      <c r="H139" s="143" t="s">
        <v>31</v>
      </c>
      <c r="I139" s="136" t="s">
        <v>27</v>
      </c>
      <c r="J139">
        <v>2040</v>
      </c>
      <c r="K139" s="100" t="s">
        <v>26</v>
      </c>
      <c r="M139" s="7">
        <v>1.6326881938927802E-2</v>
      </c>
      <c r="O139" t="s">
        <v>37</v>
      </c>
      <c r="T139" s="29" t="str">
        <v>LPG</v>
      </c>
    </row>
    <row r="140" spans="7:20" x14ac:dyDescent="0.25">
      <c r="G140" s="135"/>
      <c r="H140" s="143" t="s">
        <v>31</v>
      </c>
      <c r="I140" s="136" t="s">
        <v>27</v>
      </c>
      <c r="J140">
        <v>2040</v>
      </c>
      <c r="K140" s="100" t="s">
        <v>26</v>
      </c>
      <c r="M140" s="7">
        <v>0.15797</v>
      </c>
      <c r="O140" t="s">
        <v>37</v>
      </c>
      <c r="T140" s="29" t="str">
        <v>HFO</v>
      </c>
    </row>
    <row r="141" spans="7:20" x14ac:dyDescent="0.25">
      <c r="G141" s="135"/>
      <c r="H141" s="143" t="s">
        <v>31</v>
      </c>
      <c r="I141" s="136" t="s">
        <v>27</v>
      </c>
      <c r="J141">
        <v>2040</v>
      </c>
      <c r="K141" s="100" t="s">
        <v>26</v>
      </c>
      <c r="M141" s="7">
        <v>0</v>
      </c>
      <c r="O141" t="s">
        <v>37</v>
      </c>
      <c r="T141" s="29" t="str">
        <v>RFG2</v>
      </c>
    </row>
    <row r="142" spans="7:20" x14ac:dyDescent="0.25">
      <c r="G142" s="135"/>
      <c r="H142" s="143" t="s">
        <v>31</v>
      </c>
      <c r="I142" s="136" t="s">
        <v>27</v>
      </c>
      <c r="J142">
        <v>2040</v>
      </c>
      <c r="K142" s="100" t="s">
        <v>26</v>
      </c>
      <c r="M142" s="7">
        <v>0</v>
      </c>
      <c r="O142" t="s">
        <v>37</v>
      </c>
      <c r="T142" s="29" t="str">
        <v>AVG</v>
      </c>
    </row>
    <row r="143" spans="7:20" x14ac:dyDescent="0.25">
      <c r="G143" s="149"/>
      <c r="H143" s="143" t="s">
        <v>31</v>
      </c>
      <c r="I143" s="151" t="s">
        <v>27</v>
      </c>
      <c r="J143" s="152">
        <v>2045</v>
      </c>
      <c r="K143" s="153" t="s">
        <v>26</v>
      </c>
      <c r="L143" s="152"/>
      <c r="M143" s="147" cm="1">
        <f t="array" ref="M143:M149">+IF(J143&lt;$H$34,$L$7:$L$13,$L$24:$L$30)</f>
        <v>0.29846</v>
      </c>
      <c r="N143" s="152"/>
      <c r="O143" s="152" t="s">
        <v>37</v>
      </c>
      <c r="P143" s="152"/>
      <c r="Q143" s="152"/>
      <c r="R143" s="152"/>
      <c r="S143" s="152"/>
      <c r="T143" s="155" t="str" cm="1">
        <f t="array" ref="T143:T149">+$H$7:$H$13</f>
        <v>GSL</v>
      </c>
    </row>
    <row r="144" spans="7:20" x14ac:dyDescent="0.25">
      <c r="G144" s="149"/>
      <c r="H144" s="143" t="s">
        <v>31</v>
      </c>
      <c r="I144" s="151" t="s">
        <v>27</v>
      </c>
      <c r="J144" s="152">
        <v>2045</v>
      </c>
      <c r="K144" s="153" t="s">
        <v>26</v>
      </c>
      <c r="L144" s="152"/>
      <c r="M144" s="154">
        <v>0.32905645282264107</v>
      </c>
      <c r="N144" s="152"/>
      <c r="O144" s="152" t="s">
        <v>37</v>
      </c>
      <c r="P144" s="152"/>
      <c r="Q144" s="152"/>
      <c r="R144" s="152"/>
      <c r="S144" s="152"/>
      <c r="T144" s="155" t="str">
        <v>DSL</v>
      </c>
    </row>
    <row r="145" spans="7:20" x14ac:dyDescent="0.25">
      <c r="G145" s="149"/>
      <c r="H145" s="143" t="s">
        <v>31</v>
      </c>
      <c r="I145" s="151" t="s">
        <v>27</v>
      </c>
      <c r="J145" s="152">
        <v>2045</v>
      </c>
      <c r="K145" s="153" t="s">
        <v>26</v>
      </c>
      <c r="L145" s="152"/>
      <c r="M145" s="154">
        <v>7.9603980199009952E-2</v>
      </c>
      <c r="N145" s="152"/>
      <c r="O145" s="152" t="s">
        <v>37</v>
      </c>
      <c r="P145" s="152"/>
      <c r="Q145" s="152"/>
      <c r="R145" s="152"/>
      <c r="S145" s="152"/>
      <c r="T145" s="155" t="str">
        <v>KER</v>
      </c>
    </row>
    <row r="146" spans="7:20" x14ac:dyDescent="0.25">
      <c r="G146" s="149"/>
      <c r="H146" s="143" t="s">
        <v>31</v>
      </c>
      <c r="I146" s="151" t="s">
        <v>27</v>
      </c>
      <c r="J146" s="152">
        <v>2045</v>
      </c>
      <c r="K146" s="153" t="s">
        <v>26</v>
      </c>
      <c r="L146" s="152"/>
      <c r="M146" s="154">
        <v>1.6326881938927802E-2</v>
      </c>
      <c r="N146" s="152"/>
      <c r="O146" s="152" t="s">
        <v>37</v>
      </c>
      <c r="P146" s="152"/>
      <c r="Q146" s="152"/>
      <c r="R146" s="152"/>
      <c r="S146" s="152"/>
      <c r="T146" s="155" t="str">
        <v>LPG</v>
      </c>
    </row>
    <row r="147" spans="7:20" x14ac:dyDescent="0.25">
      <c r="G147" s="149"/>
      <c r="H147" s="143" t="s">
        <v>31</v>
      </c>
      <c r="I147" s="151" t="s">
        <v>27</v>
      </c>
      <c r="J147" s="152">
        <v>2045</v>
      </c>
      <c r="K147" s="153" t="s">
        <v>26</v>
      </c>
      <c r="L147" s="152"/>
      <c r="M147" s="154">
        <v>0.15797</v>
      </c>
      <c r="N147" s="152"/>
      <c r="O147" s="152" t="s">
        <v>37</v>
      </c>
      <c r="P147" s="152"/>
      <c r="Q147" s="152"/>
      <c r="R147" s="152"/>
      <c r="S147" s="152"/>
      <c r="T147" s="155" t="str">
        <v>HFO</v>
      </c>
    </row>
    <row r="148" spans="7:20" x14ac:dyDescent="0.25">
      <c r="G148" s="149"/>
      <c r="H148" s="143" t="s">
        <v>31</v>
      </c>
      <c r="I148" s="151" t="s">
        <v>27</v>
      </c>
      <c r="J148" s="152">
        <v>2045</v>
      </c>
      <c r="K148" s="153" t="s">
        <v>26</v>
      </c>
      <c r="L148" s="152"/>
      <c r="M148" s="154">
        <v>0</v>
      </c>
      <c r="N148" s="152"/>
      <c r="O148" s="152" t="s">
        <v>37</v>
      </c>
      <c r="P148" s="152"/>
      <c r="Q148" s="152"/>
      <c r="R148" s="152"/>
      <c r="S148" s="152"/>
      <c r="T148" s="155" t="str">
        <v>RFG2</v>
      </c>
    </row>
    <row r="149" spans="7:20" x14ac:dyDescent="0.25">
      <c r="G149" s="149"/>
      <c r="H149" s="143" t="s">
        <v>31</v>
      </c>
      <c r="I149" s="151" t="s">
        <v>27</v>
      </c>
      <c r="J149" s="152">
        <v>2045</v>
      </c>
      <c r="K149" s="153" t="s">
        <v>26</v>
      </c>
      <c r="L149" s="152"/>
      <c r="M149" s="154">
        <v>0</v>
      </c>
      <c r="N149" s="152"/>
      <c r="O149" s="152" t="s">
        <v>37</v>
      </c>
      <c r="P149" s="152"/>
      <c r="Q149" s="152"/>
      <c r="R149" s="152"/>
      <c r="S149" s="152"/>
      <c r="T149" s="155" t="str">
        <v>AVG</v>
      </c>
    </row>
    <row r="150" spans="7:20" x14ac:dyDescent="0.25">
      <c r="G150" s="132"/>
      <c r="H150" s="143" t="s">
        <v>31</v>
      </c>
      <c r="I150" s="133" t="s">
        <v>27</v>
      </c>
      <c r="J150" s="5">
        <v>2050</v>
      </c>
      <c r="K150" s="117" t="s">
        <v>26</v>
      </c>
      <c r="L150" s="5"/>
      <c r="M150" s="147" cm="1">
        <f t="array" ref="M150:M156">+IF(J150&lt;$H$34,$L$7:$L$13,$L$24:$L$30)</f>
        <v>0.29846</v>
      </c>
      <c r="N150" s="5"/>
      <c r="O150" s="5" t="s">
        <v>37</v>
      </c>
      <c r="P150" s="5"/>
      <c r="Q150" s="5"/>
      <c r="R150" s="5"/>
      <c r="S150" s="5"/>
      <c r="T150" s="134" t="str" cm="1">
        <f t="array" ref="T150:T156">+$H$7:$H$13</f>
        <v>GSL</v>
      </c>
    </row>
    <row r="151" spans="7:20" x14ac:dyDescent="0.25">
      <c r="G151" s="135"/>
      <c r="H151" s="143" t="s">
        <v>31</v>
      </c>
      <c r="I151" s="136" t="s">
        <v>27</v>
      </c>
      <c r="J151">
        <v>2050</v>
      </c>
      <c r="K151" s="100" t="s">
        <v>26</v>
      </c>
      <c r="M151" s="7">
        <v>0.32905645282264107</v>
      </c>
      <c r="O151" t="s">
        <v>37</v>
      </c>
      <c r="T151" s="29" t="str">
        <v>DSL</v>
      </c>
    </row>
    <row r="152" spans="7:20" x14ac:dyDescent="0.25">
      <c r="G152" s="135"/>
      <c r="H152" s="143" t="s">
        <v>31</v>
      </c>
      <c r="I152" s="136" t="s">
        <v>27</v>
      </c>
      <c r="J152">
        <v>2050</v>
      </c>
      <c r="K152" s="100" t="s">
        <v>26</v>
      </c>
      <c r="M152" s="7">
        <v>7.9603980199009952E-2</v>
      </c>
      <c r="O152" t="s">
        <v>37</v>
      </c>
      <c r="T152" s="29" t="str">
        <v>KER</v>
      </c>
    </row>
    <row r="153" spans="7:20" x14ac:dyDescent="0.25">
      <c r="G153" s="135"/>
      <c r="H153" s="143" t="s">
        <v>31</v>
      </c>
      <c r="I153" s="136" t="s">
        <v>27</v>
      </c>
      <c r="J153">
        <v>2050</v>
      </c>
      <c r="K153" s="100" t="s">
        <v>26</v>
      </c>
      <c r="M153" s="7">
        <v>1.6326881938927802E-2</v>
      </c>
      <c r="O153" t="s">
        <v>37</v>
      </c>
      <c r="T153" s="29" t="str">
        <v>LPG</v>
      </c>
    </row>
    <row r="154" spans="7:20" x14ac:dyDescent="0.25">
      <c r="G154" s="135"/>
      <c r="H154" s="143" t="s">
        <v>31</v>
      </c>
      <c r="I154" s="136" t="s">
        <v>27</v>
      </c>
      <c r="J154">
        <v>2050</v>
      </c>
      <c r="K154" s="100" t="s">
        <v>26</v>
      </c>
      <c r="M154" s="7">
        <v>0.15797</v>
      </c>
      <c r="O154" t="s">
        <v>37</v>
      </c>
      <c r="T154" s="29" t="str">
        <v>HFO</v>
      </c>
    </row>
    <row r="155" spans="7:20" x14ac:dyDescent="0.25">
      <c r="G155" s="135"/>
      <c r="H155" s="143" t="s">
        <v>31</v>
      </c>
      <c r="I155" s="136" t="s">
        <v>27</v>
      </c>
      <c r="J155">
        <v>2050</v>
      </c>
      <c r="K155" s="100" t="s">
        <v>26</v>
      </c>
      <c r="M155" s="7">
        <v>0</v>
      </c>
      <c r="O155" t="s">
        <v>37</v>
      </c>
      <c r="T155" s="29" t="str">
        <v>RFG2</v>
      </c>
    </row>
    <row r="156" spans="7:20" x14ac:dyDescent="0.25">
      <c r="G156" s="137"/>
      <c r="H156" s="143" t="s">
        <v>31</v>
      </c>
      <c r="I156" s="122" t="s">
        <v>27</v>
      </c>
      <c r="J156" s="122">
        <v>2050</v>
      </c>
      <c r="K156" s="138" t="s">
        <v>26</v>
      </c>
      <c r="L156" s="122"/>
      <c r="M156" s="139">
        <v>0</v>
      </c>
      <c r="N156" s="122"/>
      <c r="O156" s="122" t="s">
        <v>37</v>
      </c>
      <c r="P156" s="122"/>
      <c r="Q156" s="122"/>
      <c r="R156" s="122"/>
      <c r="S156" s="122"/>
      <c r="T156" s="30" t="str">
        <v>AVG</v>
      </c>
    </row>
  </sheetData>
  <mergeCells count="3">
    <mergeCell ref="I6:K6"/>
    <mergeCell ref="I23:K23"/>
    <mergeCell ref="L23:N23"/>
  </mergeCells>
  <phoneticPr fontId="7" type="noConversion"/>
  <conditionalFormatting sqref="AC53:AD59">
    <cfRule type="duplicateValues" dxfId="1" priority="2"/>
  </conditionalFormatting>
  <conditionalFormatting sqref="AC65:AD71">
    <cfRule type="duplicateValues" dxfId="0" priority="1"/>
  </conditionalFormatting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Fuels</vt:lpstr>
      <vt:lpstr>Refineries_Base</vt:lpstr>
      <vt:lpstr>REF1-Cartagena</vt:lpstr>
      <vt:lpstr>REF2-Barranca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CARMEN</cp:lastModifiedBy>
  <dcterms:created xsi:type="dcterms:W3CDTF">2015-06-05T18:19:34Z</dcterms:created>
  <dcterms:modified xsi:type="dcterms:W3CDTF">2023-05-20T14:40:11Z</dcterms:modified>
</cp:coreProperties>
</file>